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デスクトップ\"/>
    </mc:Choice>
  </mc:AlternateContent>
  <xr:revisionPtr revIDLastSave="280" documentId="11_DDFD3094C8EDB4203FE7F0F4EB81D47C36BE8510" xr6:coauthVersionLast="40" xr6:coauthVersionMax="40" xr10:uidLastSave="{9D8E7C7E-518D-4967-9C82-4AFDA25D113F}"/>
  <bookViews>
    <workbookView xWindow="5546" yWindow="360" windowWidth="24488" windowHeight="17126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1" l="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67" i="9" l="1"/>
  <c r="C67" i="9"/>
  <c r="AL118" i="9" l="1"/>
  <c r="D31" i="10" l="1"/>
  <c r="D43" i="1"/>
  <c r="F6" i="28" l="1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65" i="27" l="1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F29" i="28" l="1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H33" i="28" l="1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W79" i="27" l="1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L35" i="27" l="1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P51" i="27" l="1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F72" i="26" l="1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M73" i="26" l="1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AD81" i="27" l="1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D59" i="28" l="1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K55" i="27" l="1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M55" i="27" l="1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P55" i="27" l="1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R55" i="27" l="1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T55" i="27" l="1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V55" i="27" l="1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X55" i="27" l="1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Z55" i="27" l="1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D47" i="26" l="1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M39" i="27" l="1"/>
  <c r="N39" i="27"/>
  <c r="K42" i="27"/>
  <c r="L42" i="27"/>
  <c r="H42" i="28"/>
  <c r="I42" i="28" s="1"/>
  <c r="Z85" i="9"/>
  <c r="Z84" i="8"/>
  <c r="X84" i="24"/>
  <c r="Z84" i="7"/>
  <c r="V84" i="1"/>
  <c r="N42" i="27" l="1"/>
  <c r="M42" i="27"/>
  <c r="O39" i="27"/>
  <c r="P39" i="27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52" i="24" l="1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W43" i="24" l="1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Y43" i="24" l="1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AA43" i="24" l="1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D86" i="27" l="1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D88" i="27" l="1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D98" i="9" l="1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P86" i="27" l="1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AK85" i="24" l="1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R88" i="27" l="1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P89" i="27" l="1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X86" i="27" l="1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X88" i="27" l="1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U89" i="27" l="1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X85" i="27" l="1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T129" i="22" l="1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59" i="18" l="1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C4" i="16" l="1"/>
  <c r="C5" i="16" s="1"/>
  <c r="C7" i="16" s="1"/>
  <c r="C8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Q17" i="16"/>
  <c r="Q152" i="16" s="1"/>
  <c r="F88" i="1"/>
  <c r="F88" i="7"/>
  <c r="F88" i="8"/>
  <c r="F89" i="9"/>
  <c r="B13" i="16" l="1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D53" i="24" l="1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D3" i="26" l="1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6" i="26" l="1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P58" i="27" l="1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S107" i="26" l="1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Y85" i="9" l="1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T46" i="26" l="1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43" i="8" l="1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B69" i="26" l="1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G66" i="26" l="1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I16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I163" i="16" s="1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X52" i="26" l="1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G52" i="26" l="1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D70" i="24" l="1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H35" i="26" l="1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J34" i="26" l="1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G90" i="26" l="1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M66" i="8" l="1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D64" i="8" l="1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AF64" i="8" l="1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H64" i="8" l="1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<sst xmlns="http://schemas.openxmlformats.org/spreadsheetml/2006/main" count="3052" uniqueCount="1887">
  <si>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</si>
  <si>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</si>
  <si>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</si>
  <si>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</si>
  <si>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</si>
  <si>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</si>
  <si>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</si>
  <si>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</si>
  <si>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</si>
  <si>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</si>
  <si>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</si>
  <si>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</si>
  <si>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</si>
  <si>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</si>
  <si>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</si>
  <si>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</si>
  <si>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</si>
  <si>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</si>
  <si>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</si>
  <si>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</si>
  <si>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</si>
  <si>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</si>
  <si>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</si>
  <si>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</si>
  <si>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</si>
  <si>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</si>
  <si>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</si>
  <si>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</si>
  <si>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</si>
  <si>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</si>
  <si>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</si>
  <si>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</si>
  <si>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</si>
  <si>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</si>
  <si>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</si>
  <si>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</si>
  <si>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</si>
  <si>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</si>
  <si>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</si>
  <si>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</si>
  <si>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</si>
  <si>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</si>
  <si>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</si>
  <si>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</si>
  <si>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</si>
  <si>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</si>
  <si>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</si>
  <si>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</si>
  <si>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</si>
  <si>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</si>
  <si>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</si>
  <si>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</si>
  <si>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</si>
  <si>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</si>
  <si>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</si>
  <si>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</si>
  <si>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</si>
  <si>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</si>
  <si>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</si>
  <si>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</si>
  <si>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</si>
  <si>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</si>
  <si>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</si>
  <si>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</si>
  <si>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</si>
  <si>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</si>
  <si>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</si>
  <si>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</si>
  <si>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</si>
  <si>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</si>
  <si>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</si>
  <si>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</si>
  <si>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</si>
  <si>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</si>
  <si>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</si>
  <si>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</si>
  <si>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</si>
  <si>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</si>
  <si>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</si>
  <si>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</si>
  <si>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</si>
  <si>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</si>
  <si>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</si>
  <si>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</si>
  <si>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</si>
  <si>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</si>
  <si>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</si>
  <si>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</si>
  <si>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</si>
  <si>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</si>
  <si>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</si>
  <si>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</si>
  <si>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</si>
  <si>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</si>
  <si>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</si>
  <si>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</si>
  <si>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</si>
  <si>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</si>
  <si>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</si>
  <si>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</si>
  <si>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</si>
  <si>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</si>
  <si>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</si>
  <si>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</si>
  <si>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</si>
  <si>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</si>
  <si>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</si>
  <si>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</si>
  <si>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</si>
  <si>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</si>
  <si>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</si>
  <si>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</si>
  <si>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</si>
  <si>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</si>
  <si>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</si>
  <si>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</si>
  <si>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</si>
  <si>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</si>
  <si>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</si>
  <si>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</si>
  <si>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</si>
  <si>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</si>
  <si>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</si>
  <si>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</si>
  <si>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</si>
  <si>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</si>
  <si>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</si>
  <si>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</si>
  <si>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</si>
  <si>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</si>
  <si>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</si>
  <si>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</si>
  <si>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</si>
  <si>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</si>
  <si>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</si>
  <si>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</si>
  <si>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</si>
  <si>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</si>
  <si>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</si>
  <si>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</si>
  <si>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</si>
  <si>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</si>
  <si>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</si>
  <si>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</si>
  <si>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</si>
  <si>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</si>
  <si>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</si>
  <si>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</si>
  <si>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</si>
  <si>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</si>
  <si>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</si>
  <si>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</si>
  <si>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</si>
  <si>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</si>
  <si>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</si>
  <si>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</si>
  <si>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</si>
  <si>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</si>
  <si>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</si>
  <si>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</si>
  <si>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</si>
  <si>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</si>
  <si>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</si>
  <si>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</si>
  <si>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</si>
  <si>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</si>
  <si>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</si>
  <si>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</si>
  <si>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</si>
  <si>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</si>
  <si>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</si>
  <si>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</si>
  <si>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</si>
  <si>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</si>
  <si>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</si>
  <si>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</si>
  <si>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</si>
  <si>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</si>
  <si>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</si>
  <si>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</si>
  <si>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</si>
  <si>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</si>
  <si>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</si>
  <si>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</si>
  <si>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</si>
  <si>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</si>
  <si>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</si>
  <si>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</si>
  <si>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</si>
  <si>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</si>
  <si>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</si>
  <si>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</si>
  <si>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</si>
  <si>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</si>
  <si>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</si>
  <si>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</si>
  <si>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</si>
  <si>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</si>
  <si>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</si>
  <si>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</si>
  <si>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</si>
  <si>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</si>
  <si>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</si>
  <si>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</si>
  <si>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</si>
  <si>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</si>
  <si>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</si>
  <si>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</si>
  <si>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</si>
  <si>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</si>
  <si>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</si>
  <si>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</si>
  <si>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</si>
  <si>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</si>
  <si>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</si>
  <si>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</si>
  <si>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</si>
  <si>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</si>
  <si>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</si>
  <si>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</si>
  <si>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</si>
  <si>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</si>
  <si>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</si>
  <si>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</si>
  <si>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</si>
  <si>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</si>
  <si>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</si>
  <si>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</si>
  <si>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</si>
  <si>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</si>
  <si>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</si>
  <si>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</si>
  <si>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</si>
  <si>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</si>
  <si>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</si>
  <si>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</si>
  <si>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</si>
  <si>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</si>
  <si>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</si>
  <si>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</si>
  <si>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</si>
  <si>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</si>
  <si>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</si>
  <si>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</si>
  <si>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</si>
  <si>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</si>
  <si>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</si>
  <si>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</si>
  <si>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</si>
  <si>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</si>
  <si>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</si>
  <si>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</si>
  <si>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</si>
  <si>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</si>
  <si>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</si>
  <si>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</si>
  <si>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</si>
  <si>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</si>
  <si>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</si>
  <si>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</si>
  <si>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</si>
  <si>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</si>
  <si>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</si>
  <si>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</si>
  <si>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</si>
  <si>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</si>
  <si>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</si>
  <si>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</si>
  <si>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</si>
  <si>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</si>
  <si>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</si>
  <si>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</si>
  <si>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</si>
  <si>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</si>
  <si>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</si>
  <si>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</si>
  <si>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</si>
  <si>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</si>
  <si>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</si>
  <si>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</si>
  <si>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</si>
  <si>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</si>
  <si>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</si>
  <si>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</si>
  <si>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</si>
  <si>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</si>
  <si>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</si>
  <si>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</si>
  <si>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</si>
  <si>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</si>
  <si>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</si>
  <si>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</si>
  <si>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</si>
  <si>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</si>
  <si>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</si>
  <si>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</si>
  <si>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</si>
  <si>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</si>
  <si>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</si>
  <si>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</si>
  <si>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</si>
  <si>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</si>
  <si>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</si>
  <si>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</si>
  <si>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</si>
  <si>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</si>
  <si>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</si>
  <si>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</si>
  <si>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</si>
  <si>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</si>
  <si>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</si>
  <si>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</si>
  <si>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</si>
  <si>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</si>
  <si>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</si>
  <si>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</si>
  <si>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</si>
  <si>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</si>
  <si>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</si>
  <si>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</si>
  <si>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</si>
  <si>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</si>
  <si>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</si>
  <si>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</si>
  <si>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</si>
  <si>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</si>
  <si>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</si>
  <si>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</si>
  <si>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</si>
  <si>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</si>
  <si>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</si>
  <si>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</si>
  <si>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</si>
  <si>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</si>
  <si>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</si>
  <si>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</si>
  <si>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</si>
  <si>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</si>
  <si>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</si>
  <si>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</si>
  <si>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</si>
  <si>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</si>
  <si>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</si>
  <si>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</si>
  <si>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</si>
  <si>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</si>
  <si>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</si>
  <si>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</si>
  <si>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</si>
  <si>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</si>
  <si>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</si>
  <si>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</si>
  <si>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</si>
  <si>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</si>
  <si>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</si>
  <si>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</si>
  <si>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</si>
  <si>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</si>
  <si>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</si>
  <si>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</si>
  <si>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</si>
  <si>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</si>
  <si>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</si>
  <si>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</si>
  <si>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</si>
  <si>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</si>
  <si>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</si>
  <si>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</si>
  <si>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</si>
  <si>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</si>
  <si>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</si>
  <si>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</si>
  <si>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</si>
  <si>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</si>
  <si>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</si>
  <si>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</si>
  <si>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</si>
  <si>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</si>
  <si>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</si>
  <si>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</si>
  <si>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</si>
  <si>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</si>
  <si>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</si>
  <si>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</si>
  <si>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</si>
  <si>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</si>
  <si>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</si>
  <si>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</si>
  <si>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</si>
  <si>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</si>
  <si>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</si>
  <si>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</si>
  <si>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</si>
  <si>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</si>
  <si>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</si>
  <si>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</si>
  <si>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</si>
  <si>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</si>
  <si>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</si>
  <si>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</si>
  <si>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</si>
  <si>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</si>
  <si>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</si>
  <si>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</si>
  <si>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</si>
  <si>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</si>
  <si>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</si>
  <si>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</si>
  <si>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</si>
  <si>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</si>
  <si>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</si>
  <si>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</si>
  <si>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</si>
  <si>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</si>
  <si>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</si>
  <si>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</si>
  <si>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</si>
  <si>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</si>
  <si>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</si>
  <si>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</si>
  <si>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</si>
  <si>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</si>
  <si>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</si>
  <si>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</si>
  <si>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</si>
  <si>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</si>
  <si>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</si>
  <si>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</si>
  <si>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</si>
  <si>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</si>
  <si>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</si>
  <si>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</si>
  <si>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</si>
  <si>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</si>
  <si>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</si>
  <si>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</si>
  <si>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</si>
  <si>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</si>
  <si>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</si>
  <si>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</si>
  <si>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</si>
  <si>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</si>
  <si>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</si>
  <si>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</si>
  <si>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</si>
  <si>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</si>
  <si>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</si>
  <si>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</si>
  <si>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</si>
  <si>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</si>
  <si>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</si>
  <si>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</si>
  <si>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</si>
  <si>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</si>
  <si>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</si>
  <si>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</si>
  <si>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</si>
  <si>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</si>
  <si>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</si>
  <si>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</si>
  <si>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</si>
  <si>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</si>
  <si>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</si>
  <si>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</si>
  <si>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</si>
  <si>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</si>
  <si>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</si>
  <si>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</si>
  <si>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</si>
  <si>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</si>
  <si>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</si>
  <si>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</si>
  <si>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</si>
  <si>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</si>
  <si>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</si>
  <si>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</si>
  <si>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</si>
  <si>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</si>
  <si>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</si>
  <si>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</si>
  <si>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</si>
  <si>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</si>
  <si>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</si>
  <si>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</si>
  <si>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</si>
  <si>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</si>
  <si>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</si>
  <si>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</si>
  <si>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</si>
  <si>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</si>
  <si>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</si>
  <si>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</si>
  <si>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</si>
  <si>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</si>
  <si>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</si>
  <si>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</si>
  <si>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</si>
  <si>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</si>
  <si>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</si>
  <si>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</si>
  <si>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</si>
  <si>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</si>
  <si>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</si>
  <si>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</si>
  <si>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</si>
  <si>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</si>
  <si>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</si>
  <si>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</si>
  <si>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</si>
  <si>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</si>
  <si>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</si>
  <si>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</si>
  <si>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</si>
  <si>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</si>
  <si>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</si>
  <si>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</si>
  <si>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</si>
  <si>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</si>
  <si>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</si>
  <si>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</si>
  <si>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</si>
  <si>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</si>
  <si>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</si>
  <si>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</si>
  <si>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</si>
  <si>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</si>
  <si>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</si>
  <si>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</si>
  <si>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</si>
  <si>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</si>
  <si>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</si>
  <si>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</si>
  <si>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</si>
  <si>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</si>
  <si>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</si>
  <si>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</si>
  <si>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</si>
  <si>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</si>
  <si>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</si>
  <si>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</si>
  <si>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</si>
  <si>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</si>
  <si>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</si>
  <si>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</si>
  <si>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</si>
  <si>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</si>
  <si>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</si>
  <si>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</si>
  <si>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</si>
  <si>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</si>
  <si>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</si>
  <si>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</si>
  <si>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</si>
  <si>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</si>
  <si>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</si>
  <si>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</si>
  <si>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</si>
  <si>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</si>
  <si>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</si>
  <si>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</si>
  <si>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</si>
  <si>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</si>
  <si>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</si>
  <si>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</si>
  <si>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</si>
  <si>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</si>
  <si>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</si>
  <si>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</si>
  <si>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</si>
  <si>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</si>
  <si>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</si>
  <si>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</si>
  <si>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</si>
  <si>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</si>
  <si>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</si>
  <si>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</si>
  <si>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</si>
  <si>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</si>
  <si>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</si>
  <si>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</si>
  <si>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</si>
  <si>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</si>
  <si>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</si>
  <si>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</si>
  <si>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</si>
  <si>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</si>
  <si>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</si>
  <si>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</si>
  <si>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</si>
  <si>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</si>
  <si>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</si>
  <si>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</si>
  <si>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</si>
  <si>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</si>
  <si>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</si>
  <si>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</si>
  <si>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</si>
  <si>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</si>
  <si>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</si>
  <si>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</si>
  <si>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</si>
  <si>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</si>
  <si>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</si>
  <si>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</si>
  <si>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</si>
  <si>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</si>
  <si>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</si>
  <si>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</si>
  <si>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</si>
  <si>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</si>
  <si>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</si>
  <si>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</si>
  <si>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</si>
  <si>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</si>
  <si>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</si>
  <si>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</si>
  <si>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</si>
  <si>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</si>
  <si>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</si>
  <si>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</si>
  <si>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</si>
  <si>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</si>
  <si>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</si>
  <si>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</si>
  <si>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</si>
  <si>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</si>
  <si>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</si>
  <si>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</si>
  <si>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</si>
  <si>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</si>
  <si>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</si>
  <si>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</si>
  <si>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</si>
  <si>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</si>
  <si>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</si>
  <si>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</si>
  <si>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</si>
  <si>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</si>
  <si>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</si>
  <si>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</si>
  <si>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</si>
  <si>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</si>
  <si>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</si>
  <si>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</si>
  <si>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</si>
  <si>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</si>
  <si>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</si>
  <si>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</si>
  <si>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</si>
  <si>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</si>
  <si>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</si>
  <si>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</si>
  <si>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</si>
  <si>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</si>
  <si>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</si>
  <si>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</si>
  <si>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</si>
  <si>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</si>
  <si>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</si>
  <si>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</si>
  <si>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</si>
  <si>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</si>
  <si>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</si>
  <si>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</si>
  <si>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</si>
  <si>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</si>
  <si>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</si>
  <si>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</si>
  <si>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</si>
  <si>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</si>
  <si>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</si>
  <si>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</si>
  <si>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</si>
  <si>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</si>
  <si>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</si>
  <si>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</si>
  <si>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</si>
  <si>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</si>
  <si>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</si>
  <si>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</si>
  <si>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</si>
  <si>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</si>
  <si>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</si>
  <si>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</si>
  <si>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</si>
  <si>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</si>
  <si>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</si>
  <si>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</si>
  <si>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</si>
  <si>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</si>
  <si>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</si>
  <si>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</si>
  <si>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</si>
  <si>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</si>
  <si>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</si>
  <si>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</si>
  <si>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</si>
  <si>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</si>
  <si>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</si>
  <si>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</si>
  <si>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</si>
  <si>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</si>
  <si>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</si>
  <si>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</si>
  <si>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</si>
  <si>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</si>
  <si>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</si>
  <si>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</si>
  <si>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</si>
  <si>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</si>
  <si>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</si>
  <si>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</si>
  <si>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</si>
  <si>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</si>
  <si>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</si>
  <si>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</si>
  <si>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</si>
  <si>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</si>
  <si>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</si>
  <si>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</si>
  <si>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</si>
  <si>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</si>
  <si>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</si>
  <si>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</si>
  <si>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</si>
  <si>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</si>
  <si>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</si>
  <si>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</si>
  <si>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</si>
  <si>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</si>
  <si>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</si>
  <si>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</si>
  <si>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</si>
  <si>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</si>
  <si>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</si>
  <si>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</si>
  <si>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</si>
  <si>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</si>
  <si>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</si>
  <si>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</si>
  <si>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</si>
  <si>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</si>
  <si>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</si>
  <si>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</si>
  <si>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</si>
  <si>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</si>
  <si>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</si>
  <si>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</si>
  <si>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</si>
  <si>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</si>
  <si>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</si>
  <si>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</si>
  <si>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</si>
  <si>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</si>
  <si>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</si>
  <si>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</si>
  <si>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</si>
  <si>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</si>
  <si>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</si>
  <si>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</si>
  <si>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</si>
  <si>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</si>
  <si>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</si>
  <si>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</si>
  <si>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</si>
  <si>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</si>
  <si>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</si>
  <si>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</si>
  <si>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</si>
  <si>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</si>
  <si>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</si>
  <si>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</si>
  <si>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</si>
  <si>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</si>
  <si>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</si>
  <si>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</si>
  <si>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</si>
  <si>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</si>
  <si>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</si>
  <si>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</si>
  <si>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</si>
  <si>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</si>
  <si>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</si>
  <si>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</si>
  <si>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</si>
  <si>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</si>
  <si>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</si>
  <si>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</si>
  <si>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</si>
  <si>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</si>
  <si>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</si>
  <si>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</si>
  <si>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</si>
  <si>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</si>
  <si>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</si>
  <si>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</si>
  <si>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</si>
  <si>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</si>
  <si>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</si>
  <si>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</si>
  <si>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</si>
  <si>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</si>
  <si>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</si>
  <si>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</si>
  <si>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</si>
  <si>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</si>
  <si>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</si>
  <si>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</si>
  <si>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</si>
  <si>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</si>
  <si>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</si>
  <si>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</si>
  <si>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</si>
  <si>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</si>
  <si>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</si>
  <si>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</si>
  <si>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</si>
  <si>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</si>
  <si>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</si>
  <si>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</si>
  <si>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</si>
  <si>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</si>
  <si>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</si>
  <si>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</si>
  <si>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</si>
  <si>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</si>
  <si>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</si>
  <si>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</si>
  <si>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</si>
  <si>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</si>
  <si>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</si>
  <si>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</si>
  <si>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</si>
  <si>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</si>
  <si>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</si>
  <si>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</si>
  <si>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</si>
  <si>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</si>
  <si>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</si>
  <si>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</si>
  <si>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</si>
  <si>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</si>
  <si>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</si>
  <si>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</si>
  <si>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</si>
  <si>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</si>
  <si>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</si>
  <si>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</si>
  <si>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</si>
  <si>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</si>
  <si>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</si>
  <si>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</si>
  <si>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</si>
  <si>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</si>
  <si>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</si>
  <si>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</si>
  <si>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</si>
  <si>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</si>
  <si>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</si>
  <si>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</si>
  <si>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</si>
  <si>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</si>
  <si>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</si>
  <si>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</si>
  <si>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</si>
  <si>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</si>
  <si>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</si>
  <si>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</si>
  <si>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</si>
  <si>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</si>
  <si>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</si>
  <si>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</si>
  <si>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</si>
  <si>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</si>
  <si>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</si>
  <si>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</si>
  <si>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</si>
  <si>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</si>
  <si>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</si>
  <si>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</si>
  <si>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</si>
  <si>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</si>
  <si>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</si>
  <si>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</si>
  <si>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</si>
  <si>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</si>
  <si>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</si>
  <si>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</si>
  <si>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</si>
  <si>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</si>
  <si>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</si>
  <si>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</si>
  <si>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</si>
  <si>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</si>
  <si>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</si>
  <si>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</si>
  <si>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</si>
  <si>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</si>
  <si>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</si>
  <si>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</si>
  <si>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</si>
  <si>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</si>
  <si>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</si>
  <si>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</si>
  <si>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</si>
  <si>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</si>
  <si>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</si>
  <si>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</si>
  <si>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</si>
  <si>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</si>
  <si>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</si>
  <si>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</si>
  <si>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</si>
  <si>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</si>
  <si>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</si>
  <si>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</si>
  <si>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</si>
  <si>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</si>
  <si>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</si>
  <si>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</si>
  <si>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</si>
  <si>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</si>
  <si>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</si>
  <si>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</si>
  <si>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</si>
  <si>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</si>
  <si>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</si>
  <si>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</si>
  <si>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</si>
  <si>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</si>
  <si>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</si>
  <si>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</si>
  <si>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</si>
  <si>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</si>
  <si>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</si>
  <si>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</si>
  <si>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</si>
  <si>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</si>
  <si>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</si>
  <si>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</si>
  <si>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</si>
  <si>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</si>
  <si>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</si>
  <si>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</si>
  <si>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</si>
  <si>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</si>
  <si>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</si>
  <si>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</si>
  <si>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</si>
  <si>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</si>
  <si>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</si>
  <si>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</si>
  <si>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</si>
  <si>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</si>
  <si>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</si>
  <si>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</si>
  <si>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</si>
  <si>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</si>
  <si>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</si>
  <si>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</si>
  <si>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</si>
  <si>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</si>
  <si>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</si>
  <si>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</si>
  <si>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</si>
  <si>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</si>
  <si>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</si>
  <si>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</si>
  <si>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</si>
  <si>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</si>
  <si>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</si>
  <si>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</si>
  <si>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</si>
  <si>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</si>
  <si>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</si>
  <si>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</si>
  <si>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</si>
  <si>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</si>
  <si>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</si>
  <si>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</si>
  <si>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</si>
  <si>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</si>
  <si>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</si>
  <si>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</si>
  <si>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</si>
  <si>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</si>
  <si>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</si>
  <si>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</si>
  <si>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</si>
  <si>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</si>
  <si>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</si>
  <si>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</si>
  <si>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</si>
  <si>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</si>
  <si>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</si>
  <si>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</si>
  <si>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</si>
  <si>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</si>
  <si>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</si>
  <si>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</si>
  <si>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</si>
  <si>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</si>
  <si>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</si>
  <si>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</si>
  <si>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</si>
  <si>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</si>
  <si>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</si>
  <si>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</si>
  <si>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</si>
  <si>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</si>
  <si>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</si>
  <si>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</si>
  <si>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</si>
  <si>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</si>
  <si>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</si>
  <si>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</si>
  <si>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</si>
  <si>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</si>
  <si>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</si>
  <si>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</si>
  <si>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</si>
  <si>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</si>
  <si>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</si>
  <si>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</si>
  <si>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</si>
  <si>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</si>
  <si>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</si>
  <si>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</si>
  <si>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</si>
  <si>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</si>
  <si>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</si>
  <si>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</si>
  <si>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</si>
  <si>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</si>
  <si>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</si>
  <si>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</si>
  <si>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</si>
  <si>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</si>
  <si>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</si>
  <si>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</si>
  <si>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</si>
  <si>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</si>
  <si>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</si>
  <si>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</si>
  <si>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</si>
  <si>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</si>
  <si>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</si>
  <si>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</si>
  <si>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</si>
  <si>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</si>
  <si>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</si>
  <si>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</si>
  <si>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</si>
  <si>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</si>
  <si>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</si>
  <si>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</si>
  <si>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</si>
  <si>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</si>
  <si>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</si>
  <si>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</si>
  <si>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</si>
  <si>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</si>
  <si>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</si>
  <si>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</si>
  <si>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</si>
  <si>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</si>
  <si>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</si>
  <si>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</si>
  <si>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</si>
  <si>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</si>
  <si>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</si>
  <si>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</si>
  <si>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</si>
  <si>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</si>
  <si>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</si>
  <si>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</si>
  <si>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</si>
  <si>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</si>
  <si>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</si>
  <si>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</si>
  <si>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</si>
  <si>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</si>
  <si>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</si>
  <si>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</si>
  <si>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</si>
  <si>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</si>
  <si>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</si>
  <si>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</si>
  <si>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</si>
  <si>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</si>
  <si>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</si>
  <si>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</si>
  <si>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</si>
  <si>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</si>
  <si>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</si>
  <si>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</si>
  <si>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</si>
  <si>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</si>
  <si>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</si>
  <si>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</si>
  <si>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</si>
  <si>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</si>
  <si>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</si>
  <si>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</si>
  <si>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</si>
  <si>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</si>
  <si>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</si>
  <si>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</si>
  <si>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</si>
  <si>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</si>
  <si>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</si>
  <si>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</si>
  <si>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</si>
  <si>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</si>
  <si>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</si>
  <si>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</si>
  <si>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</si>
  <si>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</si>
  <si>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</si>
  <si>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</si>
  <si>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</si>
  <si>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</si>
  <si>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</si>
  <si>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</si>
  <si>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</si>
  <si>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</si>
  <si>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</si>
  <si>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</si>
  <si>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</si>
  <si>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</si>
  <si>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</si>
  <si>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</si>
  <si>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</si>
  <si>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</si>
  <si>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</si>
  <si>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</si>
  <si>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</si>
  <si>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</si>
  <si>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</si>
  <si>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</si>
  <si>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</si>
  <si>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</si>
  <si>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</si>
  <si>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</si>
  <si>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</si>
  <si>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</si>
  <si>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</si>
  <si>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</si>
  <si>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</si>
  <si>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</si>
  <si>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</si>
  <si>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</si>
  <si>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</si>
  <si>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</si>
  <si>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</si>
  <si>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</si>
  <si>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</si>
  <si>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</si>
  <si>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</si>
  <si>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</si>
  <si>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</si>
  <si>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</si>
  <si>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</si>
  <si>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</si>
  <si>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</si>
  <si>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</si>
  <si>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</si>
  <si>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</si>
  <si>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</si>
  <si>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</si>
  <si>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</si>
  <si>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</si>
  <si>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</si>
  <si>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</si>
  <si>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</si>
  <si>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</si>
  <si>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</si>
  <si>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</si>
  <si>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</si>
  <si>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</si>
  <si>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</si>
  <si>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</si>
  <si>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</si>
  <si>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</si>
  <si>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</si>
  <si>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</si>
  <si>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</si>
  <si>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</si>
  <si>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</si>
  <si>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</si>
  <si>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</si>
  <si>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</si>
  <si>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</si>
  <si>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</si>
  <si>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</si>
  <si>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</si>
  <si>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</si>
  <si>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</si>
  <si>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</si>
  <si>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</si>
  <si>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</si>
  <si>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</si>
  <si>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</si>
  <si>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</si>
  <si>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</si>
  <si>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</si>
  <si>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</si>
  <si>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</si>
  <si>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</si>
  <si>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</si>
  <si>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</si>
  <si>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</si>
  <si>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</si>
  <si>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</si>
  <si>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</si>
  <si>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</si>
  <si>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</si>
  <si>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</si>
  <si>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</si>
  <si>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</si>
  <si>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</si>
  <si>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</si>
  <si>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</si>
  <si>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</si>
  <si>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</si>
  <si>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</si>
  <si>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</si>
  <si>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</si>
  <si>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</si>
  <si>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</si>
  <si>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</si>
  <si>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</si>
  <si>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</si>
  <si>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</si>
  <si>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</si>
  <si>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</si>
  <si>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</si>
  <si>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</si>
  <si>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</si>
  <si>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</si>
  <si>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</si>
  <si>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</si>
  <si>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</si>
  <si>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</si>
  <si>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</si>
  <si>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</si>
  <si>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</si>
  <si>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</si>
  <si>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</si>
  <si>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</si>
  <si>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</si>
  <si>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</si>
  <si>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</si>
  <si>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</si>
  <si>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</si>
  <si>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</si>
  <si>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</si>
  <si>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</si>
  <si>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</si>
  <si>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</si>
  <si>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</si>
  <si>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</si>
  <si>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</si>
  <si>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</si>
  <si>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</si>
  <si>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</si>
  <si>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</si>
  <si>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</si>
  <si>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</si>
  <si>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</si>
  <si>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</si>
  <si>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</si>
  <si>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</si>
  <si>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</si>
  <si>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</si>
  <si>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</si>
  <si>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</si>
  <si>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</si>
  <si>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</si>
  <si>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</si>
  <si>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</si>
  <si>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</si>
  <si>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</si>
  <si>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</si>
  <si>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</si>
  <si>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</si>
  <si>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</si>
  <si>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</si>
  <si>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</si>
  <si>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</si>
  <si>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</si>
  <si>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</si>
  <si>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</si>
  <si>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</si>
  <si>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</si>
  <si>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</si>
  <si>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</si>
  <si>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</si>
  <si>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</si>
  <si>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</si>
  <si>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</si>
  <si>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</si>
  <si>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</si>
  <si>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</si>
  <si>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</si>
  <si>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</si>
  <si>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</si>
  <si>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</si>
  <si>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</si>
  <si>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</si>
  <si>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</si>
  <si>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</si>
  <si>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</si>
  <si>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</si>
  <si>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</si>
  <si>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</si>
  <si>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</si>
  <si>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</si>
  <si>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</si>
  <si>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</si>
  <si>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</si>
  <si>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</si>
  <si>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</si>
  <si>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</si>
  <si>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</si>
  <si>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</si>
  <si>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</si>
  <si>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</si>
  <si>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</si>
  <si>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</si>
  <si>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</si>
  <si>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</si>
  <si>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</si>
  <si>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</si>
  <si>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</si>
  <si>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</si>
  <si>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</si>
  <si>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</si>
  <si>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</si>
  <si>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</si>
  <si>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</si>
  <si>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</si>
  <si>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</si>
  <si>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</si>
  <si>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</si>
  <si>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</si>
  <si>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</si>
  <si>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</si>
  <si>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</si>
  <si>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</si>
  <si>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</si>
  <si>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</si>
  <si>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</si>
  <si>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</si>
  <si>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</si>
  <si>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</si>
  <si>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</si>
  <si>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</si>
  <si>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</si>
  <si>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</si>
  <si>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</si>
  <si>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</si>
  <si>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</si>
  <si>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</si>
  <si>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</si>
  <si>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</si>
  <si>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</si>
  <si>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</si>
  <si>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</si>
  <si>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</si>
  <si>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</si>
  <si>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</si>
  <si>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</si>
  <si>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</si>
  <si>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</si>
  <si>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</si>
  <si>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</si>
  <si>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</si>
  <si>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</si>
  <si>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</si>
  <si>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</si>
  <si>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</si>
  <si>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</si>
  <si>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</si>
  <si>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</si>
  <si>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</si>
  <si>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</si>
  <si>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</si>
  <si>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</si>
  <si>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</si>
  <si>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</si>
  <si>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</si>
  <si>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</si>
  <si>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</si>
  <si>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</si>
  <si>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</si>
  <si>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</si>
  <si>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</si>
  <si>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</si>
  <si>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</si>
  <si>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</si>
  <si>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</si>
  <si>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</si>
  <si>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</si>
  <si>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</si>
  <si>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</si>
  <si>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</si>
  <si>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</si>
  <si>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</si>
  <si>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</si>
  <si>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</si>
  <si>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</si>
  <si>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</si>
  <si>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</si>
  <si>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</si>
  <si>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</si>
  <si>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</si>
  <si>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</si>
  <si>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</si>
  <si>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</si>
  <si>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</si>
  <si>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</si>
  <si>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</si>
  <si>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</si>
  <si>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</si>
  <si>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</si>
  <si>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</si>
  <si>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</si>
  <si>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</si>
  <si>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</si>
  <si>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</si>
  <si>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</si>
  <si>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</si>
  <si>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</si>
  <si>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</si>
  <si>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</si>
  <si>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</si>
  <si>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</si>
  <si>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</si>
  <si>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</si>
  <si>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</si>
  <si>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</si>
  <si>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</si>
  <si>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</si>
  <si>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</si>
  <si>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</si>
  <si>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</si>
  <si>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</si>
  <si>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</si>
  <si>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</si>
  <si>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</si>
  <si>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</si>
  <si>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</si>
  <si>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</si>
  <si>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</si>
  <si>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</si>
  <si>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</si>
  <si>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</si>
  <si>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</si>
  <si>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</si>
  <si>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</si>
  <si>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</si>
  <si>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</si>
  <si>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</si>
  <si>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</si>
  <si>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</si>
  <si>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</si>
  <si>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</si>
  <si>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</si>
  <si>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</si>
  <si>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</si>
  <si>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</si>
  <si>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</si>
  <si>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</si>
  <si>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</si>
  <si>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</si>
  <si>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</si>
  <si>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</si>
  <si>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</si>
  <si>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</si>
  <si>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</si>
  <si>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</si>
  <si>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</si>
  <si>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</si>
  <si>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</si>
  <si>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</si>
  <si>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</si>
  <si>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</si>
  <si>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</si>
  <si>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</si>
  <si>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</si>
  <si>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</si>
  <si>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</si>
  <si>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</si>
  <si>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</si>
  <si>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</si>
  <si>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</si>
  <si>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</si>
  <si>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</si>
  <si>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</si>
  <si>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</si>
  <si>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</si>
  <si>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</si>
  <si>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</si>
  <si>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</si>
  <si>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</si>
  <si>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</si>
  <si>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</si>
  <si>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</si>
  <si>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</si>
  <si>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</si>
  <si>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</si>
  <si>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</si>
  <si>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</si>
  <si>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</si>
  <si>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</si>
  <si>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</si>
  <si>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</si>
  <si>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</si>
  <si>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</si>
  <si>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</si>
  <si>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</si>
  <si>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</si>
  <si>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</si>
  <si>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</si>
  <si>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</si>
  <si>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</si>
  <si>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</si>
  <si>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</si>
  <si>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</si>
  <si>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</si>
  <si>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</si>
  <si>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</si>
  <si>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</si>
  <si>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</si>
  <si>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</si>
  <si>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</si>
  <si>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</si>
  <si>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</si>
  <si>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</si>
  <si>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</si>
  <si>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</si>
  <si>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</si>
  <si>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</si>
  <si>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</si>
  <si>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</si>
  <si>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</si>
  <si>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</si>
  <si>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</si>
  <si>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</si>
  <si>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</si>
  <si>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</si>
  <si>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</si>
  <si>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</si>
  <si>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</si>
  <si>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</si>
  <si>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</si>
  <si>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</si>
  <si>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</si>
  <si>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</si>
  <si>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</si>
  <si>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</si>
  <si>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</si>
  <si>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</si>
  <si>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</si>
  <si>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</si>
  <si>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</si>
  <si>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</si>
  <si>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</si>
  <si>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</si>
  <si>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</si>
  <si>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</si>
  <si>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</si>
  <si>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</si>
  <si>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</si>
  <si>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</si>
  <si>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</si>
  <si>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</si>
  <si>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</si>
  <si>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</si>
  <si>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</si>
  <si>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</si>
  <si>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</si>
  <si>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</si>
  <si>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</si>
  <si>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</si>
  <si>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</si>
  <si>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</si>
  <si>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</si>
  <si>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</si>
  <si>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</si>
  <si>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</si>
  <si>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</si>
  <si>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</si>
  <si>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</si>
  <si>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</si>
  <si>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</si>
  <si>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</si>
  <si>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</si>
  <si>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</si>
  <si>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</si>
  <si>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</si>
  <si>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</si>
  <si>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</si>
  <si>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</si>
  <si>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</si>
  <si>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</si>
  <si>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</si>
  <si>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</si>
  <si>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</si>
  <si>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</si>
  <si>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</si>
  <si>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</si>
  <si>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</si>
  <si>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</si>
  <si>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</si>
  <si>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</si>
  <si>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</si>
  <si>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</si>
  <si>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</si>
  <si>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</si>
  <si>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</si>
  <si>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</si>
  <si>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</si>
  <si>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</si>
  <si>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</si>
  <si>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</si>
  <si>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</si>
  <si>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</si>
  <si>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</si>
  <si>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</si>
  <si>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</si>
  <si>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</si>
  <si>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</si>
  <si>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</si>
  <si>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</si>
  <si>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</si>
  <si>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</si>
  <si>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</si>
  <si>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</si>
  <si>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</si>
  <si>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</si>
  <si>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</si>
  <si>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</si>
  <si>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</si>
  <si>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</si>
  <si>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</si>
  <si>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</si>
  <si>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</si>
  <si>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</si>
  <si>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</si>
  <si>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</si>
  <si>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</si>
  <si>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</si>
  <si>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</si>
  <si>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</si>
  <si>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</si>
  <si>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</si>
  <si>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</si>
  <si>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</si>
  <si>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</si>
  <si>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</si>
  <si>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</si>
  <si>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</si>
  <si>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</si>
  <si>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</si>
  <si>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</si>
  <si>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</si>
  <si>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</si>
  <si>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</si>
  <si>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</si>
  <si>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</si>
  <si>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</si>
  <si>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</si>
  <si>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</si>
  <si>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</si>
  <si>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</si>
  <si>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</si>
  <si>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</si>
  <si>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</si>
  <si>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</si>
  <si>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</si>
  <si>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</si>
  <si>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</si>
  <si>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</si>
  <si>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</si>
  <si>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</si>
  <si>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</si>
  <si>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</si>
  <si>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</si>
  <si>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</si>
  <si>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</si>
  <si>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</si>
  <si>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</si>
  <si>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</si>
  <si>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</si>
  <si>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</si>
  <si>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</si>
  <si>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</si>
  <si>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</si>
  <si>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</si>
  <si>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</si>
  <si>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</si>
  <si>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</si>
  <si>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</si>
  <si>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</si>
  <si>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</si>
  <si>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</si>
  <si>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</si>
  <si>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</si>
  <si>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</si>
  <si>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</si>
  <si>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</si>
  <si>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</si>
  <si>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</si>
  <si>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</si>
  <si>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</si>
  <si>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</si>
  <si>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</si>
  <si>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</si>
  <si>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</si>
  <si>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</si>
  <si>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</si>
  <si>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</si>
  <si>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</si>
  <si>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</si>
  <si>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</si>
  <si>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</si>
  <si>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</si>
  <si>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</si>
  <si>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</si>
  <si>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</si>
  <si>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</si>
  <si>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</si>
  <si>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</si>
  <si>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</si>
  <si>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</si>
  <si>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</si>
  <si>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</si>
  <si>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</si>
  <si>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</si>
  <si>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</si>
  <si>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</si>
  <si>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</si>
  <si>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</si>
  <si>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</si>
  <si>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</si>
  <si>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</si>
  <si>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</si>
  <si>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</si>
  <si>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</si>
  <si>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</si>
  <si>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</si>
  <si>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</si>
  <si>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</si>
  <si>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</si>
  <si>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</si>
  <si>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</si>
  <si>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</si>
  <si>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</si>
  <si>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</si>
  <si>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</si>
  <si>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</si>
  <si>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</si>
  <si>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</si>
  <si>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</si>
  <si>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</si>
  <si>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</si>
  <si>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</si>
  <si>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</si>
  <si>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</si>
  <si>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</si>
  <si>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</si>
  <si>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</si>
  <si>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</si>
  <si>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</si>
  <si>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</si>
  <si>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</si>
  <si>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</si>
  <si>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</si>
  <si>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</si>
  <si>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</si>
  <si>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</si>
  <si>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</si>
  <si>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</si>
  <si>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</si>
  <si>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</si>
  <si>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</si>
  <si>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</si>
  <si>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</si>
  <si>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</si>
  <si>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</si>
  <si>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</si>
  <si>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</si>
  <si>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</si>
  <si>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</si>
  <si>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</si>
  <si>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</si>
  <si>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</si>
  <si>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</si>
  <si>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</si>
  <si>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</si>
  <si>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</si>
  <si>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</si>
  <si>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</si>
  <si>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</si>
  <si>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</si>
  <si>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</si>
  <si>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</si>
  <si>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</si>
  <si>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</si>
  <si>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</si>
  <si>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</si>
  <si>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</si>
  <si>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</si>
  <si>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</si>
  <si>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</si>
  <si>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</si>
  <si>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</si>
  <si>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</si>
  <si>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</si>
  <si>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</si>
  <si>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</si>
  <si>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</si>
  <si>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</si>
  <si>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</si>
  <si>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</si>
  <si>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</si>
  <si>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</si>
  <si>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</si>
  <si>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</si>
  <si>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</si>
  <si>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</si>
  <si>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</si>
  <si>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</si>
  <si>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</si>
  <si>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</si>
  <si>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</si>
  <si>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</si>
  <si>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</si>
  <si>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</si>
  <si>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</si>
  <si>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</si>
  <si>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</si>
  <si>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</si>
  <si>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</si>
  <si>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</si>
  <si>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</si>
  <si>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</si>
  <si>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</si>
  <si>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</si>
  <si>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</si>
  <si>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</si>
  <si>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</si>
  <si>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</si>
  <si>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</si>
  <si>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</si>
  <si>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</si>
  <si>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</si>
  <si>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</si>
  <si>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</si>
  <si>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</si>
  <si>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</si>
  <si>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</si>
  <si>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</si>
  <si>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</si>
  <si>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</si>
  <si>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</si>
  <si>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</si>
  <si>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</si>
  <si>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</si>
  <si>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</si>
  <si>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</si>
  <si>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</si>
  <si>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</si>
  <si>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</si>
  <si>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</si>
  <si>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2 doz gross myriad spans</t>
    <phoneticPr fontId="1"/>
  </si>
  <si>
    <t>1 doz gross myriad spans</t>
    <phoneticPr fontId="1"/>
  </si>
  <si>
    <t>terno day</t>
    <phoneticPr fontId="1"/>
  </si>
  <si>
    <t>terno clock</t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</si>
  <si>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day</t>
    </r>
    <phoneticPr fontId="1"/>
  </si>
  <si>
    <t xml:space="preserve">'clock' </t>
    <phoneticPr fontId="1"/>
  </si>
  <si>
    <t>clock</t>
    <phoneticPr fontId="1"/>
  </si>
  <si>
    <t>c (terno clock -&gt; tc)</t>
    <phoneticPr fontId="1"/>
  </si>
  <si>
    <t>terno sub clock</t>
    <phoneticPr fontId="1"/>
  </si>
  <si>
    <t>d (terno day-&gt; td)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</si>
</sst>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65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1" fontId="2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right" vertical="center"/>
    </xf>
    <xf numFmtId="177" fontId="2" fillId="0" borderId="67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2" fillId="0" borderId="16" xfId="0" applyNumberFormat="1" applyFont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177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66" xfId="0" applyFont="1" applyBorder="1" applyAlignment="1">
      <alignment horizontal="right" vertical="center"/>
    </xf>
    <xf numFmtId="177" fontId="2" fillId="0" borderId="66" xfId="0" applyNumberFormat="1" applyFont="1" applyBorder="1" applyAlignment="1">
      <alignment horizontal="right" vertical="center"/>
    </xf>
    <xf numFmtId="0" fontId="2" fillId="0" borderId="7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Alignment="1">
      <alignment horizontal="left" vertical="center" shrinkToFit="1"/>
    </xf>
    <xf numFmtId="191" fontId="2" fillId="0" borderId="0" xfId="0" applyNumberFormat="1" applyFont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181" fontId="2" fillId="0" borderId="27" xfId="0" applyNumberFormat="1" applyFont="1" applyBorder="1">
      <alignment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7" fontId="2" fillId="0" borderId="2" xfId="0" applyNumberFormat="1" applyFont="1" applyBorder="1">
      <alignment vertical="center"/>
    </xf>
    <xf numFmtId="187" fontId="2" fillId="0" borderId="84" xfId="0" applyNumberFormat="1" applyFont="1" applyBorder="1">
      <alignment vertical="center"/>
    </xf>
    <xf numFmtId="0" fontId="2" fillId="3" borderId="33" xfId="0" applyFont="1" applyFill="1" applyBorder="1">
      <alignment vertical="center"/>
    </xf>
    <xf numFmtId="196" fontId="2" fillId="0" borderId="32" xfId="0" applyNumberFormat="1" applyFont="1" applyBorder="1" applyAlignment="1">
      <alignment horizontal="right" vertical="top" wrapText="1"/>
    </xf>
    <xf numFmtId="198" fontId="2" fillId="0" borderId="5" xfId="0" applyNumberFormat="1" applyFont="1" applyBorder="1" applyAlignment="1">
      <alignment horizontal="left" vertical="top" wrapText="1"/>
    </xf>
    <xf numFmtId="190" fontId="2" fillId="0" borderId="1" xfId="0" applyNumberFormat="1" applyFont="1" applyBorder="1">
      <alignment vertical="center"/>
    </xf>
    <xf numFmtId="190" fontId="4" fillId="0" borderId="5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90" fontId="4" fillId="0" borderId="7" xfId="0" applyNumberFormat="1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0" fontId="4" fillId="0" borderId="6" xfId="0" applyFont="1" applyBorder="1" applyAlignment="1">
      <alignment horizontal="justify" vertical="top" wrapText="1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Alignment="1">
      <alignment horizontal="center" vertical="center"/>
    </xf>
    <xf numFmtId="206" fontId="30" fillId="12" borderId="0" xfId="0" quotePrefix="1" applyNumberFormat="1" applyFont="1" applyFill="1" applyAlignment="1">
      <alignment horizontal="center" vertical="center"/>
    </xf>
    <xf numFmtId="206" fontId="30" fillId="0" borderId="0" xfId="0" quotePrefix="1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12" fillId="12" borderId="0" xfId="0" applyFont="1" applyFill="1" applyAlignment="1">
      <alignment horizontal="right" vertical="center"/>
    </xf>
    <xf numFmtId="0" fontId="12" fillId="1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212" fontId="2" fillId="0" borderId="0" xfId="0" applyNumberFormat="1" applyFo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0" borderId="51" xfId="0" quotePrefix="1" applyFont="1" applyBorder="1" applyAlignment="1">
      <alignment vertical="center" wrapText="1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>
      <alignment vertical="center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3" xfId="0" applyFont="1" applyBorder="1" applyAlignment="1">
      <alignment horizontal="left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Border="1" applyAlignment="1">
      <alignment horizontal="center" vertical="center" textRotation="90"/>
    </xf>
    <xf numFmtId="0" fontId="2" fillId="0" borderId="78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44" fillId="0" borderId="0" xfId="2" quotePrefix="1" applyFont="1" applyAlignment="1">
      <alignment horizontal="left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188" fontId="41" fillId="0" borderId="90" xfId="2" applyNumberFormat="1" applyFont="1" applyBorder="1" applyAlignment="1">
      <alignment horizontal="left" vertical="center"/>
    </xf>
    <xf numFmtId="200" fontId="41" fillId="0" borderId="90" xfId="2" applyNumberFormat="1" applyFont="1" applyBorder="1" applyAlignment="1">
      <alignment horizontal="left" vertical="center"/>
    </xf>
    <xf numFmtId="186" fontId="41" fillId="0" borderId="90" xfId="2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G43" sqref="G43"/>
    </sheetView>
  </sheetViews>
  <sheetFormatPr defaultColWidth="9" defaultRowHeight="11.6" x14ac:dyDescent="0.25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12" width="7.61328125" style="54" customWidth="1"/>
    <col min="13" max="13" width="51.765625" style="214" customWidth="1"/>
    <col min="14" max="16384" width="9" style="14"/>
  </cols>
  <sheetData>
    <row r="1" spans="1:13" ht="13.5" customHeight="1" thickTop="1" thickBot="1" x14ac:dyDescent="0.3">
      <c r="A1" s="566" t="s">
        <v>357</v>
      </c>
      <c r="B1" s="567"/>
      <c r="C1" s="327" t="s">
        <v>356</v>
      </c>
      <c r="D1" s="328" t="s">
        <v>355</v>
      </c>
      <c r="E1" s="327" t="s">
        <v>354</v>
      </c>
      <c r="F1" s="327" t="s">
        <v>353</v>
      </c>
      <c r="G1" s="329" t="s">
        <v>352</v>
      </c>
      <c r="H1" s="329" t="s">
        <v>351</v>
      </c>
      <c r="I1" s="329" t="s">
        <v>350</v>
      </c>
      <c r="J1" s="329" t="s">
        <v>349</v>
      </c>
      <c r="K1" s="329" t="s">
        <v>1429</v>
      </c>
      <c r="L1" s="501" t="s">
        <v>1430</v>
      </c>
      <c r="M1" s="330" t="s">
        <v>348</v>
      </c>
    </row>
    <row r="2" spans="1:13" ht="13.5" customHeight="1" x14ac:dyDescent="0.25">
      <c r="A2" s="548" t="s">
        <v>661</v>
      </c>
      <c r="B2" s="549"/>
      <c r="C2" s="543" t="s">
        <v>344</v>
      </c>
      <c r="D2" s="331" t="s">
        <v>343</v>
      </c>
      <c r="E2" s="482" t="s">
        <v>342</v>
      </c>
      <c r="F2" s="331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332"/>
    </row>
    <row r="3" spans="1:13" ht="13.5" customHeight="1" x14ac:dyDescent="0.25">
      <c r="A3" s="548"/>
      <c r="B3" s="549"/>
      <c r="C3" s="544"/>
      <c r="D3" s="331" t="s">
        <v>1082</v>
      </c>
      <c r="E3" s="343" t="s">
        <v>1355</v>
      </c>
      <c r="F3" s="331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333"/>
    </row>
    <row r="4" spans="1:13" ht="13.5" customHeight="1" x14ac:dyDescent="0.25">
      <c r="A4" s="548"/>
      <c r="B4" s="549"/>
      <c r="C4" s="334" t="s">
        <v>347</v>
      </c>
      <c r="D4" s="335" t="s">
        <v>346</v>
      </c>
      <c r="E4" s="336" t="s">
        <v>345</v>
      </c>
      <c r="F4" s="334" t="s">
        <v>345</v>
      </c>
      <c r="G4" s="122" t="s">
        <v>1081</v>
      </c>
      <c r="H4" s="122" t="s">
        <v>1081</v>
      </c>
      <c r="I4" s="122" t="s">
        <v>1078</v>
      </c>
      <c r="J4" s="122"/>
      <c r="K4" s="122"/>
      <c r="L4" s="122"/>
      <c r="M4" s="333"/>
    </row>
    <row r="5" spans="1:13" ht="36" customHeight="1" x14ac:dyDescent="0.25">
      <c r="A5" s="548"/>
      <c r="B5" s="549"/>
      <c r="C5" s="543" t="s">
        <v>1356</v>
      </c>
      <c r="D5" s="337" t="s">
        <v>1083</v>
      </c>
      <c r="E5" s="338" t="s">
        <v>1084</v>
      </c>
      <c r="F5" s="331" t="s">
        <v>1085</v>
      </c>
      <c r="G5" s="545" t="s">
        <v>1081</v>
      </c>
      <c r="H5" s="545" t="s">
        <v>1081</v>
      </c>
      <c r="I5" s="545" t="s">
        <v>1078</v>
      </c>
      <c r="J5" s="545"/>
      <c r="K5" s="545"/>
      <c r="L5" s="545"/>
      <c r="M5" s="541" t="s">
        <v>1649</v>
      </c>
    </row>
    <row r="6" spans="1:13" ht="18" customHeight="1" x14ac:dyDescent="0.25">
      <c r="A6" s="548"/>
      <c r="B6" s="549"/>
      <c r="C6" s="544"/>
      <c r="D6" s="339" t="s">
        <v>339</v>
      </c>
      <c r="E6" s="340" t="s">
        <v>1086</v>
      </c>
      <c r="F6" s="341" t="s">
        <v>338</v>
      </c>
      <c r="G6" s="546"/>
      <c r="H6" s="546"/>
      <c r="I6" s="546"/>
      <c r="J6" s="546"/>
      <c r="K6" s="546"/>
      <c r="L6" s="546"/>
      <c r="M6" s="542"/>
    </row>
    <row r="7" spans="1:13" ht="13.5" customHeight="1" x14ac:dyDescent="0.25">
      <c r="A7" s="548"/>
      <c r="B7" s="549"/>
      <c r="C7" s="331" t="s">
        <v>340</v>
      </c>
      <c r="D7" s="342" t="s">
        <v>1357</v>
      </c>
      <c r="E7" s="343" t="s">
        <v>1424</v>
      </c>
      <c r="F7" s="331" t="s">
        <v>1425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344"/>
    </row>
    <row r="8" spans="1:13" ht="89.25" customHeight="1" x14ac:dyDescent="0.25">
      <c r="A8" s="552" t="s">
        <v>337</v>
      </c>
      <c r="B8" s="553"/>
      <c r="C8" s="341" t="s">
        <v>336</v>
      </c>
      <c r="D8" s="345" t="s">
        <v>738</v>
      </c>
      <c r="E8" s="340" t="s">
        <v>1420</v>
      </c>
      <c r="F8" s="341" t="s">
        <v>1218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344" t="s">
        <v>1216</v>
      </c>
    </row>
    <row r="9" spans="1:13" ht="13.5" customHeight="1" x14ac:dyDescent="0.25">
      <c r="A9" s="548"/>
      <c r="B9" s="549"/>
      <c r="C9" s="341" t="s">
        <v>335</v>
      </c>
      <c r="D9" s="345" t="s">
        <v>1463</v>
      </c>
      <c r="E9" s="340" t="s">
        <v>1421</v>
      </c>
      <c r="F9" s="341" t="s">
        <v>1422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344"/>
    </row>
    <row r="10" spans="1:13" ht="40.5" customHeight="1" x14ac:dyDescent="0.25">
      <c r="A10" s="548"/>
      <c r="B10" s="549"/>
      <c r="C10" s="341" t="s">
        <v>334</v>
      </c>
      <c r="D10" s="345" t="s">
        <v>333</v>
      </c>
      <c r="E10" s="340" t="s">
        <v>1087</v>
      </c>
      <c r="F10" s="341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344" t="s">
        <v>1639</v>
      </c>
    </row>
    <row r="11" spans="1:13" ht="13.5" customHeight="1" x14ac:dyDescent="0.25">
      <c r="A11" s="550"/>
      <c r="B11" s="551"/>
      <c r="C11" s="331" t="s">
        <v>1088</v>
      </c>
      <c r="D11" s="346" t="s">
        <v>331</v>
      </c>
      <c r="E11" s="343" t="s">
        <v>1089</v>
      </c>
      <c r="F11" s="331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344"/>
    </row>
    <row r="12" spans="1:13" ht="13.5" customHeight="1" x14ac:dyDescent="0.25">
      <c r="A12" s="552" t="s">
        <v>329</v>
      </c>
      <c r="B12" s="553"/>
      <c r="C12" s="331" t="s">
        <v>328</v>
      </c>
      <c r="D12" s="346" t="s">
        <v>739</v>
      </c>
      <c r="E12" s="343" t="s">
        <v>1874</v>
      </c>
      <c r="F12" s="331" t="s">
        <v>1875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344"/>
    </row>
    <row r="13" spans="1:13" ht="30.75" customHeight="1" x14ac:dyDescent="0.25">
      <c r="A13" s="548"/>
      <c r="B13" s="549"/>
      <c r="C13" s="331" t="s">
        <v>327</v>
      </c>
      <c r="D13" s="346" t="s">
        <v>326</v>
      </c>
      <c r="E13" s="343" t="s">
        <v>1090</v>
      </c>
      <c r="F13" s="331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344" t="s">
        <v>1640</v>
      </c>
    </row>
    <row r="14" spans="1:13" ht="13.5" customHeight="1" x14ac:dyDescent="0.25">
      <c r="A14" s="548"/>
      <c r="B14" s="549"/>
      <c r="C14" s="341" t="s">
        <v>324</v>
      </c>
      <c r="D14" s="345" t="s">
        <v>323</v>
      </c>
      <c r="E14" s="340" t="s">
        <v>1091</v>
      </c>
      <c r="F14" s="341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344"/>
    </row>
    <row r="15" spans="1:13" ht="27" customHeight="1" x14ac:dyDescent="0.25">
      <c r="A15" s="548"/>
      <c r="B15" s="549"/>
      <c r="C15" s="341" t="s">
        <v>321</v>
      </c>
      <c r="D15" s="345" t="s">
        <v>320</v>
      </c>
      <c r="E15" s="340" t="s">
        <v>1092</v>
      </c>
      <c r="F15" s="341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344" t="s">
        <v>1657</v>
      </c>
    </row>
    <row r="16" spans="1:13" ht="27" customHeight="1" x14ac:dyDescent="0.25">
      <c r="A16" s="552" t="s">
        <v>318</v>
      </c>
      <c r="B16" s="553"/>
      <c r="C16" s="331" t="s">
        <v>317</v>
      </c>
      <c r="D16" s="346" t="s">
        <v>316</v>
      </c>
      <c r="E16" s="343" t="s">
        <v>1093</v>
      </c>
      <c r="F16" s="331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344" t="s">
        <v>314</v>
      </c>
    </row>
    <row r="17" spans="1:13" ht="13.5" customHeight="1" x14ac:dyDescent="0.25">
      <c r="A17" s="548"/>
      <c r="B17" s="549"/>
      <c r="C17" s="331" t="s">
        <v>313</v>
      </c>
      <c r="D17" s="346" t="s">
        <v>312</v>
      </c>
      <c r="E17" s="343" t="s">
        <v>1094</v>
      </c>
      <c r="F17" s="331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344"/>
    </row>
    <row r="18" spans="1:13" ht="13.5" customHeight="1" x14ac:dyDescent="0.25">
      <c r="A18" s="548"/>
      <c r="B18" s="549"/>
      <c r="C18" s="341" t="s">
        <v>796</v>
      </c>
      <c r="D18" s="345" t="s">
        <v>797</v>
      </c>
      <c r="E18" s="340" t="s">
        <v>1095</v>
      </c>
      <c r="F18" s="341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344"/>
    </row>
    <row r="19" spans="1:13" ht="13.5" customHeight="1" x14ac:dyDescent="0.25">
      <c r="A19" s="550"/>
      <c r="B19" s="551"/>
      <c r="C19" s="331" t="s">
        <v>1220</v>
      </c>
      <c r="D19" s="346" t="s">
        <v>1221</v>
      </c>
      <c r="E19" s="343" t="s">
        <v>1096</v>
      </c>
      <c r="F19" s="331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344"/>
    </row>
    <row r="20" spans="1:13" ht="13.5" customHeight="1" x14ac:dyDescent="0.25">
      <c r="A20" s="548" t="s">
        <v>308</v>
      </c>
      <c r="B20" s="549"/>
      <c r="C20" s="334" t="s">
        <v>307</v>
      </c>
      <c r="D20" s="342" t="s">
        <v>306</v>
      </c>
      <c r="E20" s="347" t="s">
        <v>305</v>
      </c>
      <c r="F20" s="334" t="s">
        <v>304</v>
      </c>
      <c r="G20" s="36" t="s">
        <v>1078</v>
      </c>
      <c r="H20" s="36"/>
      <c r="I20" s="36"/>
      <c r="J20" s="36"/>
      <c r="K20" s="36"/>
      <c r="L20" s="36"/>
      <c r="M20" s="344"/>
    </row>
    <row r="21" spans="1:13" ht="13.5" customHeight="1" x14ac:dyDescent="0.25">
      <c r="A21" s="548"/>
      <c r="B21" s="549"/>
      <c r="C21" s="341" t="s">
        <v>303</v>
      </c>
      <c r="D21" s="342" t="s">
        <v>302</v>
      </c>
      <c r="E21" s="348" t="s">
        <v>1097</v>
      </c>
      <c r="F21" s="341" t="s">
        <v>301</v>
      </c>
      <c r="G21" s="36" t="s">
        <v>1078</v>
      </c>
      <c r="H21" s="36"/>
      <c r="I21" s="36"/>
      <c r="J21" s="36"/>
      <c r="K21" s="36"/>
      <c r="L21" s="36"/>
      <c r="M21" s="344"/>
    </row>
    <row r="22" spans="1:13" ht="13.5" customHeight="1" x14ac:dyDescent="0.25">
      <c r="A22" s="548"/>
      <c r="B22" s="549"/>
      <c r="C22" s="341" t="s">
        <v>300</v>
      </c>
      <c r="D22" s="342" t="s">
        <v>299</v>
      </c>
      <c r="E22" s="348" t="s">
        <v>1079</v>
      </c>
      <c r="F22" s="341" t="s">
        <v>298</v>
      </c>
      <c r="G22" s="36" t="s">
        <v>1080</v>
      </c>
      <c r="H22" s="36"/>
      <c r="I22" s="36"/>
      <c r="J22" s="36"/>
      <c r="K22" s="36"/>
      <c r="L22" s="36"/>
      <c r="M22" s="344"/>
    </row>
    <row r="23" spans="1:13" ht="13.5" customHeight="1" x14ac:dyDescent="0.25">
      <c r="A23" s="548"/>
      <c r="B23" s="549"/>
      <c r="C23" s="331" t="s">
        <v>1358</v>
      </c>
      <c r="D23" s="342" t="s">
        <v>1359</v>
      </c>
      <c r="E23" s="349" t="s">
        <v>1098</v>
      </c>
      <c r="F23" s="331" t="s">
        <v>297</v>
      </c>
      <c r="G23" s="36" t="s">
        <v>289</v>
      </c>
      <c r="H23" s="36"/>
      <c r="I23" s="36"/>
      <c r="J23" s="36"/>
      <c r="K23" s="36"/>
      <c r="L23" s="36"/>
      <c r="M23" s="344"/>
    </row>
    <row r="24" spans="1:13" ht="13.5" customHeight="1" x14ac:dyDescent="0.25">
      <c r="A24" s="552" t="s">
        <v>662</v>
      </c>
      <c r="B24" s="553"/>
      <c r="C24" s="543" t="s">
        <v>295</v>
      </c>
      <c r="D24" s="331" t="s">
        <v>1467</v>
      </c>
      <c r="E24" s="340" t="s">
        <v>1468</v>
      </c>
      <c r="F24" s="331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480"/>
    </row>
    <row r="25" spans="1:13" ht="13.5" customHeight="1" x14ac:dyDescent="0.25">
      <c r="A25" s="548"/>
      <c r="B25" s="549"/>
      <c r="C25" s="544"/>
      <c r="D25" s="331" t="s">
        <v>1099</v>
      </c>
      <c r="E25" s="340" t="s">
        <v>1325</v>
      </c>
      <c r="F25" s="331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333"/>
    </row>
    <row r="26" spans="1:13" ht="13.5" customHeight="1" x14ac:dyDescent="0.25">
      <c r="A26" s="548"/>
      <c r="B26" s="549"/>
      <c r="C26" s="543" t="s">
        <v>296</v>
      </c>
      <c r="D26" s="331" t="s">
        <v>1443</v>
      </c>
      <c r="E26" s="562" t="s">
        <v>1438</v>
      </c>
      <c r="F26" s="331" t="s">
        <v>1439</v>
      </c>
      <c r="G26" s="36" t="s">
        <v>289</v>
      </c>
      <c r="H26" s="36"/>
      <c r="I26" s="36"/>
      <c r="J26" s="36"/>
      <c r="K26" s="36"/>
      <c r="L26" s="36"/>
      <c r="M26" s="332"/>
    </row>
    <row r="27" spans="1:13" ht="13.5" customHeight="1" x14ac:dyDescent="0.25">
      <c r="A27" s="548"/>
      <c r="B27" s="549"/>
      <c r="C27" s="561"/>
      <c r="D27" s="331" t="s">
        <v>1444</v>
      </c>
      <c r="E27" s="563"/>
      <c r="F27" s="331" t="s">
        <v>1440</v>
      </c>
      <c r="G27" s="36" t="s">
        <v>289</v>
      </c>
      <c r="H27" s="36"/>
      <c r="I27" s="36"/>
      <c r="J27" s="36"/>
      <c r="K27" s="36"/>
      <c r="L27" s="36"/>
      <c r="M27" s="350"/>
    </row>
    <row r="28" spans="1:13" ht="13.5" customHeight="1" x14ac:dyDescent="0.25">
      <c r="A28" s="548"/>
      <c r="B28" s="549"/>
      <c r="C28" s="561"/>
      <c r="D28" s="331" t="s">
        <v>1445</v>
      </c>
      <c r="E28" s="563"/>
      <c r="F28" s="331" t="s">
        <v>1441</v>
      </c>
      <c r="G28" s="36"/>
      <c r="H28" s="36"/>
      <c r="I28" s="36"/>
      <c r="J28" s="36"/>
      <c r="K28" s="36"/>
      <c r="L28" s="36"/>
      <c r="M28" s="350"/>
    </row>
    <row r="29" spans="1:13" ht="13.5" customHeight="1" x14ac:dyDescent="0.25">
      <c r="A29" s="548"/>
      <c r="B29" s="549"/>
      <c r="C29" s="544"/>
      <c r="D29" s="331" t="s">
        <v>1446</v>
      </c>
      <c r="E29" s="563"/>
      <c r="F29" s="331" t="s">
        <v>1442</v>
      </c>
      <c r="G29" s="36"/>
      <c r="H29" s="36"/>
      <c r="I29" s="36"/>
      <c r="J29" s="36"/>
      <c r="K29" s="36"/>
      <c r="L29" s="36"/>
      <c r="M29" s="333"/>
    </row>
    <row r="30" spans="1:13" ht="28" customHeight="1" x14ac:dyDescent="0.25">
      <c r="A30" s="548"/>
      <c r="B30" s="549"/>
      <c r="C30" s="341" t="s">
        <v>288</v>
      </c>
      <c r="D30" s="345" t="s">
        <v>1100</v>
      </c>
      <c r="E30" s="340" t="s">
        <v>1101</v>
      </c>
      <c r="F30" s="341" t="s">
        <v>1102</v>
      </c>
      <c r="G30" s="351"/>
      <c r="H30" s="351"/>
      <c r="I30" s="351"/>
      <c r="J30" s="351"/>
      <c r="K30" s="351"/>
      <c r="L30" s="351"/>
      <c r="M30" s="332"/>
    </row>
    <row r="31" spans="1:13" ht="13.5" customHeight="1" thickBot="1" x14ac:dyDescent="0.3">
      <c r="A31" s="564"/>
      <c r="B31" s="565"/>
      <c r="C31" s="331" t="s">
        <v>292</v>
      </c>
      <c r="D31" s="342" t="s">
        <v>291</v>
      </c>
      <c r="E31" s="349" t="s">
        <v>290</v>
      </c>
      <c r="F31" s="331" t="s">
        <v>290</v>
      </c>
      <c r="G31" s="36" t="s">
        <v>289</v>
      </c>
      <c r="H31" s="36"/>
      <c r="I31" s="36"/>
      <c r="J31" s="36"/>
      <c r="K31" s="36"/>
      <c r="L31" s="36"/>
      <c r="M31" s="344"/>
    </row>
    <row r="32" spans="1:13" ht="13.5" customHeight="1" x14ac:dyDescent="0.25">
      <c r="A32" s="548" t="s">
        <v>1652</v>
      </c>
      <c r="B32" s="549"/>
      <c r="C32" s="331" t="s">
        <v>1175</v>
      </c>
      <c r="D32" s="346" t="s">
        <v>1176</v>
      </c>
      <c r="E32" s="352" t="s">
        <v>1177</v>
      </c>
      <c r="F32" s="24" t="s">
        <v>1178</v>
      </c>
      <c r="G32" s="36"/>
      <c r="H32" s="36"/>
      <c r="I32" s="36"/>
      <c r="J32" s="36"/>
      <c r="K32" s="36"/>
      <c r="L32" s="36"/>
      <c r="M32" s="531"/>
    </row>
    <row r="33" spans="1:13" ht="27" customHeight="1" x14ac:dyDescent="0.25">
      <c r="A33" s="550"/>
      <c r="B33" s="551"/>
      <c r="C33" s="331" t="s">
        <v>1103</v>
      </c>
      <c r="D33" s="346" t="s">
        <v>1653</v>
      </c>
      <c r="E33" s="353" t="s">
        <v>1655</v>
      </c>
      <c r="F33" s="342" t="s">
        <v>1650</v>
      </c>
      <c r="G33" s="36"/>
      <c r="H33" s="36"/>
      <c r="I33" s="36"/>
      <c r="J33" s="36"/>
      <c r="K33" s="36"/>
      <c r="L33" s="36"/>
      <c r="M33" s="344" t="s">
        <v>734</v>
      </c>
    </row>
    <row r="34" spans="1:13" ht="24.45" customHeight="1" x14ac:dyDescent="0.25">
      <c r="A34" s="552" t="s">
        <v>1330</v>
      </c>
      <c r="B34" s="553"/>
      <c r="C34" s="341" t="s">
        <v>1464</v>
      </c>
      <c r="D34" s="345" t="s">
        <v>1465</v>
      </c>
      <c r="E34" s="352" t="s">
        <v>1466</v>
      </c>
      <c r="F34" s="24" t="s">
        <v>1466</v>
      </c>
      <c r="G34" s="36"/>
      <c r="H34" s="36"/>
      <c r="I34" s="36"/>
      <c r="J34" s="36"/>
      <c r="K34" s="36"/>
      <c r="L34" s="36"/>
      <c r="M34" s="344" t="s">
        <v>1658</v>
      </c>
    </row>
    <row r="35" spans="1:13" ht="13.5" customHeight="1" x14ac:dyDescent="0.25">
      <c r="A35" s="548"/>
      <c r="B35" s="549"/>
      <c r="C35" s="331" t="s">
        <v>1179</v>
      </c>
      <c r="D35" s="346" t="s">
        <v>1334</v>
      </c>
      <c r="E35" s="352" t="s">
        <v>1180</v>
      </c>
      <c r="F35" s="24" t="s">
        <v>1180</v>
      </c>
      <c r="G35" s="36"/>
      <c r="H35" s="36"/>
      <c r="I35" s="36"/>
      <c r="J35" s="36"/>
      <c r="K35" s="36"/>
      <c r="L35" s="36"/>
      <c r="M35" s="344"/>
    </row>
    <row r="36" spans="1:13" ht="30" customHeight="1" x14ac:dyDescent="0.25">
      <c r="A36" s="550"/>
      <c r="B36" s="551"/>
      <c r="C36" s="331" t="s">
        <v>1104</v>
      </c>
      <c r="D36" s="346" t="s">
        <v>1654</v>
      </c>
      <c r="E36" s="354" t="s">
        <v>1292</v>
      </c>
      <c r="F36" s="342" t="s">
        <v>1651</v>
      </c>
      <c r="G36" s="36"/>
      <c r="H36" s="36"/>
      <c r="I36" s="36"/>
      <c r="J36" s="36"/>
      <c r="K36" s="36"/>
      <c r="L36" s="36"/>
      <c r="M36" s="344" t="s">
        <v>735</v>
      </c>
    </row>
    <row r="37" spans="1:13" ht="13.5" customHeight="1" x14ac:dyDescent="0.25">
      <c r="A37" s="552" t="s">
        <v>1331</v>
      </c>
      <c r="B37" s="553"/>
      <c r="C37" s="341" t="s">
        <v>287</v>
      </c>
      <c r="D37" s="345" t="s">
        <v>1568</v>
      </c>
      <c r="E37" s="353" t="s">
        <v>736</v>
      </c>
      <c r="F37" s="342" t="s">
        <v>737</v>
      </c>
      <c r="G37" s="36"/>
      <c r="H37" s="36"/>
      <c r="I37" s="36"/>
      <c r="J37" s="36"/>
      <c r="K37" s="36"/>
      <c r="L37" s="36"/>
      <c r="M37" s="355"/>
    </row>
    <row r="38" spans="1:13" ht="13.5" customHeight="1" x14ac:dyDescent="0.25">
      <c r="A38" s="548"/>
      <c r="B38" s="549"/>
      <c r="C38" s="331" t="s">
        <v>286</v>
      </c>
      <c r="D38" s="346" t="s">
        <v>1656</v>
      </c>
      <c r="E38" s="353" t="s">
        <v>285</v>
      </c>
      <c r="F38" s="342" t="s">
        <v>285</v>
      </c>
      <c r="G38" s="36"/>
      <c r="H38" s="36"/>
      <c r="I38" s="36"/>
      <c r="J38" s="36"/>
      <c r="K38" s="36"/>
      <c r="L38" s="36"/>
      <c r="M38" s="344"/>
    </row>
    <row r="39" spans="1:13" ht="13.5" customHeight="1" x14ac:dyDescent="0.25">
      <c r="A39" s="548"/>
      <c r="B39" s="549"/>
      <c r="C39" s="331" t="s">
        <v>284</v>
      </c>
      <c r="D39" s="346" t="s">
        <v>1569</v>
      </c>
      <c r="E39" s="353" t="s">
        <v>283</v>
      </c>
      <c r="F39" s="342" t="s">
        <v>283</v>
      </c>
      <c r="G39" s="36"/>
      <c r="H39" s="36"/>
      <c r="I39" s="36"/>
      <c r="J39" s="36"/>
      <c r="K39" s="36"/>
      <c r="L39" s="36"/>
      <c r="M39" s="344"/>
    </row>
    <row r="40" spans="1:13" ht="13.5" customHeight="1" x14ac:dyDescent="0.25">
      <c r="A40" s="548"/>
      <c r="B40" s="549"/>
      <c r="C40" s="331" t="s">
        <v>282</v>
      </c>
      <c r="D40" s="346" t="s">
        <v>1570</v>
      </c>
      <c r="E40" s="353" t="s">
        <v>281</v>
      </c>
      <c r="F40" s="342" t="s">
        <v>281</v>
      </c>
      <c r="G40" s="36"/>
      <c r="H40" s="36"/>
      <c r="I40" s="36"/>
      <c r="J40" s="36"/>
      <c r="K40" s="36"/>
      <c r="L40" s="36"/>
      <c r="M40" s="344"/>
    </row>
    <row r="41" spans="1:13" ht="13.5" customHeight="1" x14ac:dyDescent="0.25">
      <c r="A41" s="548"/>
      <c r="B41" s="549"/>
      <c r="C41" s="331" t="s">
        <v>1559</v>
      </c>
      <c r="D41" s="346" t="s">
        <v>1571</v>
      </c>
      <c r="E41" s="353" t="s">
        <v>1561</v>
      </c>
      <c r="F41" s="342" t="s">
        <v>1561</v>
      </c>
      <c r="G41" s="36"/>
      <c r="H41" s="36"/>
      <c r="I41" s="36"/>
      <c r="J41" s="36"/>
      <c r="K41" s="36"/>
      <c r="L41" s="36"/>
      <c r="M41" s="344"/>
    </row>
    <row r="42" spans="1:13" ht="13.5" customHeight="1" x14ac:dyDescent="0.25">
      <c r="A42" s="550"/>
      <c r="B42" s="551"/>
      <c r="C42" s="331" t="s">
        <v>1560</v>
      </c>
      <c r="D42" s="346" t="s">
        <v>1572</v>
      </c>
      <c r="E42" s="353" t="s">
        <v>1562</v>
      </c>
      <c r="F42" s="342" t="s">
        <v>1562</v>
      </c>
      <c r="G42" s="36"/>
      <c r="H42" s="36"/>
      <c r="I42" s="36"/>
      <c r="J42" s="36"/>
      <c r="K42" s="36"/>
      <c r="L42" s="36"/>
      <c r="M42" s="344"/>
    </row>
    <row r="43" spans="1:13" ht="13.5" customHeight="1" x14ac:dyDescent="0.25">
      <c r="A43" s="557" t="s">
        <v>365</v>
      </c>
      <c r="B43" s="558"/>
      <c r="C43" s="356" t="s">
        <v>280</v>
      </c>
      <c r="D43" s="357" t="s">
        <v>279</v>
      </c>
      <c r="E43" s="358" t="s">
        <v>1105</v>
      </c>
      <c r="F43" s="356" t="s">
        <v>1333</v>
      </c>
      <c r="G43" s="359"/>
      <c r="H43" s="359"/>
      <c r="I43" s="359"/>
      <c r="J43" s="359"/>
      <c r="K43" s="359"/>
      <c r="L43" s="504" t="s">
        <v>1078</v>
      </c>
      <c r="M43" s="547" t="s">
        <v>278</v>
      </c>
    </row>
    <row r="44" spans="1:13" ht="13.5" customHeight="1" x14ac:dyDescent="0.25">
      <c r="A44" s="557"/>
      <c r="B44" s="558"/>
      <c r="C44" s="360" t="s">
        <v>277</v>
      </c>
      <c r="D44" s="361" t="s">
        <v>276</v>
      </c>
      <c r="E44" s="559" t="s">
        <v>1106</v>
      </c>
      <c r="F44" s="554" t="s">
        <v>1332</v>
      </c>
      <c r="G44" s="362"/>
      <c r="H44" s="362"/>
      <c r="I44" s="362"/>
      <c r="J44" s="362"/>
      <c r="K44" s="362"/>
      <c r="L44" s="503"/>
      <c r="M44" s="547"/>
    </row>
    <row r="45" spans="1:13" ht="13.5" customHeight="1" x14ac:dyDescent="0.25">
      <c r="A45" s="557"/>
      <c r="B45" s="558"/>
      <c r="C45" s="363" t="s">
        <v>275</v>
      </c>
      <c r="D45" s="364"/>
      <c r="E45" s="560"/>
      <c r="F45" s="555"/>
      <c r="G45" s="359"/>
      <c r="H45" s="359"/>
      <c r="I45" s="359"/>
      <c r="J45" s="359"/>
      <c r="K45" s="359"/>
      <c r="L45" s="504"/>
      <c r="M45" s="547"/>
    </row>
    <row r="46" spans="1:13" ht="13.5" customHeight="1" x14ac:dyDescent="0.25">
      <c r="A46" s="557"/>
      <c r="B46" s="558"/>
      <c r="C46" s="360" t="s">
        <v>274</v>
      </c>
      <c r="D46" s="365" t="s">
        <v>1347</v>
      </c>
      <c r="E46" s="366" t="s">
        <v>1107</v>
      </c>
      <c r="F46" s="360" t="s">
        <v>1348</v>
      </c>
      <c r="G46" s="367"/>
      <c r="H46" s="367"/>
      <c r="I46" s="367"/>
      <c r="J46" s="367"/>
      <c r="K46" s="367"/>
      <c r="L46" s="502"/>
      <c r="M46" s="547"/>
    </row>
    <row r="47" spans="1:13" ht="42" customHeight="1" x14ac:dyDescent="0.25">
      <c r="A47" s="368"/>
      <c r="B47" s="532" t="s">
        <v>271</v>
      </c>
      <c r="C47" s="369" t="s">
        <v>1566</v>
      </c>
      <c r="D47" s="365" t="s">
        <v>273</v>
      </c>
      <c r="E47" s="370" t="s">
        <v>364</v>
      </c>
      <c r="F47" s="369" t="s">
        <v>625</v>
      </c>
      <c r="G47" s="367"/>
      <c r="H47" s="367"/>
      <c r="I47" s="367"/>
      <c r="J47" s="367"/>
      <c r="K47" s="502" t="s">
        <v>1078</v>
      </c>
      <c r="L47" s="502"/>
      <c r="M47" s="547"/>
    </row>
    <row r="48" spans="1:13" ht="13.5" customHeight="1" x14ac:dyDescent="0.25">
      <c r="A48" s="556" t="s">
        <v>272</v>
      </c>
      <c r="B48" s="533"/>
      <c r="C48" s="369" t="s">
        <v>1108</v>
      </c>
      <c r="D48" s="365" t="s">
        <v>1876</v>
      </c>
      <c r="E48" s="370" t="s">
        <v>1222</v>
      </c>
      <c r="F48" s="369" t="s">
        <v>1223</v>
      </c>
      <c r="G48" s="367"/>
      <c r="H48" s="367"/>
      <c r="I48" s="367"/>
      <c r="J48" s="367"/>
      <c r="K48" s="367"/>
      <c r="L48" s="502" t="s">
        <v>1078</v>
      </c>
      <c r="M48" s="547"/>
    </row>
    <row r="49" spans="1:13" ht="13.5" customHeight="1" x14ac:dyDescent="0.25">
      <c r="A49" s="557"/>
      <c r="B49" s="533"/>
      <c r="C49" s="369" t="s">
        <v>270</v>
      </c>
      <c r="D49" s="365" t="s">
        <v>269</v>
      </c>
      <c r="E49" s="370" t="s">
        <v>1109</v>
      </c>
      <c r="F49" s="369" t="s">
        <v>675</v>
      </c>
      <c r="G49" s="367"/>
      <c r="H49" s="367"/>
      <c r="I49" s="367"/>
      <c r="J49" s="367"/>
      <c r="K49" s="367"/>
      <c r="L49" s="502" t="s">
        <v>1078</v>
      </c>
      <c r="M49" s="547"/>
    </row>
    <row r="50" spans="1:13" ht="13.5" customHeight="1" x14ac:dyDescent="0.25">
      <c r="A50" s="557"/>
      <c r="B50" s="533"/>
      <c r="C50" s="360" t="s">
        <v>1469</v>
      </c>
      <c r="D50" s="479" t="s">
        <v>1470</v>
      </c>
      <c r="E50" s="366" t="s">
        <v>1471</v>
      </c>
      <c r="F50" s="360" t="s">
        <v>1886</v>
      </c>
      <c r="G50" s="502" t="s">
        <v>289</v>
      </c>
      <c r="H50" s="362"/>
      <c r="I50" s="362"/>
      <c r="J50" s="362"/>
      <c r="K50" s="362"/>
      <c r="L50" s="502" t="s">
        <v>289</v>
      </c>
      <c r="M50" s="547"/>
    </row>
    <row r="51" spans="1:13" ht="13.5" customHeight="1" thickBot="1" x14ac:dyDescent="0.3">
      <c r="A51" s="557"/>
      <c r="B51" s="534"/>
      <c r="C51" s="360" t="s">
        <v>1881</v>
      </c>
      <c r="D51" s="507" t="s">
        <v>1882</v>
      </c>
      <c r="E51" s="508" t="s">
        <v>1883</v>
      </c>
      <c r="F51" s="509" t="s">
        <v>1884</v>
      </c>
      <c r="G51" s="362"/>
      <c r="H51" s="362"/>
      <c r="I51" s="362"/>
      <c r="J51" s="362"/>
      <c r="K51" s="362"/>
      <c r="L51" s="502" t="s">
        <v>289</v>
      </c>
      <c r="M51" s="547"/>
    </row>
    <row r="52" spans="1:13" ht="25.5" customHeight="1" x14ac:dyDescent="0.25">
      <c r="A52" s="535" t="s">
        <v>1459</v>
      </c>
      <c r="B52" s="536"/>
      <c r="C52" s="510" t="s">
        <v>1457</v>
      </c>
      <c r="D52" s="511" t="s">
        <v>1448</v>
      </c>
      <c r="E52" s="510" t="s">
        <v>1462</v>
      </c>
      <c r="F52" s="510" t="s">
        <v>1458</v>
      </c>
      <c r="G52" s="512"/>
      <c r="H52" s="512"/>
      <c r="I52" s="512"/>
      <c r="J52" s="512"/>
      <c r="K52" s="512"/>
      <c r="L52" s="512"/>
      <c r="M52" s="520" t="s">
        <v>1447</v>
      </c>
    </row>
    <row r="53" spans="1:13" ht="13.75" x14ac:dyDescent="0.25">
      <c r="A53" s="537"/>
      <c r="B53" s="538"/>
      <c r="C53" s="513" t="s">
        <v>1449</v>
      </c>
      <c r="D53" s="514" t="s">
        <v>1452</v>
      </c>
      <c r="E53" s="523" t="s">
        <v>1450</v>
      </c>
      <c r="F53" s="513" t="s">
        <v>1450</v>
      </c>
      <c r="G53" s="515"/>
      <c r="H53" s="515"/>
      <c r="I53" s="515"/>
      <c r="J53" s="515"/>
      <c r="K53" s="515"/>
      <c r="L53" s="528" t="s">
        <v>1479</v>
      </c>
      <c r="M53" s="521"/>
    </row>
    <row r="54" spans="1:13" ht="13.75" x14ac:dyDescent="0.25">
      <c r="A54" s="537"/>
      <c r="B54" s="538"/>
      <c r="C54" s="513" t="s">
        <v>1451</v>
      </c>
      <c r="D54" s="514" t="s">
        <v>1453</v>
      </c>
      <c r="E54" s="523" t="s">
        <v>1454</v>
      </c>
      <c r="F54" s="513" t="s">
        <v>1454</v>
      </c>
      <c r="G54" s="515"/>
      <c r="H54" s="515"/>
      <c r="I54" s="515"/>
      <c r="J54" s="515"/>
      <c r="K54" s="515"/>
      <c r="L54" s="528" t="s">
        <v>1479</v>
      </c>
      <c r="M54" s="521" t="s">
        <v>1473</v>
      </c>
    </row>
    <row r="55" spans="1:13" ht="17.25" customHeight="1" thickBot="1" x14ac:dyDescent="0.3">
      <c r="A55" s="539"/>
      <c r="B55" s="540"/>
      <c r="C55" s="516" t="s">
        <v>1456</v>
      </c>
      <c r="D55" s="517" t="s">
        <v>1455</v>
      </c>
      <c r="E55" s="524" t="s">
        <v>1460</v>
      </c>
      <c r="F55" s="518" t="s">
        <v>1460</v>
      </c>
      <c r="G55" s="519"/>
      <c r="H55" s="525" t="s">
        <v>1472</v>
      </c>
      <c r="I55" s="519"/>
      <c r="J55" s="525" t="s">
        <v>1472</v>
      </c>
      <c r="K55" s="519"/>
      <c r="L55" s="525" t="s">
        <v>1472</v>
      </c>
      <c r="M55" s="522" t="s">
        <v>1461</v>
      </c>
    </row>
    <row r="56" spans="1:13" ht="12" thickTop="1" x14ac:dyDescent="0.25"/>
  </sheetData>
  <mergeCells count="29">
    <mergeCell ref="A1:B1"/>
    <mergeCell ref="A8:B11"/>
    <mergeCell ref="A12:B15"/>
    <mergeCell ref="A16:B19"/>
    <mergeCell ref="A2:B7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 x14ac:dyDescent="0.25"/>
  <cols>
    <col min="1" max="1" width="2.15234375" style="483" customWidth="1"/>
    <col min="2" max="3" width="3.61328125" style="483" customWidth="1"/>
    <col min="4" max="4" width="5.61328125" style="483" customWidth="1"/>
    <col min="5" max="5" width="2.61328125" style="483" customWidth="1"/>
    <col min="6" max="6" width="5.61328125" style="483" customWidth="1"/>
    <col min="7" max="7" width="10.61328125" style="483" customWidth="1"/>
    <col min="8" max="9" width="4.61328125" style="485" customWidth="1"/>
    <col min="10" max="10" width="41.84375" style="484" customWidth="1"/>
    <col min="11" max="16384" width="9" style="483"/>
  </cols>
  <sheetData>
    <row r="1" spans="1:10" ht="3.75" customHeight="1" thickBot="1" x14ac:dyDescent="0.3">
      <c r="J1" s="486"/>
    </row>
    <row r="2" spans="1:10" ht="13" customHeight="1" x14ac:dyDescent="0.25">
      <c r="A2" s="492"/>
      <c r="B2" s="492"/>
      <c r="C2" s="492"/>
      <c r="D2" s="492"/>
      <c r="E2" s="492"/>
      <c r="F2" s="616">
        <v>2</v>
      </c>
      <c r="G2" s="491"/>
      <c r="H2" s="490"/>
      <c r="I2" s="490"/>
      <c r="J2" s="486"/>
    </row>
    <row r="3" spans="1:10" ht="13" customHeight="1" thickBot="1" x14ac:dyDescent="0.3">
      <c r="F3" s="617"/>
      <c r="G3" s="493"/>
      <c r="H3" s="622">
        <f>Gravitic!C123*2</f>
        <v>1.004737463173361</v>
      </c>
      <c r="I3" s="622"/>
      <c r="J3" s="618" t="s">
        <v>1372</v>
      </c>
    </row>
    <row r="4" spans="1:10" ht="13" customHeight="1" x14ac:dyDescent="0.25">
      <c r="E4" s="492"/>
      <c r="F4" s="492"/>
      <c r="G4" s="492"/>
      <c r="H4" s="490"/>
      <c r="I4" s="490"/>
      <c r="J4" s="618"/>
    </row>
    <row r="5" spans="1:10" ht="13" customHeight="1" x14ac:dyDescent="0.25">
      <c r="D5" s="614" t="s">
        <v>1360</v>
      </c>
      <c r="F5" s="615">
        <v>3</v>
      </c>
      <c r="G5" s="493"/>
      <c r="J5" s="486"/>
    </row>
    <row r="6" spans="1:10" ht="13" customHeight="1" x14ac:dyDescent="0.25">
      <c r="D6" s="615"/>
      <c r="F6" s="615"/>
      <c r="G6" s="493"/>
      <c r="J6" s="486"/>
    </row>
    <row r="7" spans="1:10" ht="13" customHeight="1" thickBot="1" x14ac:dyDescent="0.3">
      <c r="E7" s="489"/>
      <c r="F7" s="489"/>
      <c r="G7" s="489"/>
      <c r="H7" s="622">
        <f>Gravitic!C122/2</f>
        <v>1.0049349490154456</v>
      </c>
      <c r="I7" s="622"/>
      <c r="J7" s="618" t="s">
        <v>1371</v>
      </c>
    </row>
    <row r="8" spans="1:10" ht="13" customHeight="1" x14ac:dyDescent="0.25">
      <c r="F8" s="616">
        <v>2</v>
      </c>
      <c r="G8" s="493"/>
      <c r="J8" s="618"/>
    </row>
    <row r="9" spans="1:10" ht="13" customHeight="1" thickBot="1" x14ac:dyDescent="0.3">
      <c r="C9" s="489"/>
      <c r="D9" s="489"/>
      <c r="E9" s="489"/>
      <c r="F9" s="617"/>
      <c r="G9" s="488"/>
      <c r="H9" s="487"/>
      <c r="I9" s="487"/>
      <c r="J9" s="486"/>
    </row>
    <row r="10" spans="1:10" ht="13" customHeight="1" x14ac:dyDescent="0.25">
      <c r="F10" s="493"/>
      <c r="G10" s="493"/>
      <c r="J10" s="486"/>
    </row>
    <row r="11" spans="1:10" ht="13" customHeight="1" x14ac:dyDescent="0.25">
      <c r="D11" s="614" t="s">
        <v>1370</v>
      </c>
      <c r="F11" s="493"/>
      <c r="G11" s="493"/>
      <c r="J11" s="486"/>
    </row>
    <row r="12" spans="1:10" ht="13" customHeight="1" x14ac:dyDescent="0.25">
      <c r="D12" s="615"/>
      <c r="F12" s="493"/>
      <c r="G12" s="493"/>
      <c r="J12" s="486"/>
    </row>
    <row r="13" spans="1:10" ht="13" customHeight="1" thickBot="1" x14ac:dyDescent="0.3">
      <c r="D13" s="493"/>
      <c r="H13" s="621">
        <f>H27*(365+31/128)/364.5</f>
        <v>1.0020358844075885</v>
      </c>
      <c r="I13" s="621"/>
      <c r="J13" s="618" t="s">
        <v>1369</v>
      </c>
    </row>
    <row r="14" spans="1:10" ht="13" customHeight="1" x14ac:dyDescent="0.25">
      <c r="C14" s="492"/>
      <c r="D14" s="492"/>
      <c r="E14" s="492"/>
      <c r="F14" s="492"/>
      <c r="G14" s="492"/>
      <c r="H14" s="490"/>
      <c r="I14" s="490"/>
      <c r="J14" s="618"/>
    </row>
    <row r="15" spans="1:10" ht="13" customHeight="1" x14ac:dyDescent="0.25">
      <c r="F15" s="614" t="s">
        <v>1365</v>
      </c>
      <c r="G15" s="494"/>
      <c r="J15" s="486"/>
    </row>
    <row r="16" spans="1:10" ht="13" customHeight="1" x14ac:dyDescent="0.25">
      <c r="F16" s="615"/>
      <c r="G16" s="493"/>
      <c r="J16" s="486"/>
    </row>
    <row r="17" spans="2:10" ht="13" customHeight="1" thickBot="1" x14ac:dyDescent="0.3">
      <c r="J17" s="618" t="s">
        <v>1368</v>
      </c>
    </row>
    <row r="18" spans="2:10" ht="13" customHeight="1" x14ac:dyDescent="0.25">
      <c r="E18" s="492"/>
      <c r="F18" s="492"/>
      <c r="G18" s="492"/>
      <c r="H18" s="490"/>
      <c r="I18" s="490"/>
      <c r="J18" s="618"/>
    </row>
    <row r="19" spans="2:10" ht="13" customHeight="1" x14ac:dyDescent="0.25">
      <c r="J19" s="486"/>
    </row>
    <row r="20" spans="2:10" ht="13" customHeight="1" x14ac:dyDescent="0.25">
      <c r="D20" s="613" t="s">
        <v>1367</v>
      </c>
      <c r="F20" s="613" t="s">
        <v>1378</v>
      </c>
      <c r="G20" s="613"/>
      <c r="H20" s="613"/>
      <c r="J20" s="486"/>
    </row>
    <row r="21" spans="2:10" ht="13" customHeight="1" thickBot="1" x14ac:dyDescent="0.3">
      <c r="C21" s="498"/>
      <c r="D21" s="613"/>
      <c r="F21" s="613"/>
      <c r="G21" s="613"/>
      <c r="H21" s="613"/>
      <c r="J21" s="618" t="s">
        <v>1366</v>
      </c>
    </row>
    <row r="22" spans="2:10" ht="13" customHeight="1" x14ac:dyDescent="0.25">
      <c r="C22" s="498"/>
      <c r="D22" s="495"/>
      <c r="F22" s="498"/>
      <c r="G22" s="498"/>
      <c r="H22" s="490"/>
      <c r="I22" s="616">
        <v>2</v>
      </c>
      <c r="J22" s="618"/>
    </row>
    <row r="23" spans="2:10" ht="13" customHeight="1" thickBot="1" x14ac:dyDescent="0.3">
      <c r="I23" s="617"/>
      <c r="J23" s="618" t="s">
        <v>1377</v>
      </c>
    </row>
    <row r="24" spans="2:10" ht="13" customHeight="1" x14ac:dyDescent="0.25">
      <c r="F24" s="492"/>
      <c r="G24" s="492"/>
      <c r="H24" s="490"/>
      <c r="I24" s="490"/>
      <c r="J24" s="618"/>
    </row>
    <row r="25" spans="2:10" ht="13" customHeight="1" x14ac:dyDescent="0.25">
      <c r="B25" s="613" t="s">
        <v>1376</v>
      </c>
      <c r="C25" s="613"/>
      <c r="F25" s="614" t="s">
        <v>1365</v>
      </c>
      <c r="G25" s="494"/>
      <c r="J25" s="486"/>
    </row>
    <row r="26" spans="2:10" ht="13" customHeight="1" x14ac:dyDescent="0.25">
      <c r="B26" s="613"/>
      <c r="C26" s="613"/>
      <c r="F26" s="615"/>
      <c r="G26" s="493"/>
      <c r="J26" s="619" t="s">
        <v>1364</v>
      </c>
    </row>
    <row r="27" spans="2:10" ht="13" customHeight="1" thickBot="1" x14ac:dyDescent="0.3">
      <c r="C27" s="489"/>
      <c r="D27" s="489"/>
      <c r="E27" s="489"/>
      <c r="F27" s="489"/>
      <c r="G27" s="489"/>
      <c r="H27" s="621">
        <f>50/128/Clock_by_Rydberg!F4</f>
        <v>0.99999970530941473</v>
      </c>
      <c r="I27" s="621"/>
      <c r="J27" s="619"/>
    </row>
    <row r="28" spans="2:10" ht="13" customHeight="1" x14ac:dyDescent="0.25">
      <c r="J28" s="619"/>
    </row>
    <row r="29" spans="2:10" ht="13" customHeight="1" x14ac:dyDescent="0.25">
      <c r="J29" s="619"/>
    </row>
    <row r="30" spans="2:10" ht="13" customHeight="1" x14ac:dyDescent="0.25">
      <c r="F30" s="614" t="s">
        <v>1428</v>
      </c>
      <c r="J30" s="486"/>
    </row>
    <row r="31" spans="2:10" ht="13" customHeight="1" x14ac:dyDescent="0.25">
      <c r="F31" s="615"/>
      <c r="J31" s="496"/>
    </row>
    <row r="32" spans="2:10" ht="13" customHeight="1" x14ac:dyDescent="0.25">
      <c r="D32" s="614" t="s">
        <v>1363</v>
      </c>
      <c r="J32" s="619" t="s">
        <v>1373</v>
      </c>
    </row>
    <row r="33" spans="3:10" ht="13" customHeight="1" thickBot="1" x14ac:dyDescent="0.3">
      <c r="D33" s="615"/>
      <c r="H33" s="621">
        <f>1/Clock_by_Rydberg!K34</f>
        <v>0.99908455793784623</v>
      </c>
      <c r="I33" s="621"/>
      <c r="J33" s="619"/>
    </row>
    <row r="34" spans="3:10" ht="13" customHeight="1" x14ac:dyDescent="0.25">
      <c r="D34" s="493"/>
      <c r="E34" s="492"/>
      <c r="F34" s="492"/>
      <c r="G34" s="492"/>
      <c r="H34" s="490"/>
      <c r="I34" s="490"/>
      <c r="J34" s="619"/>
    </row>
    <row r="35" spans="3:10" ht="13" customHeight="1" x14ac:dyDescent="0.25">
      <c r="D35" s="493"/>
      <c r="F35" s="497" t="s">
        <v>1374</v>
      </c>
      <c r="J35" s="619"/>
    </row>
    <row r="36" spans="3:10" ht="13" customHeight="1" x14ac:dyDescent="0.25">
      <c r="D36" s="493"/>
      <c r="F36" s="497" t="s">
        <v>1375</v>
      </c>
      <c r="J36" s="619" t="s">
        <v>1437</v>
      </c>
    </row>
    <row r="37" spans="3:10" ht="13" customHeight="1" thickBot="1" x14ac:dyDescent="0.3">
      <c r="H37" s="621">
        <f>Clock_by_Rydberg!K40</f>
        <v>1.0025394011358613</v>
      </c>
      <c r="I37" s="621"/>
      <c r="J37" s="619"/>
    </row>
    <row r="38" spans="3:10" ht="13" customHeight="1" x14ac:dyDescent="0.25">
      <c r="C38" s="492"/>
      <c r="D38" s="492"/>
      <c r="E38" s="492"/>
      <c r="F38" s="492"/>
      <c r="G38" s="492"/>
      <c r="H38" s="490"/>
      <c r="I38" s="490"/>
      <c r="J38" s="619"/>
    </row>
    <row r="39" spans="3:10" ht="13" customHeight="1" x14ac:dyDescent="0.25">
      <c r="J39" s="619"/>
    </row>
    <row r="40" spans="3:10" ht="13" customHeight="1" x14ac:dyDescent="0.25">
      <c r="D40" s="614" t="s">
        <v>1362</v>
      </c>
      <c r="J40" s="496"/>
    </row>
    <row r="41" spans="3:10" ht="13" customHeight="1" x14ac:dyDescent="0.25">
      <c r="D41" s="615"/>
      <c r="J41" s="486"/>
    </row>
    <row r="42" spans="3:10" ht="13" customHeight="1" x14ac:dyDescent="0.25">
      <c r="D42" s="493"/>
      <c r="J42" s="486"/>
    </row>
    <row r="43" spans="3:10" ht="13" customHeight="1" thickBot="1" x14ac:dyDescent="0.3">
      <c r="C43" s="489"/>
      <c r="D43" s="489"/>
      <c r="E43" s="489"/>
      <c r="F43" s="489"/>
      <c r="G43" s="489"/>
      <c r="H43" s="620">
        <f>Clock_by_Rydberg!K46</f>
        <v>1.0000563665533584</v>
      </c>
      <c r="I43" s="620"/>
      <c r="J43" s="618" t="s">
        <v>1361</v>
      </c>
    </row>
    <row r="44" spans="3:10" ht="13" customHeight="1" x14ac:dyDescent="0.25">
      <c r="J44" s="618"/>
    </row>
    <row r="45" spans="3:10" ht="13" customHeight="1" x14ac:dyDescent="0.25">
      <c r="F45" s="614"/>
      <c r="G45" s="494"/>
      <c r="J45" s="486"/>
    </row>
    <row r="46" spans="3:10" ht="13" customHeight="1" x14ac:dyDescent="0.25">
      <c r="D46" s="614" t="s">
        <v>1360</v>
      </c>
      <c r="F46" s="615"/>
      <c r="G46" s="493"/>
      <c r="J46" s="486"/>
    </row>
    <row r="47" spans="3:10" ht="13" customHeight="1" thickBot="1" x14ac:dyDescent="0.3">
      <c r="D47" s="615"/>
      <c r="H47" s="620">
        <f>Clock_by_Rydberg!K47/2</f>
        <v>1.0142422717930941</v>
      </c>
      <c r="I47" s="620"/>
      <c r="J47" s="618" t="s">
        <v>1423</v>
      </c>
    </row>
    <row r="48" spans="3:10" ht="13" customHeight="1" x14ac:dyDescent="0.25">
      <c r="E48" s="492"/>
      <c r="F48" s="616">
        <v>2</v>
      </c>
      <c r="G48" s="491"/>
      <c r="H48" s="490"/>
      <c r="I48" s="490"/>
      <c r="J48" s="618"/>
    </row>
    <row r="49" spans="1:10" ht="13" customHeight="1" thickBot="1" x14ac:dyDescent="0.3">
      <c r="A49" s="489"/>
      <c r="B49" s="489"/>
      <c r="C49" s="489"/>
      <c r="D49" s="489"/>
      <c r="E49" s="489"/>
      <c r="F49" s="617"/>
      <c r="G49" s="488"/>
      <c r="H49" s="487"/>
      <c r="I49" s="487"/>
      <c r="J49" s="486"/>
    </row>
    <row r="50" spans="1:10" ht="13" customHeight="1" x14ac:dyDescent="0.25"/>
  </sheetData>
  <mergeCells count="36">
    <mergeCell ref="H3:I3"/>
    <mergeCell ref="F2:F3"/>
    <mergeCell ref="F5:F6"/>
    <mergeCell ref="F8:F9"/>
    <mergeCell ref="F15:F16"/>
    <mergeCell ref="H7:I7"/>
    <mergeCell ref="J3:J4"/>
    <mergeCell ref="J7:J8"/>
    <mergeCell ref="J13:J14"/>
    <mergeCell ref="J17:J18"/>
    <mergeCell ref="J21:J22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F48:F49"/>
    <mergeCell ref="J43:J44"/>
    <mergeCell ref="J47:J48"/>
    <mergeCell ref="F45:F46"/>
    <mergeCell ref="J36:J39"/>
    <mergeCell ref="H47:I47"/>
    <mergeCell ref="H43:I43"/>
    <mergeCell ref="H37:I37"/>
    <mergeCell ref="B25:C26"/>
    <mergeCell ref="F25:F26"/>
    <mergeCell ref="D46:D47"/>
    <mergeCell ref="D40:D41"/>
    <mergeCell ref="D32:D33"/>
    <mergeCell ref="F30:F31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187"/>
  <sheetViews>
    <sheetView topLeftCell="B1" workbookViewId="0">
      <selection activeCell="H3" sqref="H3"/>
    </sheetView>
  </sheetViews>
  <sheetFormatPr defaultColWidth="9" defaultRowHeight="11.6" x14ac:dyDescent="0.25"/>
  <cols>
    <col min="1" max="1" width="9" style="14"/>
    <col min="2" max="4" width="11.61328125" style="14" customWidth="1"/>
    <col min="5" max="5" width="9" style="54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 x14ac:dyDescent="0.25">
      <c r="A1" s="54" t="s">
        <v>377</v>
      </c>
      <c r="B1" s="54" t="s">
        <v>378</v>
      </c>
      <c r="C1" s="14" t="s">
        <v>556</v>
      </c>
      <c r="D1" s="14" t="s">
        <v>557</v>
      </c>
      <c r="F1" s="138"/>
      <c r="G1" s="623" t="s">
        <v>1435</v>
      </c>
      <c r="H1" s="623"/>
      <c r="I1" s="623"/>
      <c r="J1" s="623"/>
    </row>
    <row r="2" spans="1:10" x14ac:dyDescent="0.25">
      <c r="A2" s="54"/>
      <c r="B2" s="138">
        <f>B3/64</f>
        <v>1</v>
      </c>
      <c r="C2" s="138">
        <f t="shared" ref="C2:D2" si="0">C3/64</f>
        <v>0.99796795790464377</v>
      </c>
      <c r="D2" s="138">
        <f t="shared" si="0"/>
        <v>0.99796825199649208</v>
      </c>
      <c r="F2" s="138"/>
      <c r="G2" s="14">
        <v>1</v>
      </c>
      <c r="H2" s="14" t="s">
        <v>1885</v>
      </c>
      <c r="I2" s="14" t="s">
        <v>1434</v>
      </c>
    </row>
    <row r="3" spans="1:10" x14ac:dyDescent="0.25">
      <c r="A3" s="138">
        <v>1</v>
      </c>
      <c r="B3" s="139">
        <v>64</v>
      </c>
      <c r="C3" s="14">
        <f>B3/(365+31/128)*364.5</f>
        <v>63.869949305897201</v>
      </c>
      <c r="D3" s="14">
        <f>C3*Clock_by_Rydberg!F4/Clock!F4</f>
        <v>63.869968127775493</v>
      </c>
      <c r="F3" s="138"/>
    </row>
    <row r="4" spans="1:10" x14ac:dyDescent="0.25">
      <c r="A4" s="138" t="s">
        <v>368</v>
      </c>
      <c r="B4" s="139">
        <f>B3*12</f>
        <v>768</v>
      </c>
      <c r="C4" s="139">
        <f t="shared" ref="C4:C12" si="1">C3*12</f>
        <v>766.43939167076644</v>
      </c>
      <c r="D4" s="139">
        <f t="shared" ref="D4:D12" si="2">D3*12</f>
        <v>766.43961753330586</v>
      </c>
      <c r="F4" s="138"/>
    </row>
    <row r="5" spans="1:10" x14ac:dyDescent="0.25">
      <c r="A5" s="138" t="s">
        <v>369</v>
      </c>
      <c r="B5" s="139">
        <f t="shared" ref="B5:B12" si="3">B4*12</f>
        <v>9216</v>
      </c>
      <c r="C5" s="139">
        <f t="shared" si="1"/>
        <v>9197.2727000491977</v>
      </c>
      <c r="D5" s="139">
        <f t="shared" si="2"/>
        <v>9197.2754103996704</v>
      </c>
      <c r="F5" s="138"/>
    </row>
    <row r="6" spans="1:10" x14ac:dyDescent="0.25">
      <c r="A6" s="138"/>
      <c r="B6" s="139">
        <f>B3/64*POWER(12,4)</f>
        <v>20736</v>
      </c>
      <c r="C6" s="139">
        <f t="shared" ref="C6:D6" si="4">C3/64*POWER(12,4)</f>
        <v>20693.863575110692</v>
      </c>
      <c r="D6" s="139">
        <f t="shared" si="4"/>
        <v>20693.869673399258</v>
      </c>
      <c r="F6" s="138"/>
      <c r="G6" s="14">
        <v>1</v>
      </c>
      <c r="H6" s="14" t="s">
        <v>1880</v>
      </c>
      <c r="I6" s="14" t="s">
        <v>1551</v>
      </c>
    </row>
    <row r="7" spans="1:10" x14ac:dyDescent="0.25">
      <c r="A7" s="138" t="s">
        <v>370</v>
      </c>
      <c r="B7" s="139">
        <f>B5*12</f>
        <v>110592</v>
      </c>
      <c r="C7" s="139">
        <f>C5*12</f>
        <v>110367.27240059037</v>
      </c>
      <c r="D7" s="139">
        <f>D5*12</f>
        <v>110367.30492479604</v>
      </c>
      <c r="F7" s="138"/>
    </row>
    <row r="8" spans="1:10" x14ac:dyDescent="0.25">
      <c r="A8" s="138" t="s">
        <v>371</v>
      </c>
      <c r="B8" s="139">
        <f t="shared" si="3"/>
        <v>1327104</v>
      </c>
      <c r="C8" s="139">
        <f t="shared" si="1"/>
        <v>1324407.2688070845</v>
      </c>
      <c r="D8" s="139">
        <f t="shared" si="2"/>
        <v>1324407.6590975525</v>
      </c>
      <c r="F8" s="138"/>
    </row>
    <row r="9" spans="1:10" x14ac:dyDescent="0.25">
      <c r="A9" s="138"/>
      <c r="B9" s="139">
        <f>B8*2</f>
        <v>2654208</v>
      </c>
      <c r="C9" s="139">
        <f>C8*2</f>
        <v>2648814.5376141691</v>
      </c>
      <c r="D9" s="139">
        <f>D8*2</f>
        <v>2648815.3181951051</v>
      </c>
      <c r="F9" s="138"/>
      <c r="G9" s="14">
        <v>1</v>
      </c>
      <c r="H9" s="14" t="s">
        <v>1879</v>
      </c>
      <c r="I9" s="14" t="s">
        <v>1552</v>
      </c>
    </row>
    <row r="10" spans="1:10" x14ac:dyDescent="0.25">
      <c r="A10" s="138" t="s">
        <v>372</v>
      </c>
      <c r="B10" s="139">
        <f>B8*12</f>
        <v>15925248</v>
      </c>
      <c r="C10" s="139">
        <f>C8*12</f>
        <v>15892887.225685015</v>
      </c>
      <c r="D10" s="139">
        <f>D8*12</f>
        <v>15892891.909170631</v>
      </c>
      <c r="F10" s="138"/>
    </row>
    <row r="11" spans="1:10" x14ac:dyDescent="0.25">
      <c r="A11" s="138" t="s">
        <v>373</v>
      </c>
      <c r="B11" s="139">
        <f t="shared" si="3"/>
        <v>191102976</v>
      </c>
      <c r="C11" s="139">
        <f t="shared" si="1"/>
        <v>190714646.70822018</v>
      </c>
      <c r="D11" s="139">
        <f t="shared" si="2"/>
        <v>190714702.91004759</v>
      </c>
      <c r="F11" s="138"/>
      <c r="G11" s="14">
        <v>1</v>
      </c>
      <c r="H11" s="14" t="s">
        <v>1433</v>
      </c>
      <c r="I11" s="14" t="s">
        <v>1553</v>
      </c>
    </row>
    <row r="12" spans="1:10" x14ac:dyDescent="0.25">
      <c r="A12" s="138" t="s">
        <v>374</v>
      </c>
      <c r="B12" s="139">
        <f t="shared" si="3"/>
        <v>2293235712</v>
      </c>
      <c r="C12" s="139">
        <f t="shared" si="1"/>
        <v>2288575760.498642</v>
      </c>
      <c r="D12" s="139">
        <f t="shared" si="2"/>
        <v>2288576434.9205713</v>
      </c>
      <c r="F12" s="138"/>
      <c r="G12" s="14">
        <v>12</v>
      </c>
      <c r="H12" s="14" t="s">
        <v>1431</v>
      </c>
      <c r="I12" s="14" t="s">
        <v>1878</v>
      </c>
    </row>
    <row r="13" spans="1:10" x14ac:dyDescent="0.25">
      <c r="A13" s="138" t="s">
        <v>379</v>
      </c>
      <c r="B13" s="139">
        <f>B12*2</f>
        <v>4586471424</v>
      </c>
      <c r="C13" s="139">
        <f t="shared" ref="C13:D13" si="5">C12*2</f>
        <v>4577151520.9972839</v>
      </c>
      <c r="D13" s="139">
        <f t="shared" si="5"/>
        <v>4577152869.8411427</v>
      </c>
      <c r="E13" s="209" t="s">
        <v>380</v>
      </c>
      <c r="G13" s="14">
        <v>24</v>
      </c>
      <c r="H13" s="209" t="s">
        <v>1432</v>
      </c>
      <c r="I13" s="14" t="s">
        <v>1877</v>
      </c>
    </row>
    <row r="14" spans="1:10" x14ac:dyDescent="0.25">
      <c r="A14" s="138" t="s">
        <v>376</v>
      </c>
      <c r="B14" s="139">
        <f>B12*6</f>
        <v>13759414272</v>
      </c>
      <c r="C14" s="139">
        <f t="shared" ref="C14:D14" si="6">C12*6</f>
        <v>13731454562.991852</v>
      </c>
      <c r="D14" s="139">
        <f t="shared" si="6"/>
        <v>13731458609.523428</v>
      </c>
      <c r="E14" s="209" t="s">
        <v>381</v>
      </c>
      <c r="H14" s="138" t="s">
        <v>559</v>
      </c>
    </row>
    <row r="15" spans="1:10" x14ac:dyDescent="0.25">
      <c r="A15" s="138" t="s">
        <v>375</v>
      </c>
      <c r="B15" s="139">
        <f>B12*12</f>
        <v>27518828544</v>
      </c>
      <c r="C15" s="139">
        <f t="shared" ref="C15:D15" si="7">C12*12</f>
        <v>27462909125.983704</v>
      </c>
      <c r="D15" s="139">
        <f t="shared" si="7"/>
        <v>27462917219.046856</v>
      </c>
      <c r="F15" s="138"/>
      <c r="H15" s="139">
        <f>B3</f>
        <v>64</v>
      </c>
      <c r="I15" s="14" t="s">
        <v>560</v>
      </c>
    </row>
    <row r="16" spans="1:10" ht="12" thickBot="1" x14ac:dyDescent="0.3">
      <c r="A16" s="138"/>
      <c r="B16" s="139"/>
      <c r="F16" s="138"/>
    </row>
    <row r="17" spans="1:37" x14ac:dyDescent="0.25">
      <c r="A17" s="90" t="s">
        <v>550</v>
      </c>
      <c r="B17" s="17" t="s">
        <v>551</v>
      </c>
      <c r="C17" s="17" t="s">
        <v>552</v>
      </c>
      <c r="D17" s="17" t="s">
        <v>553</v>
      </c>
      <c r="E17" s="17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568" t="s">
        <v>80</v>
      </c>
      <c r="K17" s="606"/>
      <c r="L17" s="20" t="s">
        <v>213</v>
      </c>
      <c r="M17" s="121">
        <v>0</v>
      </c>
      <c r="N17" s="122"/>
      <c r="O17" s="122">
        <f>M17+1</f>
        <v>1</v>
      </c>
      <c r="P17" s="122"/>
      <c r="Q17" s="122">
        <f>O17+1</f>
        <v>2</v>
      </c>
      <c r="R17" s="122"/>
      <c r="S17" s="122">
        <f>Q17+1</f>
        <v>3</v>
      </c>
      <c r="T17" s="122"/>
      <c r="U17" s="122">
        <f>S17+1</f>
        <v>4</v>
      </c>
      <c r="V17" s="122"/>
      <c r="W17" s="122">
        <f>U17+1</f>
        <v>5</v>
      </c>
      <c r="X17" s="122"/>
      <c r="Y17" s="122">
        <f>W17+1</f>
        <v>6</v>
      </c>
      <c r="Z17" s="122"/>
      <c r="AA17" s="122">
        <f>Y17+1</f>
        <v>7</v>
      </c>
      <c r="AB17" s="122"/>
      <c r="AC17" s="122">
        <f>AA17+1</f>
        <v>8</v>
      </c>
      <c r="AD17" s="122"/>
      <c r="AE17" s="122">
        <f>AC17+1</f>
        <v>9</v>
      </c>
      <c r="AF17" s="122"/>
      <c r="AG17" s="122">
        <f>AE17+1</f>
        <v>10</v>
      </c>
      <c r="AH17" s="122"/>
      <c r="AI17" s="122">
        <f>AG17+1</f>
        <v>11</v>
      </c>
      <c r="AJ17" s="122"/>
      <c r="AK17" s="122">
        <f>AI17+1</f>
        <v>12</v>
      </c>
    </row>
    <row r="18" spans="1:37" x14ac:dyDescent="0.25">
      <c r="A18" s="635" t="s">
        <v>382</v>
      </c>
      <c r="B18" s="633"/>
      <c r="C18" s="633"/>
      <c r="D18" s="633"/>
      <c r="E18" s="634"/>
      <c r="F18" s="140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28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 x14ac:dyDescent="0.25">
      <c r="A19" s="624" t="s">
        <v>383</v>
      </c>
      <c r="B19" s="632" t="s">
        <v>384</v>
      </c>
      <c r="C19" s="633"/>
      <c r="D19" s="633"/>
      <c r="E19" s="634"/>
      <c r="F19" s="140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28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 x14ac:dyDescent="0.25">
      <c r="A20" s="625"/>
      <c r="B20" s="632" t="s">
        <v>385</v>
      </c>
      <c r="C20" s="633"/>
      <c r="D20" s="633"/>
      <c r="E20" s="634"/>
      <c r="F20" s="140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28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 x14ac:dyDescent="0.25">
      <c r="A21" s="625"/>
      <c r="B21" s="632" t="s">
        <v>386</v>
      </c>
      <c r="C21" s="633"/>
      <c r="D21" s="633"/>
      <c r="E21" s="634"/>
      <c r="F21" s="140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28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 x14ac:dyDescent="0.25">
      <c r="A22" s="626"/>
      <c r="B22" s="632" t="s">
        <v>387</v>
      </c>
      <c r="C22" s="633"/>
      <c r="D22" s="633"/>
      <c r="E22" s="634"/>
      <c r="F22" s="140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28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 x14ac:dyDescent="0.25">
      <c r="A23" s="624" t="s">
        <v>388</v>
      </c>
      <c r="B23" s="628" t="s">
        <v>389</v>
      </c>
      <c r="C23" s="632" t="s">
        <v>390</v>
      </c>
      <c r="D23" s="633"/>
      <c r="E23" s="634"/>
      <c r="F23" s="140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28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 x14ac:dyDescent="0.25">
      <c r="A24" s="625"/>
      <c r="B24" s="629"/>
      <c r="C24" s="632" t="s">
        <v>391</v>
      </c>
      <c r="D24" s="633"/>
      <c r="E24" s="634"/>
      <c r="F24" s="140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28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 x14ac:dyDescent="0.25">
      <c r="A25" s="625"/>
      <c r="B25" s="629"/>
      <c r="C25" s="632" t="s">
        <v>392</v>
      </c>
      <c r="D25" s="633"/>
      <c r="E25" s="634"/>
      <c r="F25" s="140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28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 x14ac:dyDescent="0.25">
      <c r="A26" s="625"/>
      <c r="B26" s="630"/>
      <c r="C26" s="632" t="s">
        <v>393</v>
      </c>
      <c r="D26" s="633"/>
      <c r="E26" s="634"/>
      <c r="F26" s="140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28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 x14ac:dyDescent="0.25">
      <c r="A27" s="625"/>
      <c r="B27" s="628" t="s">
        <v>394</v>
      </c>
      <c r="C27" s="632" t="s">
        <v>395</v>
      </c>
      <c r="D27" s="633"/>
      <c r="E27" s="634"/>
      <c r="F27" s="140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28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 x14ac:dyDescent="0.25">
      <c r="A28" s="625"/>
      <c r="B28" s="629"/>
      <c r="C28" s="632" t="s">
        <v>396</v>
      </c>
      <c r="D28" s="633"/>
      <c r="E28" s="634"/>
      <c r="F28" s="140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28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 x14ac:dyDescent="0.25">
      <c r="A29" s="625"/>
      <c r="B29" s="630"/>
      <c r="C29" s="632" t="s">
        <v>397</v>
      </c>
      <c r="D29" s="633"/>
      <c r="E29" s="634"/>
      <c r="F29" s="140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28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 x14ac:dyDescent="0.25">
      <c r="A30" s="625"/>
      <c r="B30" s="628" t="s">
        <v>398</v>
      </c>
      <c r="C30" s="632" t="s">
        <v>399</v>
      </c>
      <c r="D30" s="633"/>
      <c r="E30" s="634"/>
      <c r="F30" s="140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28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 x14ac:dyDescent="0.25">
      <c r="A31" s="625"/>
      <c r="B31" s="629"/>
      <c r="C31" s="632" t="s">
        <v>401</v>
      </c>
      <c r="D31" s="633"/>
      <c r="E31" s="634"/>
      <c r="F31" s="140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28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 x14ac:dyDescent="0.25">
      <c r="A32" s="626"/>
      <c r="B32" s="630"/>
      <c r="C32" s="632" t="s">
        <v>400</v>
      </c>
      <c r="D32" s="633"/>
      <c r="E32" s="634"/>
      <c r="F32" s="140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28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 x14ac:dyDescent="0.25">
      <c r="A33" s="624" t="s">
        <v>402</v>
      </c>
      <c r="B33" s="628" t="s">
        <v>403</v>
      </c>
      <c r="C33" s="628" t="s">
        <v>404</v>
      </c>
      <c r="D33" s="628" t="s">
        <v>405</v>
      </c>
      <c r="E33" s="499" t="s">
        <v>406</v>
      </c>
      <c r="F33" s="140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28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 x14ac:dyDescent="0.25">
      <c r="A34" s="625"/>
      <c r="B34" s="629"/>
      <c r="C34" s="629"/>
      <c r="D34" s="630"/>
      <c r="E34" s="499" t="s">
        <v>407</v>
      </c>
      <c r="F34" s="140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28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 x14ac:dyDescent="0.25">
      <c r="A35" s="625"/>
      <c r="B35" s="629"/>
      <c r="C35" s="629"/>
      <c r="D35" s="628" t="s">
        <v>408</v>
      </c>
      <c r="E35" s="499" t="s">
        <v>409</v>
      </c>
      <c r="F35" s="140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28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 x14ac:dyDescent="0.25">
      <c r="A36" s="625"/>
      <c r="B36" s="629"/>
      <c r="C36" s="629"/>
      <c r="D36" s="630"/>
      <c r="E36" s="499" t="s">
        <v>410</v>
      </c>
      <c r="F36" s="140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28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 x14ac:dyDescent="0.25">
      <c r="A37" s="625"/>
      <c r="B37" s="629"/>
      <c r="C37" s="629"/>
      <c r="D37" s="628" t="s">
        <v>411</v>
      </c>
      <c r="E37" s="499" t="s">
        <v>412</v>
      </c>
      <c r="F37" s="140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28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 x14ac:dyDescent="0.25">
      <c r="A38" s="625"/>
      <c r="B38" s="629"/>
      <c r="C38" s="629"/>
      <c r="D38" s="629"/>
      <c r="E38" s="499" t="s">
        <v>413</v>
      </c>
      <c r="F38" s="140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28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 x14ac:dyDescent="0.25">
      <c r="A39" s="625"/>
      <c r="B39" s="629"/>
      <c r="C39" s="629"/>
      <c r="D39" s="630"/>
      <c r="E39" s="499" t="s">
        <v>414</v>
      </c>
      <c r="F39" s="140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28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 x14ac:dyDescent="0.25">
      <c r="A40" s="625"/>
      <c r="B40" s="629"/>
      <c r="C40" s="629"/>
      <c r="D40" s="628" t="s">
        <v>415</v>
      </c>
      <c r="E40" s="499" t="s">
        <v>416</v>
      </c>
      <c r="F40" s="140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28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 x14ac:dyDescent="0.25">
      <c r="A41" s="625"/>
      <c r="B41" s="629"/>
      <c r="C41" s="629"/>
      <c r="D41" s="629"/>
      <c r="E41" s="499" t="s">
        <v>417</v>
      </c>
      <c r="F41" s="140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28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 x14ac:dyDescent="0.25">
      <c r="A42" s="625"/>
      <c r="B42" s="629"/>
      <c r="C42" s="630"/>
      <c r="D42" s="630"/>
      <c r="E42" s="499" t="s">
        <v>418</v>
      </c>
      <c r="F42" s="140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28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 x14ac:dyDescent="0.25">
      <c r="A43" s="625"/>
      <c r="B43" s="629"/>
      <c r="C43" s="628" t="s">
        <v>419</v>
      </c>
      <c r="D43" s="628" t="s">
        <v>420</v>
      </c>
      <c r="E43" s="499" t="s">
        <v>421</v>
      </c>
      <c r="F43" s="140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28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 x14ac:dyDescent="0.25">
      <c r="A44" s="625"/>
      <c r="B44" s="629"/>
      <c r="C44" s="629"/>
      <c r="D44" s="630"/>
      <c r="E44" s="499" t="s">
        <v>422</v>
      </c>
      <c r="F44" s="140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28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 x14ac:dyDescent="0.25">
      <c r="A45" s="625"/>
      <c r="B45" s="629"/>
      <c r="C45" s="629"/>
      <c r="D45" s="628" t="s">
        <v>423</v>
      </c>
      <c r="E45" s="499" t="s">
        <v>424</v>
      </c>
      <c r="F45" s="140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28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 x14ac:dyDescent="0.25">
      <c r="A46" s="625"/>
      <c r="B46" s="629"/>
      <c r="C46" s="629"/>
      <c r="D46" s="630"/>
      <c r="E46" s="499" t="s">
        <v>425</v>
      </c>
      <c r="F46" s="140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28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 x14ac:dyDescent="0.25">
      <c r="A47" s="625"/>
      <c r="B47" s="629"/>
      <c r="C47" s="629"/>
      <c r="D47" s="628" t="s">
        <v>426</v>
      </c>
      <c r="E47" s="499" t="s">
        <v>427</v>
      </c>
      <c r="F47" s="140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28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 x14ac:dyDescent="0.25">
      <c r="A48" s="625"/>
      <c r="B48" s="629"/>
      <c r="C48" s="629"/>
      <c r="D48" s="629"/>
      <c r="E48" s="499" t="s">
        <v>428</v>
      </c>
      <c r="F48" s="140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28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 x14ac:dyDescent="0.25">
      <c r="A49" s="625"/>
      <c r="B49" s="629"/>
      <c r="C49" s="630"/>
      <c r="D49" s="630"/>
      <c r="E49" s="499" t="s">
        <v>429</v>
      </c>
      <c r="F49" s="140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28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 x14ac:dyDescent="0.25">
      <c r="A50" s="625"/>
      <c r="B50" s="629"/>
      <c r="C50" s="628" t="s">
        <v>430</v>
      </c>
      <c r="D50" s="628" t="s">
        <v>431</v>
      </c>
      <c r="E50" s="499" t="s">
        <v>432</v>
      </c>
      <c r="F50" s="140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28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 x14ac:dyDescent="0.25">
      <c r="A51" s="625"/>
      <c r="B51" s="629"/>
      <c r="C51" s="629"/>
      <c r="D51" s="629"/>
      <c r="E51" s="499" t="s">
        <v>433</v>
      </c>
      <c r="F51" s="140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28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 x14ac:dyDescent="0.25">
      <c r="A52" s="625"/>
      <c r="B52" s="629"/>
      <c r="C52" s="629"/>
      <c r="D52" s="630"/>
      <c r="E52" s="499" t="s">
        <v>434</v>
      </c>
      <c r="F52" s="140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28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 x14ac:dyDescent="0.25">
      <c r="A53" s="625"/>
      <c r="B53" s="629"/>
      <c r="C53" s="629"/>
      <c r="D53" s="628" t="s">
        <v>435</v>
      </c>
      <c r="E53" s="499" t="s">
        <v>436</v>
      </c>
      <c r="F53" s="140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28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 x14ac:dyDescent="0.25">
      <c r="A54" s="625"/>
      <c r="B54" s="629"/>
      <c r="C54" s="629"/>
      <c r="D54" s="630"/>
      <c r="E54" s="499" t="s">
        <v>437</v>
      </c>
      <c r="F54" s="140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28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 x14ac:dyDescent="0.25">
      <c r="A55" s="625"/>
      <c r="B55" s="629"/>
      <c r="C55" s="629"/>
      <c r="D55" s="628" t="s">
        <v>438</v>
      </c>
      <c r="E55" s="499" t="s">
        <v>439</v>
      </c>
      <c r="F55" s="140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28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 x14ac:dyDescent="0.25">
      <c r="A56" s="625"/>
      <c r="B56" s="629"/>
      <c r="C56" s="629"/>
      <c r="D56" s="630"/>
      <c r="E56" s="499" t="s">
        <v>440</v>
      </c>
      <c r="F56" s="140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28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 x14ac:dyDescent="0.25">
      <c r="A57" s="625"/>
      <c r="B57" s="629"/>
      <c r="C57" s="630"/>
      <c r="D57" s="632" t="s">
        <v>441</v>
      </c>
      <c r="E57" s="634"/>
      <c r="F57" s="140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28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 x14ac:dyDescent="0.25">
      <c r="A58" s="625"/>
      <c r="B58" s="629"/>
      <c r="C58" s="628" t="s">
        <v>442</v>
      </c>
      <c r="D58" s="628" t="s">
        <v>443</v>
      </c>
      <c r="E58" s="499" t="s">
        <v>444</v>
      </c>
      <c r="F58" s="140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28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 x14ac:dyDescent="0.25">
      <c r="A59" s="625"/>
      <c r="B59" s="629"/>
      <c r="C59" s="629"/>
      <c r="D59" s="629"/>
      <c r="E59" s="499" t="s">
        <v>445</v>
      </c>
      <c r="F59" s="140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28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 x14ac:dyDescent="0.25">
      <c r="A60" s="625"/>
      <c r="B60" s="629"/>
      <c r="C60" s="629"/>
      <c r="D60" s="630"/>
      <c r="E60" s="499" t="s">
        <v>446</v>
      </c>
      <c r="F60" s="140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28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 x14ac:dyDescent="0.25">
      <c r="A61" s="625"/>
      <c r="B61" s="629"/>
      <c r="C61" s="629"/>
      <c r="D61" s="628" t="s">
        <v>447</v>
      </c>
      <c r="E61" s="499" t="s">
        <v>448</v>
      </c>
      <c r="F61" s="140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28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 x14ac:dyDescent="0.25">
      <c r="A62" s="625"/>
      <c r="B62" s="629"/>
      <c r="C62" s="629"/>
      <c r="D62" s="630"/>
      <c r="E62" s="499" t="s">
        <v>449</v>
      </c>
      <c r="F62" s="140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28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 x14ac:dyDescent="0.25">
      <c r="A63" s="625"/>
      <c r="B63" s="629"/>
      <c r="C63" s="629"/>
      <c r="D63" s="628" t="s">
        <v>450</v>
      </c>
      <c r="E63" s="499" t="s">
        <v>451</v>
      </c>
      <c r="F63" s="140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28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 x14ac:dyDescent="0.25">
      <c r="A64" s="625"/>
      <c r="B64" s="629"/>
      <c r="C64" s="630"/>
      <c r="D64" s="630"/>
      <c r="E64" s="499" t="s">
        <v>452</v>
      </c>
      <c r="F64" s="140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28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 x14ac:dyDescent="0.25">
      <c r="A65" s="625"/>
      <c r="B65" s="629"/>
      <c r="C65" s="628" t="s">
        <v>453</v>
      </c>
      <c r="D65" s="628" t="s">
        <v>454</v>
      </c>
      <c r="E65" s="499" t="s">
        <v>455</v>
      </c>
      <c r="F65" s="140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28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 x14ac:dyDescent="0.25">
      <c r="A66" s="625"/>
      <c r="B66" s="629"/>
      <c r="C66" s="629"/>
      <c r="D66" s="629"/>
      <c r="E66" s="499" t="s">
        <v>456</v>
      </c>
      <c r="F66" s="140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28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 x14ac:dyDescent="0.25">
      <c r="A67" s="625"/>
      <c r="B67" s="629"/>
      <c r="C67" s="629"/>
      <c r="D67" s="630"/>
      <c r="E67" s="499" t="s">
        <v>457</v>
      </c>
      <c r="F67" s="140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28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 x14ac:dyDescent="0.25">
      <c r="A68" s="625"/>
      <c r="B68" s="629"/>
      <c r="C68" s="629"/>
      <c r="D68" s="628" t="s">
        <v>458</v>
      </c>
      <c r="E68" s="499" t="s">
        <v>459</v>
      </c>
      <c r="F68" s="140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28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 x14ac:dyDescent="0.25">
      <c r="A69" s="625"/>
      <c r="B69" s="629"/>
      <c r="C69" s="629"/>
      <c r="D69" s="629"/>
      <c r="E69" s="499" t="s">
        <v>460</v>
      </c>
      <c r="F69" s="140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28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 x14ac:dyDescent="0.25">
      <c r="A70" s="625"/>
      <c r="B70" s="629"/>
      <c r="C70" s="629"/>
      <c r="D70" s="629"/>
      <c r="E70" s="499" t="s">
        <v>461</v>
      </c>
      <c r="F70" s="140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28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 x14ac:dyDescent="0.25">
      <c r="A71" s="625"/>
      <c r="B71" s="629"/>
      <c r="C71" s="630"/>
      <c r="D71" s="630"/>
      <c r="E71" s="499" t="s">
        <v>462</v>
      </c>
      <c r="F71" s="140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28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 x14ac:dyDescent="0.25">
      <c r="A72" s="625"/>
      <c r="B72" s="629"/>
      <c r="C72" s="628" t="s">
        <v>463</v>
      </c>
      <c r="D72" s="628" t="s">
        <v>464</v>
      </c>
      <c r="E72" s="499" t="s">
        <v>465</v>
      </c>
      <c r="F72" s="140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28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 x14ac:dyDescent="0.25">
      <c r="A73" s="625"/>
      <c r="B73" s="629"/>
      <c r="C73" s="629"/>
      <c r="D73" s="629"/>
      <c r="E73" s="499" t="s">
        <v>466</v>
      </c>
      <c r="F73" s="140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28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 x14ac:dyDescent="0.25">
      <c r="A74" s="625"/>
      <c r="B74" s="629"/>
      <c r="C74" s="629"/>
      <c r="D74" s="629"/>
      <c r="E74" s="499" t="s">
        <v>467</v>
      </c>
      <c r="F74" s="140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28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 x14ac:dyDescent="0.25">
      <c r="A75" s="625"/>
      <c r="B75" s="629"/>
      <c r="C75" s="629"/>
      <c r="D75" s="630"/>
      <c r="E75" s="499" t="s">
        <v>468</v>
      </c>
      <c r="F75" s="140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28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 x14ac:dyDescent="0.25">
      <c r="A76" s="625"/>
      <c r="B76" s="629"/>
      <c r="C76" s="629"/>
      <c r="D76" s="628" t="s">
        <v>469</v>
      </c>
      <c r="E76" s="499" t="s">
        <v>470</v>
      </c>
      <c r="F76" s="140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28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 x14ac:dyDescent="0.25">
      <c r="A77" s="625"/>
      <c r="B77" s="629"/>
      <c r="C77" s="629"/>
      <c r="D77" s="629"/>
      <c r="E77" s="499" t="s">
        <v>471</v>
      </c>
      <c r="F77" s="140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28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 x14ac:dyDescent="0.25">
      <c r="A78" s="625"/>
      <c r="B78" s="629"/>
      <c r="C78" s="629"/>
      <c r="D78" s="630"/>
      <c r="E78" s="499" t="s">
        <v>472</v>
      </c>
      <c r="F78" s="140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28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 x14ac:dyDescent="0.25">
      <c r="A79" s="625"/>
      <c r="B79" s="629"/>
      <c r="C79" s="629"/>
      <c r="D79" s="628" t="s">
        <v>473</v>
      </c>
      <c r="E79" s="499" t="s">
        <v>474</v>
      </c>
      <c r="F79" s="140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28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 x14ac:dyDescent="0.25">
      <c r="A80" s="625"/>
      <c r="B80" s="630"/>
      <c r="C80" s="630"/>
      <c r="D80" s="630"/>
      <c r="E80" s="499" t="s">
        <v>475</v>
      </c>
      <c r="F80" s="140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28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 x14ac:dyDescent="0.25">
      <c r="A81" s="625"/>
      <c r="B81" s="628" t="s">
        <v>476</v>
      </c>
      <c r="C81" s="628" t="s">
        <v>477</v>
      </c>
      <c r="D81" s="628" t="s">
        <v>478</v>
      </c>
      <c r="E81" s="499" t="s">
        <v>479</v>
      </c>
      <c r="F81" s="140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28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 x14ac:dyDescent="0.25">
      <c r="A82" s="625"/>
      <c r="B82" s="629"/>
      <c r="C82" s="629"/>
      <c r="D82" s="630"/>
      <c r="E82" s="499" t="s">
        <v>480</v>
      </c>
      <c r="F82" s="140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28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 x14ac:dyDescent="0.25">
      <c r="A83" s="625"/>
      <c r="B83" s="629"/>
      <c r="C83" s="629"/>
      <c r="D83" s="628" t="s">
        <v>481</v>
      </c>
      <c r="E83" s="499" t="s">
        <v>482</v>
      </c>
      <c r="F83" s="140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28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 x14ac:dyDescent="0.25">
      <c r="A84" s="625"/>
      <c r="B84" s="629"/>
      <c r="C84" s="629"/>
      <c r="D84" s="630"/>
      <c r="E84" s="499" t="s">
        <v>483</v>
      </c>
      <c r="F84" s="140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28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 x14ac:dyDescent="0.25">
      <c r="A85" s="625"/>
      <c r="B85" s="629"/>
      <c r="C85" s="629"/>
      <c r="D85" s="628" t="s">
        <v>484</v>
      </c>
      <c r="E85" s="499" t="s">
        <v>485</v>
      </c>
      <c r="F85" s="140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28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 x14ac:dyDescent="0.25">
      <c r="A86" s="625"/>
      <c r="B86" s="629"/>
      <c r="C86" s="629"/>
      <c r="D86" s="629"/>
      <c r="E86" s="499" t="s">
        <v>486</v>
      </c>
      <c r="F86" s="140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28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 x14ac:dyDescent="0.25">
      <c r="A87" s="625"/>
      <c r="B87" s="629"/>
      <c r="C87" s="630"/>
      <c r="D87" s="630"/>
      <c r="E87" s="499" t="s">
        <v>487</v>
      </c>
      <c r="F87" s="140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28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 x14ac:dyDescent="0.25">
      <c r="A88" s="625"/>
      <c r="B88" s="629"/>
      <c r="C88" s="628" t="s">
        <v>488</v>
      </c>
      <c r="D88" s="628" t="s">
        <v>489</v>
      </c>
      <c r="E88" s="499" t="s">
        <v>490</v>
      </c>
      <c r="F88" s="140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28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 x14ac:dyDescent="0.25">
      <c r="A89" s="625"/>
      <c r="B89" s="629"/>
      <c r="C89" s="629"/>
      <c r="D89" s="629"/>
      <c r="E89" s="499" t="s">
        <v>491</v>
      </c>
      <c r="F89" s="140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28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 x14ac:dyDescent="0.25">
      <c r="A90" s="625"/>
      <c r="B90" s="629"/>
      <c r="C90" s="629"/>
      <c r="D90" s="629"/>
      <c r="E90" s="499" t="s">
        <v>492</v>
      </c>
      <c r="F90" s="140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28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 x14ac:dyDescent="0.25">
      <c r="A91" s="625"/>
      <c r="B91" s="629"/>
      <c r="C91" s="629"/>
      <c r="D91" s="630"/>
      <c r="E91" s="499" t="s">
        <v>493</v>
      </c>
      <c r="F91" s="140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28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 x14ac:dyDescent="0.25">
      <c r="A92" s="625"/>
      <c r="B92" s="629"/>
      <c r="C92" s="629"/>
      <c r="D92" s="628" t="s">
        <v>494</v>
      </c>
      <c r="E92" s="499" t="s">
        <v>495</v>
      </c>
      <c r="F92" s="140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28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 x14ac:dyDescent="0.25">
      <c r="A93" s="625"/>
      <c r="B93" s="629"/>
      <c r="C93" s="629"/>
      <c r="D93" s="629"/>
      <c r="E93" s="499" t="s">
        <v>496</v>
      </c>
      <c r="F93" s="140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28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 x14ac:dyDescent="0.25">
      <c r="A94" s="625"/>
      <c r="B94" s="629"/>
      <c r="C94" s="629"/>
      <c r="D94" s="629"/>
      <c r="E94" s="499" t="s">
        <v>497</v>
      </c>
      <c r="F94" s="140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28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 x14ac:dyDescent="0.25">
      <c r="A95" s="625"/>
      <c r="B95" s="629"/>
      <c r="C95" s="629"/>
      <c r="D95" s="630"/>
      <c r="E95" s="499" t="s">
        <v>498</v>
      </c>
      <c r="F95" s="140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28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 x14ac:dyDescent="0.25">
      <c r="A96" s="625"/>
      <c r="B96" s="629"/>
      <c r="C96" s="629"/>
      <c r="D96" s="628" t="s">
        <v>499</v>
      </c>
      <c r="E96" s="499" t="s">
        <v>500</v>
      </c>
      <c r="F96" s="140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28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 x14ac:dyDescent="0.25">
      <c r="A97" s="625"/>
      <c r="B97" s="629"/>
      <c r="C97" s="629"/>
      <c r="D97" s="629"/>
      <c r="E97" s="499" t="s">
        <v>501</v>
      </c>
      <c r="F97" s="140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28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 x14ac:dyDescent="0.25">
      <c r="A98" s="625"/>
      <c r="B98" s="629"/>
      <c r="C98" s="630"/>
      <c r="D98" s="630"/>
      <c r="E98" s="499" t="s">
        <v>502</v>
      </c>
      <c r="F98" s="140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28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 x14ac:dyDescent="0.25">
      <c r="A99" s="625"/>
      <c r="B99" s="629"/>
      <c r="C99" s="628" t="s">
        <v>503</v>
      </c>
      <c r="D99" s="628" t="s">
        <v>504</v>
      </c>
      <c r="E99" s="499" t="s">
        <v>505</v>
      </c>
      <c r="F99" s="140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28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 x14ac:dyDescent="0.25">
      <c r="A100" s="625"/>
      <c r="B100" s="629"/>
      <c r="C100" s="629"/>
      <c r="D100" s="629"/>
      <c r="E100" s="499" t="s">
        <v>506</v>
      </c>
      <c r="F100" s="140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28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 x14ac:dyDescent="0.25">
      <c r="A101" s="625"/>
      <c r="B101" s="629"/>
      <c r="C101" s="629"/>
      <c r="D101" s="629"/>
      <c r="E101" s="499" t="s">
        <v>507</v>
      </c>
      <c r="F101" s="140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28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 x14ac:dyDescent="0.25">
      <c r="A102" s="625"/>
      <c r="B102" s="629"/>
      <c r="C102" s="629"/>
      <c r="D102" s="629"/>
      <c r="E102" s="499" t="s">
        <v>508</v>
      </c>
      <c r="F102" s="140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28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 x14ac:dyDescent="0.25">
      <c r="A103" s="625"/>
      <c r="B103" s="629"/>
      <c r="C103" s="629"/>
      <c r="D103" s="629"/>
      <c r="E103" s="499" t="s">
        <v>509</v>
      </c>
      <c r="F103" s="140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28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 x14ac:dyDescent="0.25">
      <c r="A104" s="625"/>
      <c r="B104" s="629"/>
      <c r="C104" s="629"/>
      <c r="D104" s="630"/>
      <c r="E104" s="499" t="s">
        <v>510</v>
      </c>
      <c r="F104" s="140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28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 x14ac:dyDescent="0.25">
      <c r="A105" s="625"/>
      <c r="B105" s="629"/>
      <c r="C105" s="629"/>
      <c r="D105" s="628" t="s">
        <v>511</v>
      </c>
      <c r="E105" s="499" t="s">
        <v>512</v>
      </c>
      <c r="F105" s="140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28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 x14ac:dyDescent="0.25">
      <c r="A106" s="625"/>
      <c r="B106" s="629"/>
      <c r="C106" s="629"/>
      <c r="D106" s="629"/>
      <c r="E106" s="499" t="s">
        <v>513</v>
      </c>
      <c r="F106" s="140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28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 x14ac:dyDescent="0.25">
      <c r="A107" s="625"/>
      <c r="B107" s="629"/>
      <c r="C107" s="629"/>
      <c r="D107" s="629"/>
      <c r="E107" s="499" t="s">
        <v>514</v>
      </c>
      <c r="F107" s="140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28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 x14ac:dyDescent="0.25">
      <c r="A108" s="625"/>
      <c r="B108" s="629"/>
      <c r="C108" s="629"/>
      <c r="D108" s="629"/>
      <c r="E108" s="499" t="s">
        <v>515</v>
      </c>
      <c r="F108" s="140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28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 x14ac:dyDescent="0.25">
      <c r="A109" s="625"/>
      <c r="B109" s="629"/>
      <c r="C109" s="629"/>
      <c r="D109" s="629"/>
      <c r="E109" s="499" t="s">
        <v>516</v>
      </c>
      <c r="F109" s="140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28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 x14ac:dyDescent="0.25">
      <c r="A110" s="625"/>
      <c r="B110" s="630"/>
      <c r="C110" s="630"/>
      <c r="D110" s="630"/>
      <c r="E110" s="499" t="s">
        <v>517</v>
      </c>
      <c r="F110" s="140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28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 x14ac:dyDescent="0.25">
      <c r="A111" s="625"/>
      <c r="B111" s="628" t="s">
        <v>518</v>
      </c>
      <c r="C111" s="628" t="s">
        <v>519</v>
      </c>
      <c r="D111" s="628" t="s">
        <v>520</v>
      </c>
      <c r="E111" s="499" t="s">
        <v>521</v>
      </c>
      <c r="F111" s="140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28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 x14ac:dyDescent="0.25">
      <c r="A112" s="625"/>
      <c r="B112" s="629"/>
      <c r="C112" s="629"/>
      <c r="D112" s="629"/>
      <c r="E112" s="499" t="s">
        <v>522</v>
      </c>
      <c r="F112" s="140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28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 x14ac:dyDescent="0.25">
      <c r="A113" s="625"/>
      <c r="B113" s="629"/>
      <c r="C113" s="629"/>
      <c r="D113" s="630"/>
      <c r="E113" s="499" t="s">
        <v>523</v>
      </c>
      <c r="F113" s="140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28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 x14ac:dyDescent="0.25">
      <c r="A114" s="625"/>
      <c r="B114" s="629"/>
      <c r="C114" s="629"/>
      <c r="D114" s="628" t="s">
        <v>524</v>
      </c>
      <c r="E114" s="499" t="s">
        <v>525</v>
      </c>
      <c r="F114" s="140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28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 x14ac:dyDescent="0.25">
      <c r="A115" s="625"/>
      <c r="B115" s="629"/>
      <c r="C115" s="629"/>
      <c r="D115" s="629"/>
      <c r="E115" s="499" t="s">
        <v>526</v>
      </c>
      <c r="F115" s="140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28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 x14ac:dyDescent="0.25">
      <c r="A116" s="625"/>
      <c r="B116" s="629"/>
      <c r="C116" s="629"/>
      <c r="D116" s="629"/>
      <c r="E116" s="499" t="s">
        <v>527</v>
      </c>
      <c r="F116" s="140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28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 x14ac:dyDescent="0.25">
      <c r="A117" s="625"/>
      <c r="B117" s="629"/>
      <c r="C117" s="629"/>
      <c r="D117" s="630"/>
      <c r="E117" s="499" t="s">
        <v>528</v>
      </c>
      <c r="F117" s="140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28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 x14ac:dyDescent="0.25">
      <c r="A118" s="625"/>
      <c r="B118" s="629"/>
      <c r="C118" s="629"/>
      <c r="D118" s="628" t="s">
        <v>529</v>
      </c>
      <c r="E118" s="499" t="s">
        <v>530</v>
      </c>
      <c r="F118" s="140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28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 x14ac:dyDescent="0.25">
      <c r="A119" s="625"/>
      <c r="B119" s="629"/>
      <c r="C119" s="630"/>
      <c r="D119" s="630"/>
      <c r="E119" s="499" t="s">
        <v>531</v>
      </c>
      <c r="F119" s="140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28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 x14ac:dyDescent="0.25">
      <c r="A120" s="625"/>
      <c r="B120" s="629"/>
      <c r="C120" s="628" t="s">
        <v>532</v>
      </c>
      <c r="D120" s="628" t="s">
        <v>533</v>
      </c>
      <c r="E120" s="499" t="s">
        <v>534</v>
      </c>
      <c r="F120" s="140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28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 x14ac:dyDescent="0.25">
      <c r="A121" s="625"/>
      <c r="B121" s="629"/>
      <c r="C121" s="629"/>
      <c r="D121" s="629"/>
      <c r="E121" s="499" t="s">
        <v>535</v>
      </c>
      <c r="F121" s="140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28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 x14ac:dyDescent="0.25">
      <c r="A122" s="625"/>
      <c r="B122" s="629"/>
      <c r="C122" s="629"/>
      <c r="D122" s="629"/>
      <c r="E122" s="499" t="s">
        <v>536</v>
      </c>
      <c r="F122" s="140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28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 x14ac:dyDescent="0.25">
      <c r="A123" s="625"/>
      <c r="B123" s="629"/>
      <c r="C123" s="629"/>
      <c r="D123" s="629"/>
      <c r="E123" s="499" t="s">
        <v>537</v>
      </c>
      <c r="F123" s="140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28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 x14ac:dyDescent="0.25">
      <c r="A124" s="625"/>
      <c r="B124" s="629"/>
      <c r="C124" s="629"/>
      <c r="D124" s="629"/>
      <c r="E124" s="499" t="s">
        <v>538</v>
      </c>
      <c r="F124" s="140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28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 x14ac:dyDescent="0.25">
      <c r="A125" s="625"/>
      <c r="B125" s="629"/>
      <c r="C125" s="629"/>
      <c r="D125" s="630"/>
      <c r="E125" s="499" t="s">
        <v>539</v>
      </c>
      <c r="F125" s="140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28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 x14ac:dyDescent="0.25">
      <c r="A126" s="625"/>
      <c r="B126" s="629"/>
      <c r="C126" s="629"/>
      <c r="D126" s="628" t="s">
        <v>540</v>
      </c>
      <c r="E126" s="499" t="s">
        <v>541</v>
      </c>
      <c r="F126" s="140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28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 x14ac:dyDescent="0.25">
      <c r="A127" s="625"/>
      <c r="B127" s="629"/>
      <c r="C127" s="630"/>
      <c r="D127" s="630"/>
      <c r="E127" s="499" t="s">
        <v>542</v>
      </c>
      <c r="F127" s="140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28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 x14ac:dyDescent="0.25">
      <c r="A128" s="625"/>
      <c r="B128" s="629"/>
      <c r="C128" s="628" t="s">
        <v>543</v>
      </c>
      <c r="D128" s="628" t="s">
        <v>544</v>
      </c>
      <c r="E128" s="499" t="s">
        <v>545</v>
      </c>
      <c r="F128" s="140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28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 x14ac:dyDescent="0.25">
      <c r="A129" s="625"/>
      <c r="B129" s="629"/>
      <c r="C129" s="629"/>
      <c r="D129" s="629"/>
      <c r="E129" s="499" t="s">
        <v>546</v>
      </c>
      <c r="F129" s="140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28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 x14ac:dyDescent="0.25">
      <c r="A130" s="625"/>
      <c r="B130" s="629"/>
      <c r="C130" s="629"/>
      <c r="D130" s="629"/>
      <c r="E130" s="499" t="s">
        <v>547</v>
      </c>
      <c r="F130" s="140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28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 x14ac:dyDescent="0.25">
      <c r="A131" s="625"/>
      <c r="B131" s="629"/>
      <c r="C131" s="629"/>
      <c r="D131" s="630"/>
      <c r="E131" s="499" t="s">
        <v>548</v>
      </c>
      <c r="F131" s="140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28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 x14ac:dyDescent="0.3">
      <c r="A132" s="627"/>
      <c r="B132" s="631"/>
      <c r="C132" s="631"/>
      <c r="D132" s="636" t="s">
        <v>549</v>
      </c>
      <c r="E132" s="637"/>
      <c r="F132" s="141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06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 x14ac:dyDescent="0.25">
      <c r="A133" s="247"/>
      <c r="B133" s="247"/>
      <c r="C133" s="247"/>
      <c r="D133" s="247"/>
      <c r="E133" s="500"/>
      <c r="F133" s="248"/>
      <c r="H133" s="193"/>
      <c r="I133" s="234"/>
      <c r="J133" s="235"/>
      <c r="K133" s="236"/>
      <c r="L133" s="236"/>
      <c r="M133" s="237"/>
      <c r="O133" s="237"/>
      <c r="Q133" s="237"/>
      <c r="S133" s="237"/>
      <c r="U133" s="237"/>
      <c r="W133" s="237"/>
      <c r="Y133" s="237"/>
      <c r="AA133" s="237"/>
      <c r="AC133" s="237"/>
      <c r="AE133" s="237"/>
      <c r="AG133" s="237"/>
      <c r="AI133" s="237"/>
      <c r="AK133" s="237"/>
    </row>
    <row r="134" spans="1:37" ht="12" thickBot="1" x14ac:dyDescent="0.3">
      <c r="F134" s="54" t="s">
        <v>672</v>
      </c>
    </row>
    <row r="135" spans="1:37" x14ac:dyDescent="0.25">
      <c r="D135" s="14" t="s">
        <v>674</v>
      </c>
      <c r="F135" s="245">
        <f t="shared" ref="F135:F166" si="77">F$187+(H135-H$187)*H$15</f>
        <v>-9676</v>
      </c>
      <c r="G135" s="143">
        <v>2</v>
      </c>
      <c r="H135" s="246">
        <v>1E-13</v>
      </c>
      <c r="I135" s="145" t="str">
        <f t="shared" ref="I135" si="78">M135&amp;";"&amp;O135&amp;Q135&amp;S135&amp;U135&amp;W135&amp;Y135&amp;AA135&amp;AC135&amp;AE135&amp;AG135&amp;AI135&amp;AK135</f>
        <v>0;00</v>
      </c>
      <c r="J135" s="146">
        <v>2</v>
      </c>
      <c r="K135" s="194">
        <f t="shared" ref="K135" si="79">H135/POWER(12,J135)</f>
        <v>6.944444444444445E-16</v>
      </c>
      <c r="L135" s="14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 x14ac:dyDescent="0.25">
      <c r="F136" s="91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28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 x14ac:dyDescent="0.25">
      <c r="F137" s="91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28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 x14ac:dyDescent="0.25">
      <c r="F138" s="91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28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 x14ac:dyDescent="0.25">
      <c r="F139" s="91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28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 x14ac:dyDescent="0.25">
      <c r="F140" s="91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28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 x14ac:dyDescent="0.25">
      <c r="F141" s="91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28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 x14ac:dyDescent="0.25">
      <c r="F142" s="91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28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 x14ac:dyDescent="0.25">
      <c r="F143" s="91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28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 x14ac:dyDescent="0.25">
      <c r="F144" s="91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28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 x14ac:dyDescent="0.25">
      <c r="F145" s="91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28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 x14ac:dyDescent="0.25">
      <c r="F146" s="91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28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 x14ac:dyDescent="0.25">
      <c r="E147" s="445" t="s">
        <v>1379</v>
      </c>
      <c r="F147" s="91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28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 x14ac:dyDescent="0.25">
      <c r="E148" s="445" t="s">
        <v>1380</v>
      </c>
      <c r="F148" s="91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28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 x14ac:dyDescent="0.25">
      <c r="E149" s="445" t="s">
        <v>1381</v>
      </c>
      <c r="F149" s="91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28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 x14ac:dyDescent="0.25">
      <c r="E150" s="445" t="s">
        <v>1382</v>
      </c>
      <c r="F150" s="91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28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 x14ac:dyDescent="0.25">
      <c r="E151" s="445" t="s">
        <v>1383</v>
      </c>
      <c r="F151" s="91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28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 x14ac:dyDescent="0.25">
      <c r="E152" s="445" t="s">
        <v>1384</v>
      </c>
      <c r="F152" s="91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28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 x14ac:dyDescent="0.25">
      <c r="E153" s="445" t="s">
        <v>1385</v>
      </c>
      <c r="F153" s="91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28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 x14ac:dyDescent="0.25">
      <c r="E154" s="445" t="s">
        <v>1386</v>
      </c>
      <c r="F154" s="91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28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 x14ac:dyDescent="0.25">
      <c r="E155" s="445" t="s">
        <v>1387</v>
      </c>
      <c r="F155" s="91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28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 x14ac:dyDescent="0.25">
      <c r="E156" s="445" t="s">
        <v>1388</v>
      </c>
      <c r="F156" s="91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28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 x14ac:dyDescent="0.25">
      <c r="E157" s="445" t="s">
        <v>1389</v>
      </c>
      <c r="F157" s="91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28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 x14ac:dyDescent="0.25">
      <c r="E158" s="445" t="s">
        <v>1390</v>
      </c>
      <c r="F158" s="91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28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 x14ac:dyDescent="0.25">
      <c r="E159" s="445" t="s">
        <v>1391</v>
      </c>
      <c r="F159" s="91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28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 x14ac:dyDescent="0.25">
      <c r="E160" s="445" t="s">
        <v>1392</v>
      </c>
      <c r="F160" s="91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28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 x14ac:dyDescent="0.25">
      <c r="E161" s="445" t="s">
        <v>1393</v>
      </c>
      <c r="F161" s="91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28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 x14ac:dyDescent="0.25">
      <c r="E162" s="445" t="s">
        <v>1394</v>
      </c>
      <c r="F162" s="91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28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 x14ac:dyDescent="0.25">
      <c r="E163" s="445" t="s">
        <v>1395</v>
      </c>
      <c r="F163" s="91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28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 x14ac:dyDescent="0.25">
      <c r="E164" s="445" t="s">
        <v>1396</v>
      </c>
      <c r="F164" s="91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28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 x14ac:dyDescent="0.25">
      <c r="E165" s="445" t="s">
        <v>1397</v>
      </c>
      <c r="F165" s="91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28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 x14ac:dyDescent="0.25">
      <c r="E166" s="445" t="s">
        <v>1398</v>
      </c>
      <c r="F166" s="91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28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 x14ac:dyDescent="0.25">
      <c r="E167" s="445" t="s">
        <v>1399</v>
      </c>
      <c r="F167" s="91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28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 x14ac:dyDescent="0.25">
      <c r="E168" s="445" t="s">
        <v>1400</v>
      </c>
      <c r="F168" s="91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28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 x14ac:dyDescent="0.25">
      <c r="E169" s="445" t="s">
        <v>1401</v>
      </c>
      <c r="F169" s="91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28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 x14ac:dyDescent="0.25">
      <c r="E170" s="445" t="s">
        <v>1402</v>
      </c>
      <c r="F170" s="91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28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 x14ac:dyDescent="0.25">
      <c r="E171" s="445" t="s">
        <v>1403</v>
      </c>
      <c r="F171" s="91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28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 x14ac:dyDescent="0.25">
      <c r="E172" s="445" t="s">
        <v>1404</v>
      </c>
      <c r="F172" s="91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28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 x14ac:dyDescent="0.25">
      <c r="E173" s="445" t="s">
        <v>1405</v>
      </c>
      <c r="F173" s="91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28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 x14ac:dyDescent="0.25">
      <c r="E174" s="445" t="s">
        <v>1406</v>
      </c>
      <c r="F174" s="91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28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 x14ac:dyDescent="0.25">
      <c r="E175" s="445" t="s">
        <v>1407</v>
      </c>
      <c r="F175" s="91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28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 x14ac:dyDescent="0.25">
      <c r="E176" s="445" t="s">
        <v>1408</v>
      </c>
      <c r="F176" s="91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28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 x14ac:dyDescent="0.25">
      <c r="E177" s="445" t="s">
        <v>1409</v>
      </c>
      <c r="F177" s="91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28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 x14ac:dyDescent="0.25">
      <c r="E178" s="445" t="s">
        <v>1410</v>
      </c>
      <c r="F178" s="91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28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 x14ac:dyDescent="0.25">
      <c r="E179" s="445" t="s">
        <v>1411</v>
      </c>
      <c r="F179" s="91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28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 x14ac:dyDescent="0.25">
      <c r="E180" s="445" t="s">
        <v>1412</v>
      </c>
      <c r="F180" s="91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28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 x14ac:dyDescent="0.25">
      <c r="E181" s="445" t="s">
        <v>1413</v>
      </c>
      <c r="F181" s="91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28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 x14ac:dyDescent="0.25">
      <c r="E182" s="445" t="s">
        <v>1414</v>
      </c>
      <c r="F182" s="91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28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 x14ac:dyDescent="0.25">
      <c r="E183" s="445" t="s">
        <v>1415</v>
      </c>
      <c r="F183" s="91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28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 x14ac:dyDescent="0.25">
      <c r="E184" s="445" t="s">
        <v>1416</v>
      </c>
      <c r="F184" s="91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28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 x14ac:dyDescent="0.25">
      <c r="E185" s="445" t="s">
        <v>1417</v>
      </c>
      <c r="F185" s="91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28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 x14ac:dyDescent="0.25">
      <c r="E186" s="445" t="s">
        <v>1418</v>
      </c>
      <c r="F186" s="265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28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 x14ac:dyDescent="0.3">
      <c r="E187" s="445" t="s">
        <v>1419</v>
      </c>
      <c r="F187" s="105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06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  <mergeCell ref="A18:E18"/>
    <mergeCell ref="B19:E19"/>
    <mergeCell ref="B20:E20"/>
    <mergeCell ref="B21:E21"/>
    <mergeCell ref="B22:E2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C88:C98"/>
    <mergeCell ref="C99:C110"/>
    <mergeCell ref="C111:C119"/>
    <mergeCell ref="C120:C127"/>
    <mergeCell ref="C128:C132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 x14ac:dyDescent="0.25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 x14ac:dyDescent="0.25">
      <c r="K2" s="14" t="s">
        <v>1036</v>
      </c>
      <c r="M2" s="308">
        <v>1</v>
      </c>
    </row>
    <row r="3" spans="1:36" x14ac:dyDescent="0.25">
      <c r="K3" s="14" t="s">
        <v>1037</v>
      </c>
      <c r="M3" s="308">
        <f>Rydberg!K$39</f>
        <v>1.0004360634131053</v>
      </c>
      <c r="O3" s="14" t="s">
        <v>1049</v>
      </c>
    </row>
    <row r="4" spans="1:36" x14ac:dyDescent="0.25">
      <c r="K4" s="14" t="s">
        <v>1045</v>
      </c>
      <c r="M4" s="308">
        <f>Bohr!K$39</f>
        <v>1.0038955801289535</v>
      </c>
    </row>
    <row r="5" spans="1:36" x14ac:dyDescent="0.25">
      <c r="K5" s="14" t="s">
        <v>1038</v>
      </c>
      <c r="M5" s="308">
        <f>Clock!K$39</f>
        <v>1.0013524487446377</v>
      </c>
      <c r="O5" s="14" t="s">
        <v>1050</v>
      </c>
    </row>
    <row r="6" spans="1:36" x14ac:dyDescent="0.25">
      <c r="K6" s="14" t="s">
        <v>264</v>
      </c>
      <c r="M6" s="308">
        <f>Clock_by_Rydberg!K$39</f>
        <v>1.0013527438338639</v>
      </c>
      <c r="O6" s="14" t="s">
        <v>1048</v>
      </c>
    </row>
    <row r="7" spans="1:36" ht="12" thickBot="1" x14ac:dyDescent="0.3">
      <c r="A7" s="138" t="s">
        <v>1051</v>
      </c>
      <c r="B7" s="325" t="s">
        <v>1052</v>
      </c>
      <c r="D7" s="638" t="s">
        <v>1036</v>
      </c>
      <c r="E7" s="638"/>
      <c r="F7" s="326" t="s">
        <v>1053</v>
      </c>
      <c r="G7" s="324">
        <v>1.0013527423362005</v>
      </c>
      <c r="M7" s="308"/>
    </row>
    <row r="8" spans="1:36" ht="14.25" customHeight="1" x14ac:dyDescent="0.25">
      <c r="A8" s="642" t="s">
        <v>1043</v>
      </c>
      <c r="B8" s="644" t="s">
        <v>1046</v>
      </c>
      <c r="C8" s="644" t="s">
        <v>1047</v>
      </c>
      <c r="D8" s="640" t="s">
        <v>1039</v>
      </c>
      <c r="E8" s="641"/>
      <c r="F8" s="309"/>
      <c r="G8" s="309"/>
      <c r="H8" s="309"/>
      <c r="I8" s="311"/>
      <c r="J8" s="312"/>
      <c r="K8" s="310"/>
    </row>
    <row r="9" spans="1:36" x14ac:dyDescent="0.25">
      <c r="A9" s="643"/>
      <c r="B9" s="645"/>
      <c r="C9" s="645"/>
      <c r="D9" s="313" t="s">
        <v>1041</v>
      </c>
      <c r="E9" s="313" t="s">
        <v>1042</v>
      </c>
      <c r="F9" s="52" t="s">
        <v>54</v>
      </c>
      <c r="G9" s="34" t="s">
        <v>1040</v>
      </c>
      <c r="H9" s="34" t="s">
        <v>45</v>
      </c>
      <c r="I9" s="576" t="s">
        <v>80</v>
      </c>
      <c r="J9" s="639"/>
      <c r="K9" s="120" t="s">
        <v>213</v>
      </c>
      <c r="L9" s="255">
        <v>0</v>
      </c>
      <c r="M9" s="256"/>
      <c r="N9" s="256">
        <f>L9+1</f>
        <v>1</v>
      </c>
      <c r="O9" s="256"/>
      <c r="P9" s="256">
        <f>N9+1</f>
        <v>2</v>
      </c>
      <c r="Q9" s="256"/>
      <c r="R9" s="256">
        <f>P9+1</f>
        <v>3</v>
      </c>
      <c r="S9" s="256"/>
      <c r="T9" s="256">
        <f>R9+1</f>
        <v>4</v>
      </c>
      <c r="U9" s="256"/>
      <c r="V9" s="256">
        <f>T9+1</f>
        <v>5</v>
      </c>
      <c r="W9" s="256"/>
      <c r="X9" s="256">
        <f>V9+1</f>
        <v>6</v>
      </c>
      <c r="Y9" s="256"/>
      <c r="Z9" s="256">
        <f>X9+1</f>
        <v>7</v>
      </c>
      <c r="AA9" s="256"/>
      <c r="AB9" s="256">
        <f>Z9+1</f>
        <v>8</v>
      </c>
      <c r="AC9" s="256"/>
      <c r="AD9" s="256">
        <f>AB9+1</f>
        <v>9</v>
      </c>
      <c r="AE9" s="256"/>
      <c r="AF9" s="256">
        <f>AD9+1</f>
        <v>10</v>
      </c>
      <c r="AG9" s="256"/>
      <c r="AH9" s="256">
        <f>AF9+1</f>
        <v>11</v>
      </c>
      <c r="AI9" s="256"/>
      <c r="AJ9" s="256">
        <f>AH9+1</f>
        <v>12</v>
      </c>
    </row>
    <row r="10" spans="1:36" x14ac:dyDescent="0.25">
      <c r="A10" s="314" t="s">
        <v>799</v>
      </c>
      <c r="B10" s="315">
        <v>1</v>
      </c>
      <c r="C10" s="316" t="s">
        <v>798</v>
      </c>
      <c r="D10" s="317">
        <v>1.0079400000000001</v>
      </c>
      <c r="E10" s="31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28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 x14ac:dyDescent="0.25">
      <c r="A11" s="314"/>
      <c r="B11" s="315"/>
      <c r="C11" s="316"/>
      <c r="D11" s="317"/>
      <c r="E11" s="31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28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 x14ac:dyDescent="0.25">
      <c r="A12" s="314" t="s">
        <v>801</v>
      </c>
      <c r="B12" s="315"/>
      <c r="C12" s="316" t="s">
        <v>800</v>
      </c>
      <c r="D12" s="317"/>
      <c r="E12" s="31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28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 x14ac:dyDescent="0.25">
      <c r="A13" s="314" t="s">
        <v>803</v>
      </c>
      <c r="B13" s="315">
        <v>2</v>
      </c>
      <c r="C13" s="316" t="s">
        <v>802</v>
      </c>
      <c r="D13" s="317">
        <v>4.0026020000000004</v>
      </c>
      <c r="E13" s="31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28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 x14ac:dyDescent="0.25">
      <c r="A14" s="314"/>
      <c r="B14" s="315"/>
      <c r="C14" s="316"/>
      <c r="D14" s="317"/>
      <c r="E14" s="31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28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 x14ac:dyDescent="0.25">
      <c r="A15" s="314" t="s">
        <v>805</v>
      </c>
      <c r="B15" s="315">
        <v>3</v>
      </c>
      <c r="C15" s="316" t="s">
        <v>804</v>
      </c>
      <c r="D15" s="317">
        <v>6.9409999999999998</v>
      </c>
      <c r="E15" s="31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28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 x14ac:dyDescent="0.25">
      <c r="A16" s="314"/>
      <c r="B16" s="315"/>
      <c r="C16" s="316"/>
      <c r="D16" s="317"/>
      <c r="E16" s="31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28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 x14ac:dyDescent="0.25">
      <c r="A17" s="314" t="s">
        <v>807</v>
      </c>
      <c r="B17" s="315">
        <v>4</v>
      </c>
      <c r="C17" s="316" t="s">
        <v>806</v>
      </c>
      <c r="D17" s="317">
        <v>9.0121819999999992</v>
      </c>
      <c r="E17" s="31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28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 x14ac:dyDescent="0.25">
      <c r="A18" s="314"/>
      <c r="B18" s="315"/>
      <c r="C18" s="316"/>
      <c r="D18" s="317"/>
      <c r="E18" s="31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28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 x14ac:dyDescent="0.25">
      <c r="A19" s="314" t="s">
        <v>809</v>
      </c>
      <c r="B19" s="315">
        <v>5</v>
      </c>
      <c r="C19" s="316" t="s">
        <v>808</v>
      </c>
      <c r="D19" s="317">
        <v>10.811</v>
      </c>
      <c r="E19" s="31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28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 x14ac:dyDescent="0.25">
      <c r="A20" s="314"/>
      <c r="B20" s="315"/>
      <c r="C20" s="316"/>
      <c r="D20" s="317"/>
      <c r="E20" s="31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28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 x14ac:dyDescent="0.25">
      <c r="A21" s="314" t="s">
        <v>811</v>
      </c>
      <c r="B21" s="315">
        <v>6</v>
      </c>
      <c r="C21" s="316" t="s">
        <v>810</v>
      </c>
      <c r="D21" s="317">
        <v>12.0107</v>
      </c>
      <c r="E21" s="31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28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 x14ac:dyDescent="0.25">
      <c r="A22" s="314"/>
      <c r="B22" s="315"/>
      <c r="C22" s="316"/>
      <c r="D22" s="317"/>
      <c r="E22" s="31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28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 x14ac:dyDescent="0.25">
      <c r="A23" s="314" t="s">
        <v>813</v>
      </c>
      <c r="B23" s="315"/>
      <c r="C23" s="316" t="s">
        <v>812</v>
      </c>
      <c r="D23" s="317"/>
      <c r="E23" s="31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28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 x14ac:dyDescent="0.25">
      <c r="A24" s="314" t="s">
        <v>815</v>
      </c>
      <c r="B24" s="315">
        <v>7</v>
      </c>
      <c r="C24" s="316" t="s">
        <v>814</v>
      </c>
      <c r="D24" s="317">
        <v>14.0067</v>
      </c>
      <c r="E24" s="31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28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 x14ac:dyDescent="0.25">
      <c r="A25" s="314"/>
      <c r="B25" s="315"/>
      <c r="C25" s="316"/>
      <c r="D25" s="317"/>
      <c r="E25" s="31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28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 x14ac:dyDescent="0.25">
      <c r="A26" s="314" t="s">
        <v>817</v>
      </c>
      <c r="B26" s="315"/>
      <c r="C26" s="316" t="s">
        <v>816</v>
      </c>
      <c r="D26" s="317"/>
      <c r="E26" s="31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28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 x14ac:dyDescent="0.25">
      <c r="A27" s="314" t="s">
        <v>819</v>
      </c>
      <c r="B27" s="315">
        <v>8</v>
      </c>
      <c r="C27" s="316" t="s">
        <v>818</v>
      </c>
      <c r="D27" s="317">
        <v>15.9994</v>
      </c>
      <c r="E27" s="31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28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 x14ac:dyDescent="0.25">
      <c r="A28" s="314"/>
      <c r="B28" s="315"/>
      <c r="C28" s="316"/>
      <c r="D28" s="317"/>
      <c r="E28" s="31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28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 x14ac:dyDescent="0.25">
      <c r="A29" s="314" t="s">
        <v>821</v>
      </c>
      <c r="B29" s="315">
        <v>9</v>
      </c>
      <c r="C29" s="316" t="s">
        <v>820</v>
      </c>
      <c r="D29" s="317">
        <v>18.998403199999998</v>
      </c>
      <c r="E29" s="31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28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 x14ac:dyDescent="0.25">
      <c r="A30" s="314"/>
      <c r="B30" s="315"/>
      <c r="C30" s="316"/>
      <c r="D30" s="317"/>
      <c r="E30" s="31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28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 x14ac:dyDescent="0.25">
      <c r="A31" s="314" t="s">
        <v>823</v>
      </c>
      <c r="B31" s="315">
        <v>10</v>
      </c>
      <c r="C31" s="316" t="s">
        <v>822</v>
      </c>
      <c r="D31" s="317">
        <v>20.1797</v>
      </c>
      <c r="E31" s="31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28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 x14ac:dyDescent="0.25">
      <c r="A32" s="314"/>
      <c r="B32" s="315"/>
      <c r="C32" s="316"/>
      <c r="D32" s="317"/>
      <c r="E32" s="31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28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 x14ac:dyDescent="0.25">
      <c r="A33" s="314" t="s">
        <v>825</v>
      </c>
      <c r="B33" s="315">
        <v>11</v>
      </c>
      <c r="C33" s="316" t="s">
        <v>824</v>
      </c>
      <c r="D33" s="317">
        <v>22.989769280000001</v>
      </c>
      <c r="E33" s="31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28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 x14ac:dyDescent="0.25">
      <c r="A34" s="314"/>
      <c r="B34" s="315"/>
      <c r="C34" s="316"/>
      <c r="D34" s="317"/>
      <c r="E34" s="31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28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 x14ac:dyDescent="0.25">
      <c r="A35" s="314" t="s">
        <v>827</v>
      </c>
      <c r="B35" s="315">
        <v>12</v>
      </c>
      <c r="C35" s="316" t="s">
        <v>826</v>
      </c>
      <c r="D35" s="317">
        <v>24.305</v>
      </c>
      <c r="E35" s="31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28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 x14ac:dyDescent="0.25">
      <c r="A36" s="314"/>
      <c r="B36" s="315"/>
      <c r="C36" s="316"/>
      <c r="D36" s="317"/>
      <c r="E36" s="31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28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 x14ac:dyDescent="0.25">
      <c r="A37" s="314" t="s">
        <v>829</v>
      </c>
      <c r="B37" s="315">
        <v>13</v>
      </c>
      <c r="C37" s="316" t="s">
        <v>828</v>
      </c>
      <c r="D37" s="317">
        <v>26.9815386</v>
      </c>
      <c r="E37" s="31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28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 x14ac:dyDescent="0.25">
      <c r="A38" s="314"/>
      <c r="B38" s="315"/>
      <c r="C38" s="316"/>
      <c r="D38" s="317"/>
      <c r="E38" s="31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28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 x14ac:dyDescent="0.25">
      <c r="A39" s="314" t="s">
        <v>831</v>
      </c>
      <c r="B39" s="315">
        <v>14</v>
      </c>
      <c r="C39" s="316" t="s">
        <v>830</v>
      </c>
      <c r="D39" s="317">
        <v>28.0855</v>
      </c>
      <c r="E39" s="31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28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 x14ac:dyDescent="0.25">
      <c r="A40" s="314"/>
      <c r="B40" s="315"/>
      <c r="C40" s="316"/>
      <c r="D40" s="317"/>
      <c r="E40" s="31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28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 x14ac:dyDescent="0.25">
      <c r="A41" s="314" t="s">
        <v>833</v>
      </c>
      <c r="B41" s="315">
        <v>15</v>
      </c>
      <c r="C41" s="316" t="s">
        <v>832</v>
      </c>
      <c r="D41" s="317">
        <v>30.973762000000001</v>
      </c>
      <c r="E41" s="31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28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 x14ac:dyDescent="0.25">
      <c r="A42" s="314"/>
      <c r="B42" s="315"/>
      <c r="C42" s="316"/>
      <c r="D42" s="317"/>
      <c r="E42" s="31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28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 x14ac:dyDescent="0.25">
      <c r="A43" s="314" t="s">
        <v>835</v>
      </c>
      <c r="B43" s="315">
        <v>16</v>
      </c>
      <c r="C43" s="316" t="s">
        <v>834</v>
      </c>
      <c r="D43" s="317">
        <v>32.064999999999998</v>
      </c>
      <c r="E43" s="31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28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 x14ac:dyDescent="0.25">
      <c r="A44" s="314"/>
      <c r="B44" s="315"/>
      <c r="C44" s="316"/>
      <c r="D44" s="317"/>
      <c r="E44" s="31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28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 x14ac:dyDescent="0.25">
      <c r="A45" s="314" t="s">
        <v>837</v>
      </c>
      <c r="B45" s="315">
        <v>17</v>
      </c>
      <c r="C45" s="316" t="s">
        <v>836</v>
      </c>
      <c r="D45" s="317">
        <v>35.453000000000003</v>
      </c>
      <c r="E45" s="31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28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 x14ac:dyDescent="0.25">
      <c r="A46" s="314"/>
      <c r="B46" s="315"/>
      <c r="C46" s="316"/>
      <c r="D46" s="317"/>
      <c r="E46" s="31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28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 x14ac:dyDescent="0.25">
      <c r="A47" s="314" t="s">
        <v>839</v>
      </c>
      <c r="B47" s="315">
        <v>18</v>
      </c>
      <c r="C47" s="316" t="s">
        <v>838</v>
      </c>
      <c r="D47" s="317">
        <v>39.948</v>
      </c>
      <c r="E47" s="31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28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 x14ac:dyDescent="0.25">
      <c r="A48" s="314"/>
      <c r="B48" s="315"/>
      <c r="C48" s="316"/>
      <c r="D48" s="317"/>
      <c r="E48" s="31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28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 x14ac:dyDescent="0.25">
      <c r="A49" s="314" t="s">
        <v>840</v>
      </c>
      <c r="B49" s="315">
        <v>19</v>
      </c>
      <c r="C49" s="316" t="s">
        <v>583</v>
      </c>
      <c r="D49" s="317">
        <v>39.098300000000002</v>
      </c>
      <c r="E49" s="31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28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 x14ac:dyDescent="0.25">
      <c r="A50" s="314"/>
      <c r="B50" s="315"/>
      <c r="C50" s="316"/>
      <c r="D50" s="317"/>
      <c r="E50" s="31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28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 x14ac:dyDescent="0.25">
      <c r="A51" s="314" t="s">
        <v>842</v>
      </c>
      <c r="B51" s="315">
        <v>20</v>
      </c>
      <c r="C51" s="316" t="s">
        <v>841</v>
      </c>
      <c r="D51" s="317">
        <v>40.078000000000003</v>
      </c>
      <c r="E51" s="31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28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 x14ac:dyDescent="0.25">
      <c r="A52" s="314"/>
      <c r="B52" s="315"/>
      <c r="C52" s="316"/>
      <c r="D52" s="317"/>
      <c r="E52" s="31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28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 x14ac:dyDescent="0.25">
      <c r="A53" s="314" t="s">
        <v>844</v>
      </c>
      <c r="B53" s="315">
        <v>21</v>
      </c>
      <c r="C53" s="316" t="s">
        <v>843</v>
      </c>
      <c r="D53" s="317">
        <v>44.955910000000003</v>
      </c>
      <c r="E53" s="31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28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 x14ac:dyDescent="0.25">
      <c r="A54" s="314"/>
      <c r="B54" s="315"/>
      <c r="C54" s="316"/>
      <c r="D54" s="317"/>
      <c r="E54" s="31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28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 x14ac:dyDescent="0.25">
      <c r="A55" s="314" t="s">
        <v>846</v>
      </c>
      <c r="B55" s="315">
        <v>22</v>
      </c>
      <c r="C55" s="316" t="s">
        <v>845</v>
      </c>
      <c r="D55" s="317">
        <v>47.866999999999997</v>
      </c>
      <c r="E55" s="31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28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 x14ac:dyDescent="0.25">
      <c r="A56" s="314"/>
      <c r="B56" s="315"/>
      <c r="C56" s="316"/>
      <c r="D56" s="317"/>
      <c r="E56" s="31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28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 x14ac:dyDescent="0.25">
      <c r="A57" s="314" t="s">
        <v>848</v>
      </c>
      <c r="B57" s="315">
        <v>23</v>
      </c>
      <c r="C57" s="316" t="s">
        <v>847</v>
      </c>
      <c r="D57" s="317">
        <v>50.941499999999998</v>
      </c>
      <c r="E57" s="31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28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 x14ac:dyDescent="0.25">
      <c r="A58" s="314"/>
      <c r="B58" s="315"/>
      <c r="C58" s="316"/>
      <c r="D58" s="317"/>
      <c r="E58" s="31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28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 x14ac:dyDescent="0.25">
      <c r="A59" s="314" t="s">
        <v>850</v>
      </c>
      <c r="B59" s="315">
        <v>24</v>
      </c>
      <c r="C59" s="316" t="s">
        <v>849</v>
      </c>
      <c r="D59" s="317">
        <v>51.996099999999998</v>
      </c>
      <c r="E59" s="31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28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 x14ac:dyDescent="0.25">
      <c r="A60" s="314"/>
      <c r="B60" s="315"/>
      <c r="C60" s="316"/>
      <c r="D60" s="317"/>
      <c r="E60" s="31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28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 x14ac:dyDescent="0.25">
      <c r="A61" s="314" t="s">
        <v>852</v>
      </c>
      <c r="B61" s="315">
        <v>25</v>
      </c>
      <c r="C61" s="316" t="s">
        <v>851</v>
      </c>
      <c r="D61" s="317">
        <v>54.938045000000002</v>
      </c>
      <c r="E61" s="31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28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 x14ac:dyDescent="0.25">
      <c r="A62" s="314"/>
      <c r="B62" s="315"/>
      <c r="C62" s="316"/>
      <c r="D62" s="317"/>
      <c r="E62" s="31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28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 x14ac:dyDescent="0.25">
      <c r="A63" s="314" t="s">
        <v>854</v>
      </c>
      <c r="B63" s="315">
        <v>26</v>
      </c>
      <c r="C63" s="316" t="s">
        <v>853</v>
      </c>
      <c r="D63" s="317">
        <v>55.844999999999999</v>
      </c>
      <c r="E63" s="31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28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 x14ac:dyDescent="0.25">
      <c r="A64" s="314"/>
      <c r="B64" s="315"/>
      <c r="C64" s="316"/>
      <c r="D64" s="317"/>
      <c r="E64" s="31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28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 x14ac:dyDescent="0.25">
      <c r="A65" s="314" t="s">
        <v>856</v>
      </c>
      <c r="B65" s="315">
        <v>27</v>
      </c>
      <c r="C65" s="316" t="s">
        <v>855</v>
      </c>
      <c r="D65" s="317">
        <v>58.933194999999998</v>
      </c>
      <c r="E65" s="31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28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 x14ac:dyDescent="0.25">
      <c r="A66" s="314"/>
      <c r="B66" s="315"/>
      <c r="C66" s="316"/>
      <c r="D66" s="317"/>
      <c r="E66" s="31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28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 x14ac:dyDescent="0.25">
      <c r="A67" s="314" t="s">
        <v>858</v>
      </c>
      <c r="B67" s="315">
        <v>28</v>
      </c>
      <c r="C67" s="316" t="s">
        <v>857</v>
      </c>
      <c r="D67" s="317">
        <v>58.693399999999997</v>
      </c>
      <c r="E67" s="31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28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 x14ac:dyDescent="0.25">
      <c r="A68" s="314"/>
      <c r="B68" s="315"/>
      <c r="C68" s="316"/>
      <c r="D68" s="317"/>
      <c r="E68" s="31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28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 x14ac:dyDescent="0.25">
      <c r="A69" s="314" t="s">
        <v>860</v>
      </c>
      <c r="B69" s="315">
        <v>29</v>
      </c>
      <c r="C69" s="316" t="s">
        <v>859</v>
      </c>
      <c r="D69" s="317">
        <v>63.545999999999999</v>
      </c>
      <c r="E69" s="31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28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 x14ac:dyDescent="0.25">
      <c r="A70" s="314"/>
      <c r="B70" s="315"/>
      <c r="C70" s="316"/>
      <c r="D70" s="317"/>
      <c r="E70" s="31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28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 x14ac:dyDescent="0.25">
      <c r="A71" s="314" t="s">
        <v>862</v>
      </c>
      <c r="B71" s="315">
        <v>30</v>
      </c>
      <c r="C71" s="316" t="s">
        <v>861</v>
      </c>
      <c r="D71" s="317">
        <v>65.38</v>
      </c>
      <c r="E71" s="31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28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 x14ac:dyDescent="0.25">
      <c r="A72" s="314"/>
      <c r="B72" s="315"/>
      <c r="C72" s="316"/>
      <c r="D72" s="317"/>
      <c r="E72" s="31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28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 x14ac:dyDescent="0.25">
      <c r="A73" s="314" t="s">
        <v>864</v>
      </c>
      <c r="B73" s="315">
        <v>31</v>
      </c>
      <c r="C73" s="316" t="s">
        <v>863</v>
      </c>
      <c r="D73" s="317">
        <v>69.722999999999999</v>
      </c>
      <c r="E73" s="31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28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 x14ac:dyDescent="0.25">
      <c r="A74" s="314"/>
      <c r="B74" s="315"/>
      <c r="C74" s="316"/>
      <c r="D74" s="317"/>
      <c r="E74" s="31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28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 x14ac:dyDescent="0.25">
      <c r="A75" s="314" t="s">
        <v>866</v>
      </c>
      <c r="B75" s="315">
        <v>32</v>
      </c>
      <c r="C75" s="316" t="s">
        <v>865</v>
      </c>
      <c r="D75" s="317">
        <v>72.64</v>
      </c>
      <c r="E75" s="31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28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 x14ac:dyDescent="0.25">
      <c r="A76" s="314"/>
      <c r="B76" s="315"/>
      <c r="C76" s="316"/>
      <c r="D76" s="317"/>
      <c r="E76" s="31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28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 x14ac:dyDescent="0.25">
      <c r="A77" s="314" t="s">
        <v>868</v>
      </c>
      <c r="B77" s="315">
        <v>33</v>
      </c>
      <c r="C77" s="316" t="s">
        <v>867</v>
      </c>
      <c r="D77" s="317">
        <v>74.921599999999998</v>
      </c>
      <c r="E77" s="31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28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 x14ac:dyDescent="0.25">
      <c r="A78" s="314"/>
      <c r="B78" s="315"/>
      <c r="C78" s="316"/>
      <c r="D78" s="317"/>
      <c r="E78" s="31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28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 x14ac:dyDescent="0.25">
      <c r="A79" s="314" t="s">
        <v>870</v>
      </c>
      <c r="B79" s="315">
        <v>34</v>
      </c>
      <c r="C79" s="316" t="s">
        <v>869</v>
      </c>
      <c r="D79" s="317">
        <v>78.959999999999994</v>
      </c>
      <c r="E79" s="31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28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 x14ac:dyDescent="0.25">
      <c r="A80" s="314"/>
      <c r="B80" s="315"/>
      <c r="C80" s="316"/>
      <c r="D80" s="317"/>
      <c r="E80" s="31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28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 x14ac:dyDescent="0.25">
      <c r="A81" s="314" t="s">
        <v>872</v>
      </c>
      <c r="B81" s="315">
        <v>35</v>
      </c>
      <c r="C81" s="316" t="s">
        <v>871</v>
      </c>
      <c r="D81" s="317">
        <v>79.903999999999996</v>
      </c>
      <c r="E81" s="31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28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 x14ac:dyDescent="0.25">
      <c r="A82" s="314"/>
      <c r="B82" s="315"/>
      <c r="C82" s="316"/>
      <c r="D82" s="317"/>
      <c r="E82" s="31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28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 x14ac:dyDescent="0.25">
      <c r="A83" s="314" t="s">
        <v>874</v>
      </c>
      <c r="B83" s="315">
        <v>36</v>
      </c>
      <c r="C83" s="316" t="s">
        <v>873</v>
      </c>
      <c r="D83" s="317">
        <v>83.798000000000002</v>
      </c>
      <c r="E83" s="31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28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 x14ac:dyDescent="0.25">
      <c r="A84" s="314"/>
      <c r="B84" s="315"/>
      <c r="C84" s="316"/>
      <c r="D84" s="317"/>
      <c r="E84" s="31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28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 x14ac:dyDescent="0.25">
      <c r="A85" s="314" t="s">
        <v>876</v>
      </c>
      <c r="B85" s="315">
        <v>37</v>
      </c>
      <c r="C85" s="316" t="s">
        <v>875</v>
      </c>
      <c r="D85" s="317">
        <v>85.467799999999997</v>
      </c>
      <c r="E85" s="31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28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 x14ac:dyDescent="0.25">
      <c r="A86" s="314"/>
      <c r="B86" s="315"/>
      <c r="C86" s="316"/>
      <c r="D86" s="317"/>
      <c r="E86" s="31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28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 x14ac:dyDescent="0.25">
      <c r="A87" s="314" t="s">
        <v>878</v>
      </c>
      <c r="B87" s="315">
        <v>38</v>
      </c>
      <c r="C87" s="316" t="s">
        <v>877</v>
      </c>
      <c r="D87" s="317">
        <v>87.62</v>
      </c>
      <c r="E87" s="31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28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 x14ac:dyDescent="0.25">
      <c r="A88" s="314"/>
      <c r="B88" s="315"/>
      <c r="C88" s="316"/>
      <c r="D88" s="317"/>
      <c r="E88" s="31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28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 x14ac:dyDescent="0.25">
      <c r="A89" s="314" t="s">
        <v>880</v>
      </c>
      <c r="B89" s="315">
        <v>39</v>
      </c>
      <c r="C89" s="316" t="s">
        <v>879</v>
      </c>
      <c r="D89" s="317">
        <v>88.905850000000001</v>
      </c>
      <c r="E89" s="31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28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 x14ac:dyDescent="0.25">
      <c r="A90" s="314"/>
      <c r="B90" s="315"/>
      <c r="C90" s="316"/>
      <c r="D90" s="317"/>
      <c r="E90" s="31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28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 x14ac:dyDescent="0.25">
      <c r="A91" s="314" t="s">
        <v>882</v>
      </c>
      <c r="B91" s="315">
        <v>40</v>
      </c>
      <c r="C91" s="316" t="s">
        <v>881</v>
      </c>
      <c r="D91" s="317">
        <v>91.224000000000004</v>
      </c>
      <c r="E91" s="31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28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 x14ac:dyDescent="0.25">
      <c r="A92" s="314"/>
      <c r="B92" s="315"/>
      <c r="C92" s="316"/>
      <c r="D92" s="317"/>
      <c r="E92" s="31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28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 x14ac:dyDescent="0.25">
      <c r="A93" s="314" t="s">
        <v>884</v>
      </c>
      <c r="B93" s="315">
        <v>41</v>
      </c>
      <c r="C93" s="316" t="s">
        <v>883</v>
      </c>
      <c r="D93" s="317">
        <v>92.906379999999999</v>
      </c>
      <c r="E93" s="31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28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 x14ac:dyDescent="0.25">
      <c r="A94" s="314"/>
      <c r="B94" s="315"/>
      <c r="C94" s="316"/>
      <c r="D94" s="317"/>
      <c r="E94" s="31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28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 x14ac:dyDescent="0.25">
      <c r="A95" s="314" t="s">
        <v>886</v>
      </c>
      <c r="B95" s="315">
        <v>42</v>
      </c>
      <c r="C95" s="316" t="s">
        <v>885</v>
      </c>
      <c r="D95" s="317">
        <v>95.96</v>
      </c>
      <c r="E95" s="31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28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 x14ac:dyDescent="0.25">
      <c r="A96" s="314"/>
      <c r="B96" s="315"/>
      <c r="C96" s="316"/>
      <c r="D96" s="317"/>
      <c r="E96" s="31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28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 x14ac:dyDescent="0.25">
      <c r="A97" s="314" t="s">
        <v>888</v>
      </c>
      <c r="B97" s="315">
        <v>43</v>
      </c>
      <c r="C97" s="316" t="s">
        <v>887</v>
      </c>
      <c r="D97" s="317">
        <v>99</v>
      </c>
      <c r="E97" s="31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28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 x14ac:dyDescent="0.25">
      <c r="A98" s="314"/>
      <c r="B98" s="315"/>
      <c r="C98" s="316"/>
      <c r="D98" s="317"/>
      <c r="E98" s="31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28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 x14ac:dyDescent="0.25">
      <c r="A99" s="314" t="s">
        <v>890</v>
      </c>
      <c r="B99" s="315">
        <v>44</v>
      </c>
      <c r="C99" s="316" t="s">
        <v>889</v>
      </c>
      <c r="D99" s="317">
        <v>101.07</v>
      </c>
      <c r="E99" s="31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28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 x14ac:dyDescent="0.25">
      <c r="A100" s="314"/>
      <c r="B100" s="315"/>
      <c r="C100" s="316"/>
      <c r="D100" s="317"/>
      <c r="E100" s="31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28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 x14ac:dyDescent="0.25">
      <c r="A101" s="314" t="s">
        <v>892</v>
      </c>
      <c r="B101" s="315">
        <v>45</v>
      </c>
      <c r="C101" s="316" t="s">
        <v>891</v>
      </c>
      <c r="D101" s="317">
        <v>102.9055</v>
      </c>
      <c r="E101" s="31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28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 x14ac:dyDescent="0.25">
      <c r="A102" s="314"/>
      <c r="B102" s="315"/>
      <c r="C102" s="316"/>
      <c r="D102" s="317"/>
      <c r="E102" s="31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28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 x14ac:dyDescent="0.25">
      <c r="A103" s="314" t="s">
        <v>894</v>
      </c>
      <c r="B103" s="315">
        <v>46</v>
      </c>
      <c r="C103" s="316" t="s">
        <v>893</v>
      </c>
      <c r="D103" s="317">
        <v>106.42</v>
      </c>
      <c r="E103" s="31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28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 x14ac:dyDescent="0.25">
      <c r="A104" s="314"/>
      <c r="B104" s="315"/>
      <c r="C104" s="316"/>
      <c r="D104" s="317"/>
      <c r="E104" s="31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28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 x14ac:dyDescent="0.25">
      <c r="A105" s="314" t="s">
        <v>896</v>
      </c>
      <c r="B105" s="315">
        <v>47</v>
      </c>
      <c r="C105" s="316" t="s">
        <v>895</v>
      </c>
      <c r="D105" s="317">
        <v>107.8682</v>
      </c>
      <c r="E105" s="31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28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 x14ac:dyDescent="0.25">
      <c r="A106" s="314"/>
      <c r="B106" s="315"/>
      <c r="C106" s="316"/>
      <c r="D106" s="317"/>
      <c r="E106" s="31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28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 x14ac:dyDescent="0.25">
      <c r="A107" s="314" t="s">
        <v>898</v>
      </c>
      <c r="B107" s="315">
        <v>48</v>
      </c>
      <c r="C107" s="316" t="s">
        <v>897</v>
      </c>
      <c r="D107" s="317">
        <v>112.411</v>
      </c>
      <c r="E107" s="31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28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 x14ac:dyDescent="0.25">
      <c r="A108" s="314"/>
      <c r="B108" s="315"/>
      <c r="C108" s="316"/>
      <c r="D108" s="317"/>
      <c r="E108" s="31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28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 x14ac:dyDescent="0.25">
      <c r="A109" s="314" t="s">
        <v>900</v>
      </c>
      <c r="B109" s="315">
        <v>49</v>
      </c>
      <c r="C109" s="316" t="s">
        <v>899</v>
      </c>
      <c r="D109" s="317">
        <v>114.818</v>
      </c>
      <c r="E109" s="31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28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 x14ac:dyDescent="0.25">
      <c r="A110" s="314"/>
      <c r="B110" s="315"/>
      <c r="C110" s="316"/>
      <c r="D110" s="317"/>
      <c r="E110" s="31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28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 x14ac:dyDescent="0.25">
      <c r="A111" s="314" t="s">
        <v>902</v>
      </c>
      <c r="B111" s="315">
        <v>50</v>
      </c>
      <c r="C111" s="316" t="s">
        <v>901</v>
      </c>
      <c r="D111" s="317">
        <v>118.71</v>
      </c>
      <c r="E111" s="31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28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 x14ac:dyDescent="0.25">
      <c r="A112" s="314"/>
      <c r="B112" s="315"/>
      <c r="C112" s="316"/>
      <c r="D112" s="317"/>
      <c r="E112" s="31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28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 x14ac:dyDescent="0.25">
      <c r="A113" s="314" t="s">
        <v>904</v>
      </c>
      <c r="B113" s="315">
        <v>51</v>
      </c>
      <c r="C113" s="316" t="s">
        <v>903</v>
      </c>
      <c r="D113" s="317">
        <v>121.76</v>
      </c>
      <c r="E113" s="31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28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 x14ac:dyDescent="0.25">
      <c r="A114" s="314"/>
      <c r="B114" s="315"/>
      <c r="C114" s="316"/>
      <c r="D114" s="317"/>
      <c r="E114" s="31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28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 x14ac:dyDescent="0.25">
      <c r="A115" s="314" t="s">
        <v>906</v>
      </c>
      <c r="B115" s="315">
        <v>52</v>
      </c>
      <c r="C115" s="316" t="s">
        <v>905</v>
      </c>
      <c r="D115" s="317">
        <v>127.6</v>
      </c>
      <c r="E115" s="31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28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 x14ac:dyDescent="0.25">
      <c r="A116" s="314"/>
      <c r="B116" s="315"/>
      <c r="C116" s="316"/>
      <c r="D116" s="317"/>
      <c r="E116" s="31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28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 x14ac:dyDescent="0.25">
      <c r="A117" s="314" t="s">
        <v>908</v>
      </c>
      <c r="B117" s="315">
        <v>53</v>
      </c>
      <c r="C117" s="316" t="s">
        <v>907</v>
      </c>
      <c r="D117" s="317">
        <v>126.90447</v>
      </c>
      <c r="E117" s="31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28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 x14ac:dyDescent="0.25">
      <c r="A118" s="314"/>
      <c r="B118" s="315"/>
      <c r="C118" s="316"/>
      <c r="D118" s="317"/>
      <c r="E118" s="31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28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 x14ac:dyDescent="0.25">
      <c r="A119" s="314" t="s">
        <v>910</v>
      </c>
      <c r="B119" s="315">
        <v>54</v>
      </c>
      <c r="C119" s="316" t="s">
        <v>909</v>
      </c>
      <c r="D119" s="317">
        <v>131.29300000000001</v>
      </c>
      <c r="E119" s="31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28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 x14ac:dyDescent="0.25">
      <c r="A120" s="314"/>
      <c r="B120" s="315"/>
      <c r="C120" s="316"/>
      <c r="D120" s="317"/>
      <c r="E120" s="31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28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 x14ac:dyDescent="0.25">
      <c r="A121" s="314" t="s">
        <v>912</v>
      </c>
      <c r="B121" s="315">
        <v>55</v>
      </c>
      <c r="C121" s="316" t="s">
        <v>911</v>
      </c>
      <c r="D121" s="317">
        <v>132.9054519</v>
      </c>
      <c r="E121" s="31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28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 x14ac:dyDescent="0.25">
      <c r="A122" s="314"/>
      <c r="B122" s="315"/>
      <c r="C122" s="316"/>
      <c r="D122" s="317"/>
      <c r="E122" s="31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28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 x14ac:dyDescent="0.25">
      <c r="A123" s="314" t="s">
        <v>914</v>
      </c>
      <c r="B123" s="315">
        <v>56</v>
      </c>
      <c r="C123" s="316" t="s">
        <v>913</v>
      </c>
      <c r="D123" s="317">
        <v>137.327</v>
      </c>
      <c r="E123" s="31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28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 x14ac:dyDescent="0.25">
      <c r="A124" s="314"/>
      <c r="B124" s="315"/>
      <c r="C124" s="316"/>
      <c r="D124" s="317"/>
      <c r="E124" s="31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28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 x14ac:dyDescent="0.25">
      <c r="A125" s="314" t="s">
        <v>916</v>
      </c>
      <c r="B125" s="315">
        <v>57</v>
      </c>
      <c r="C125" s="316" t="s">
        <v>915</v>
      </c>
      <c r="D125" s="317">
        <v>138.90547000000001</v>
      </c>
      <c r="E125" s="31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28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 x14ac:dyDescent="0.25">
      <c r="A126" s="314"/>
      <c r="B126" s="315"/>
      <c r="C126" s="316"/>
      <c r="D126" s="317"/>
      <c r="E126" s="31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28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 x14ac:dyDescent="0.25">
      <c r="A127" s="314" t="s">
        <v>918</v>
      </c>
      <c r="B127" s="315">
        <v>58</v>
      </c>
      <c r="C127" s="316" t="s">
        <v>917</v>
      </c>
      <c r="D127" s="317">
        <v>140.11600000000001</v>
      </c>
      <c r="E127" s="31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28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 x14ac:dyDescent="0.25">
      <c r="A128" s="314"/>
      <c r="B128" s="315"/>
      <c r="C128" s="316"/>
      <c r="D128" s="317"/>
      <c r="E128" s="31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28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 x14ac:dyDescent="0.25">
      <c r="A129" s="314" t="s">
        <v>920</v>
      </c>
      <c r="B129" s="315">
        <v>59</v>
      </c>
      <c r="C129" s="316" t="s">
        <v>919</v>
      </c>
      <c r="D129" s="317">
        <v>140.90764999999999</v>
      </c>
      <c r="E129" s="31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28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 x14ac:dyDescent="0.25">
      <c r="A130" s="314"/>
      <c r="B130" s="315"/>
      <c r="C130" s="316"/>
      <c r="D130" s="317"/>
      <c r="E130" s="31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28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 x14ac:dyDescent="0.25">
      <c r="A131" s="314" t="s">
        <v>922</v>
      </c>
      <c r="B131" s="315">
        <v>60</v>
      </c>
      <c r="C131" s="316" t="s">
        <v>921</v>
      </c>
      <c r="D131" s="317">
        <v>144.24199999999999</v>
      </c>
      <c r="E131" s="31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28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 x14ac:dyDescent="0.25">
      <c r="A132" s="314"/>
      <c r="B132" s="315"/>
      <c r="C132" s="316"/>
      <c r="D132" s="317"/>
      <c r="E132" s="31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28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 x14ac:dyDescent="0.25">
      <c r="A133" s="314" t="s">
        <v>924</v>
      </c>
      <c r="B133" s="315">
        <v>61</v>
      </c>
      <c r="C133" s="316" t="s">
        <v>923</v>
      </c>
      <c r="D133" s="317">
        <v>145</v>
      </c>
      <c r="E133" s="31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28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 x14ac:dyDescent="0.25">
      <c r="A134" s="314"/>
      <c r="B134" s="315"/>
      <c r="C134" s="316"/>
      <c r="D134" s="317"/>
      <c r="E134" s="31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28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 x14ac:dyDescent="0.25">
      <c r="A135" s="314" t="s">
        <v>926</v>
      </c>
      <c r="B135" s="315">
        <v>62</v>
      </c>
      <c r="C135" s="316" t="s">
        <v>925</v>
      </c>
      <c r="D135" s="317">
        <v>150.36000000000001</v>
      </c>
      <c r="E135" s="31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28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 x14ac:dyDescent="0.25">
      <c r="A136" s="314"/>
      <c r="B136" s="315"/>
      <c r="C136" s="316"/>
      <c r="D136" s="317"/>
      <c r="E136" s="31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28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 x14ac:dyDescent="0.25">
      <c r="A137" s="314" t="s">
        <v>928</v>
      </c>
      <c r="B137" s="315">
        <v>63</v>
      </c>
      <c r="C137" s="316" t="s">
        <v>927</v>
      </c>
      <c r="D137" s="317">
        <v>151.964</v>
      </c>
      <c r="E137" s="31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28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 x14ac:dyDescent="0.25">
      <c r="A138" s="314"/>
      <c r="B138" s="315"/>
      <c r="C138" s="316"/>
      <c r="D138" s="317"/>
      <c r="E138" s="31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28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 x14ac:dyDescent="0.25">
      <c r="A139" s="314" t="s">
        <v>930</v>
      </c>
      <c r="B139" s="315">
        <v>64</v>
      </c>
      <c r="C139" s="316" t="s">
        <v>929</v>
      </c>
      <c r="D139" s="317">
        <v>157.25</v>
      </c>
      <c r="E139" s="31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28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 x14ac:dyDescent="0.25">
      <c r="A140" s="314"/>
      <c r="B140" s="315"/>
      <c r="C140" s="316"/>
      <c r="D140" s="317"/>
      <c r="E140" s="31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28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 x14ac:dyDescent="0.25">
      <c r="A141" s="314" t="s">
        <v>932</v>
      </c>
      <c r="B141" s="315">
        <v>65</v>
      </c>
      <c r="C141" s="316" t="s">
        <v>931</v>
      </c>
      <c r="D141" s="317">
        <v>158.92535000000001</v>
      </c>
      <c r="E141" s="31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28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 x14ac:dyDescent="0.25">
      <c r="A142" s="314"/>
      <c r="B142" s="315"/>
      <c r="C142" s="316"/>
      <c r="D142" s="317"/>
      <c r="E142" s="31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28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 x14ac:dyDescent="0.25">
      <c r="A143" s="314" t="s">
        <v>934</v>
      </c>
      <c r="B143" s="315">
        <v>66</v>
      </c>
      <c r="C143" s="316" t="s">
        <v>933</v>
      </c>
      <c r="D143" s="317">
        <v>162.5</v>
      </c>
      <c r="E143" s="31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28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 x14ac:dyDescent="0.25">
      <c r="A144" s="314"/>
      <c r="B144" s="315"/>
      <c r="C144" s="316"/>
      <c r="D144" s="317"/>
      <c r="E144" s="31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28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 x14ac:dyDescent="0.25">
      <c r="A145" s="314" t="s">
        <v>936</v>
      </c>
      <c r="B145" s="315">
        <v>67</v>
      </c>
      <c r="C145" s="316" t="s">
        <v>935</v>
      </c>
      <c r="D145" s="317">
        <v>164.93031999999999</v>
      </c>
      <c r="E145" s="31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28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 x14ac:dyDescent="0.25">
      <c r="A146" s="314"/>
      <c r="B146" s="315"/>
      <c r="C146" s="316"/>
      <c r="D146" s="317"/>
      <c r="E146" s="31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28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 x14ac:dyDescent="0.25">
      <c r="A147" s="314" t="s">
        <v>938</v>
      </c>
      <c r="B147" s="315">
        <v>68</v>
      </c>
      <c r="C147" s="316" t="s">
        <v>937</v>
      </c>
      <c r="D147" s="317">
        <v>167.25899999999999</v>
      </c>
      <c r="E147" s="31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28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 x14ac:dyDescent="0.25">
      <c r="A148" s="314"/>
      <c r="B148" s="315"/>
      <c r="C148" s="316"/>
      <c r="D148" s="317"/>
      <c r="E148" s="31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28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 x14ac:dyDescent="0.25">
      <c r="A149" s="314" t="s">
        <v>940</v>
      </c>
      <c r="B149" s="315">
        <v>69</v>
      </c>
      <c r="C149" s="316" t="s">
        <v>939</v>
      </c>
      <c r="D149" s="317">
        <v>168.93421000000001</v>
      </c>
      <c r="E149" s="31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28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 x14ac:dyDescent="0.25">
      <c r="A150" s="314"/>
      <c r="B150" s="315"/>
      <c r="C150" s="316"/>
      <c r="D150" s="317"/>
      <c r="E150" s="31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28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 x14ac:dyDescent="0.25">
      <c r="A151" s="314" t="s">
        <v>942</v>
      </c>
      <c r="B151" s="315">
        <v>70</v>
      </c>
      <c r="C151" s="316" t="s">
        <v>941</v>
      </c>
      <c r="D151" s="317">
        <v>173.054</v>
      </c>
      <c r="E151" s="31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28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 x14ac:dyDescent="0.25">
      <c r="A152" s="314"/>
      <c r="B152" s="315"/>
      <c r="C152" s="316"/>
      <c r="D152" s="317"/>
      <c r="E152" s="31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28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 x14ac:dyDescent="0.25">
      <c r="A153" s="314" t="s">
        <v>944</v>
      </c>
      <c r="B153" s="315">
        <v>71</v>
      </c>
      <c r="C153" s="316" t="s">
        <v>943</v>
      </c>
      <c r="D153" s="317">
        <v>174.96680000000001</v>
      </c>
      <c r="E153" s="31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28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 x14ac:dyDescent="0.25">
      <c r="A154" s="314"/>
      <c r="B154" s="315"/>
      <c r="C154" s="316"/>
      <c r="D154" s="317"/>
      <c r="E154" s="31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28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 x14ac:dyDescent="0.25">
      <c r="A155" s="314" t="s">
        <v>946</v>
      </c>
      <c r="B155" s="315">
        <v>72</v>
      </c>
      <c r="C155" s="316" t="s">
        <v>945</v>
      </c>
      <c r="D155" s="317">
        <v>178.49</v>
      </c>
      <c r="E155" s="31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28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 x14ac:dyDescent="0.25">
      <c r="A156" s="314"/>
      <c r="B156" s="315"/>
      <c r="C156" s="316"/>
      <c r="D156" s="317"/>
      <c r="E156" s="31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28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 x14ac:dyDescent="0.25">
      <c r="A157" s="314" t="s">
        <v>948</v>
      </c>
      <c r="B157" s="315">
        <v>73</v>
      </c>
      <c r="C157" s="316" t="s">
        <v>947</v>
      </c>
      <c r="D157" s="317">
        <v>180.94788</v>
      </c>
      <c r="E157" s="31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28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 x14ac:dyDescent="0.25">
      <c r="A158" s="314"/>
      <c r="B158" s="315"/>
      <c r="C158" s="316"/>
      <c r="D158" s="317"/>
      <c r="E158" s="31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28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 x14ac:dyDescent="0.25">
      <c r="A159" s="314" t="s">
        <v>1044</v>
      </c>
      <c r="B159" s="315">
        <v>74</v>
      </c>
      <c r="C159" s="316" t="s">
        <v>949</v>
      </c>
      <c r="D159" s="317">
        <v>183.84</v>
      </c>
      <c r="E159" s="31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28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 x14ac:dyDescent="0.25">
      <c r="A160" s="314"/>
      <c r="B160" s="315"/>
      <c r="C160" s="316"/>
      <c r="D160" s="317"/>
      <c r="E160" s="31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28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 x14ac:dyDescent="0.25">
      <c r="A161" s="314" t="s">
        <v>951</v>
      </c>
      <c r="B161" s="315">
        <v>75</v>
      </c>
      <c r="C161" s="316" t="s">
        <v>950</v>
      </c>
      <c r="D161" s="317">
        <v>186.20699999999999</v>
      </c>
      <c r="E161" s="31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28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 x14ac:dyDescent="0.25">
      <c r="A162" s="314"/>
      <c r="B162" s="315"/>
      <c r="C162" s="316"/>
      <c r="D162" s="317"/>
      <c r="E162" s="31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28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 x14ac:dyDescent="0.25">
      <c r="A163" s="314" t="s">
        <v>953</v>
      </c>
      <c r="B163" s="315">
        <v>76</v>
      </c>
      <c r="C163" s="316" t="s">
        <v>952</v>
      </c>
      <c r="D163" s="317">
        <v>190.23</v>
      </c>
      <c r="E163" s="31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28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 x14ac:dyDescent="0.25">
      <c r="A164" s="314"/>
      <c r="B164" s="315"/>
      <c r="C164" s="316"/>
      <c r="D164" s="317"/>
      <c r="E164" s="31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28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 x14ac:dyDescent="0.25">
      <c r="A165" s="314" t="s">
        <v>955</v>
      </c>
      <c r="B165" s="315">
        <v>77</v>
      </c>
      <c r="C165" s="316" t="s">
        <v>954</v>
      </c>
      <c r="D165" s="317">
        <v>192.21700000000001</v>
      </c>
      <c r="E165" s="31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28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 x14ac:dyDescent="0.25">
      <c r="A166" s="314"/>
      <c r="B166" s="315"/>
      <c r="C166" s="316"/>
      <c r="D166" s="317"/>
      <c r="E166" s="31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28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 x14ac:dyDescent="0.25">
      <c r="A167" s="314" t="s">
        <v>957</v>
      </c>
      <c r="B167" s="315">
        <v>78</v>
      </c>
      <c r="C167" s="316" t="s">
        <v>956</v>
      </c>
      <c r="D167" s="317">
        <v>195.084</v>
      </c>
      <c r="E167" s="31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28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 x14ac:dyDescent="0.25">
      <c r="A168" s="314"/>
      <c r="B168" s="315"/>
      <c r="C168" s="316"/>
      <c r="D168" s="317"/>
      <c r="E168" s="31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28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 x14ac:dyDescent="0.25">
      <c r="A169" s="314" t="s">
        <v>959</v>
      </c>
      <c r="B169" s="315">
        <v>79</v>
      </c>
      <c r="C169" s="316" t="s">
        <v>958</v>
      </c>
      <c r="D169" s="317">
        <v>196.96656899999999</v>
      </c>
      <c r="E169" s="31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28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 x14ac:dyDescent="0.25">
      <c r="A170" s="314"/>
      <c r="B170" s="315"/>
      <c r="C170" s="316"/>
      <c r="D170" s="317"/>
      <c r="E170" s="31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28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 x14ac:dyDescent="0.25">
      <c r="A171" s="314" t="s">
        <v>961</v>
      </c>
      <c r="B171" s="315">
        <v>80</v>
      </c>
      <c r="C171" s="316" t="s">
        <v>960</v>
      </c>
      <c r="D171" s="317">
        <v>200.59</v>
      </c>
      <c r="E171" s="31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28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 x14ac:dyDescent="0.25">
      <c r="A172" s="314"/>
      <c r="B172" s="315"/>
      <c r="C172" s="316"/>
      <c r="D172" s="317"/>
      <c r="E172" s="31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28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 x14ac:dyDescent="0.25">
      <c r="A173" s="314" t="s">
        <v>963</v>
      </c>
      <c r="B173" s="315">
        <v>81</v>
      </c>
      <c r="C173" s="316" t="s">
        <v>962</v>
      </c>
      <c r="D173" s="317">
        <v>204.38329999999999</v>
      </c>
      <c r="E173" s="31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28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 x14ac:dyDescent="0.25">
      <c r="A174" s="314"/>
      <c r="B174" s="315"/>
      <c r="C174" s="316"/>
      <c r="D174" s="317"/>
      <c r="E174" s="31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28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 x14ac:dyDescent="0.25">
      <c r="A175" s="314" t="s">
        <v>965</v>
      </c>
      <c r="B175" s="315">
        <v>82</v>
      </c>
      <c r="C175" s="316" t="s">
        <v>964</v>
      </c>
      <c r="D175" s="317">
        <v>207.2</v>
      </c>
      <c r="E175" s="31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28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 x14ac:dyDescent="0.25">
      <c r="A176" s="314"/>
      <c r="B176" s="315"/>
      <c r="C176" s="316"/>
      <c r="D176" s="317"/>
      <c r="E176" s="31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28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 x14ac:dyDescent="0.25">
      <c r="A177" s="314" t="s">
        <v>967</v>
      </c>
      <c r="B177" s="315">
        <v>83</v>
      </c>
      <c r="C177" s="316" t="s">
        <v>966</v>
      </c>
      <c r="D177" s="317">
        <v>208.9804</v>
      </c>
      <c r="E177" s="31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28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 x14ac:dyDescent="0.25">
      <c r="A178" s="314"/>
      <c r="B178" s="315"/>
      <c r="C178" s="316"/>
      <c r="D178" s="317"/>
      <c r="E178" s="31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28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 x14ac:dyDescent="0.25">
      <c r="A179" s="314" t="s">
        <v>969</v>
      </c>
      <c r="B179" s="315">
        <v>84</v>
      </c>
      <c r="C179" s="316" t="s">
        <v>968</v>
      </c>
      <c r="D179" s="317">
        <v>210</v>
      </c>
      <c r="E179" s="31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28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 x14ac:dyDescent="0.25">
      <c r="A180" s="314"/>
      <c r="B180" s="315"/>
      <c r="C180" s="316"/>
      <c r="D180" s="317"/>
      <c r="E180" s="31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28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 x14ac:dyDescent="0.25">
      <c r="A181" s="314" t="s">
        <v>971</v>
      </c>
      <c r="B181" s="315">
        <v>85</v>
      </c>
      <c r="C181" s="316" t="s">
        <v>970</v>
      </c>
      <c r="D181" s="317">
        <v>210</v>
      </c>
      <c r="E181" s="31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28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 x14ac:dyDescent="0.25">
      <c r="A182" s="314"/>
      <c r="B182" s="315"/>
      <c r="C182" s="316"/>
      <c r="D182" s="317"/>
      <c r="E182" s="31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28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 x14ac:dyDescent="0.25">
      <c r="A183" s="314" t="s">
        <v>973</v>
      </c>
      <c r="B183" s="315">
        <v>86</v>
      </c>
      <c r="C183" s="316" t="s">
        <v>972</v>
      </c>
      <c r="D183" s="317">
        <v>222</v>
      </c>
      <c r="E183" s="31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28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 x14ac:dyDescent="0.25">
      <c r="A184" s="314"/>
      <c r="B184" s="315"/>
      <c r="C184" s="316"/>
      <c r="D184" s="317"/>
      <c r="E184" s="31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28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 x14ac:dyDescent="0.25">
      <c r="A185" s="314" t="s">
        <v>975</v>
      </c>
      <c r="B185" s="315">
        <v>87</v>
      </c>
      <c r="C185" s="316" t="s">
        <v>974</v>
      </c>
      <c r="D185" s="317">
        <v>223</v>
      </c>
      <c r="E185" s="31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28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 x14ac:dyDescent="0.25">
      <c r="A186" s="314"/>
      <c r="B186" s="315"/>
      <c r="C186" s="316"/>
      <c r="D186" s="317"/>
      <c r="E186" s="31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28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 x14ac:dyDescent="0.25">
      <c r="A187" s="314" t="s">
        <v>977</v>
      </c>
      <c r="B187" s="315">
        <v>88</v>
      </c>
      <c r="C187" s="316" t="s">
        <v>976</v>
      </c>
      <c r="D187" s="317">
        <v>226</v>
      </c>
      <c r="E187" s="31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28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 x14ac:dyDescent="0.25">
      <c r="A188" s="314"/>
      <c r="B188" s="315"/>
      <c r="C188" s="316"/>
      <c r="D188" s="317"/>
      <c r="E188" s="31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28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 x14ac:dyDescent="0.25">
      <c r="A189" s="314" t="s">
        <v>979</v>
      </c>
      <c r="B189" s="315">
        <v>89</v>
      </c>
      <c r="C189" s="316" t="s">
        <v>978</v>
      </c>
      <c r="D189" s="317">
        <v>227</v>
      </c>
      <c r="E189" s="31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28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 x14ac:dyDescent="0.25">
      <c r="A190" s="314"/>
      <c r="B190" s="315"/>
      <c r="C190" s="316"/>
      <c r="D190" s="317"/>
      <c r="E190" s="31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28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 x14ac:dyDescent="0.25">
      <c r="A191" s="314" t="s">
        <v>981</v>
      </c>
      <c r="B191" s="315">
        <v>90</v>
      </c>
      <c r="C191" s="316" t="s">
        <v>980</v>
      </c>
      <c r="D191" s="317">
        <v>232.03806</v>
      </c>
      <c r="E191" s="31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28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 x14ac:dyDescent="0.25">
      <c r="A192" s="314"/>
      <c r="B192" s="315"/>
      <c r="C192" s="316"/>
      <c r="D192" s="317"/>
      <c r="E192" s="31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28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 x14ac:dyDescent="0.25">
      <c r="A193" s="314" t="s">
        <v>983</v>
      </c>
      <c r="B193" s="315">
        <v>91</v>
      </c>
      <c r="C193" s="316" t="s">
        <v>982</v>
      </c>
      <c r="D193" s="317">
        <v>231.03587999999999</v>
      </c>
      <c r="E193" s="31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28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 x14ac:dyDescent="0.25">
      <c r="A194" s="314" t="s">
        <v>985</v>
      </c>
      <c r="B194" s="315">
        <v>92</v>
      </c>
      <c r="C194" s="316" t="s">
        <v>984</v>
      </c>
      <c r="D194" s="317">
        <v>238.02891</v>
      </c>
      <c r="E194" s="31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28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 x14ac:dyDescent="0.25">
      <c r="A195" s="314"/>
      <c r="B195" s="315"/>
      <c r="C195" s="316"/>
      <c r="D195" s="317"/>
      <c r="E195" s="31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28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 x14ac:dyDescent="0.25">
      <c r="A196" s="314" t="s">
        <v>987</v>
      </c>
      <c r="B196" s="315">
        <v>93</v>
      </c>
      <c r="C196" s="316" t="s">
        <v>986</v>
      </c>
      <c r="D196" s="317">
        <v>237</v>
      </c>
      <c r="E196" s="31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28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 x14ac:dyDescent="0.25">
      <c r="A197" s="314"/>
      <c r="B197" s="315"/>
      <c r="C197" s="316"/>
      <c r="D197" s="317"/>
      <c r="E197" s="31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28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 x14ac:dyDescent="0.25">
      <c r="A198" s="314" t="s">
        <v>989</v>
      </c>
      <c r="B198" s="315">
        <v>94</v>
      </c>
      <c r="C198" s="316" t="s">
        <v>988</v>
      </c>
      <c r="D198" s="317">
        <v>239</v>
      </c>
      <c r="E198" s="31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28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 x14ac:dyDescent="0.25">
      <c r="A199" s="314"/>
      <c r="B199" s="315"/>
      <c r="C199" s="316"/>
      <c r="D199" s="317"/>
      <c r="E199" s="31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28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 x14ac:dyDescent="0.25">
      <c r="A200" s="314" t="s">
        <v>991</v>
      </c>
      <c r="B200" s="315">
        <v>95</v>
      </c>
      <c r="C200" s="316" t="s">
        <v>990</v>
      </c>
      <c r="D200" s="317">
        <v>243</v>
      </c>
      <c r="E200" s="31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28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 x14ac:dyDescent="0.25">
      <c r="A201" s="314"/>
      <c r="B201" s="315"/>
      <c r="C201" s="316"/>
      <c r="D201" s="317"/>
      <c r="E201" s="31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28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 x14ac:dyDescent="0.25">
      <c r="A202" s="314" t="s">
        <v>993</v>
      </c>
      <c r="B202" s="315">
        <v>96</v>
      </c>
      <c r="C202" s="316" t="s">
        <v>992</v>
      </c>
      <c r="D202" s="317">
        <v>247</v>
      </c>
      <c r="E202" s="31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28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 x14ac:dyDescent="0.25">
      <c r="A203" s="314"/>
      <c r="B203" s="315"/>
      <c r="C203" s="316"/>
      <c r="D203" s="317"/>
      <c r="E203" s="31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28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 x14ac:dyDescent="0.25">
      <c r="A204" s="314" t="s">
        <v>995</v>
      </c>
      <c r="B204" s="315">
        <v>97</v>
      </c>
      <c r="C204" s="316" t="s">
        <v>994</v>
      </c>
      <c r="D204" s="317">
        <v>247</v>
      </c>
      <c r="E204" s="31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28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 x14ac:dyDescent="0.25">
      <c r="A205" s="314"/>
      <c r="B205" s="315"/>
      <c r="C205" s="316"/>
      <c r="D205" s="317"/>
      <c r="E205" s="31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28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 x14ac:dyDescent="0.25">
      <c r="A206" s="314" t="s">
        <v>997</v>
      </c>
      <c r="B206" s="315">
        <v>98</v>
      </c>
      <c r="C206" s="316" t="s">
        <v>996</v>
      </c>
      <c r="D206" s="317">
        <v>252</v>
      </c>
      <c r="E206" s="31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28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 x14ac:dyDescent="0.25">
      <c r="A207" s="314"/>
      <c r="B207" s="315"/>
      <c r="C207" s="316"/>
      <c r="D207" s="317"/>
      <c r="E207" s="31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28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 x14ac:dyDescent="0.25">
      <c r="A208" s="314" t="s">
        <v>999</v>
      </c>
      <c r="B208" s="315">
        <v>99</v>
      </c>
      <c r="C208" s="316" t="s">
        <v>998</v>
      </c>
      <c r="D208" s="317">
        <v>252</v>
      </c>
      <c r="E208" s="31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28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 x14ac:dyDescent="0.25">
      <c r="A209" s="314"/>
      <c r="B209" s="315"/>
      <c r="C209" s="316"/>
      <c r="D209" s="317"/>
      <c r="E209" s="31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28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 x14ac:dyDescent="0.25">
      <c r="A210" s="314" t="s">
        <v>1001</v>
      </c>
      <c r="B210" s="315">
        <v>100</v>
      </c>
      <c r="C210" s="316" t="s">
        <v>1000</v>
      </c>
      <c r="D210" s="317">
        <v>257</v>
      </c>
      <c r="E210" s="31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28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 x14ac:dyDescent="0.25">
      <c r="A211" s="314"/>
      <c r="B211" s="315"/>
      <c r="C211" s="316"/>
      <c r="D211" s="317"/>
      <c r="E211" s="31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28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 x14ac:dyDescent="0.25">
      <c r="A212" s="314" t="s">
        <v>1003</v>
      </c>
      <c r="B212" s="315">
        <v>101</v>
      </c>
      <c r="C212" s="316" t="s">
        <v>1002</v>
      </c>
      <c r="D212" s="317">
        <v>256</v>
      </c>
      <c r="E212" s="31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28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 x14ac:dyDescent="0.25">
      <c r="A213" s="314"/>
      <c r="B213" s="315"/>
      <c r="C213" s="316"/>
      <c r="D213" s="317"/>
      <c r="E213" s="31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28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 x14ac:dyDescent="0.25">
      <c r="A214" s="314" t="s">
        <v>1005</v>
      </c>
      <c r="B214" s="315">
        <v>102</v>
      </c>
      <c r="C214" s="316" t="s">
        <v>1004</v>
      </c>
      <c r="D214" s="317">
        <v>259</v>
      </c>
      <c r="E214" s="31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28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 x14ac:dyDescent="0.25">
      <c r="A215" s="314"/>
      <c r="B215" s="315"/>
      <c r="C215" s="316"/>
      <c r="D215" s="317"/>
      <c r="E215" s="31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28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 x14ac:dyDescent="0.25">
      <c r="A216" s="314" t="s">
        <v>1007</v>
      </c>
      <c r="B216" s="315">
        <v>103</v>
      </c>
      <c r="C216" s="316" t="s">
        <v>1006</v>
      </c>
      <c r="D216" s="317">
        <v>262</v>
      </c>
      <c r="E216" s="31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28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 x14ac:dyDescent="0.25">
      <c r="A217" s="314"/>
      <c r="B217" s="315"/>
      <c r="C217" s="316"/>
      <c r="D217" s="317"/>
      <c r="E217" s="31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28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 x14ac:dyDescent="0.25">
      <c r="A218" s="314" t="s">
        <v>1009</v>
      </c>
      <c r="B218" s="315">
        <v>104</v>
      </c>
      <c r="C218" s="316" t="s">
        <v>1008</v>
      </c>
      <c r="D218" s="317">
        <v>267</v>
      </c>
      <c r="E218" s="31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28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 x14ac:dyDescent="0.25">
      <c r="A219" s="314"/>
      <c r="B219" s="315"/>
      <c r="C219" s="316"/>
      <c r="D219" s="317"/>
      <c r="E219" s="31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28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 x14ac:dyDescent="0.25">
      <c r="A220" s="314" t="s">
        <v>1011</v>
      </c>
      <c r="B220" s="315">
        <v>105</v>
      </c>
      <c r="C220" s="316" t="s">
        <v>1010</v>
      </c>
      <c r="D220" s="317">
        <v>268</v>
      </c>
      <c r="E220" s="31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28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 x14ac:dyDescent="0.25">
      <c r="A221" s="314"/>
      <c r="B221" s="315"/>
      <c r="C221" s="316"/>
      <c r="D221" s="317"/>
      <c r="E221" s="31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28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 x14ac:dyDescent="0.25">
      <c r="A222" s="314" t="s">
        <v>1013</v>
      </c>
      <c r="B222" s="315">
        <v>106</v>
      </c>
      <c r="C222" s="316" t="s">
        <v>1012</v>
      </c>
      <c r="D222" s="317">
        <v>271</v>
      </c>
      <c r="E222" s="31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28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 x14ac:dyDescent="0.25">
      <c r="A223" s="314"/>
      <c r="B223" s="315"/>
      <c r="C223" s="316"/>
      <c r="D223" s="317"/>
      <c r="E223" s="31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28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 x14ac:dyDescent="0.25">
      <c r="A224" s="314" t="s">
        <v>1015</v>
      </c>
      <c r="B224" s="315">
        <v>107</v>
      </c>
      <c r="C224" s="316" t="s">
        <v>1014</v>
      </c>
      <c r="D224" s="317">
        <v>272</v>
      </c>
      <c r="E224" s="31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28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 x14ac:dyDescent="0.25">
      <c r="A225" s="314"/>
      <c r="B225" s="315"/>
      <c r="C225" s="316"/>
      <c r="D225" s="317"/>
      <c r="E225" s="31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28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 x14ac:dyDescent="0.25">
      <c r="A226" s="314" t="s">
        <v>1017</v>
      </c>
      <c r="B226" s="315">
        <v>108</v>
      </c>
      <c r="C226" s="316" t="s">
        <v>1016</v>
      </c>
      <c r="D226" s="317">
        <v>277</v>
      </c>
      <c r="E226" s="31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28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 x14ac:dyDescent="0.25">
      <c r="A227" s="314" t="s">
        <v>1019</v>
      </c>
      <c r="B227" s="315">
        <v>109</v>
      </c>
      <c r="C227" s="316" t="s">
        <v>1018</v>
      </c>
      <c r="D227" s="317">
        <v>276</v>
      </c>
      <c r="E227" s="31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28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 x14ac:dyDescent="0.25">
      <c r="A228" s="314"/>
      <c r="B228" s="315"/>
      <c r="C228" s="316"/>
      <c r="D228" s="317"/>
      <c r="E228" s="31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28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 x14ac:dyDescent="0.25">
      <c r="A229" s="314" t="s">
        <v>1021</v>
      </c>
      <c r="B229" s="315">
        <v>110</v>
      </c>
      <c r="C229" s="316" t="s">
        <v>1020</v>
      </c>
      <c r="D229" s="317">
        <v>281</v>
      </c>
      <c r="E229" s="31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28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 x14ac:dyDescent="0.25">
      <c r="A230" s="314"/>
      <c r="B230" s="315"/>
      <c r="C230" s="316"/>
      <c r="D230" s="317"/>
      <c r="E230" s="31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28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 x14ac:dyDescent="0.25">
      <c r="A231" s="314" t="s">
        <v>1024</v>
      </c>
      <c r="B231" s="315">
        <v>111</v>
      </c>
      <c r="C231" s="316" t="s">
        <v>1022</v>
      </c>
      <c r="D231" s="317">
        <v>280</v>
      </c>
      <c r="E231" s="31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28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 x14ac:dyDescent="0.25">
      <c r="A232" s="314" t="s">
        <v>1026</v>
      </c>
      <c r="B232" s="315">
        <v>112</v>
      </c>
      <c r="C232" s="316" t="s">
        <v>1023</v>
      </c>
      <c r="D232" s="317">
        <v>285</v>
      </c>
      <c r="E232" s="31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28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 x14ac:dyDescent="0.25">
      <c r="A233" s="314" t="s">
        <v>1028</v>
      </c>
      <c r="B233" s="315">
        <v>113</v>
      </c>
      <c r="C233" s="316" t="s">
        <v>1025</v>
      </c>
      <c r="D233" s="317">
        <v>284</v>
      </c>
      <c r="E233" s="31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28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 x14ac:dyDescent="0.25">
      <c r="A234" s="314" t="s">
        <v>1030</v>
      </c>
      <c r="B234" s="315">
        <v>114</v>
      </c>
      <c r="C234" s="316" t="s">
        <v>1027</v>
      </c>
      <c r="D234" s="317">
        <v>289</v>
      </c>
      <c r="E234" s="31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28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 x14ac:dyDescent="0.25">
      <c r="A235" s="314" t="s">
        <v>1032</v>
      </c>
      <c r="B235" s="315">
        <v>115</v>
      </c>
      <c r="C235" s="316" t="s">
        <v>1029</v>
      </c>
      <c r="D235" s="317">
        <v>288</v>
      </c>
      <c r="E235" s="31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28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 x14ac:dyDescent="0.25">
      <c r="A236" s="314" t="s">
        <v>1034</v>
      </c>
      <c r="B236" s="315">
        <v>116</v>
      </c>
      <c r="C236" s="316" t="s">
        <v>1031</v>
      </c>
      <c r="D236" s="317">
        <v>293</v>
      </c>
      <c r="E236" s="31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28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 x14ac:dyDescent="0.3">
      <c r="A237" s="319" t="s">
        <v>1035</v>
      </c>
      <c r="B237" s="320">
        <v>118</v>
      </c>
      <c r="C237" s="321" t="s">
        <v>1033</v>
      </c>
      <c r="D237" s="322">
        <v>294</v>
      </c>
      <c r="E237" s="32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06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 x14ac:dyDescent="0.25"/>
  <cols>
    <col min="1" max="1" width="13.765625" style="54" customWidth="1"/>
    <col min="2" max="2" width="22.765625" style="138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4" customWidth="1"/>
    <col min="14" max="15" width="9" style="54"/>
    <col min="16" max="16384" width="9" style="14"/>
  </cols>
  <sheetData>
    <row r="1" spans="1:15" x14ac:dyDescent="0.25">
      <c r="A1" s="646" t="s">
        <v>1554</v>
      </c>
      <c r="B1" s="646"/>
      <c r="C1" s="646"/>
      <c r="D1" s="646"/>
      <c r="E1" s="54" t="s">
        <v>1173</v>
      </c>
      <c r="F1" s="623" t="s">
        <v>1171</v>
      </c>
      <c r="G1" s="623"/>
      <c r="H1" s="54" t="s">
        <v>1174</v>
      </c>
      <c r="K1" s="623" t="s">
        <v>1172</v>
      </c>
      <c r="L1" s="623"/>
      <c r="M1" s="623"/>
      <c r="N1" s="623"/>
      <c r="O1" s="623"/>
    </row>
    <row r="2" spans="1:15" x14ac:dyDescent="0.25">
      <c r="A2" s="434" t="s">
        <v>1200</v>
      </c>
      <c r="B2" s="434" t="s">
        <v>1201</v>
      </c>
      <c r="C2" s="434" t="s">
        <v>1202</v>
      </c>
      <c r="D2" s="438" t="s">
        <v>1211</v>
      </c>
      <c r="E2" s="54">
        <v>-32</v>
      </c>
      <c r="F2" s="432" t="s">
        <v>1181</v>
      </c>
      <c r="G2" s="14" t="s">
        <v>1771</v>
      </c>
      <c r="H2" s="14" t="str">
        <f>IF($H$1="I", I2,IF($H$1="J",J2,K2))</f>
        <v>tetra-atomic</v>
      </c>
      <c r="I2" s="14" t="s">
        <v>1588</v>
      </c>
      <c r="J2" s="14" t="s">
        <v>1588</v>
      </c>
      <c r="K2" s="14" t="s">
        <v>1588</v>
      </c>
    </row>
    <row r="3" spans="1:15" x14ac:dyDescent="0.25">
      <c r="A3" s="436" t="s">
        <v>1542</v>
      </c>
      <c r="B3" s="443" t="s">
        <v>1846</v>
      </c>
      <c r="C3" s="437" t="s">
        <v>1659</v>
      </c>
      <c r="D3" s="437" t="s">
        <v>1686</v>
      </c>
      <c r="E3" s="54">
        <v>-31</v>
      </c>
      <c r="F3" s="432"/>
      <c r="G3" s="14" t="s">
        <v>1772</v>
      </c>
      <c r="H3" s="14" t="str">
        <f t="shared" ref="H3:H33" si="0">IF($H$1="I", I3,IF($H$1="J",J3,K3))</f>
        <v>dozen tetra-atomic</v>
      </c>
      <c r="I3" s="14" t="s">
        <v>1718</v>
      </c>
      <c r="J3" s="14" t="s">
        <v>1589</v>
      </c>
      <c r="K3" s="14" t="s">
        <v>1590</v>
      </c>
    </row>
    <row r="4" spans="1:15" x14ac:dyDescent="0.25">
      <c r="A4" s="436" t="s">
        <v>1543</v>
      </c>
      <c r="B4" s="443" t="s">
        <v>1847</v>
      </c>
      <c r="C4" s="437" t="s">
        <v>1660</v>
      </c>
      <c r="D4" s="437" t="s">
        <v>1214</v>
      </c>
      <c r="E4" s="54">
        <v>-30</v>
      </c>
      <c r="F4" s="432"/>
      <c r="G4" s="14" t="s">
        <v>1773</v>
      </c>
      <c r="H4" s="14" t="str">
        <f t="shared" si="0"/>
        <v>gross tetra-atomic</v>
      </c>
      <c r="I4" s="14" t="s">
        <v>1719</v>
      </c>
      <c r="J4" s="14" t="s">
        <v>1591</v>
      </c>
      <c r="K4" s="14" t="s">
        <v>1592</v>
      </c>
    </row>
    <row r="5" spans="1:15" x14ac:dyDescent="0.25">
      <c r="A5" s="435" t="s">
        <v>1536</v>
      </c>
      <c r="B5" s="441" t="s">
        <v>1848</v>
      </c>
      <c r="C5" s="442" t="s">
        <v>1685</v>
      </c>
      <c r="D5" s="442" t="s">
        <v>1686</v>
      </c>
      <c r="E5" s="54">
        <v>-29</v>
      </c>
      <c r="F5" s="432"/>
      <c r="G5" s="14" t="s">
        <v>1774</v>
      </c>
      <c r="H5" s="14" t="str">
        <f t="shared" si="0"/>
        <v>doz gross tetra-atomic</v>
      </c>
      <c r="I5" s="14" t="s">
        <v>1720</v>
      </c>
      <c r="J5" s="14" t="s">
        <v>1593</v>
      </c>
      <c r="K5" s="14" t="s">
        <v>1594</v>
      </c>
    </row>
    <row r="6" spans="1:15" x14ac:dyDescent="0.25">
      <c r="A6" s="435" t="s">
        <v>1537</v>
      </c>
      <c r="B6" s="441" t="s">
        <v>1849</v>
      </c>
      <c r="C6" s="442" t="s">
        <v>1661</v>
      </c>
      <c r="D6" s="442" t="s">
        <v>1686</v>
      </c>
      <c r="E6" s="54">
        <v>-28</v>
      </c>
      <c r="F6" s="432" t="s">
        <v>1182</v>
      </c>
      <c r="G6" s="14" t="s">
        <v>1775</v>
      </c>
      <c r="H6" s="14" t="str">
        <f t="shared" si="0"/>
        <v>ter-atomic sub</v>
      </c>
      <c r="I6" s="14" t="s">
        <v>1687</v>
      </c>
      <c r="J6" s="14" t="s">
        <v>1687</v>
      </c>
      <c r="K6" s="14" t="s">
        <v>1688</v>
      </c>
    </row>
    <row r="7" spans="1:15" x14ac:dyDescent="0.25">
      <c r="A7" s="435" t="s">
        <v>1538</v>
      </c>
      <c r="B7" s="441" t="s">
        <v>1850</v>
      </c>
      <c r="C7" s="442" t="s">
        <v>1662</v>
      </c>
      <c r="D7" s="442" t="s">
        <v>1686</v>
      </c>
      <c r="E7" s="54">
        <v>-27</v>
      </c>
      <c r="F7" s="432"/>
      <c r="G7" s="14" t="s">
        <v>1776</v>
      </c>
      <c r="H7" s="14" t="str">
        <f t="shared" si="0"/>
        <v>terno ter-atomic</v>
      </c>
      <c r="I7" s="14" t="s">
        <v>1721</v>
      </c>
      <c r="J7" s="14" t="s">
        <v>1689</v>
      </c>
      <c r="K7" s="14" t="s">
        <v>1690</v>
      </c>
    </row>
    <row r="8" spans="1:15" x14ac:dyDescent="0.25">
      <c r="A8" s="435" t="s">
        <v>1539</v>
      </c>
      <c r="B8" s="441" t="s">
        <v>1851</v>
      </c>
      <c r="C8" s="442" t="s">
        <v>1663</v>
      </c>
      <c r="D8" s="442" t="s">
        <v>1686</v>
      </c>
      <c r="E8" s="54">
        <v>-26</v>
      </c>
      <c r="F8" s="432"/>
      <c r="G8" s="14" t="s">
        <v>1777</v>
      </c>
      <c r="H8" s="14" t="str">
        <f t="shared" si="0"/>
        <v>dino ter-atomic</v>
      </c>
      <c r="I8" s="14" t="s">
        <v>1722</v>
      </c>
      <c r="J8" s="14" t="s">
        <v>1691</v>
      </c>
      <c r="K8" s="14" t="s">
        <v>1692</v>
      </c>
    </row>
    <row r="9" spans="1:15" x14ac:dyDescent="0.25">
      <c r="A9" s="435" t="s">
        <v>1540</v>
      </c>
      <c r="B9" s="441" t="s">
        <v>1852</v>
      </c>
      <c r="C9" s="442" t="s">
        <v>1664</v>
      </c>
      <c r="D9" s="442" t="s">
        <v>1214</v>
      </c>
      <c r="E9" s="54">
        <v>-25</v>
      </c>
      <c r="F9" s="432"/>
      <c r="G9" s="14" t="s">
        <v>1778</v>
      </c>
      <c r="H9" s="14" t="str">
        <f t="shared" si="0"/>
        <v>unino ter-atomic</v>
      </c>
      <c r="I9" s="14" t="s">
        <v>1723</v>
      </c>
      <c r="J9" s="14" t="s">
        <v>1693</v>
      </c>
      <c r="K9" s="14" t="s">
        <v>1694</v>
      </c>
    </row>
    <row r="10" spans="1:15" x14ac:dyDescent="0.25">
      <c r="A10" s="435" t="s">
        <v>1541</v>
      </c>
      <c r="B10" s="441" t="s">
        <v>1853</v>
      </c>
      <c r="C10" s="442" t="s">
        <v>1665</v>
      </c>
      <c r="D10" s="442" t="s">
        <v>1686</v>
      </c>
      <c r="E10" s="54">
        <v>-24</v>
      </c>
      <c r="F10" s="432" t="s">
        <v>1183</v>
      </c>
      <c r="G10" s="14" t="s">
        <v>1779</v>
      </c>
      <c r="H10" s="14" t="str">
        <f t="shared" si="0"/>
        <v>ter-atomic</v>
      </c>
      <c r="I10" s="14" t="s">
        <v>1695</v>
      </c>
      <c r="J10" s="14" t="s">
        <v>1695</v>
      </c>
      <c r="K10" s="14" t="s">
        <v>1695</v>
      </c>
    </row>
    <row r="11" spans="1:15" x14ac:dyDescent="0.25">
      <c r="A11" s="435" t="s">
        <v>1535</v>
      </c>
      <c r="B11" s="441" t="s">
        <v>1854</v>
      </c>
      <c r="C11" s="442" t="s">
        <v>1666</v>
      </c>
      <c r="D11" s="442" t="s">
        <v>1214</v>
      </c>
      <c r="E11" s="54">
        <v>-23</v>
      </c>
      <c r="F11" s="432"/>
      <c r="G11" s="14" t="s">
        <v>1780</v>
      </c>
      <c r="H11" s="14" t="str">
        <f t="shared" si="0"/>
        <v>dozen ter-atomic</v>
      </c>
      <c r="I11" s="14" t="s">
        <v>1724</v>
      </c>
      <c r="J11" s="14" t="s">
        <v>1696</v>
      </c>
      <c r="K11" s="14" t="s">
        <v>1697</v>
      </c>
    </row>
    <row r="12" spans="1:15" x14ac:dyDescent="0.25">
      <c r="A12" s="436" t="s">
        <v>1534</v>
      </c>
      <c r="B12" s="443" t="s">
        <v>1855</v>
      </c>
      <c r="C12" s="437" t="s">
        <v>1684</v>
      </c>
      <c r="D12" s="437"/>
      <c r="E12" s="54">
        <v>-22</v>
      </c>
      <c r="F12" s="432"/>
      <c r="G12" s="14" t="s">
        <v>1781</v>
      </c>
      <c r="H12" s="14" t="str">
        <f t="shared" si="0"/>
        <v>gross ter-atomic</v>
      </c>
      <c r="I12" s="14" t="s">
        <v>1725</v>
      </c>
      <c r="J12" s="14" t="s">
        <v>1698</v>
      </c>
      <c r="K12" s="14" t="s">
        <v>1699</v>
      </c>
    </row>
    <row r="13" spans="1:15" x14ac:dyDescent="0.25">
      <c r="A13" s="436" t="s">
        <v>1533</v>
      </c>
      <c r="B13" s="443" t="s">
        <v>1856</v>
      </c>
      <c r="C13" s="437" t="s">
        <v>1667</v>
      </c>
      <c r="D13" s="438"/>
      <c r="E13" s="54">
        <v>-21</v>
      </c>
      <c r="F13" s="432"/>
      <c r="G13" s="14" t="s">
        <v>1782</v>
      </c>
      <c r="H13" s="14" t="str">
        <f t="shared" si="0"/>
        <v>doz gross ter-atomic</v>
      </c>
      <c r="I13" s="14" t="s">
        <v>1726</v>
      </c>
      <c r="J13" s="14" t="s">
        <v>1700</v>
      </c>
      <c r="K13" s="14" t="s">
        <v>1701</v>
      </c>
    </row>
    <row r="14" spans="1:15" x14ac:dyDescent="0.25">
      <c r="A14" s="436" t="s">
        <v>1532</v>
      </c>
      <c r="B14" s="443" t="s">
        <v>1857</v>
      </c>
      <c r="C14" s="437" t="s">
        <v>1668</v>
      </c>
      <c r="D14" s="438"/>
      <c r="E14" s="54">
        <v>-20</v>
      </c>
      <c r="F14" s="432" t="s">
        <v>1184</v>
      </c>
      <c r="G14" s="14" t="s">
        <v>1783</v>
      </c>
      <c r="H14" s="14" t="str">
        <f t="shared" si="0"/>
        <v>di-atomic sub</v>
      </c>
      <c r="I14" s="14" t="s">
        <v>1573</v>
      </c>
      <c r="J14" s="14" t="s">
        <v>1573</v>
      </c>
      <c r="K14" s="14" t="s">
        <v>1574</v>
      </c>
    </row>
    <row r="15" spans="1:15" x14ac:dyDescent="0.25">
      <c r="A15" s="436" t="s">
        <v>1531</v>
      </c>
      <c r="B15" s="443" t="s">
        <v>1858</v>
      </c>
      <c r="C15" s="437" t="s">
        <v>1669</v>
      </c>
      <c r="D15" s="438"/>
      <c r="E15" s="54">
        <v>-19</v>
      </c>
      <c r="F15" s="432"/>
      <c r="G15" s="14" t="s">
        <v>1784</v>
      </c>
      <c r="H15" s="14" t="str">
        <f t="shared" si="0"/>
        <v>terno di-atomic</v>
      </c>
      <c r="I15" s="14" t="s">
        <v>1727</v>
      </c>
      <c r="J15" s="14" t="s">
        <v>1575</v>
      </c>
      <c r="K15" s="14" t="s">
        <v>1576</v>
      </c>
    </row>
    <row r="16" spans="1:15" x14ac:dyDescent="0.25">
      <c r="A16" s="436" t="s">
        <v>1530</v>
      </c>
      <c r="B16" s="443" t="s">
        <v>1859</v>
      </c>
      <c r="C16" s="437" t="s">
        <v>1670</v>
      </c>
      <c r="D16" s="438"/>
      <c r="E16" s="54">
        <v>-18</v>
      </c>
      <c r="F16" s="432"/>
      <c r="G16" s="14" t="s">
        <v>1785</v>
      </c>
      <c r="H16" s="14" t="str">
        <f t="shared" si="0"/>
        <v>dino di-atomic</v>
      </c>
      <c r="I16" s="14" t="s">
        <v>1728</v>
      </c>
      <c r="J16" s="14" t="s">
        <v>1577</v>
      </c>
      <c r="K16" s="14" t="s">
        <v>1578</v>
      </c>
    </row>
    <row r="17" spans="1:15" x14ac:dyDescent="0.25">
      <c r="A17" s="436" t="s">
        <v>1529</v>
      </c>
      <c r="B17" s="443" t="s">
        <v>1860</v>
      </c>
      <c r="C17" s="437" t="s">
        <v>1671</v>
      </c>
      <c r="D17" s="438"/>
      <c r="E17" s="54">
        <v>-17</v>
      </c>
      <c r="F17" s="432"/>
      <c r="G17" s="14" t="s">
        <v>1786</v>
      </c>
      <c r="H17" s="14" t="str">
        <f t="shared" si="0"/>
        <v>unino di-atomic</v>
      </c>
      <c r="I17" s="14" t="s">
        <v>1729</v>
      </c>
      <c r="J17" s="14" t="s">
        <v>1579</v>
      </c>
      <c r="K17" s="14" t="s">
        <v>1580</v>
      </c>
    </row>
    <row r="18" spans="1:15" x14ac:dyDescent="0.25">
      <c r="A18" s="436" t="s">
        <v>1528</v>
      </c>
      <c r="B18" s="443" t="s">
        <v>1861</v>
      </c>
      <c r="C18" s="437" t="s">
        <v>1672</v>
      </c>
      <c r="D18" s="438"/>
      <c r="E18" s="54">
        <v>-16</v>
      </c>
      <c r="F18" s="432" t="s">
        <v>1185</v>
      </c>
      <c r="G18" s="14" t="s">
        <v>1787</v>
      </c>
      <c r="H18" s="14" t="str">
        <f t="shared" si="0"/>
        <v>di-atomic</v>
      </c>
      <c r="I18" s="14" t="s">
        <v>1581</v>
      </c>
      <c r="J18" s="14" t="s">
        <v>1581</v>
      </c>
      <c r="K18" s="14" t="s">
        <v>1581</v>
      </c>
    </row>
    <row r="19" spans="1:15" x14ac:dyDescent="0.25">
      <c r="A19" s="435" t="s">
        <v>1203</v>
      </c>
      <c r="B19" s="441">
        <v>1</v>
      </c>
      <c r="C19" s="442" t="s">
        <v>1224</v>
      </c>
      <c r="D19" s="442" t="s">
        <v>1215</v>
      </c>
      <c r="E19" s="54">
        <v>-15</v>
      </c>
      <c r="F19" s="432"/>
      <c r="G19" s="14" t="s">
        <v>1788</v>
      </c>
      <c r="H19" s="14" t="str">
        <f t="shared" si="0"/>
        <v>dozen di-atomic</v>
      </c>
      <c r="I19" s="14" t="s">
        <v>1730</v>
      </c>
      <c r="J19" s="14" t="s">
        <v>1582</v>
      </c>
      <c r="K19" s="14" t="s">
        <v>1583</v>
      </c>
    </row>
    <row r="20" spans="1:15" x14ac:dyDescent="0.25">
      <c r="A20" s="436">
        <v>1</v>
      </c>
      <c r="B20" s="443" t="s">
        <v>1240</v>
      </c>
      <c r="C20" s="437" t="s">
        <v>1225</v>
      </c>
      <c r="D20" s="437" t="s">
        <v>1212</v>
      </c>
      <c r="E20" s="54">
        <v>-14</v>
      </c>
      <c r="F20" s="432"/>
      <c r="G20" s="14" t="s">
        <v>1789</v>
      </c>
      <c r="H20" s="14" t="str">
        <f t="shared" si="0"/>
        <v>gross di-atomic</v>
      </c>
      <c r="I20" s="14" t="s">
        <v>1731</v>
      </c>
      <c r="J20" s="14" t="s">
        <v>1584</v>
      </c>
      <c r="K20" s="14" t="s">
        <v>1585</v>
      </c>
    </row>
    <row r="21" spans="1:15" x14ac:dyDescent="0.25">
      <c r="A21" s="436">
        <v>2</v>
      </c>
      <c r="B21" s="443" t="s">
        <v>1241</v>
      </c>
      <c r="C21" s="437" t="s">
        <v>1226</v>
      </c>
      <c r="D21" s="437" t="s">
        <v>1213</v>
      </c>
      <c r="E21" s="54">
        <v>-13</v>
      </c>
      <c r="F21" s="432"/>
      <c r="G21" s="14" t="s">
        <v>1790</v>
      </c>
      <c r="H21" s="14" t="str">
        <f t="shared" si="0"/>
        <v>doz gross di-atomic</v>
      </c>
      <c r="I21" s="14" t="s">
        <v>1732</v>
      </c>
      <c r="J21" s="14" t="s">
        <v>1586</v>
      </c>
      <c r="K21" s="14" t="s">
        <v>1587</v>
      </c>
    </row>
    <row r="22" spans="1:15" x14ac:dyDescent="0.25">
      <c r="A22" s="436">
        <v>3</v>
      </c>
      <c r="B22" s="443" t="s">
        <v>1242</v>
      </c>
      <c r="C22" s="437" t="s">
        <v>1673</v>
      </c>
      <c r="D22" s="437"/>
      <c r="E22" s="54">
        <v>-12</v>
      </c>
      <c r="F22" s="432" t="s">
        <v>1186</v>
      </c>
      <c r="G22" s="14" t="s">
        <v>1791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 x14ac:dyDescent="0.25">
      <c r="A23" s="436">
        <f>A21*2</f>
        <v>4</v>
      </c>
      <c r="B23" s="443" t="s">
        <v>1243</v>
      </c>
      <c r="C23" s="437" t="s">
        <v>1555</v>
      </c>
      <c r="D23" s="437" t="s">
        <v>1558</v>
      </c>
      <c r="E23" s="54">
        <v>-11</v>
      </c>
      <c r="F23" s="432"/>
      <c r="G23" s="14" t="s">
        <v>1792</v>
      </c>
      <c r="H23" s="14" t="str">
        <f t="shared" si="0"/>
        <v>terno atomic</v>
      </c>
      <c r="I23" s="14" t="s">
        <v>1733</v>
      </c>
      <c r="J23" s="14" t="s">
        <v>1204</v>
      </c>
      <c r="K23" s="14" t="s">
        <v>1066</v>
      </c>
    </row>
    <row r="24" spans="1:15" x14ac:dyDescent="0.25">
      <c r="A24" s="436" t="s">
        <v>1518</v>
      </c>
      <c r="B24" s="443" t="s">
        <v>1521</v>
      </c>
      <c r="C24" s="437" t="s">
        <v>1556</v>
      </c>
      <c r="D24" s="437"/>
      <c r="E24" s="54">
        <v>-10</v>
      </c>
      <c r="F24" s="432"/>
      <c r="G24" s="14" t="s">
        <v>1793</v>
      </c>
      <c r="H24" s="14" t="str">
        <f t="shared" si="0"/>
        <v>dino atomic</v>
      </c>
      <c r="I24" s="14" t="s">
        <v>1734</v>
      </c>
      <c r="J24" s="14" t="s">
        <v>1207</v>
      </c>
      <c r="K24" s="14" t="s">
        <v>1065</v>
      </c>
    </row>
    <row r="25" spans="1:15" x14ac:dyDescent="0.25">
      <c r="A25" s="436" t="s">
        <v>1519</v>
      </c>
      <c r="B25" s="443" t="s">
        <v>1522</v>
      </c>
      <c r="C25" s="437" t="s">
        <v>1557</v>
      </c>
      <c r="D25" s="437"/>
      <c r="E25" s="54">
        <v>-9</v>
      </c>
      <c r="F25" s="432"/>
      <c r="G25" s="14" t="s">
        <v>1794</v>
      </c>
      <c r="H25" s="14" t="str">
        <f t="shared" si="0"/>
        <v>unino atomic</v>
      </c>
      <c r="I25" s="14" t="s">
        <v>1735</v>
      </c>
      <c r="J25" s="14" t="s">
        <v>1327</v>
      </c>
      <c r="K25" s="14" t="s">
        <v>1064</v>
      </c>
    </row>
    <row r="26" spans="1:15" x14ac:dyDescent="0.25">
      <c r="A26" s="436" t="s">
        <v>1520</v>
      </c>
      <c r="B26" s="443" t="s">
        <v>1523</v>
      </c>
      <c r="C26" s="437" t="s">
        <v>1674</v>
      </c>
      <c r="D26" s="437"/>
      <c r="E26" s="54">
        <v>-8</v>
      </c>
      <c r="F26" s="432" t="s">
        <v>1187</v>
      </c>
      <c r="G26" s="14" t="s">
        <v>1795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 x14ac:dyDescent="0.25">
      <c r="A27" s="435">
        <f>A23*2</f>
        <v>8</v>
      </c>
      <c r="B27" s="441" t="s">
        <v>1862</v>
      </c>
      <c r="C27" s="442" t="s">
        <v>1675</v>
      </c>
      <c r="D27" s="442"/>
      <c r="E27" s="54">
        <v>-7</v>
      </c>
      <c r="F27" s="432"/>
      <c r="G27" s="14" t="s">
        <v>1796</v>
      </c>
      <c r="H27" s="14" t="str">
        <f t="shared" si="0"/>
        <v>dozen atomic</v>
      </c>
      <c r="I27" s="14" t="s">
        <v>1736</v>
      </c>
      <c r="J27" s="14" t="s">
        <v>1481</v>
      </c>
      <c r="K27" s="14" t="s">
        <v>1063</v>
      </c>
    </row>
    <row r="28" spans="1:15" x14ac:dyDescent="0.25">
      <c r="A28" s="435">
        <f t="shared" ref="A28:A35" si="1">A27*2</f>
        <v>16</v>
      </c>
      <c r="B28" s="441" t="s">
        <v>1863</v>
      </c>
      <c r="C28" s="442" t="s">
        <v>1676</v>
      </c>
      <c r="D28" s="442"/>
      <c r="E28" s="54">
        <v>-6</v>
      </c>
      <c r="F28" s="432"/>
      <c r="G28" s="14" t="s">
        <v>1797</v>
      </c>
      <c r="H28" s="14" t="str">
        <f t="shared" si="0"/>
        <v>gross atomic</v>
      </c>
      <c r="I28" s="14" t="s">
        <v>1737</v>
      </c>
      <c r="J28" s="14" t="s">
        <v>1335</v>
      </c>
      <c r="K28" s="14" t="s">
        <v>1062</v>
      </c>
    </row>
    <row r="29" spans="1:15" x14ac:dyDescent="0.25">
      <c r="A29" s="435" t="s">
        <v>1524</v>
      </c>
      <c r="B29" s="441" t="s">
        <v>1864</v>
      </c>
      <c r="C29" s="442" t="s">
        <v>1677</v>
      </c>
      <c r="D29" s="442"/>
      <c r="E29" s="54">
        <v>-5</v>
      </c>
      <c r="F29" s="432"/>
      <c r="G29" s="14" t="s">
        <v>1798</v>
      </c>
      <c r="H29" s="14" t="str">
        <f t="shared" si="0"/>
        <v>doz gross atomic</v>
      </c>
      <c r="I29" s="14" t="s">
        <v>1738</v>
      </c>
      <c r="J29" s="14" t="s">
        <v>1338</v>
      </c>
      <c r="K29" s="14" t="s">
        <v>1061</v>
      </c>
      <c r="N29" s="54" t="s">
        <v>1117</v>
      </c>
      <c r="O29" s="54" t="s">
        <v>1118</v>
      </c>
    </row>
    <row r="30" spans="1:15" x14ac:dyDescent="0.25">
      <c r="A30" s="435">
        <f>A28*2</f>
        <v>32</v>
      </c>
      <c r="B30" s="441" t="s">
        <v>1865</v>
      </c>
      <c r="C30" s="442" t="s">
        <v>1678</v>
      </c>
      <c r="D30" s="442"/>
      <c r="E30" s="54">
        <v>-4</v>
      </c>
      <c r="F30" s="432" t="s">
        <v>1188</v>
      </c>
      <c r="G30" s="14" t="s">
        <v>1799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4">
        <v>4</v>
      </c>
      <c r="N30" s="54" t="s">
        <v>1057</v>
      </c>
      <c r="O30" s="54" t="s">
        <v>1110</v>
      </c>
    </row>
    <row r="31" spans="1:15" x14ac:dyDescent="0.25">
      <c r="A31" s="435" t="s">
        <v>1525</v>
      </c>
      <c r="B31" s="441" t="s">
        <v>1866</v>
      </c>
      <c r="C31" s="442" t="s">
        <v>1679</v>
      </c>
      <c r="D31" s="442"/>
      <c r="E31" s="54">
        <v>-3</v>
      </c>
      <c r="F31" s="432"/>
      <c r="G31" s="14" t="s">
        <v>1800</v>
      </c>
      <c r="H31" s="14" t="str">
        <f t="shared" si="0"/>
        <v>terno</v>
      </c>
      <c r="I31" s="14" t="s">
        <v>1739</v>
      </c>
      <c r="J31" s="14" t="s">
        <v>1205</v>
      </c>
      <c r="K31" s="14" t="s">
        <v>1056</v>
      </c>
      <c r="L31" s="14" t="s">
        <v>100</v>
      </c>
      <c r="M31" s="54">
        <v>3</v>
      </c>
      <c r="N31" s="54" t="s">
        <v>1056</v>
      </c>
      <c r="O31" s="54" t="s">
        <v>1111</v>
      </c>
    </row>
    <row r="32" spans="1:15" x14ac:dyDescent="0.25">
      <c r="A32" s="435" t="s">
        <v>1526</v>
      </c>
      <c r="B32" s="441" t="s">
        <v>1867</v>
      </c>
      <c r="C32" s="442" t="s">
        <v>1680</v>
      </c>
      <c r="D32" s="442"/>
      <c r="E32" s="54">
        <v>-2</v>
      </c>
      <c r="F32" s="432"/>
      <c r="G32" s="14" t="s">
        <v>1801</v>
      </c>
      <c r="H32" s="14" t="str">
        <f t="shared" si="0"/>
        <v>dino</v>
      </c>
      <c r="I32" s="14" t="s">
        <v>1740</v>
      </c>
      <c r="J32" s="14" t="s">
        <v>1208</v>
      </c>
      <c r="K32" s="14" t="s">
        <v>1055</v>
      </c>
      <c r="L32" s="14" t="s">
        <v>99</v>
      </c>
      <c r="M32" s="54">
        <v>2</v>
      </c>
      <c r="N32" s="54" t="s">
        <v>1055</v>
      </c>
      <c r="O32" s="54" t="s">
        <v>1112</v>
      </c>
    </row>
    <row r="33" spans="1:15" x14ac:dyDescent="0.25">
      <c r="A33" s="435" t="s">
        <v>1527</v>
      </c>
      <c r="B33" s="441" t="s">
        <v>1868</v>
      </c>
      <c r="C33" s="442" t="s">
        <v>1681</v>
      </c>
      <c r="D33" s="442"/>
      <c r="E33" s="54">
        <v>-1</v>
      </c>
      <c r="F33" s="432"/>
      <c r="G33" s="14" t="s">
        <v>1802</v>
      </c>
      <c r="H33" s="14" t="str">
        <f t="shared" si="0"/>
        <v>unino</v>
      </c>
      <c r="I33" s="14" t="s">
        <v>1741</v>
      </c>
      <c r="J33" s="14" t="s">
        <v>1328</v>
      </c>
      <c r="K33" s="14" t="s">
        <v>1054</v>
      </c>
      <c r="L33" s="14" t="s">
        <v>1076</v>
      </c>
      <c r="M33" s="54">
        <v>1</v>
      </c>
      <c r="N33" s="54" t="s">
        <v>1054</v>
      </c>
      <c r="O33" s="54" t="s">
        <v>1113</v>
      </c>
    </row>
    <row r="34" spans="1:15" x14ac:dyDescent="0.25">
      <c r="A34" s="436">
        <f>A30*2</f>
        <v>64</v>
      </c>
      <c r="B34" s="443" t="s">
        <v>1869</v>
      </c>
      <c r="C34" s="437" t="s">
        <v>1682</v>
      </c>
      <c r="D34" s="437"/>
      <c r="E34" s="54">
        <v>0</v>
      </c>
      <c r="F34" s="433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26" t="s">
        <v>1077</v>
      </c>
      <c r="O34" s="326" t="s">
        <v>1077</v>
      </c>
    </row>
    <row r="35" spans="1:15" x14ac:dyDescent="0.25">
      <c r="A35" s="436">
        <f t="shared" si="1"/>
        <v>128</v>
      </c>
      <c r="B35" s="443" t="s">
        <v>1870</v>
      </c>
      <c r="C35" s="437" t="s">
        <v>1683</v>
      </c>
      <c r="D35" s="437"/>
      <c r="E35" s="54">
        <v>1</v>
      </c>
      <c r="F35" s="432"/>
      <c r="G35" s="14" t="s">
        <v>1803</v>
      </c>
      <c r="H35" s="14" t="str">
        <f t="shared" ref="H35:H75" si="2">IF($H$1="I", I35,IF($H$1="J",J35,K35))</f>
        <v>dozen</v>
      </c>
      <c r="I35" s="14" t="s">
        <v>1742</v>
      </c>
      <c r="J35" s="14" t="s">
        <v>1482</v>
      </c>
      <c r="K35" s="14" t="s">
        <v>1060</v>
      </c>
      <c r="L35" s="14" t="s">
        <v>98</v>
      </c>
      <c r="M35" s="54">
        <v>1</v>
      </c>
      <c r="N35" s="54" t="s">
        <v>1060</v>
      </c>
      <c r="O35" s="54" t="s">
        <v>1114</v>
      </c>
    </row>
    <row r="36" spans="1:15" x14ac:dyDescent="0.25">
      <c r="A36" s="434"/>
      <c r="B36" s="439"/>
      <c r="C36" s="530" t="s">
        <v>1563</v>
      </c>
      <c r="D36" s="440"/>
      <c r="E36" s="54">
        <v>2</v>
      </c>
      <c r="F36" s="432"/>
      <c r="G36" s="14" t="s">
        <v>1804</v>
      </c>
      <c r="H36" s="14" t="str">
        <f t="shared" si="2"/>
        <v>gross</v>
      </c>
      <c r="I36" s="14" t="s">
        <v>1743</v>
      </c>
      <c r="J36" s="14" t="s">
        <v>1336</v>
      </c>
      <c r="K36" s="14" t="s">
        <v>1059</v>
      </c>
      <c r="L36" s="14" t="s">
        <v>103</v>
      </c>
      <c r="M36" s="54">
        <v>7</v>
      </c>
      <c r="N36" s="54" t="s">
        <v>1059</v>
      </c>
      <c r="O36" s="54" t="s">
        <v>1115</v>
      </c>
    </row>
    <row r="37" spans="1:15" x14ac:dyDescent="0.25">
      <c r="A37" s="434"/>
      <c r="B37" s="439"/>
      <c r="C37" s="529"/>
      <c r="D37" s="440"/>
      <c r="E37" s="54">
        <v>3</v>
      </c>
      <c r="F37" s="432"/>
      <c r="G37" s="14" t="s">
        <v>1805</v>
      </c>
      <c r="H37" s="14" t="str">
        <f t="shared" si="2"/>
        <v>doz gross</v>
      </c>
      <c r="I37" s="14" t="s">
        <v>1673</v>
      </c>
      <c r="J37" s="14" t="s">
        <v>1345</v>
      </c>
      <c r="K37" s="14" t="s">
        <v>1346</v>
      </c>
      <c r="L37" s="14" t="s">
        <v>1342</v>
      </c>
      <c r="M37" s="54">
        <v>6</v>
      </c>
      <c r="N37" s="54" t="s">
        <v>1343</v>
      </c>
      <c r="O37" s="54" t="s">
        <v>1344</v>
      </c>
    </row>
    <row r="38" spans="1:15" x14ac:dyDescent="0.25">
      <c r="A38" s="434"/>
      <c r="B38" s="439"/>
      <c r="C38" s="529"/>
      <c r="D38" s="440"/>
      <c r="E38" s="54">
        <v>4</v>
      </c>
      <c r="F38" s="432" t="s">
        <v>1189</v>
      </c>
      <c r="G38" s="14" t="s">
        <v>1806</v>
      </c>
      <c r="H38" s="14" t="str">
        <f t="shared" si="2"/>
        <v>super</v>
      </c>
      <c r="I38" s="14" t="s">
        <v>1340</v>
      </c>
      <c r="J38" s="14" t="s">
        <v>1340</v>
      </c>
      <c r="K38" s="14" t="s">
        <v>1058</v>
      </c>
      <c r="L38" s="14" t="s">
        <v>102</v>
      </c>
      <c r="M38" s="54">
        <v>5</v>
      </c>
      <c r="N38" s="54" t="s">
        <v>1058</v>
      </c>
      <c r="O38" s="54" t="s">
        <v>1116</v>
      </c>
    </row>
    <row r="39" spans="1:15" x14ac:dyDescent="0.25">
      <c r="A39" s="445" t="s">
        <v>1248</v>
      </c>
      <c r="B39" s="138" t="s">
        <v>1249</v>
      </c>
      <c r="C39" s="647" t="s">
        <v>1257</v>
      </c>
      <c r="D39" s="647"/>
      <c r="E39" s="54">
        <v>5</v>
      </c>
      <c r="F39" s="432"/>
      <c r="G39" s="14" t="s">
        <v>1807</v>
      </c>
      <c r="H39" s="14" t="str">
        <f t="shared" si="2"/>
        <v>terno cosmic</v>
      </c>
      <c r="I39" s="14" t="s">
        <v>1744</v>
      </c>
      <c r="J39" s="14" t="s">
        <v>1206</v>
      </c>
      <c r="K39" s="14" t="s">
        <v>1068</v>
      </c>
    </row>
    <row r="40" spans="1:15" x14ac:dyDescent="0.25">
      <c r="A40" s="445" t="s">
        <v>1246</v>
      </c>
      <c r="B40" s="138" t="s">
        <v>1247</v>
      </c>
      <c r="C40" s="647"/>
      <c r="D40" s="647"/>
      <c r="E40" s="54">
        <v>6</v>
      </c>
      <c r="F40" s="432"/>
      <c r="G40" s="14" t="s">
        <v>1808</v>
      </c>
      <c r="H40" s="14" t="str">
        <f t="shared" si="2"/>
        <v>dino cosmic</v>
      </c>
      <c r="I40" s="14" t="s">
        <v>1745</v>
      </c>
      <c r="J40" s="14" t="s">
        <v>1209</v>
      </c>
      <c r="K40" s="14" t="s">
        <v>1069</v>
      </c>
    </row>
    <row r="41" spans="1:15" x14ac:dyDescent="0.25">
      <c r="A41" s="445" t="s">
        <v>1244</v>
      </c>
      <c r="B41" s="138" t="s">
        <v>1245</v>
      </c>
      <c r="C41" s="647"/>
      <c r="D41" s="647"/>
      <c r="E41" s="54">
        <v>7</v>
      </c>
      <c r="F41" s="432"/>
      <c r="G41" s="14" t="s">
        <v>1809</v>
      </c>
      <c r="H41" s="14" t="str">
        <f t="shared" si="2"/>
        <v>unino cosmic</v>
      </c>
      <c r="I41" s="14" t="s">
        <v>1746</v>
      </c>
      <c r="J41" s="14" t="s">
        <v>1329</v>
      </c>
      <c r="K41" s="14" t="s">
        <v>1070</v>
      </c>
    </row>
    <row r="42" spans="1:15" x14ac:dyDescent="0.25">
      <c r="A42" s="445" t="s">
        <v>1254</v>
      </c>
      <c r="B42" s="138" t="s">
        <v>1250</v>
      </c>
      <c r="E42" s="54">
        <v>8</v>
      </c>
      <c r="F42" s="432" t="s">
        <v>1190</v>
      </c>
      <c r="G42" s="14" t="s">
        <v>1810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 x14ac:dyDescent="0.25">
      <c r="A43" s="54" t="s">
        <v>1251</v>
      </c>
      <c r="B43" s="138" t="s">
        <v>1286</v>
      </c>
      <c r="C43" s="14" t="s">
        <v>1287</v>
      </c>
      <c r="E43" s="54">
        <v>9</v>
      </c>
      <c r="F43" s="432"/>
      <c r="G43" s="14" t="s">
        <v>1811</v>
      </c>
      <c r="H43" s="14" t="str">
        <f t="shared" si="2"/>
        <v>dozen cosmic</v>
      </c>
      <c r="I43" s="14" t="s">
        <v>1747</v>
      </c>
      <c r="J43" s="14" t="s">
        <v>1483</v>
      </c>
      <c r="K43" s="14" t="s">
        <v>1071</v>
      </c>
    </row>
    <row r="44" spans="1:15" ht="13.75" x14ac:dyDescent="0.25">
      <c r="A44" s="54" t="s">
        <v>1252</v>
      </c>
      <c r="B44" s="138" t="s">
        <v>1299</v>
      </c>
      <c r="C44" s="14" t="s">
        <v>1255</v>
      </c>
      <c r="E44" s="54">
        <v>10</v>
      </c>
      <c r="F44" s="432"/>
      <c r="G44" s="14" t="s">
        <v>1812</v>
      </c>
      <c r="H44" s="14" t="str">
        <f t="shared" si="2"/>
        <v>gross cosmic</v>
      </c>
      <c r="I44" s="14" t="s">
        <v>1748</v>
      </c>
      <c r="J44" s="14" t="s">
        <v>1337</v>
      </c>
      <c r="K44" s="14" t="s">
        <v>1072</v>
      </c>
    </row>
    <row r="45" spans="1:15" ht="13.75" x14ac:dyDescent="0.25">
      <c r="A45" s="326" t="s">
        <v>1253</v>
      </c>
      <c r="B45" s="138" t="s">
        <v>1300</v>
      </c>
      <c r="C45" s="14" t="s">
        <v>1256</v>
      </c>
      <c r="E45" s="54">
        <v>11</v>
      </c>
      <c r="F45" s="432"/>
      <c r="G45" s="14" t="s">
        <v>1813</v>
      </c>
      <c r="H45" s="14" t="str">
        <f t="shared" si="2"/>
        <v>doz gross cosmic</v>
      </c>
      <c r="I45" s="14" t="s">
        <v>1749</v>
      </c>
      <c r="J45" s="14" t="s">
        <v>1339</v>
      </c>
      <c r="K45" s="14" t="s">
        <v>1073</v>
      </c>
    </row>
    <row r="46" spans="1:15" x14ac:dyDescent="0.25">
      <c r="A46" s="326" t="s">
        <v>1290</v>
      </c>
      <c r="B46" s="138" t="s">
        <v>1871</v>
      </c>
      <c r="E46" s="54">
        <v>12</v>
      </c>
      <c r="F46" s="432" t="s">
        <v>1191</v>
      </c>
      <c r="G46" s="14" t="s">
        <v>1814</v>
      </c>
      <c r="H46" s="14" t="str">
        <f t="shared" si="2"/>
        <v>cosmic super</v>
      </c>
      <c r="I46" s="14" t="s">
        <v>1341</v>
      </c>
      <c r="J46" s="14" t="s">
        <v>1341</v>
      </c>
      <c r="K46" s="14" t="s">
        <v>1074</v>
      </c>
    </row>
    <row r="47" spans="1:15" x14ac:dyDescent="0.25">
      <c r="A47" s="326" t="s">
        <v>1291</v>
      </c>
      <c r="B47" s="138" t="s">
        <v>1294</v>
      </c>
      <c r="E47" s="54">
        <v>13</v>
      </c>
      <c r="F47" s="432"/>
      <c r="G47" s="14" t="s">
        <v>1815</v>
      </c>
      <c r="H47" s="14" t="str">
        <f t="shared" si="2"/>
        <v>terno di-cosmic</v>
      </c>
      <c r="I47" s="14" t="s">
        <v>1750</v>
      </c>
      <c r="J47" s="14" t="s">
        <v>1620</v>
      </c>
      <c r="K47" s="14" t="s">
        <v>1621</v>
      </c>
    </row>
    <row r="48" spans="1:15" x14ac:dyDescent="0.25">
      <c r="A48" s="326" t="s">
        <v>1292</v>
      </c>
      <c r="B48" s="138" t="s">
        <v>1297</v>
      </c>
      <c r="C48" s="14" t="s">
        <v>1844</v>
      </c>
      <c r="E48" s="54">
        <v>14</v>
      </c>
      <c r="F48" s="432"/>
      <c r="G48" s="14" t="s">
        <v>1816</v>
      </c>
      <c r="H48" s="14" t="str">
        <f t="shared" si="2"/>
        <v>dino di-cosmic</v>
      </c>
      <c r="I48" s="14" t="s">
        <v>1751</v>
      </c>
      <c r="J48" s="14" t="s">
        <v>1622</v>
      </c>
      <c r="K48" s="14" t="s">
        <v>1623</v>
      </c>
    </row>
    <row r="49" spans="1:11" x14ac:dyDescent="0.25">
      <c r="A49" s="326" t="s">
        <v>1293</v>
      </c>
      <c r="B49" s="138" t="s">
        <v>1298</v>
      </c>
      <c r="C49" s="14" t="s">
        <v>1845</v>
      </c>
      <c r="E49" s="54">
        <v>15</v>
      </c>
      <c r="F49" s="432"/>
      <c r="G49" s="14" t="s">
        <v>1817</v>
      </c>
      <c r="H49" s="14" t="str">
        <f t="shared" si="2"/>
        <v>unino di-cosmic</v>
      </c>
      <c r="I49" s="14" t="s">
        <v>1752</v>
      </c>
      <c r="J49" s="14" t="s">
        <v>1624</v>
      </c>
      <c r="K49" s="14" t="s">
        <v>1625</v>
      </c>
    </row>
    <row r="50" spans="1:11" x14ac:dyDescent="0.25">
      <c r="A50" s="326" t="s">
        <v>1288</v>
      </c>
      <c r="B50" s="138" t="s">
        <v>1295</v>
      </c>
      <c r="C50" s="55" t="s">
        <v>1426</v>
      </c>
      <c r="E50" s="54">
        <v>16</v>
      </c>
      <c r="F50" s="432" t="s">
        <v>1192</v>
      </c>
      <c r="G50" s="14" t="s">
        <v>1818</v>
      </c>
      <c r="H50" s="14" t="str">
        <f t="shared" si="2"/>
        <v>di-cosmic</v>
      </c>
      <c r="I50" s="14" t="s">
        <v>1626</v>
      </c>
      <c r="J50" s="14" t="s">
        <v>1626</v>
      </c>
      <c r="K50" s="14" t="s">
        <v>1626</v>
      </c>
    </row>
    <row r="51" spans="1:11" x14ac:dyDescent="0.25">
      <c r="A51" s="326" t="s">
        <v>1289</v>
      </c>
      <c r="B51" s="138" t="s">
        <v>1296</v>
      </c>
      <c r="C51" s="55" t="s">
        <v>1427</v>
      </c>
      <c r="E51" s="54">
        <v>17</v>
      </c>
      <c r="F51" s="432"/>
      <c r="G51" s="14" t="s">
        <v>1819</v>
      </c>
      <c r="H51" s="14" t="str">
        <f t="shared" si="2"/>
        <v>dozen di-cosmic</v>
      </c>
      <c r="I51" s="14" t="s">
        <v>1753</v>
      </c>
      <c r="J51" s="14" t="s">
        <v>1627</v>
      </c>
      <c r="K51" s="14" t="s">
        <v>1628</v>
      </c>
    </row>
    <row r="52" spans="1:11" x14ac:dyDescent="0.25">
      <c r="E52" s="54">
        <v>18</v>
      </c>
      <c r="F52" s="432"/>
      <c r="G52" s="14" t="s">
        <v>1820</v>
      </c>
      <c r="H52" s="14" t="str">
        <f t="shared" si="2"/>
        <v>gross di-cosmic</v>
      </c>
      <c r="I52" s="14" t="s">
        <v>1754</v>
      </c>
      <c r="J52" s="14" t="s">
        <v>1629</v>
      </c>
      <c r="K52" s="14" t="s">
        <v>1630</v>
      </c>
    </row>
    <row r="53" spans="1:11" x14ac:dyDescent="0.25">
      <c r="A53" s="326"/>
      <c r="B53" s="446" t="s">
        <v>1702</v>
      </c>
      <c r="E53" s="54">
        <v>19</v>
      </c>
      <c r="F53" s="432"/>
      <c r="G53" s="14" t="s">
        <v>1821</v>
      </c>
      <c r="H53" s="14" t="str">
        <f t="shared" si="2"/>
        <v>doz gross di-cosmic</v>
      </c>
      <c r="I53" s="14" t="s">
        <v>1755</v>
      </c>
      <c r="J53" s="14" t="s">
        <v>1631</v>
      </c>
      <c r="K53" s="14" t="s">
        <v>1632</v>
      </c>
    </row>
    <row r="54" spans="1:11" x14ac:dyDescent="0.25">
      <c r="E54" s="54">
        <v>20</v>
      </c>
      <c r="F54" s="432" t="s">
        <v>1193</v>
      </c>
      <c r="G54" s="14" t="s">
        <v>1822</v>
      </c>
      <c r="H54" s="14" t="str">
        <f t="shared" si="2"/>
        <v>di-cosmic super</v>
      </c>
      <c r="I54" s="14" t="s">
        <v>1633</v>
      </c>
      <c r="J54" s="14" t="s">
        <v>1633</v>
      </c>
      <c r="K54" s="14" t="s">
        <v>1634</v>
      </c>
    </row>
    <row r="55" spans="1:11" x14ac:dyDescent="0.25">
      <c r="E55" s="54">
        <v>21</v>
      </c>
      <c r="F55" s="432"/>
      <c r="G55" s="14" t="s">
        <v>1823</v>
      </c>
      <c r="H55" s="14" t="str">
        <f t="shared" si="2"/>
        <v>terno ter-cosmic</v>
      </c>
      <c r="I55" s="14" t="s">
        <v>1756</v>
      </c>
      <c r="J55" s="14" t="s">
        <v>1703</v>
      </c>
      <c r="K55" s="14" t="s">
        <v>1704</v>
      </c>
    </row>
    <row r="56" spans="1:11" x14ac:dyDescent="0.25">
      <c r="E56" s="54">
        <v>22</v>
      </c>
      <c r="F56" s="432"/>
      <c r="G56" s="14" t="s">
        <v>1824</v>
      </c>
      <c r="H56" s="14" t="str">
        <f t="shared" si="2"/>
        <v>dino ter-cosmic</v>
      </c>
      <c r="I56" s="14" t="s">
        <v>1757</v>
      </c>
      <c r="J56" s="14" t="s">
        <v>1705</v>
      </c>
      <c r="K56" s="14" t="s">
        <v>1706</v>
      </c>
    </row>
    <row r="57" spans="1:11" x14ac:dyDescent="0.25">
      <c r="E57" s="54">
        <v>23</v>
      </c>
      <c r="F57" s="432"/>
      <c r="G57" s="14" t="s">
        <v>1825</v>
      </c>
      <c r="H57" s="14" t="str">
        <f t="shared" si="2"/>
        <v>unino ter-cosmic</v>
      </c>
      <c r="I57" s="14" t="s">
        <v>1758</v>
      </c>
      <c r="J57" s="14" t="s">
        <v>1707</v>
      </c>
      <c r="K57" s="14" t="s">
        <v>1708</v>
      </c>
    </row>
    <row r="58" spans="1:11" x14ac:dyDescent="0.25">
      <c r="E58" s="54">
        <v>24</v>
      </c>
      <c r="F58" s="432" t="s">
        <v>1194</v>
      </c>
      <c r="G58" s="14" t="s">
        <v>1826</v>
      </c>
      <c r="H58" s="14" t="str">
        <f t="shared" si="2"/>
        <v>ter-cosmic</v>
      </c>
      <c r="I58" s="14" t="s">
        <v>1709</v>
      </c>
      <c r="J58" s="14" t="s">
        <v>1709</v>
      </c>
      <c r="K58" s="14" t="s">
        <v>1709</v>
      </c>
    </row>
    <row r="59" spans="1:11" x14ac:dyDescent="0.25">
      <c r="E59" s="54">
        <v>25</v>
      </c>
      <c r="F59" s="432"/>
      <c r="G59" s="14" t="s">
        <v>1827</v>
      </c>
      <c r="H59" s="14" t="str">
        <f t="shared" si="2"/>
        <v>dozen ter-cosmic</v>
      </c>
      <c r="I59" s="14" t="s">
        <v>1759</v>
      </c>
      <c r="J59" s="14" t="s">
        <v>1710</v>
      </c>
      <c r="K59" s="14" t="s">
        <v>1711</v>
      </c>
    </row>
    <row r="60" spans="1:11" x14ac:dyDescent="0.25">
      <c r="E60" s="54">
        <v>26</v>
      </c>
      <c r="F60" s="432"/>
      <c r="G60" s="14" t="s">
        <v>1828</v>
      </c>
      <c r="H60" s="14" t="str">
        <f t="shared" si="2"/>
        <v>gross ter-cosmic</v>
      </c>
      <c r="I60" s="14" t="s">
        <v>1760</v>
      </c>
      <c r="J60" s="14" t="s">
        <v>1712</v>
      </c>
      <c r="K60" s="14" t="s">
        <v>1713</v>
      </c>
    </row>
    <row r="61" spans="1:11" x14ac:dyDescent="0.25">
      <c r="E61" s="54">
        <v>27</v>
      </c>
      <c r="F61" s="432"/>
      <c r="G61" s="14" t="s">
        <v>1829</v>
      </c>
      <c r="H61" s="14" t="str">
        <f t="shared" si="2"/>
        <v>doz gross ter-cosmic</v>
      </c>
      <c r="I61" s="14" t="s">
        <v>1761</v>
      </c>
      <c r="J61" s="14" t="s">
        <v>1714</v>
      </c>
      <c r="K61" s="14" t="s">
        <v>1715</v>
      </c>
    </row>
    <row r="62" spans="1:11" x14ac:dyDescent="0.25">
      <c r="E62" s="54">
        <v>28</v>
      </c>
      <c r="F62" s="432" t="s">
        <v>1195</v>
      </c>
      <c r="G62" s="14" t="s">
        <v>1830</v>
      </c>
      <c r="H62" s="14" t="str">
        <f t="shared" si="2"/>
        <v>ter-cosmic super</v>
      </c>
      <c r="I62" s="14" t="s">
        <v>1716</v>
      </c>
      <c r="J62" s="14" t="s">
        <v>1716</v>
      </c>
      <c r="K62" s="14" t="s">
        <v>1717</v>
      </c>
    </row>
    <row r="63" spans="1:11" x14ac:dyDescent="0.25">
      <c r="E63" s="54">
        <v>29</v>
      </c>
      <c r="F63" s="432"/>
      <c r="G63" s="14" t="s">
        <v>1831</v>
      </c>
      <c r="H63" s="14" t="str">
        <f t="shared" si="2"/>
        <v>terno tetra-cosmic</v>
      </c>
      <c r="I63" s="14" t="s">
        <v>1762</v>
      </c>
      <c r="J63" s="14" t="s">
        <v>1604</v>
      </c>
      <c r="K63" s="14" t="s">
        <v>1605</v>
      </c>
    </row>
    <row r="64" spans="1:11" x14ac:dyDescent="0.25">
      <c r="E64" s="54">
        <v>30</v>
      </c>
      <c r="F64" s="432"/>
      <c r="G64" s="14" t="s">
        <v>1832</v>
      </c>
      <c r="H64" s="14" t="str">
        <f t="shared" si="2"/>
        <v>dino tetra-cosmic</v>
      </c>
      <c r="I64" s="14" t="s">
        <v>1763</v>
      </c>
      <c r="J64" s="14" t="s">
        <v>1606</v>
      </c>
      <c r="K64" s="14" t="s">
        <v>1607</v>
      </c>
    </row>
    <row r="65" spans="5:11" x14ac:dyDescent="0.25">
      <c r="E65" s="54">
        <v>31</v>
      </c>
      <c r="F65" s="432"/>
      <c r="G65" s="14" t="s">
        <v>1833</v>
      </c>
      <c r="H65" s="14" t="str">
        <f t="shared" si="2"/>
        <v>unino tetra-cosmic</v>
      </c>
      <c r="I65" s="14" t="s">
        <v>1764</v>
      </c>
      <c r="J65" s="14" t="s">
        <v>1608</v>
      </c>
      <c r="K65" s="14" t="s">
        <v>1609</v>
      </c>
    </row>
    <row r="66" spans="5:11" x14ac:dyDescent="0.25">
      <c r="E66" s="54">
        <v>32</v>
      </c>
      <c r="F66" s="432" t="s">
        <v>1196</v>
      </c>
      <c r="G66" s="14" t="s">
        <v>1834</v>
      </c>
      <c r="H66" s="14" t="str">
        <f t="shared" si="2"/>
        <v>tetra-cosmic</v>
      </c>
      <c r="I66" s="14" t="s">
        <v>1610</v>
      </c>
      <c r="J66" s="14" t="s">
        <v>1610</v>
      </c>
      <c r="K66" s="14" t="s">
        <v>1610</v>
      </c>
    </row>
    <row r="67" spans="5:11" x14ac:dyDescent="0.25">
      <c r="E67" s="54">
        <v>33</v>
      </c>
      <c r="F67" s="432"/>
      <c r="G67" s="14" t="s">
        <v>1835</v>
      </c>
      <c r="H67" s="14" t="str">
        <f t="shared" si="2"/>
        <v>dozen tetra-cosmic</v>
      </c>
      <c r="I67" s="14" t="s">
        <v>1765</v>
      </c>
      <c r="J67" s="14" t="s">
        <v>1611</v>
      </c>
      <c r="K67" s="14" t="s">
        <v>1612</v>
      </c>
    </row>
    <row r="68" spans="5:11" x14ac:dyDescent="0.25">
      <c r="E68" s="54">
        <v>34</v>
      </c>
      <c r="F68" s="432"/>
      <c r="G68" s="14" t="s">
        <v>1836</v>
      </c>
      <c r="H68" s="14" t="str">
        <f t="shared" si="2"/>
        <v>gross tetra-cosmic</v>
      </c>
      <c r="I68" s="14" t="s">
        <v>1766</v>
      </c>
      <c r="J68" s="14" t="s">
        <v>1613</v>
      </c>
      <c r="K68" s="14" t="s">
        <v>1614</v>
      </c>
    </row>
    <row r="69" spans="5:11" x14ac:dyDescent="0.25">
      <c r="E69" s="54">
        <v>35</v>
      </c>
      <c r="F69" s="432"/>
      <c r="G69" s="14" t="s">
        <v>1837</v>
      </c>
      <c r="H69" s="14" t="str">
        <f t="shared" si="2"/>
        <v>doz gross tetra-cosmic</v>
      </c>
      <c r="I69" s="14" t="s">
        <v>1767</v>
      </c>
      <c r="J69" s="14" t="s">
        <v>1615</v>
      </c>
      <c r="K69" s="14" t="s">
        <v>1616</v>
      </c>
    </row>
    <row r="70" spans="5:11" x14ac:dyDescent="0.25">
      <c r="E70" s="54">
        <v>36</v>
      </c>
      <c r="F70" s="432" t="s">
        <v>1197</v>
      </c>
      <c r="G70" s="14" t="s">
        <v>1838</v>
      </c>
      <c r="H70" s="14" t="str">
        <f t="shared" si="2"/>
        <v>tetra-cosmic super</v>
      </c>
      <c r="I70" s="14" t="s">
        <v>1617</v>
      </c>
      <c r="J70" s="14" t="s">
        <v>1617</v>
      </c>
      <c r="K70" s="14" t="s">
        <v>1618</v>
      </c>
    </row>
    <row r="71" spans="5:11" x14ac:dyDescent="0.25">
      <c r="E71" s="54">
        <v>37</v>
      </c>
      <c r="F71" s="432"/>
      <c r="G71" s="14" t="s">
        <v>1839</v>
      </c>
      <c r="H71" s="14" t="str">
        <f t="shared" si="2"/>
        <v>terno penta-cosmic</v>
      </c>
      <c r="I71" s="14" t="s">
        <v>1768</v>
      </c>
      <c r="J71" s="14" t="s">
        <v>1595</v>
      </c>
      <c r="K71" s="14" t="s">
        <v>1596</v>
      </c>
    </row>
    <row r="72" spans="5:11" x14ac:dyDescent="0.25">
      <c r="E72" s="54">
        <v>38</v>
      </c>
      <c r="F72" s="432"/>
      <c r="G72" s="14" t="s">
        <v>1840</v>
      </c>
      <c r="H72" s="14" t="str">
        <f t="shared" si="2"/>
        <v>dino penta-cosmic</v>
      </c>
      <c r="I72" s="14" t="s">
        <v>1769</v>
      </c>
      <c r="J72" s="14" t="s">
        <v>1597</v>
      </c>
      <c r="K72" s="14" t="s">
        <v>1598</v>
      </c>
    </row>
    <row r="73" spans="5:11" x14ac:dyDescent="0.25">
      <c r="E73" s="54">
        <v>39</v>
      </c>
      <c r="F73" s="432"/>
      <c r="G73" s="14" t="s">
        <v>1841</v>
      </c>
      <c r="H73" s="14" t="str">
        <f t="shared" si="2"/>
        <v>unino penta-cosmic</v>
      </c>
      <c r="I73" s="14" t="s">
        <v>1770</v>
      </c>
      <c r="J73" s="14" t="s">
        <v>1599</v>
      </c>
      <c r="K73" s="14" t="s">
        <v>1600</v>
      </c>
    </row>
    <row r="74" spans="5:11" x14ac:dyDescent="0.25">
      <c r="E74" s="54">
        <v>40</v>
      </c>
      <c r="F74" s="432" t="s">
        <v>1198</v>
      </c>
      <c r="G74" s="14" t="s">
        <v>1842</v>
      </c>
      <c r="H74" s="14" t="str">
        <f t="shared" si="2"/>
        <v>penta-cosmic</v>
      </c>
      <c r="I74" s="14" t="s">
        <v>1872</v>
      </c>
      <c r="J74" s="14" t="s">
        <v>1601</v>
      </c>
      <c r="K74" s="14" t="s">
        <v>1601</v>
      </c>
    </row>
    <row r="75" spans="5:11" x14ac:dyDescent="0.25">
      <c r="E75" s="54">
        <v>41</v>
      </c>
      <c r="F75" s="432" t="s">
        <v>1199</v>
      </c>
      <c r="G75" s="14" t="s">
        <v>1843</v>
      </c>
      <c r="H75" s="14" t="str">
        <f t="shared" si="2"/>
        <v>dozen penta-cosmic</v>
      </c>
      <c r="I75" s="14" t="s">
        <v>1873</v>
      </c>
      <c r="J75" s="14" t="s">
        <v>1602</v>
      </c>
      <c r="K75" s="14" t="s">
        <v>1603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 x14ac:dyDescent="0.25"/>
  <cols>
    <col min="1" max="1" width="21.765625" style="214" customWidth="1"/>
    <col min="2" max="2" width="4.3828125" style="214" customWidth="1"/>
    <col min="3" max="3" width="22.3828125" style="214" customWidth="1"/>
    <col min="4" max="4" width="27.61328125" style="214" customWidth="1"/>
    <col min="5" max="5" width="26.15234375" style="214" customWidth="1"/>
    <col min="6" max="16384" width="9" style="214"/>
  </cols>
  <sheetData>
    <row r="1" spans="1:5" ht="21" customHeight="1" x14ac:dyDescent="0.25">
      <c r="A1" s="213" t="s">
        <v>241</v>
      </c>
      <c r="B1" s="213" t="s">
        <v>252</v>
      </c>
      <c r="C1" s="213" t="s">
        <v>234</v>
      </c>
      <c r="D1" s="213" t="s">
        <v>235</v>
      </c>
      <c r="E1" s="213" t="s">
        <v>608</v>
      </c>
    </row>
    <row r="2" spans="1:5" x14ac:dyDescent="0.25">
      <c r="A2" s="215" t="s">
        <v>236</v>
      </c>
      <c r="B2" s="216" t="s">
        <v>110</v>
      </c>
      <c r="C2" s="217" t="s">
        <v>237</v>
      </c>
      <c r="D2" s="217" t="s">
        <v>238</v>
      </c>
      <c r="E2" s="217" t="s">
        <v>239</v>
      </c>
    </row>
    <row r="3" spans="1:5" ht="24.75" customHeight="1" x14ac:dyDescent="0.25">
      <c r="A3" s="215" t="s">
        <v>240</v>
      </c>
      <c r="B3" s="216" t="s">
        <v>110</v>
      </c>
      <c r="C3" s="216" t="s">
        <v>242</v>
      </c>
      <c r="D3" s="215" t="s">
        <v>259</v>
      </c>
      <c r="E3" s="216" t="s">
        <v>609</v>
      </c>
    </row>
    <row r="4" spans="1:5" ht="23.15" x14ac:dyDescent="0.25">
      <c r="A4" s="215" t="s">
        <v>254</v>
      </c>
      <c r="B4" s="216" t="s">
        <v>110</v>
      </c>
      <c r="C4" s="216" t="s">
        <v>255</v>
      </c>
      <c r="D4" s="216" t="s">
        <v>256</v>
      </c>
      <c r="E4" s="216" t="s">
        <v>610</v>
      </c>
    </row>
    <row r="5" spans="1:5" ht="24.75" customHeight="1" x14ac:dyDescent="0.25">
      <c r="A5" s="215" t="s">
        <v>243</v>
      </c>
      <c r="B5" s="216" t="s">
        <v>110</v>
      </c>
      <c r="C5" s="216" t="s">
        <v>244</v>
      </c>
      <c r="D5" s="216" t="s">
        <v>245</v>
      </c>
      <c r="E5" s="216" t="s">
        <v>611</v>
      </c>
    </row>
    <row r="6" spans="1:5" x14ac:dyDescent="0.25">
      <c r="A6" s="215" t="s">
        <v>249</v>
      </c>
      <c r="B6" s="216" t="s">
        <v>110</v>
      </c>
      <c r="C6" s="216" t="s">
        <v>246</v>
      </c>
      <c r="D6" s="216" t="s">
        <v>247</v>
      </c>
      <c r="E6" s="216" t="s">
        <v>248</v>
      </c>
    </row>
    <row r="7" spans="1:5" x14ac:dyDescent="0.25">
      <c r="A7" s="215" t="s">
        <v>250</v>
      </c>
      <c r="B7" s="215" t="s">
        <v>57</v>
      </c>
      <c r="C7" s="218">
        <f>Rydberg!F3</f>
        <v>0.27210288326799098</v>
      </c>
      <c r="D7" s="218">
        <f>Clock!F3</f>
        <v>0.27235212567339145</v>
      </c>
      <c r="E7" s="218">
        <f>Clock_by_Rydberg!F3</f>
        <v>0.27235220593302245</v>
      </c>
    </row>
    <row r="8" spans="1:5" x14ac:dyDescent="0.25">
      <c r="A8" s="215" t="s">
        <v>253</v>
      </c>
      <c r="B8" s="215" t="s">
        <v>56</v>
      </c>
      <c r="C8" s="218">
        <f>Rydberg!F4</f>
        <v>0.39026752045263524</v>
      </c>
      <c r="D8" s="218">
        <f>Clock!F4</f>
        <v>0.390625</v>
      </c>
      <c r="E8" s="218">
        <f>Clock_by_Rydberg!F4</f>
        <v>0.39062511511354381</v>
      </c>
    </row>
    <row r="9" spans="1:5" x14ac:dyDescent="0.25">
      <c r="A9" s="215" t="s">
        <v>251</v>
      </c>
      <c r="B9" s="215" t="s">
        <v>61</v>
      </c>
      <c r="C9" s="218">
        <f>Rydberg!F8</f>
        <v>0.13195007973601611</v>
      </c>
      <c r="D9" s="218">
        <f>Clock!F8</f>
        <v>0.13182932593178243</v>
      </c>
      <c r="E9" s="218">
        <f>Clock_by_Rydberg!F8</f>
        <v>0.13182928708292121</v>
      </c>
    </row>
    <row r="10" spans="1:5" x14ac:dyDescent="0.25">
      <c r="A10" s="216" t="s">
        <v>257</v>
      </c>
      <c r="B10" s="215" t="s">
        <v>56</v>
      </c>
      <c r="C10" s="219">
        <f>C8*128*12*12*12</f>
        <v>86320.931243795669</v>
      </c>
      <c r="D10" s="219">
        <f>D8*128*12*12*12</f>
        <v>86400</v>
      </c>
      <c r="E10" s="219">
        <f>E8*128*12*12*12</f>
        <v>86400.025461274068</v>
      </c>
    </row>
    <row r="11" spans="1:5" ht="14.25" customHeight="1" x14ac:dyDescent="0.25">
      <c r="A11" s="216" t="s">
        <v>258</v>
      </c>
      <c r="B11" s="215" t="s">
        <v>227</v>
      </c>
      <c r="C11" s="219">
        <f>(C10-86400)*1000</f>
        <v>-79068.756204331294</v>
      </c>
      <c r="D11" s="219">
        <f>(D10-86400)*1000</f>
        <v>0</v>
      </c>
      <c r="E11" s="219">
        <f>(E10-86400)*1000</f>
        <v>25.461274068220519</v>
      </c>
    </row>
    <row r="12" spans="1:5" ht="21.75" customHeight="1" x14ac:dyDescent="0.25">
      <c r="A12" s="215" t="s">
        <v>261</v>
      </c>
      <c r="B12" s="216" t="s">
        <v>110</v>
      </c>
      <c r="C12" s="219" t="s">
        <v>262</v>
      </c>
      <c r="D12" s="219" t="s">
        <v>260</v>
      </c>
      <c r="E12" s="219" t="s">
        <v>263</v>
      </c>
    </row>
    <row r="13" spans="1:5" x14ac:dyDescent="0.25">
      <c r="C13" s="220">
        <f t="shared" ref="C13:D13" si="0">C11/1.7-1</f>
        <v>-46512.033061371352</v>
      </c>
      <c r="D13" s="220">
        <f t="shared" si="0"/>
        <v>-1</v>
      </c>
      <c r="E13" s="220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 x14ac:dyDescent="0.2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 x14ac:dyDescent="0.25">
      <c r="A1" s="8"/>
      <c r="B1" s="9" t="s">
        <v>86</v>
      </c>
      <c r="C1" s="10" t="s">
        <v>89</v>
      </c>
      <c r="D1" s="9" t="s">
        <v>85</v>
      </c>
      <c r="E1" s="9" t="s">
        <v>87</v>
      </c>
      <c r="F1" s="648" t="s">
        <v>1272</v>
      </c>
      <c r="G1" s="648"/>
    </row>
    <row r="2" spans="1:10" ht="11.6" x14ac:dyDescent="0.25">
      <c r="A2" s="8" t="s">
        <v>81</v>
      </c>
      <c r="B2" s="472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 x14ac:dyDescent="0.25">
      <c r="A3" s="8" t="s">
        <v>82</v>
      </c>
      <c r="B3" s="472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 x14ac:dyDescent="0.25">
      <c r="A4" s="8" t="s">
        <v>83</v>
      </c>
      <c r="B4" s="472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1270</v>
      </c>
    </row>
    <row r="5" spans="1:10" ht="11.6" x14ac:dyDescent="0.25">
      <c r="A5" s="30" t="s">
        <v>84</v>
      </c>
      <c r="B5" s="473">
        <f>Clock_by_Rydberg!F10</f>
        <v>0.23530029699874513</v>
      </c>
      <c r="C5" s="463">
        <f t="shared" si="0"/>
        <v>1.2104319026220309E+44</v>
      </c>
      <c r="D5" s="464">
        <f>POWER(c_0,4)/C5</f>
        <v>6.673327673836768E-11</v>
      </c>
      <c r="E5" s="465">
        <f>(D5-D$28)/D$29</f>
        <v>-2.4268585910719018</v>
      </c>
      <c r="F5" s="465">
        <v>9.2994423006262927</v>
      </c>
      <c r="G5" s="465" t="s">
        <v>1270</v>
      </c>
      <c r="H5" s="462"/>
      <c r="I5" s="14">
        <f>-E5*12</f>
        <v>29.122303092862822</v>
      </c>
      <c r="J5" s="14">
        <f>(I5-7)*12</f>
        <v>265.46763711435386</v>
      </c>
    </row>
    <row r="6" spans="1:10" ht="11.6" x14ac:dyDescent="0.25">
      <c r="A6" s="30" t="s">
        <v>1267</v>
      </c>
      <c r="B6" s="473">
        <f>Gravitic!F$10*POWER(12,-40)</f>
        <v>0.23527377310786454</v>
      </c>
      <c r="C6" s="463">
        <f t="shared" si="0"/>
        <v>1.2102954584096221E+44</v>
      </c>
      <c r="D6" s="464">
        <f>POWER(c_0,4)/C6</f>
        <v>6.674079999999999E-11</v>
      </c>
      <c r="E6" s="465">
        <f>(D6-D$28)/D$29</f>
        <v>-4.1692571197229216E-12</v>
      </c>
      <c r="F6" s="465">
        <f>Gravitic!G4</f>
        <v>29.800919207778851</v>
      </c>
      <c r="G6" s="465" t="s">
        <v>1271</v>
      </c>
      <c r="H6" s="648">
        <v>2014</v>
      </c>
      <c r="I6" s="14"/>
    </row>
    <row r="7" spans="1:10" ht="11.6" x14ac:dyDescent="0.25">
      <c r="A7" s="468" t="s">
        <v>1268</v>
      </c>
      <c r="B7" s="474">
        <v>0.23528470169390567</v>
      </c>
      <c r="C7" s="469">
        <v>1.2103516772472667E+44</v>
      </c>
      <c r="D7" s="470">
        <v>6.6737699999999985E-11</v>
      </c>
      <c r="E7" s="471">
        <v>-1.0000000000060771</v>
      </c>
      <c r="F7" s="471">
        <v>17.58535959361982</v>
      </c>
      <c r="G7" s="471" t="s">
        <v>1271</v>
      </c>
      <c r="H7" s="648"/>
      <c r="I7" s="14"/>
    </row>
    <row r="8" spans="1:10" ht="11.6" x14ac:dyDescent="0.25">
      <c r="A8" s="45" t="s">
        <v>1269</v>
      </c>
      <c r="B8" s="475">
        <v>0.23526284553700591</v>
      </c>
      <c r="C8" s="466">
        <v>1.2102392447942795E+44</v>
      </c>
      <c r="D8" s="422">
        <v>6.6743899999999983E-11</v>
      </c>
      <c r="E8" s="467">
        <v>0.99999999999356926</v>
      </c>
      <c r="F8" s="467">
        <v>42.016195128849041</v>
      </c>
      <c r="G8" s="467" t="s">
        <v>1271</v>
      </c>
      <c r="H8" s="648"/>
      <c r="I8" s="14"/>
    </row>
    <row r="9" spans="1:10" ht="11.6" x14ac:dyDescent="0.25">
      <c r="A9" s="30" t="s">
        <v>1267</v>
      </c>
      <c r="B9" s="473">
        <v>0.23528223385992716</v>
      </c>
      <c r="C9" s="463">
        <v>1.2103389822145105E+44</v>
      </c>
      <c r="D9" s="464">
        <v>6.6738400000000014E-11</v>
      </c>
      <c r="E9" s="465">
        <v>1.615587133892632E-12</v>
      </c>
      <c r="F9" s="465">
        <v>20.325282763208502</v>
      </c>
      <c r="G9" s="465" t="s">
        <v>1271</v>
      </c>
      <c r="H9" s="648">
        <v>2010</v>
      </c>
      <c r="I9" s="14"/>
    </row>
    <row r="10" spans="1:10" ht="11.6" x14ac:dyDescent="0.25">
      <c r="A10" s="468" t="s">
        <v>1268</v>
      </c>
      <c r="B10" s="474">
        <v>0.23531044076219179</v>
      </c>
      <c r="C10" s="469">
        <v>1.2104840841749022E+44</v>
      </c>
      <c r="D10" s="470">
        <v>6.673040000000001E-11</v>
      </c>
      <c r="E10" s="471">
        <v>-0.99999999999888489</v>
      </c>
      <c r="F10" s="471">
        <v>-11.199886455150754</v>
      </c>
      <c r="G10" s="471" t="s">
        <v>1271</v>
      </c>
      <c r="H10" s="648"/>
      <c r="I10" s="14"/>
    </row>
    <row r="11" spans="1:10" ht="11.6" x14ac:dyDescent="0.25">
      <c r="A11" s="45" t="s">
        <v>1269</v>
      </c>
      <c r="B11" s="475">
        <v>0.23525403371923229</v>
      </c>
      <c r="C11" s="466">
        <v>1.2101939150369894E+44</v>
      </c>
      <c r="D11" s="422">
        <v>6.6746399999999992E-11</v>
      </c>
      <c r="E11" s="467">
        <v>0.99999999999888489</v>
      </c>
      <c r="F11" s="467">
        <v>51.848562561010453</v>
      </c>
      <c r="G11" s="467" t="s">
        <v>1271</v>
      </c>
      <c r="H11" s="648"/>
      <c r="I11" s="14"/>
    </row>
    <row r="12" spans="1:10" ht="11.6" x14ac:dyDescent="0.25">
      <c r="A12" s="30" t="s">
        <v>1267</v>
      </c>
      <c r="B12" s="473">
        <v>0.23526672294595621</v>
      </c>
      <c r="C12" s="463">
        <v>1.2102591909632935E+44</v>
      </c>
      <c r="D12" s="464">
        <v>6.6742799999999995E-11</v>
      </c>
      <c r="E12" s="465">
        <v>1.615587133892632E-12</v>
      </c>
      <c r="F12" s="465">
        <v>37.663320446026667</v>
      </c>
      <c r="G12" s="465" t="s">
        <v>1274</v>
      </c>
      <c r="H12" s="648">
        <v>2006</v>
      </c>
      <c r="I12" s="14"/>
    </row>
    <row r="13" spans="1:10" ht="11.6" x14ac:dyDescent="0.25">
      <c r="A13" s="468" t="s">
        <v>1268</v>
      </c>
      <c r="B13" s="474">
        <v>0.23529034265168877</v>
      </c>
      <c r="C13" s="469">
        <v>1.2103806954650469E+44</v>
      </c>
      <c r="D13" s="470">
        <v>6.6736099999999991E-11</v>
      </c>
      <c r="E13" s="471">
        <v>-0.99999999999888489</v>
      </c>
      <c r="F13" s="471">
        <v>11.261990145773828</v>
      </c>
      <c r="G13" s="471" t="s">
        <v>1274</v>
      </c>
      <c r="H13" s="648"/>
      <c r="I13" s="14"/>
    </row>
    <row r="14" spans="1:10" ht="11.6" x14ac:dyDescent="0.25">
      <c r="A14" s="45" t="s">
        <v>1269</v>
      </c>
      <c r="B14" s="475">
        <v>0.23524310798189296</v>
      </c>
      <c r="C14" s="466">
        <v>1.2101377108536378E+44</v>
      </c>
      <c r="D14" s="422">
        <v>6.6749499999999998E-11</v>
      </c>
      <c r="E14" s="467">
        <v>0.99999999999888489</v>
      </c>
      <c r="F14" s="467">
        <v>64.063325626034683</v>
      </c>
      <c r="G14" s="467" t="s">
        <v>1274</v>
      </c>
      <c r="H14" s="648"/>
      <c r="I14" s="14"/>
    </row>
    <row r="15" spans="1:10" ht="11.6" x14ac:dyDescent="0.25">
      <c r="A15" s="30" t="s">
        <v>1267</v>
      </c>
      <c r="B15" s="473">
        <v>0.23526954296001559</v>
      </c>
      <c r="C15" s="463">
        <v>1.2102736976809937E+44</v>
      </c>
      <c r="D15" s="464">
        <v>6.6742000000000011E-11</v>
      </c>
      <c r="E15" s="465">
        <v>1.615587133892632E-12</v>
      </c>
      <c r="F15" s="465">
        <v>34.510992467756267</v>
      </c>
      <c r="G15" s="465" t="s">
        <v>1274</v>
      </c>
      <c r="H15" s="648">
        <v>2002</v>
      </c>
      <c r="I15" s="14"/>
    </row>
    <row r="16" spans="1:10" ht="11.6" x14ac:dyDescent="0.25">
      <c r="A16" s="468" t="s">
        <v>1275</v>
      </c>
      <c r="B16" s="474">
        <v>0.23530479884069655</v>
      </c>
      <c r="C16" s="469">
        <v>1.2104550609995937E+44</v>
      </c>
      <c r="D16" s="470">
        <v>6.6732000000000016E-11</v>
      </c>
      <c r="E16" s="471">
        <v>-0.99999999999888489</v>
      </c>
      <c r="F16" s="471">
        <v>-4.8947014415286452</v>
      </c>
      <c r="G16" s="471" t="s">
        <v>1274</v>
      </c>
      <c r="H16" s="648"/>
      <c r="I16" s="14"/>
    </row>
    <row r="17" spans="1:9" ht="11.6" x14ac:dyDescent="0.25">
      <c r="A17" s="45" t="s">
        <v>1269</v>
      </c>
      <c r="B17" s="475">
        <v>0.23523429764257792</v>
      </c>
      <c r="C17" s="466">
        <v>1.2100923887018349E+44</v>
      </c>
      <c r="D17" s="422">
        <v>6.6752000000000019E-11</v>
      </c>
      <c r="E17" s="467">
        <v>0.99999999999888489</v>
      </c>
      <c r="F17" s="467">
        <v>73.913734396304577</v>
      </c>
      <c r="G17" s="467" t="s">
        <v>1274</v>
      </c>
      <c r="H17" s="648"/>
      <c r="I17" s="14"/>
    </row>
    <row r="18" spans="1:9" ht="11.6" x14ac:dyDescent="0.25">
      <c r="A18" s="30" t="s">
        <v>1267</v>
      </c>
      <c r="B18" s="473">
        <v>0.23531185128483989</v>
      </c>
      <c r="C18" s="463">
        <v>1.2104913401861967E+44</v>
      </c>
      <c r="D18" s="464">
        <v>6.6729999999999999E-11</v>
      </c>
      <c r="E18" s="465">
        <v>1.615587133892632E-12</v>
      </c>
      <c r="F18" s="465">
        <v>-12.776194519444383</v>
      </c>
      <c r="G18" s="465" t="s">
        <v>1274</v>
      </c>
      <c r="H18" s="648">
        <v>1998</v>
      </c>
      <c r="I18" s="14"/>
    </row>
    <row r="19" spans="1:9" ht="11.6" x14ac:dyDescent="0.25">
      <c r="A19" s="468" t="s">
        <v>1275</v>
      </c>
      <c r="B19" s="474">
        <v>0.23566501330087594</v>
      </c>
      <c r="C19" s="469">
        <v>1.2123080764013942E+44</v>
      </c>
      <c r="D19" s="470">
        <v>6.6630000000000007E-11</v>
      </c>
      <c r="E19" s="471">
        <v>-0.99999999999888489</v>
      </c>
      <c r="F19" s="471">
        <v>-407.00155072054054</v>
      </c>
      <c r="G19" s="471" t="s">
        <v>1274</v>
      </c>
      <c r="H19" s="648"/>
      <c r="I19" s="14"/>
    </row>
    <row r="20" spans="1:9" ht="11.6" x14ac:dyDescent="0.25">
      <c r="A20" s="45" t="s">
        <v>1269</v>
      </c>
      <c r="B20" s="475">
        <v>0.23495974616545509</v>
      </c>
      <c r="C20" s="466">
        <v>1.2086800408592682E+44</v>
      </c>
      <c r="D20" s="422">
        <v>6.6830000000000003E-11</v>
      </c>
      <c r="E20" s="467">
        <v>0.99999999999888489</v>
      </c>
      <c r="F20" s="467">
        <v>381.15388378336343</v>
      </c>
      <c r="G20" s="467" t="s">
        <v>1274</v>
      </c>
      <c r="H20" s="648"/>
      <c r="I20" s="14"/>
    </row>
    <row r="21" spans="1:9" ht="11.6" x14ac:dyDescent="0.25">
      <c r="A21" s="30" t="s">
        <v>1267</v>
      </c>
      <c r="B21" s="473">
        <v>0.23532631011702146</v>
      </c>
      <c r="C21" s="463">
        <v>1.2105657193177594E+44</v>
      </c>
      <c r="D21" s="464">
        <v>6.672590000000001E-11</v>
      </c>
      <c r="E21" s="465">
        <v>1.615587133892632E-12</v>
      </c>
      <c r="F21" s="465">
        <v>-28.933624579624613</v>
      </c>
      <c r="G21" s="465" t="s">
        <v>1274</v>
      </c>
      <c r="H21" s="648">
        <v>1986</v>
      </c>
      <c r="I21" s="14"/>
    </row>
    <row r="22" spans="1:9" ht="11.6" x14ac:dyDescent="0.25">
      <c r="A22" s="468" t="s">
        <v>1276</v>
      </c>
      <c r="B22" s="474">
        <v>0.23535629140580072</v>
      </c>
      <c r="C22" s="469">
        <v>1.2107199490781254E+44</v>
      </c>
      <c r="D22" s="470">
        <v>6.6717399999999976E-11</v>
      </c>
      <c r="E22" s="471">
        <v>-0.99999999999888489</v>
      </c>
      <c r="F22" s="471">
        <v>-62.432317090197877</v>
      </c>
      <c r="G22" s="471" t="s">
        <v>1274</v>
      </c>
      <c r="H22" s="648"/>
      <c r="I22" s="14"/>
    </row>
    <row r="23" spans="1:9" ht="11.6" x14ac:dyDescent="0.25">
      <c r="A23" s="45" t="s">
        <v>1269</v>
      </c>
      <c r="B23" s="475">
        <v>0.23529633646571133</v>
      </c>
      <c r="C23" s="466">
        <v>1.2104115288460659E+44</v>
      </c>
      <c r="D23" s="422">
        <v>6.6734399999999992E-11</v>
      </c>
      <c r="E23" s="467">
        <v>0.99999999999888489</v>
      </c>
      <c r="F23" s="467">
        <v>4.5629343527317792</v>
      </c>
      <c r="G23" s="467" t="s">
        <v>1274</v>
      </c>
      <c r="H23" s="648"/>
      <c r="I23" s="14"/>
    </row>
    <row r="24" spans="1:9" ht="11.6" x14ac:dyDescent="0.25">
      <c r="A24" s="30" t="s">
        <v>1267</v>
      </c>
      <c r="B24" s="473">
        <v>0.23534711984768242</v>
      </c>
      <c r="C24" s="463">
        <v>1.2106727687443784E+44</v>
      </c>
      <c r="D24" s="464">
        <v>6.6719999999999977E-11</v>
      </c>
      <c r="E24" s="465">
        <v>1.615587133892632E-12</v>
      </c>
      <c r="F24" s="465">
        <v>-52.185431681407849</v>
      </c>
      <c r="G24" s="465" t="s">
        <v>1274</v>
      </c>
      <c r="H24" s="648">
        <v>1973</v>
      </c>
      <c r="I24" s="14"/>
    </row>
    <row r="25" spans="1:9" ht="11.6" x14ac:dyDescent="0.25">
      <c r="A25" s="468" t="s">
        <v>1277</v>
      </c>
      <c r="B25" s="474">
        <v>0.23549183155472292</v>
      </c>
      <c r="C25" s="469">
        <v>1.2114171947783399E+44</v>
      </c>
      <c r="D25" s="470">
        <v>6.6678999999999975E-11</v>
      </c>
      <c r="E25" s="471">
        <v>-0.99999999999888489</v>
      </c>
      <c r="F25" s="471">
        <v>-213.79418944481114</v>
      </c>
      <c r="G25" s="471" t="s">
        <v>1274</v>
      </c>
      <c r="H25" s="648"/>
      <c r="I25" s="14"/>
    </row>
    <row r="26" spans="1:9" ht="11.6" x14ac:dyDescent="0.25">
      <c r="A26" s="45" t="s">
        <v>1269</v>
      </c>
      <c r="B26" s="475">
        <v>0.23520258588453394</v>
      </c>
      <c r="C26" s="466">
        <v>1.2099292570606331E+44</v>
      </c>
      <c r="D26" s="422">
        <v>6.676099999999998E-11</v>
      </c>
      <c r="E26" s="467">
        <v>0.99999999999888489</v>
      </c>
      <c r="F26" s="467">
        <v>109.37367873669088</v>
      </c>
      <c r="G26" s="467" t="s">
        <v>1274</v>
      </c>
      <c r="H26" s="648"/>
      <c r="I26" s="14"/>
    </row>
    <row r="27" spans="1:9" ht="11.6" x14ac:dyDescent="0.25">
      <c r="A27" s="14"/>
      <c r="B27" s="14"/>
      <c r="C27" s="14"/>
      <c r="D27" s="14"/>
      <c r="E27" s="14"/>
      <c r="F27" s="14"/>
      <c r="G27" s="14"/>
    </row>
    <row r="28" spans="1:9" ht="11.6" x14ac:dyDescent="0.25">
      <c r="A28" s="14"/>
      <c r="B28" s="14"/>
      <c r="C28" s="15" t="s">
        <v>1565</v>
      </c>
      <c r="D28" s="12">
        <v>6.6740800000000003E-11</v>
      </c>
      <c r="E28" s="14"/>
      <c r="F28" s="14"/>
      <c r="G28" s="14"/>
    </row>
    <row r="29" spans="1:9" ht="11.6" x14ac:dyDescent="0.25">
      <c r="A29" s="14"/>
      <c r="B29" s="14"/>
      <c r="C29" s="15" t="s">
        <v>88</v>
      </c>
      <c r="D29" s="16">
        <v>3.0999999999999999E-15</v>
      </c>
      <c r="E29" s="244">
        <f>D29/D28</f>
        <v>4.6448349435427798E-5</v>
      </c>
      <c r="F29" s="244"/>
      <c r="G29" s="244"/>
    </row>
    <row r="30" spans="1:9" ht="11.6" x14ac:dyDescent="0.25">
      <c r="A30" s="14"/>
      <c r="B30" s="14"/>
      <c r="C30" s="14"/>
      <c r="D30" s="14"/>
      <c r="E30" s="14"/>
      <c r="F30" s="14"/>
      <c r="G30" s="14"/>
    </row>
    <row r="31" spans="1:9" ht="11.6" x14ac:dyDescent="0.25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462">
        <f>Gravitic!G4</f>
        <v>29.800919207778851</v>
      </c>
      <c r="G31" s="54" t="s">
        <v>1278</v>
      </c>
    </row>
    <row r="32" spans="1:9" ht="11.6" x14ac:dyDescent="0.25">
      <c r="A32" s="8"/>
      <c r="B32" s="9" t="s">
        <v>90</v>
      </c>
      <c r="C32" s="10" t="s">
        <v>91</v>
      </c>
      <c r="D32" s="461">
        <v>6.6719999999999997</v>
      </c>
      <c r="E32" s="14">
        <v>410</v>
      </c>
      <c r="F32" s="14">
        <v>1973</v>
      </c>
      <c r="G32" s="462">
        <f t="shared" ref="G32:G36" si="1">(D$4*100000000000-D32)/(E32/100000)</f>
        <v>0.3228635862612263</v>
      </c>
    </row>
    <row r="33" spans="1:7" ht="11.6" x14ac:dyDescent="0.25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461">
        <v>6.6725899999999996</v>
      </c>
      <c r="E33" s="14">
        <v>85</v>
      </c>
      <c r="F33" s="14">
        <v>1986</v>
      </c>
      <c r="G33" s="462">
        <f t="shared" si="1"/>
        <v>0.86322435726018787</v>
      </c>
    </row>
    <row r="34" spans="1:7" ht="11.6" x14ac:dyDescent="0.25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461">
        <v>6.673</v>
      </c>
      <c r="E34" s="14">
        <v>1000</v>
      </c>
      <c r="F34" s="14">
        <v>1998</v>
      </c>
      <c r="G34" s="462">
        <f t="shared" si="1"/>
        <v>3.2374070367069407E-2</v>
      </c>
    </row>
    <row r="35" spans="1:7" ht="11.6" x14ac:dyDescent="0.25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461">
        <v>6.6741999999999999</v>
      </c>
      <c r="E35" s="14">
        <v>100</v>
      </c>
      <c r="F35" s="14">
        <v>2002</v>
      </c>
      <c r="G35" s="462">
        <f t="shared" si="1"/>
        <v>-0.87625929632917376</v>
      </c>
    </row>
    <row r="36" spans="1:7" ht="11.6" x14ac:dyDescent="0.25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461">
        <v>6.6742800000000004</v>
      </c>
      <c r="E36" s="14">
        <v>67</v>
      </c>
      <c r="F36" s="14">
        <v>2006</v>
      </c>
      <c r="G36" s="462">
        <f t="shared" si="1"/>
        <v>-1.4272526810891013</v>
      </c>
    </row>
    <row r="37" spans="1:7" ht="11.6" x14ac:dyDescent="0.25">
      <c r="A37" s="8" t="s">
        <v>1266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461">
        <v>6.6738400000000002</v>
      </c>
      <c r="E37" s="14">
        <v>80</v>
      </c>
      <c r="F37" s="14">
        <v>2010</v>
      </c>
      <c r="G37" s="462">
        <f>(D$4*100000000000-D37)/(E37/100000)</f>
        <v>-0.64532412041184983</v>
      </c>
    </row>
    <row r="38" spans="1:7" ht="11.6" x14ac:dyDescent="0.25">
      <c r="A38" s="14"/>
      <c r="B38" s="14"/>
      <c r="C38" s="243"/>
      <c r="D38" s="461">
        <v>6.67408</v>
      </c>
      <c r="E38" s="14">
        <v>31</v>
      </c>
      <c r="F38" s="14">
        <v>2014</v>
      </c>
      <c r="G38" s="462">
        <f>(D$4*100000000000-D38)/(E38/100000)</f>
        <v>-2.4395461171912123</v>
      </c>
    </row>
    <row r="39" spans="1:7" ht="11.6" x14ac:dyDescent="0.25">
      <c r="D39" s="461">
        <v>6.6754499999999997</v>
      </c>
      <c r="E39" s="14">
        <v>18</v>
      </c>
      <c r="F39" s="14" t="s">
        <v>1480</v>
      </c>
      <c r="G39" s="462">
        <f>(D$4*100000000000-D39)/(E39/100000)</f>
        <v>-11.812551646271805</v>
      </c>
    </row>
    <row r="40" spans="1:7" ht="11.6" x14ac:dyDescent="0.25">
      <c r="D40" s="461">
        <f>Rydberg!D100*100000000000</f>
        <v>6.674305564133145</v>
      </c>
      <c r="E40" s="14">
        <v>0</v>
      </c>
      <c r="F40" s="477" t="s">
        <v>1282</v>
      </c>
      <c r="G40" s="462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 x14ac:dyDescent="0.25">
      <c r="A1" s="573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0"/>
    </row>
    <row r="2" spans="1:35" ht="13.5" customHeight="1" x14ac:dyDescent="0.25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1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574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2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574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2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574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2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574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2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574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2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574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2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574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2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574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2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574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2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574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2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574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2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574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2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 x14ac:dyDescent="0.3">
      <c r="A15" s="575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5">
        <f t="shared" si="0"/>
        <v>2.2177212425715922</v>
      </c>
      <c r="J15" s="93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 x14ac:dyDescent="0.25">
      <c r="A16" s="573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568" t="s">
        <v>80</v>
      </c>
      <c r="I16" s="649"/>
      <c r="J16" s="90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 x14ac:dyDescent="0.25">
      <c r="A17" s="574"/>
      <c r="B17" s="2" t="s">
        <v>118</v>
      </c>
      <c r="C17" s="2" t="s">
        <v>119</v>
      </c>
      <c r="D17" s="8">
        <v>0.30480000000000002</v>
      </c>
      <c r="E17" s="8">
        <v>9</v>
      </c>
      <c r="F17" s="8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4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 x14ac:dyDescent="0.25">
      <c r="A18" s="574"/>
      <c r="B18" s="3" t="s">
        <v>120</v>
      </c>
      <c r="C18" s="3" t="s">
        <v>121</v>
      </c>
      <c r="D18" s="8">
        <f>1/D17</f>
        <v>3.280839895013123</v>
      </c>
      <c r="E18" s="8">
        <v>9</v>
      </c>
      <c r="F18" s="38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4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 x14ac:dyDescent="0.25">
      <c r="A19" s="574"/>
      <c r="B19" s="3" t="s">
        <v>122</v>
      </c>
      <c r="C19" s="3" t="s">
        <v>123</v>
      </c>
      <c r="D19" s="8">
        <f>D17*D17</f>
        <v>9.2903040000000006E-2</v>
      </c>
      <c r="E19" s="8">
        <v>9</v>
      </c>
      <c r="F19" s="8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4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 x14ac:dyDescent="0.25">
      <c r="A20" s="574"/>
      <c r="B20" s="3" t="s">
        <v>124</v>
      </c>
      <c r="C20" s="3" t="s">
        <v>125</v>
      </c>
      <c r="D20" s="8">
        <f>1/D19</f>
        <v>10.763910416709722</v>
      </c>
      <c r="E20" s="8">
        <v>9</v>
      </c>
      <c r="F20" s="38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4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 x14ac:dyDescent="0.25">
      <c r="A21" s="574"/>
      <c r="B21" s="3" t="s">
        <v>126</v>
      </c>
      <c r="C21" s="3" t="s">
        <v>128</v>
      </c>
      <c r="D21" s="8">
        <f>D19*D17</f>
        <v>2.8316846592000004E-2</v>
      </c>
      <c r="E21" s="8">
        <v>9</v>
      </c>
      <c r="F21" s="8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4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 x14ac:dyDescent="0.25">
      <c r="A22" s="574"/>
      <c r="B22" s="3" t="s">
        <v>127</v>
      </c>
      <c r="C22" s="3" t="s">
        <v>129</v>
      </c>
      <c r="D22" s="8">
        <f>1/D21</f>
        <v>35.314666721488585</v>
      </c>
      <c r="E22" s="8">
        <v>9</v>
      </c>
      <c r="F22" s="38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4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 x14ac:dyDescent="0.25">
      <c r="A23" s="574"/>
      <c r="B23" s="2" t="s">
        <v>184</v>
      </c>
      <c r="C23" s="2" t="s">
        <v>186</v>
      </c>
      <c r="D23" s="8">
        <v>0.30480000000000002</v>
      </c>
      <c r="E23" s="8">
        <v>9</v>
      </c>
      <c r="F23" s="8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4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 x14ac:dyDescent="0.25">
      <c r="A24" s="574"/>
      <c r="B24" s="3" t="s">
        <v>185</v>
      </c>
      <c r="C24" s="3" t="s">
        <v>187</v>
      </c>
      <c r="D24" s="8">
        <f>1/D23</f>
        <v>3.280839895013123</v>
      </c>
      <c r="E24" s="8">
        <v>9</v>
      </c>
      <c r="F24" s="38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4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 x14ac:dyDescent="0.25">
      <c r="A25" s="574"/>
      <c r="B25" s="2" t="s">
        <v>130</v>
      </c>
      <c r="C25" s="2" t="s">
        <v>136</v>
      </c>
      <c r="D25" s="8">
        <f>D$17/12</f>
        <v>2.5400000000000002E-2</v>
      </c>
      <c r="E25" s="8">
        <v>9</v>
      </c>
      <c r="F25" s="8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4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 x14ac:dyDescent="0.25">
      <c r="A26" s="574"/>
      <c r="B26" s="3" t="s">
        <v>131</v>
      </c>
      <c r="C26" s="3" t="s">
        <v>137</v>
      </c>
      <c r="D26" s="8">
        <f>1/D25</f>
        <v>39.370078740157474</v>
      </c>
      <c r="E26" s="8">
        <v>9</v>
      </c>
      <c r="F26" s="38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4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 x14ac:dyDescent="0.25">
      <c r="A27" s="574"/>
      <c r="B27" s="3" t="s">
        <v>132</v>
      </c>
      <c r="C27" s="3" t="s">
        <v>138</v>
      </c>
      <c r="D27" s="8">
        <f>D25*D25</f>
        <v>6.4516000000000009E-4</v>
      </c>
      <c r="E27" s="8">
        <v>9</v>
      </c>
      <c r="F27" s="8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4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 x14ac:dyDescent="0.25">
      <c r="A28" s="574"/>
      <c r="B28" s="3" t="s">
        <v>133</v>
      </c>
      <c r="C28" s="3" t="s">
        <v>139</v>
      </c>
      <c r="D28" s="8">
        <f>1/D27</f>
        <v>1550.0031000061997</v>
      </c>
      <c r="E28" s="8">
        <v>9</v>
      </c>
      <c r="F28" s="38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4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 x14ac:dyDescent="0.25">
      <c r="A29" s="574"/>
      <c r="B29" s="3" t="s">
        <v>134</v>
      </c>
      <c r="C29" s="3" t="s">
        <v>140</v>
      </c>
      <c r="D29" s="8">
        <f>D27*D25</f>
        <v>1.6387064000000003E-5</v>
      </c>
      <c r="E29" s="8">
        <v>9</v>
      </c>
      <c r="F29" s="8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4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 x14ac:dyDescent="0.25">
      <c r="A30" s="574"/>
      <c r="B30" s="3" t="s">
        <v>135</v>
      </c>
      <c r="C30" s="3" t="s">
        <v>141</v>
      </c>
      <c r="D30" s="8">
        <f>1/D29</f>
        <v>61023.744094732276</v>
      </c>
      <c r="E30" s="8">
        <v>9</v>
      </c>
      <c r="F30" s="38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4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 x14ac:dyDescent="0.25">
      <c r="A31" s="574"/>
      <c r="B31" s="2" t="s">
        <v>142</v>
      </c>
      <c r="C31" s="2" t="s">
        <v>147</v>
      </c>
      <c r="D31" s="8">
        <f>D$17*3</f>
        <v>0.9144000000000001</v>
      </c>
      <c r="E31" s="8">
        <v>9</v>
      </c>
      <c r="F31" s="8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4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 x14ac:dyDescent="0.25">
      <c r="A32" s="574"/>
      <c r="B32" s="3" t="s">
        <v>143</v>
      </c>
      <c r="C32" s="3" t="s">
        <v>148</v>
      </c>
      <c r="D32" s="8">
        <f>1/D31</f>
        <v>1.0936132983377076</v>
      </c>
      <c r="E32" s="8">
        <v>9</v>
      </c>
      <c r="F32" s="38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4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 x14ac:dyDescent="0.25">
      <c r="A33" s="574"/>
      <c r="B33" s="3" t="s">
        <v>144</v>
      </c>
      <c r="C33" s="3" t="s">
        <v>149</v>
      </c>
      <c r="D33" s="8">
        <f>D31*D31</f>
        <v>0.83612736000000021</v>
      </c>
      <c r="E33" s="8">
        <v>9</v>
      </c>
      <c r="F33" s="8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4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 x14ac:dyDescent="0.25">
      <c r="A34" s="574"/>
      <c r="B34" s="3" t="s">
        <v>157</v>
      </c>
      <c r="C34" s="3" t="s">
        <v>150</v>
      </c>
      <c r="D34" s="8">
        <f>1/D33</f>
        <v>1.19599004630108</v>
      </c>
      <c r="E34" s="8">
        <v>9</v>
      </c>
      <c r="F34" s="38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4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 x14ac:dyDescent="0.25">
      <c r="A35" s="574"/>
      <c r="B35" s="3" t="s">
        <v>145</v>
      </c>
      <c r="C35" s="3" t="s">
        <v>151</v>
      </c>
      <c r="D35" s="8">
        <f>D33*D31</f>
        <v>0.76455485798400025</v>
      </c>
      <c r="E35" s="8">
        <v>9</v>
      </c>
      <c r="F35" s="8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4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 x14ac:dyDescent="0.25">
      <c r="A36" s="574"/>
      <c r="B36" s="3" t="s">
        <v>146</v>
      </c>
      <c r="C36" s="3" t="s">
        <v>152</v>
      </c>
      <c r="D36" s="8">
        <f>1/D35</f>
        <v>1.3079506193143917</v>
      </c>
      <c r="E36" s="8">
        <v>9</v>
      </c>
      <c r="F36" s="38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4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 x14ac:dyDescent="0.25">
      <c r="A37" s="574"/>
      <c r="B37" s="2" t="s">
        <v>153</v>
      </c>
      <c r="C37" s="2" t="s">
        <v>158</v>
      </c>
      <c r="D37" s="8">
        <f>D$31*1760</f>
        <v>1609.3440000000003</v>
      </c>
      <c r="E37" s="8">
        <v>9</v>
      </c>
      <c r="F37" s="8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4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 x14ac:dyDescent="0.25">
      <c r="A38" s="574"/>
      <c r="B38" s="3" t="s">
        <v>154</v>
      </c>
      <c r="C38" s="3" t="s">
        <v>159</v>
      </c>
      <c r="D38" s="8">
        <f>1/D37</f>
        <v>6.2137119223733381E-4</v>
      </c>
      <c r="E38" s="8">
        <v>9</v>
      </c>
      <c r="F38" s="38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4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 x14ac:dyDescent="0.25">
      <c r="A39" s="574"/>
      <c r="B39" s="3" t="s">
        <v>155</v>
      </c>
      <c r="C39" s="3" t="s">
        <v>160</v>
      </c>
      <c r="D39" s="8">
        <f>D37*D37</f>
        <v>2589988.110336001</v>
      </c>
      <c r="E39" s="8">
        <v>9</v>
      </c>
      <c r="F39" s="8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4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 x14ac:dyDescent="0.25">
      <c r="A40" s="574"/>
      <c r="B40" s="3" t="s">
        <v>156</v>
      </c>
      <c r="C40" s="3" t="s">
        <v>161</v>
      </c>
      <c r="D40" s="8">
        <f>1/D39</f>
        <v>3.8610215854244571E-7</v>
      </c>
      <c r="E40" s="8">
        <v>9</v>
      </c>
      <c r="F40" s="38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4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 x14ac:dyDescent="0.25">
      <c r="A41" s="574"/>
      <c r="B41" s="2" t="s">
        <v>188</v>
      </c>
      <c r="C41" s="2" t="s">
        <v>190</v>
      </c>
      <c r="D41" s="8">
        <f>D37/3600</f>
        <v>0.4470400000000001</v>
      </c>
      <c r="E41" s="8">
        <v>9</v>
      </c>
      <c r="F41" s="8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4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 x14ac:dyDescent="0.25">
      <c r="A42" s="574"/>
      <c r="B42" s="3" t="s">
        <v>189</v>
      </c>
      <c r="C42" s="3" t="s">
        <v>191</v>
      </c>
      <c r="D42" s="8">
        <f>1/D41</f>
        <v>2.2369362920544016</v>
      </c>
      <c r="E42" s="8">
        <v>9</v>
      </c>
      <c r="F42" s="38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4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 x14ac:dyDescent="0.25">
      <c r="A43" s="574"/>
      <c r="B43" s="2" t="s">
        <v>162</v>
      </c>
      <c r="C43" s="2" t="s">
        <v>164</v>
      </c>
      <c r="D43" s="8">
        <f>D$33*4840</f>
        <v>4046.8564224000011</v>
      </c>
      <c r="E43" s="8">
        <v>9</v>
      </c>
      <c r="F43" s="8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4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 x14ac:dyDescent="0.25">
      <c r="A44" s="574"/>
      <c r="B44" s="3" t="s">
        <v>163</v>
      </c>
      <c r="C44" s="3" t="s">
        <v>165</v>
      </c>
      <c r="D44" s="8">
        <f>1/D43</f>
        <v>2.4710538146716527E-4</v>
      </c>
      <c r="E44" s="8">
        <v>9</v>
      </c>
      <c r="F44" s="38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4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 x14ac:dyDescent="0.25">
      <c r="A45" s="574"/>
      <c r="B45" s="2" t="s">
        <v>168</v>
      </c>
      <c r="C45" s="2" t="s">
        <v>166</v>
      </c>
      <c r="D45" s="87">
        <v>4.54609E-3</v>
      </c>
      <c r="E45" s="8">
        <v>9</v>
      </c>
      <c r="F45" s="8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4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 x14ac:dyDescent="0.25">
      <c r="A46" s="574"/>
      <c r="B46" s="3" t="s">
        <v>169</v>
      </c>
      <c r="C46" s="3" t="s">
        <v>167</v>
      </c>
      <c r="D46" s="8">
        <f>1/D45</f>
        <v>219.96924829908778</v>
      </c>
      <c r="E46" s="8">
        <v>9</v>
      </c>
      <c r="F46" s="38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4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 x14ac:dyDescent="0.25">
      <c r="A47" s="574"/>
      <c r="B47" s="2" t="s">
        <v>170</v>
      </c>
      <c r="C47" s="2" t="s">
        <v>166</v>
      </c>
      <c r="D47" s="87">
        <v>3.7854117840000001E-3</v>
      </c>
      <c r="E47" s="8">
        <v>9</v>
      </c>
      <c r="F47" s="8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4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 x14ac:dyDescent="0.25">
      <c r="A48" s="574"/>
      <c r="B48" s="3" t="s">
        <v>171</v>
      </c>
      <c r="C48" s="3" t="s">
        <v>167</v>
      </c>
      <c r="D48" s="8">
        <f>1/D47</f>
        <v>264.17205235814839</v>
      </c>
      <c r="E48" s="8">
        <v>9</v>
      </c>
      <c r="F48" s="38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4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 x14ac:dyDescent="0.25">
      <c r="A49" s="574"/>
      <c r="B49" s="2" t="s">
        <v>172</v>
      </c>
      <c r="C49" s="2" t="s">
        <v>174</v>
      </c>
      <c r="D49" s="8">
        <v>0.45359237000000002</v>
      </c>
      <c r="E49" s="8">
        <v>9</v>
      </c>
      <c r="F49" s="8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4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 x14ac:dyDescent="0.25">
      <c r="A50" s="574"/>
      <c r="B50" s="3" t="s">
        <v>173</v>
      </c>
      <c r="C50" s="3" t="s">
        <v>175</v>
      </c>
      <c r="D50" s="8">
        <f>1/D49</f>
        <v>2.2046226218487757</v>
      </c>
      <c r="E50" s="8">
        <v>9</v>
      </c>
      <c r="F50" s="38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4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 x14ac:dyDescent="0.25">
      <c r="A51" s="574"/>
      <c r="B51" s="2" t="s">
        <v>176</v>
      </c>
      <c r="C51" s="2" t="s">
        <v>178</v>
      </c>
      <c r="D51" s="8">
        <f>D49/16</f>
        <v>2.8349523125000001E-2</v>
      </c>
      <c r="E51" s="8">
        <v>9</v>
      </c>
      <c r="F51" s="8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4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 x14ac:dyDescent="0.25">
      <c r="A52" s="574"/>
      <c r="B52" s="3" t="s">
        <v>177</v>
      </c>
      <c r="C52" s="3" t="s">
        <v>179</v>
      </c>
      <c r="D52" s="8">
        <f>1/D51</f>
        <v>35.273961949580411</v>
      </c>
      <c r="E52" s="8">
        <v>9</v>
      </c>
      <c r="F52" s="38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4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 x14ac:dyDescent="0.25">
      <c r="A53" s="574"/>
      <c r="B53" s="2" t="s">
        <v>206</v>
      </c>
      <c r="C53" s="2" t="s">
        <v>209</v>
      </c>
      <c r="D53" s="8">
        <f>D49*480/7000</f>
        <v>3.1103476800000002E-2</v>
      </c>
      <c r="E53" s="8">
        <v>9</v>
      </c>
      <c r="F53" s="8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4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 x14ac:dyDescent="0.25">
      <c r="A54" s="574"/>
      <c r="B54" s="3" t="s">
        <v>207</v>
      </c>
      <c r="C54" s="3" t="s">
        <v>210</v>
      </c>
      <c r="D54" s="8">
        <f>1/D53</f>
        <v>32.15074656862798</v>
      </c>
      <c r="E54" s="8">
        <v>9</v>
      </c>
      <c r="F54" s="38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4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 x14ac:dyDescent="0.25">
      <c r="A55" s="574"/>
      <c r="B55" s="2" t="s">
        <v>180</v>
      </c>
      <c r="C55" s="2" t="s">
        <v>182</v>
      </c>
      <c r="D55" s="8">
        <f>D49*Rydberg!D63</f>
        <v>4.4482216152604996</v>
      </c>
      <c r="E55" s="8">
        <v>9</v>
      </c>
      <c r="F55" s="8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4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 x14ac:dyDescent="0.25">
      <c r="A56" s="574"/>
      <c r="B56" s="3" t="s">
        <v>181</v>
      </c>
      <c r="C56" s="3" t="s">
        <v>183</v>
      </c>
      <c r="D56" s="8">
        <f>1/D55</f>
        <v>0.2248089430997105</v>
      </c>
      <c r="E56" s="8">
        <v>9</v>
      </c>
      <c r="F56" s="38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4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 x14ac:dyDescent="0.25">
      <c r="A57" s="574"/>
      <c r="B57" s="2" t="s">
        <v>192</v>
      </c>
      <c r="C57" s="88" t="s">
        <v>59</v>
      </c>
      <c r="D57" s="8">
        <v>273.14999999999998</v>
      </c>
      <c r="E57" s="8">
        <v>9</v>
      </c>
      <c r="F57" s="8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4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 x14ac:dyDescent="0.25">
      <c r="A58" s="574"/>
      <c r="B58" s="3" t="s">
        <v>193</v>
      </c>
      <c r="C58" s="3" t="s">
        <v>194</v>
      </c>
      <c r="D58" s="8">
        <f>1/D57</f>
        <v>3.6609921288669233E-3</v>
      </c>
      <c r="E58" s="8">
        <v>9</v>
      </c>
      <c r="F58" s="38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4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 x14ac:dyDescent="0.25">
      <c r="A59" s="574"/>
      <c r="B59" s="2" t="s">
        <v>195</v>
      </c>
      <c r="C59" s="88" t="s">
        <v>59</v>
      </c>
      <c r="D59" s="8">
        <v>373.15</v>
      </c>
      <c r="E59" s="8">
        <v>9</v>
      </c>
      <c r="F59" s="8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4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 x14ac:dyDescent="0.25">
      <c r="A60" s="574"/>
      <c r="B60" s="3" t="s">
        <v>196</v>
      </c>
      <c r="C60" s="3" t="s">
        <v>194</v>
      </c>
      <c r="D60" s="8">
        <f>1/D59</f>
        <v>2.6798874447273215E-3</v>
      </c>
      <c r="E60" s="8">
        <v>9</v>
      </c>
      <c r="F60" s="38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4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 x14ac:dyDescent="0.25">
      <c r="A61" s="574"/>
      <c r="B61" s="2" t="s">
        <v>197</v>
      </c>
      <c r="C61" s="88" t="s">
        <v>59</v>
      </c>
      <c r="D61" s="8">
        <f>(0-32)*5/9+273.15</f>
        <v>255.37222222222221</v>
      </c>
      <c r="E61" s="8">
        <v>9</v>
      </c>
      <c r="F61" s="8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4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 x14ac:dyDescent="0.25">
      <c r="A62" s="574"/>
      <c r="B62" s="3" t="s">
        <v>198</v>
      </c>
      <c r="C62" s="3" t="s">
        <v>194</v>
      </c>
      <c r="D62" s="8">
        <f>1/D61</f>
        <v>3.9158526769204E-3</v>
      </c>
      <c r="E62" s="8">
        <v>9</v>
      </c>
      <c r="F62" s="38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4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 x14ac:dyDescent="0.25">
      <c r="A63" s="574"/>
      <c r="B63" s="2" t="s">
        <v>199</v>
      </c>
      <c r="C63" s="88" t="s">
        <v>59</v>
      </c>
      <c r="D63" s="8">
        <f>(100-32)*5/9+273.15</f>
        <v>310.92777777777775</v>
      </c>
      <c r="E63" s="8">
        <v>9</v>
      </c>
      <c r="F63" s="8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4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 x14ac:dyDescent="0.3">
      <c r="A64" s="575"/>
      <c r="B64" s="89" t="s">
        <v>200</v>
      </c>
      <c r="C64" s="89" t="s">
        <v>194</v>
      </c>
      <c r="D64" s="33">
        <f>1/D63</f>
        <v>3.2161809637822293E-3</v>
      </c>
      <c r="E64" s="33">
        <v>9</v>
      </c>
      <c r="F64" s="48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4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 x14ac:dyDescent="0.3"/>
    <row r="66" spans="2:35" ht="12" thickBot="1" x14ac:dyDescent="0.3">
      <c r="B66" s="68" t="s">
        <v>603</v>
      </c>
      <c r="C66" s="110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4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 x14ac:dyDescent="0.25">
      <c r="C67" s="55"/>
      <c r="G67" s="234"/>
      <c r="H67" s="235"/>
      <c r="I67" s="236"/>
      <c r="J67" s="236"/>
      <c r="K67" s="237"/>
      <c r="M67" s="237"/>
      <c r="O67" s="237"/>
      <c r="Q67" s="237"/>
      <c r="S67" s="237"/>
      <c r="U67" s="237"/>
      <c r="W67" s="237"/>
      <c r="Y67" s="237"/>
      <c r="AA67" s="237"/>
      <c r="AC67" s="237"/>
      <c r="AE67" s="237"/>
      <c r="AG67" s="237"/>
      <c r="AI67" s="237"/>
    </row>
    <row r="68" spans="2:35" x14ac:dyDescent="0.25">
      <c r="D68" s="54" t="s">
        <v>1322</v>
      </c>
      <c r="F68" s="14" t="s">
        <v>1312</v>
      </c>
      <c r="I68" s="54" t="s">
        <v>1313</v>
      </c>
    </row>
    <row r="69" spans="2:35" x14ac:dyDescent="0.25">
      <c r="D69" s="14" t="s">
        <v>1301</v>
      </c>
      <c r="E69" s="137" t="s">
        <v>1302</v>
      </c>
      <c r="F69" s="14" t="s">
        <v>1303</v>
      </c>
      <c r="I69" s="478">
        <f>8*D17/(9*F3)-1</f>
        <v>-5.2096974754741732E-3</v>
      </c>
      <c r="J69" s="478"/>
    </row>
    <row r="70" spans="2:35" x14ac:dyDescent="0.25">
      <c r="D70" s="14" t="s">
        <v>1304</v>
      </c>
      <c r="E70" s="137" t="s">
        <v>1302</v>
      </c>
      <c r="F70" s="14" t="s">
        <v>1305</v>
      </c>
      <c r="I70" s="478">
        <f>9*2*3600/(8*POWER(12,4)*F4)-1</f>
        <v>-2.9469058526743197E-7</v>
      </c>
      <c r="J70" s="478"/>
    </row>
    <row r="71" spans="2:35" x14ac:dyDescent="0.25">
      <c r="D71" s="14" t="s">
        <v>1306</v>
      </c>
      <c r="E71" s="137" t="s">
        <v>1302</v>
      </c>
      <c r="F71" s="14" t="s">
        <v>1307</v>
      </c>
      <c r="I71" s="478">
        <f>14*D51/(3*F8)-1</f>
        <v>3.5537437149109063E-3</v>
      </c>
      <c r="J71" s="478"/>
    </row>
    <row r="72" spans="2:35" x14ac:dyDescent="0.25">
      <c r="D72" s="14" t="s">
        <v>1314</v>
      </c>
      <c r="E72" s="137" t="s">
        <v>1302</v>
      </c>
      <c r="F72" s="14" t="s">
        <v>1315</v>
      </c>
      <c r="I72" s="478">
        <f>3*D43/8/POWER(12*12*F3,2)-1</f>
        <v>-1.3351896309915401E-2</v>
      </c>
      <c r="J72" s="478"/>
    </row>
    <row r="73" spans="2:35" x14ac:dyDescent="0.25">
      <c r="D73" s="14" t="s">
        <v>1323</v>
      </c>
      <c r="E73" s="137" t="s">
        <v>1302</v>
      </c>
      <c r="F73" s="14" t="s">
        <v>1324</v>
      </c>
      <c r="I73" s="478">
        <f>0.00454609*40/(POWER(F3,3)*9)-1</f>
        <v>1.4465779524885924E-4</v>
      </c>
    </row>
    <row r="74" spans="2:35" x14ac:dyDescent="0.25">
      <c r="D74" s="14" t="s">
        <v>1321</v>
      </c>
      <c r="E74" s="137" t="s">
        <v>1302</v>
      </c>
      <c r="F74" s="14" t="s">
        <v>1320</v>
      </c>
      <c r="I74" s="478">
        <f>0.0044048428032*16/(POWER(F3,3)*3.5)-1</f>
        <v>-3.242158616431956E-3</v>
      </c>
    </row>
    <row r="75" spans="2:35" x14ac:dyDescent="0.25">
      <c r="D75" s="14" t="s">
        <v>1317</v>
      </c>
      <c r="E75" s="137" t="s">
        <v>1302</v>
      </c>
      <c r="F75" s="14" t="s">
        <v>1316</v>
      </c>
      <c r="I75" s="478">
        <f>16*D47/(3*POWER(F3,3))-1</f>
        <v>-6.4643507116235455E-4</v>
      </c>
      <c r="J75" s="478"/>
    </row>
    <row r="76" spans="2:35" x14ac:dyDescent="0.25">
      <c r="D76" s="14" t="s">
        <v>1309</v>
      </c>
      <c r="E76" s="137" t="s">
        <v>1302</v>
      </c>
      <c r="F76" s="14" t="s">
        <v>1308</v>
      </c>
      <c r="I76" s="478">
        <f>D47/(POWER(F3,3)*0.5*0.5*0.75)-1</f>
        <v>-6.4643507116235455E-4</v>
      </c>
      <c r="J76" s="478"/>
    </row>
    <row r="77" spans="2:35" x14ac:dyDescent="0.25">
      <c r="D77" s="14" t="s">
        <v>1318</v>
      </c>
      <c r="E77" s="137" t="s">
        <v>1302</v>
      </c>
      <c r="F77" s="14" t="s">
        <v>1319</v>
      </c>
      <c r="I77" s="478">
        <f>0.000001/(POWER(12,-4)*POWER(F3,3))-1</f>
        <v>2.6436985499520116E-2</v>
      </c>
      <c r="J77" s="478"/>
      <c r="P77" s="478"/>
    </row>
    <row r="78" spans="2:35" x14ac:dyDescent="0.25">
      <c r="D78" s="14" t="s">
        <v>1310</v>
      </c>
      <c r="E78" s="137" t="s">
        <v>1302</v>
      </c>
      <c r="F78" s="14" t="s">
        <v>1311</v>
      </c>
      <c r="I78" s="478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 x14ac:dyDescent="0.25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574"/>
      <c r="B3" s="2" t="str">
        <f>Rydberg!B3</f>
        <v>Length</v>
      </c>
      <c r="C3" s="7" t="s">
        <v>707</v>
      </c>
      <c r="D3" s="28"/>
      <c r="E3" s="8"/>
      <c r="F3" s="21">
        <f>D31 * F4 / (176024043 + 1/18)</f>
        <v>0.29568291258759627</v>
      </c>
      <c r="G3" s="26"/>
      <c r="H3" s="8">
        <v>-3</v>
      </c>
      <c r="I3" s="58">
        <f>F3/POWER(10,H3)</f>
        <v>295.68291258759626</v>
      </c>
      <c r="J3" s="118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574"/>
      <c r="B4" s="2" t="str">
        <f>Rydberg!B4</f>
        <v>Time</v>
      </c>
      <c r="C4" s="7" t="s">
        <v>708</v>
      </c>
      <c r="D4" s="28"/>
      <c r="E4" s="8"/>
      <c r="F4" s="21">
        <f>86400/2/POWER(12,5)</f>
        <v>0.1736111111111111</v>
      </c>
      <c r="G4" s="253"/>
      <c r="H4" s="8">
        <v>-3</v>
      </c>
      <c r="I4" s="58">
        <f t="shared" ref="I4:I25" si="0">F4/POWER(10,H4)</f>
        <v>173.61111111111111</v>
      </c>
      <c r="J4" s="118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574"/>
      <c r="B5" s="2" t="str">
        <f>Rydberg!B5</f>
        <v>Energy</v>
      </c>
      <c r="C5" s="2" t="s">
        <v>716</v>
      </c>
      <c r="D5" s="21"/>
      <c r="E5" s="8"/>
      <c r="F5" s="21">
        <f>F17*F20*F3*F3/F16</f>
        <v>74.983195487443439</v>
      </c>
      <c r="G5" s="21"/>
      <c r="H5" s="8">
        <v>0</v>
      </c>
      <c r="I5" s="58">
        <f t="shared" si="0"/>
        <v>74.983195487443439</v>
      </c>
      <c r="J5" s="118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574"/>
      <c r="B6" s="2" t="str">
        <f>Rydberg!B6</f>
        <v>Temperature</v>
      </c>
      <c r="C6" s="2" t="s">
        <v>730</v>
      </c>
      <c r="D6" s="21"/>
      <c r="E6" s="8"/>
      <c r="F6" s="21">
        <f>0.1/144</f>
        <v>6.9444444444444447E-4</v>
      </c>
      <c r="G6" s="21"/>
      <c r="H6" s="8">
        <v>-3</v>
      </c>
      <c r="I6" s="58">
        <f t="shared" si="0"/>
        <v>0.69444444444444442</v>
      </c>
      <c r="J6" s="118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574"/>
      <c r="B7" s="2" t="str">
        <f>Rydberg!B7</f>
        <v>Amount of substance</v>
      </c>
      <c r="C7" s="2" t="s">
        <v>725</v>
      </c>
      <c r="D7" s="21"/>
      <c r="E7" s="8"/>
      <c r="F7" s="21">
        <f>F8*1000</f>
        <v>25850.355649436216</v>
      </c>
      <c r="G7" s="21"/>
      <c r="H7" s="8">
        <v>3</v>
      </c>
      <c r="I7" s="58">
        <f t="shared" si="0"/>
        <v>25.850355649436217</v>
      </c>
      <c r="J7" s="118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574"/>
      <c r="B8" s="2" t="str">
        <f>Rydberg!B8</f>
        <v>Mass</v>
      </c>
      <c r="C8" s="2" t="s">
        <v>709</v>
      </c>
      <c r="D8" s="21"/>
      <c r="E8" s="8"/>
      <c r="F8" s="21">
        <f>F5/POWER(F3/F4,2)</f>
        <v>25.850355649436217</v>
      </c>
      <c r="G8" s="21"/>
      <c r="H8" s="8">
        <v>0</v>
      </c>
      <c r="I8" s="58">
        <f t="shared" si="0"/>
        <v>25.850355649436217</v>
      </c>
      <c r="J8" s="118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18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574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18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574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18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574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18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574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18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574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18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574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18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574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18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574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18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18" t="str">
        <f>Rydberg!L18</f>
        <v>mF</v>
      </c>
      <c r="K18" s="115"/>
      <c r="L18" s="116">
        <f t="shared" si="1"/>
        <v>50.584356831851103</v>
      </c>
      <c r="M18" s="76"/>
      <c r="N18" s="117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574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18" t="str">
        <f>Rydberg!L19</f>
        <v>Wb</v>
      </c>
      <c r="K19" s="115"/>
      <c r="L19" s="116">
        <f t="shared" si="1"/>
        <v>-27.52830751987333</v>
      </c>
      <c r="M19" s="76"/>
      <c r="N19" s="117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574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18" t="s">
        <v>684</v>
      </c>
      <c r="K20" s="115"/>
      <c r="L20" s="116">
        <f t="shared" si="1"/>
        <v>-40.894446571463689</v>
      </c>
      <c r="M20" s="76"/>
      <c r="N20" s="117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574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19" t="str">
        <f>Rydberg!L21</f>
        <v>H</v>
      </c>
      <c r="K21" s="115"/>
      <c r="L21" s="116">
        <f t="shared" si="1"/>
        <v>-31.377220764155393</v>
      </c>
      <c r="M21" s="76"/>
      <c r="N21" s="117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574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18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 x14ac:dyDescent="0.25">
      <c r="A23" s="574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18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574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18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574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19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575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4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 x14ac:dyDescent="0.25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1.5567448292445061E+28</v>
      </c>
      <c r="G29" s="37" t="str">
        <f t="shared" ref="G29:G61" si="19">K29&amp;";"&amp;M29&amp;O29&amp;Q29&amp;S29&amp;U29&amp;W29&amp;Y29&amp;AA29&amp;AC29&amp;AE29&amp;AG29&amp;AI29</f>
        <v>1;439X916</v>
      </c>
      <c r="H29" s="38">
        <v>26</v>
      </c>
      <c r="I29" s="61">
        <f>F29/POWER(12,H29)+0.000000000001</f>
        <v>1.3598939280212685</v>
      </c>
      <c r="J29" s="39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 x14ac:dyDescent="0.25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3244744.9121308965</v>
      </c>
      <c r="G30" s="37" t="str">
        <f t="shared" si="19"/>
        <v>1;1058E4XE41E4</v>
      </c>
      <c r="H30" s="38">
        <v>6</v>
      </c>
      <c r="I30" s="61">
        <f>F30/POWER(12,H30)</f>
        <v>1.0866585059166078</v>
      </c>
      <c r="J30" s="39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 x14ac:dyDescent="0.25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176024043.05555552</v>
      </c>
      <c r="G31" s="37" t="str">
        <f t="shared" si="19"/>
        <v>4;XE4992307EE</v>
      </c>
      <c r="H31" s="38">
        <v>7</v>
      </c>
      <c r="I31" s="61">
        <f>F31/POWER(12,H31)</f>
        <v>4.9125079888671968</v>
      </c>
      <c r="J31" s="39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 x14ac:dyDescent="0.25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8.1009265189521002E-36</v>
      </c>
      <c r="G32" s="37" t="str">
        <f t="shared" si="19"/>
        <v>3;3X5E50E</v>
      </c>
      <c r="H32" s="38">
        <v>-33</v>
      </c>
      <c r="I32" s="61">
        <f>F32/POWER(12,H32)+0.000000000001</f>
        <v>3.3228888343468923</v>
      </c>
      <c r="J32" s="39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 x14ac:dyDescent="0.25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1.2786647570988099E-28</v>
      </c>
      <c r="G33" s="37" t="str">
        <f t="shared" si="19"/>
        <v>1;569458</v>
      </c>
      <c r="H33" s="38">
        <v>-26</v>
      </c>
      <c r="I33" s="61">
        <f t="shared" ref="I33:I61" si="32">F33/POWER(12,H33)</f>
        <v>1.4637573622000075</v>
      </c>
      <c r="J33" s="39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 x14ac:dyDescent="0.25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1.9905547489507549</v>
      </c>
      <c r="G34" s="37" t="str">
        <f t="shared" si="19"/>
        <v>1;EX7819</v>
      </c>
      <c r="H34" s="38">
        <v>0</v>
      </c>
      <c r="I34" s="61">
        <f t="shared" si="32"/>
        <v>1.9905547489507549</v>
      </c>
      <c r="J34" s="39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 x14ac:dyDescent="0.25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6.4236603260667923E-29</v>
      </c>
      <c r="G35" s="37" t="str">
        <f t="shared" si="19"/>
        <v>8;9X82E88</v>
      </c>
      <c r="H35" s="38">
        <v>-27</v>
      </c>
      <c r="I35" s="61">
        <f t="shared" si="32"/>
        <v>8.824217646432654</v>
      </c>
      <c r="J35" s="39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 x14ac:dyDescent="0.25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1.7896780237959503E-10</v>
      </c>
      <c r="G36" s="37" t="str">
        <f t="shared" si="19"/>
        <v>E;0E8409614</v>
      </c>
      <c r="H36" s="38">
        <v>-10</v>
      </c>
      <c r="I36" s="61">
        <f t="shared" si="32"/>
        <v>11.08121460430624</v>
      </c>
      <c r="J36" s="39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 x14ac:dyDescent="0.25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1.8616353634268983E-18</v>
      </c>
      <c r="G37" s="37" t="str">
        <f t="shared" si="19"/>
        <v>4;169091205</v>
      </c>
      <c r="H37" s="38">
        <v>-17</v>
      </c>
      <c r="I37" s="61">
        <f t="shared" si="32"/>
        <v>4.1302448939996861</v>
      </c>
      <c r="J37" s="39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 x14ac:dyDescent="0.25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3.5238909992322176E-32</v>
      </c>
      <c r="G38" s="37" t="str">
        <f t="shared" si="19"/>
        <v>8;4466256</v>
      </c>
      <c r="H38" s="38">
        <v>-30</v>
      </c>
      <c r="I38" s="61">
        <f t="shared" si="32"/>
        <v>8.3648825562993121</v>
      </c>
      <c r="J38" s="39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 x14ac:dyDescent="0.25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2.0115659755354004E-9</v>
      </c>
      <c r="G39" s="37" t="str">
        <f t="shared" si="19"/>
        <v>X;4674</v>
      </c>
      <c r="H39" s="38">
        <v>-9</v>
      </c>
      <c r="I39" s="61">
        <f t="shared" si="32"/>
        <v>10.379238597319272</v>
      </c>
      <c r="J39" s="39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 x14ac:dyDescent="0.25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4.7725851626852092E+41</v>
      </c>
      <c r="G40" s="37" t="str">
        <f t="shared" si="19"/>
        <v>4;813</v>
      </c>
      <c r="H40" s="38">
        <v>38</v>
      </c>
      <c r="I40" s="61">
        <f t="shared" si="32"/>
        <v>4.6759120832382646</v>
      </c>
      <c r="J40" s="39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 x14ac:dyDescent="0.25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3.2337803759263499E-34</v>
      </c>
      <c r="G41" s="37" t="str">
        <f t="shared" si="19"/>
        <v>;78X</v>
      </c>
      <c r="H41" s="38">
        <v>-33</v>
      </c>
      <c r="I41" s="61">
        <f t="shared" si="32"/>
        <v>132.64523111959446</v>
      </c>
      <c r="J41" s="39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 x14ac:dyDescent="0.25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5.466086487143472E-35</v>
      </c>
      <c r="G42" s="37" t="str">
        <f t="shared" si="19"/>
        <v>1;X508</v>
      </c>
      <c r="H42" s="38">
        <v>-32</v>
      </c>
      <c r="I42" s="61">
        <f t="shared" si="32"/>
        <v>1.8684280241695443</v>
      </c>
      <c r="J42" s="39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 x14ac:dyDescent="0.25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6.3987307251820641E-34</v>
      </c>
      <c r="G43" s="37" t="str">
        <f t="shared" si="19"/>
        <v>1;9X57</v>
      </c>
      <c r="H43" s="38">
        <v>-31</v>
      </c>
      <c r="I43" s="61">
        <f t="shared" si="32"/>
        <v>1.8226885350492554</v>
      </c>
      <c r="J43" s="39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 x14ac:dyDescent="0.25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2.6694833309518083E-24</v>
      </c>
      <c r="G44" s="37" t="str">
        <f t="shared" si="19"/>
        <v>1;582705</v>
      </c>
      <c r="H44" s="38">
        <v>-22</v>
      </c>
      <c r="I44" s="61">
        <f t="shared" si="32"/>
        <v>1.4737188088380189</v>
      </c>
      <c r="J44" s="39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 x14ac:dyDescent="0.25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6.3897225526624357E-2</v>
      </c>
      <c r="G45" s="37" t="str">
        <f t="shared" si="19"/>
        <v>9;24E811</v>
      </c>
      <c r="H45" s="38">
        <v>-2</v>
      </c>
      <c r="I45" s="61">
        <f t="shared" si="32"/>
        <v>9.2012004758339074</v>
      </c>
      <c r="J45" s="39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 x14ac:dyDescent="0.25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393350.40000000002</v>
      </c>
      <c r="G46" s="37" t="str">
        <f t="shared" si="19"/>
        <v>1;6E7725</v>
      </c>
      <c r="H46" s="38">
        <v>5</v>
      </c>
      <c r="I46" s="61">
        <f t="shared" si="32"/>
        <v>1.5807870370370372</v>
      </c>
      <c r="J46" s="39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 x14ac:dyDescent="0.25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22413.334426636055</v>
      </c>
      <c r="G47" s="37" t="str">
        <f t="shared" si="19"/>
        <v>1;0E7940</v>
      </c>
      <c r="H47" s="38">
        <v>4</v>
      </c>
      <c r="I47" s="61">
        <f t="shared" si="32"/>
        <v>1.0808899704203345</v>
      </c>
      <c r="J47" s="39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 x14ac:dyDescent="0.25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9.2646694987403126</v>
      </c>
      <c r="G48" s="37" t="str">
        <f t="shared" si="19"/>
        <v>9;3214</v>
      </c>
      <c r="H48" s="38">
        <v>0</v>
      </c>
      <c r="I48" s="61">
        <f t="shared" si="32"/>
        <v>9.2646694987403126</v>
      </c>
      <c r="J48" s="39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 x14ac:dyDescent="0.25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0.99999999921600002</v>
      </c>
      <c r="G49" s="37" t="str">
        <f t="shared" si="19"/>
        <v>0;EEEEE</v>
      </c>
      <c r="H49" s="38">
        <v>0</v>
      </c>
      <c r="I49" s="61">
        <f t="shared" si="32"/>
        <v>0.99999999921600002</v>
      </c>
      <c r="J49" s="39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 x14ac:dyDescent="0.25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0.91682567039999996</v>
      </c>
      <c r="G50" s="37" t="str">
        <f t="shared" si="19"/>
        <v>0;E003</v>
      </c>
      <c r="H50" s="38">
        <v>0</v>
      </c>
      <c r="I50" s="61">
        <f t="shared" si="32"/>
        <v>0.91682567039999996</v>
      </c>
      <c r="J50" s="39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 x14ac:dyDescent="0.25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1.0016863642852361</v>
      </c>
      <c r="G51" s="37" t="str">
        <f t="shared" si="19"/>
        <v>1;002E</v>
      </c>
      <c r="H51" s="38">
        <v>0</v>
      </c>
      <c r="I51" s="61">
        <f t="shared" si="32"/>
        <v>1.0016863642852361</v>
      </c>
      <c r="J51" s="39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 x14ac:dyDescent="0.25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8.3915080077405494E-5</v>
      </c>
      <c r="G52" s="37" t="str">
        <f t="shared" si="19"/>
        <v>1;8X6X</v>
      </c>
      <c r="H52" s="38">
        <v>-4</v>
      </c>
      <c r="I52" s="61">
        <f t="shared" si="32"/>
        <v>1.7400631004850804</v>
      </c>
      <c r="J52" s="39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 x14ac:dyDescent="0.25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34.932635361769442</v>
      </c>
      <c r="G53" s="37" t="str">
        <f t="shared" si="19"/>
        <v>2;XE2372</v>
      </c>
      <c r="H53" s="38">
        <v>1</v>
      </c>
      <c r="I53" s="61">
        <f t="shared" si="32"/>
        <v>2.9110529468141202</v>
      </c>
      <c r="J53" s="39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 x14ac:dyDescent="0.25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0.99965347772193647</v>
      </c>
      <c r="G54" s="37" t="str">
        <f t="shared" si="19"/>
        <v>0;EEE4993</v>
      </c>
      <c r="H54" s="38">
        <v>0</v>
      </c>
      <c r="I54" s="61">
        <f t="shared" si="32"/>
        <v>0.99965347772193647</v>
      </c>
      <c r="J54" s="39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 x14ac:dyDescent="0.25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1.4999270672443036E-2</v>
      </c>
      <c r="G55" s="37" t="str">
        <f t="shared" si="19"/>
        <v>2;1E036EX</v>
      </c>
      <c r="H55" s="38">
        <v>-2</v>
      </c>
      <c r="I55" s="61">
        <f t="shared" si="32"/>
        <v>2.1598949768317972</v>
      </c>
      <c r="J55" s="39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 x14ac:dyDescent="0.25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21570877.884634174</v>
      </c>
      <c r="G56" s="37" t="str">
        <f t="shared" si="19"/>
        <v>7;283191X748</v>
      </c>
      <c r="H56" s="38">
        <v>6</v>
      </c>
      <c r="I56" s="61">
        <f t="shared" si="32"/>
        <v>7.2240433587836286</v>
      </c>
      <c r="J56" s="39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 x14ac:dyDescent="0.25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33826658.809838772</v>
      </c>
      <c r="G57" s="37" t="str">
        <f t="shared" si="19"/>
        <v>0;E3E3743</v>
      </c>
      <c r="H57" s="38">
        <v>7</v>
      </c>
      <c r="I57" s="61">
        <f t="shared" si="32"/>
        <v>0.94403996610605778</v>
      </c>
      <c r="J57" s="39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 x14ac:dyDescent="0.25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4993.9477492114884</v>
      </c>
      <c r="G58" s="37" t="str">
        <f t="shared" si="19"/>
        <v>2;X81E4586</v>
      </c>
      <c r="H58" s="38">
        <v>3</v>
      </c>
      <c r="I58" s="61">
        <f t="shared" si="32"/>
        <v>2.8900160585714634</v>
      </c>
      <c r="J58" s="39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 x14ac:dyDescent="0.25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505940193468.84485</v>
      </c>
      <c r="G59" s="37" t="str">
        <f t="shared" si="19"/>
        <v>8;207X41E99</v>
      </c>
      <c r="H59" s="43">
        <v>10</v>
      </c>
      <c r="I59" s="62">
        <f t="shared" si="32"/>
        <v>8.1712165853587102</v>
      </c>
      <c r="J59" s="39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 x14ac:dyDescent="0.25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2874.2675414469568</v>
      </c>
      <c r="G60" s="37" t="str">
        <f t="shared" si="19"/>
        <v>1;7E632638X</v>
      </c>
      <c r="H60" s="43">
        <v>3</v>
      </c>
      <c r="I60" s="62">
        <f t="shared" si="32"/>
        <v>1.6633492716706926</v>
      </c>
      <c r="J60" s="39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 x14ac:dyDescent="0.3">
      <c r="A61" s="575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9">
        <f>D61</f>
        <v>22.45521516755435</v>
      </c>
      <c r="G61" s="37" t="str">
        <f t="shared" si="19"/>
        <v>1;X55674126</v>
      </c>
      <c r="H61" s="43">
        <v>1</v>
      </c>
      <c r="I61" s="62">
        <f t="shared" si="32"/>
        <v>1.8712679306295292</v>
      </c>
      <c r="J61" s="44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 x14ac:dyDescent="0.25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 x14ac:dyDescent="0.25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 x14ac:dyDescent="0.25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 x14ac:dyDescent="0.25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 x14ac:dyDescent="0.25">
      <c r="A66" s="571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 x14ac:dyDescent="0.25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 x14ac:dyDescent="0.25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 x14ac:dyDescent="0.25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 x14ac:dyDescent="0.25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 x14ac:dyDescent="0.25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 x14ac:dyDescent="0.25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 x14ac:dyDescent="0.25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 x14ac:dyDescent="0.25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 x14ac:dyDescent="0.25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 x14ac:dyDescent="0.25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 x14ac:dyDescent="0.3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37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 x14ac:dyDescent="0.25">
      <c r="B82" s="137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288"/>
    </row>
    <row r="85" spans="1:35" x14ac:dyDescent="0.2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37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 x14ac:dyDescent="0.2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37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 x14ac:dyDescent="0.2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37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 x14ac:dyDescent="0.2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6"/>
        <v>1.9085507985302302E-9</v>
      </c>
      <c r="G88" s="108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 x14ac:dyDescent="0.2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 x14ac:dyDescent="0.25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574"/>
      <c r="B3" s="2" t="str">
        <f>Rydberg!B3</f>
        <v>Length</v>
      </c>
      <c r="C3" s="7" t="s">
        <v>1491</v>
      </c>
      <c r="D3" s="28"/>
      <c r="E3" s="8"/>
      <c r="F3" s="21">
        <f>D31 * F4 / POWER(12,8)</f>
        <v>0.24209078396996714</v>
      </c>
      <c r="G3" s="26"/>
      <c r="H3" s="8">
        <v>-3</v>
      </c>
      <c r="I3" s="58">
        <f>F3/POWER(10,H3)</f>
        <v>242.09078396996713</v>
      </c>
      <c r="J3" s="118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574"/>
      <c r="B4" s="2" t="str">
        <f>Rydberg!B4</f>
        <v>Time</v>
      </c>
      <c r="C4" s="7" t="s">
        <v>1490</v>
      </c>
      <c r="D4" s="28"/>
      <c r="E4" s="8"/>
      <c r="F4" s="21">
        <f>3191886105/9192631770</f>
        <v>0.34722223024495191</v>
      </c>
      <c r="G4" s="253"/>
      <c r="H4" s="8">
        <v>-3</v>
      </c>
      <c r="I4" s="58">
        <f t="shared" ref="I4:I26" si="0">F4/POWER(10,H4)</f>
        <v>347.2222302449519</v>
      </c>
      <c r="J4" s="118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574"/>
      <c r="B5" s="2" t="str">
        <f>Rydberg!B5</f>
        <v>Energy</v>
      </c>
      <c r="C5" s="2" t="s">
        <v>1496</v>
      </c>
      <c r="D5" s="21"/>
      <c r="E5" s="8"/>
      <c r="F5" s="21">
        <f>D32*23804808*POWER(12,25)/F4</f>
        <v>6.8970673309253883</v>
      </c>
      <c r="G5" s="21"/>
      <c r="H5" s="8">
        <v>0</v>
      </c>
      <c r="I5" s="58">
        <f t="shared" si="0"/>
        <v>6.8970673309253883</v>
      </c>
      <c r="J5" s="118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574"/>
      <c r="B6" s="2" t="str">
        <f>Rydberg!B6</f>
        <v>Temperature</v>
      </c>
      <c r="C6" s="2" t="s">
        <v>1494</v>
      </c>
      <c r="D6" s="21"/>
      <c r="E6" s="8"/>
      <c r="F6" s="21">
        <f>F5/(D33/21984218*POWER(12,29))</f>
        <v>0.5551830783168582</v>
      </c>
      <c r="G6" s="21"/>
      <c r="H6" s="8">
        <v>0</v>
      </c>
      <c r="I6" s="58">
        <f t="shared" si="0"/>
        <v>0.5551830783168582</v>
      </c>
      <c r="J6" s="118" t="s">
        <v>1492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574"/>
      <c r="B7" s="2" t="str">
        <f>Rydberg!B7</f>
        <v>Amount of substance</v>
      </c>
      <c r="C7" s="2" t="s">
        <v>1495</v>
      </c>
      <c r="D7" s="21"/>
      <c r="E7" s="8"/>
      <c r="F7" s="21">
        <f>F8*1000</f>
        <v>14188.059353599698</v>
      </c>
      <c r="G7" s="21"/>
      <c r="H7" s="8">
        <v>3</v>
      </c>
      <c r="I7" s="58">
        <f t="shared" si="0"/>
        <v>14.188059353599698</v>
      </c>
      <c r="J7" s="118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574"/>
      <c r="B8" s="2" t="str">
        <f>Rydberg!B8</f>
        <v>Mass</v>
      </c>
      <c r="C8" s="2" t="s">
        <v>1493</v>
      </c>
      <c r="D8" s="21"/>
      <c r="E8" s="8"/>
      <c r="F8" s="21">
        <f>F5/POWER(F3/F4,2)</f>
        <v>14.188059353599698</v>
      </c>
      <c r="G8" s="21"/>
      <c r="H8" s="8">
        <v>0</v>
      </c>
      <c r="I8" s="58">
        <f t="shared" si="0"/>
        <v>14.188059353599698</v>
      </c>
      <c r="J8" s="118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18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574"/>
      <c r="B10" s="2" t="str">
        <f>Rydberg!B10</f>
        <v>Force</v>
      </c>
      <c r="C10" s="2" t="s">
        <v>1497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18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574"/>
      <c r="B11" s="2" t="str">
        <f>Rydberg!B11</f>
        <v>Pressure</v>
      </c>
      <c r="C11" s="2" t="s">
        <v>1498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18" t="s">
        <v>1515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574"/>
      <c r="B12" s="2" t="str">
        <f>Rydberg!B12</f>
        <v>Charge</v>
      </c>
      <c r="C12" s="2" t="s">
        <v>1500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18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574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18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574"/>
      <c r="B14" s="2" t="str">
        <f>Rydberg!B14</f>
        <v>Field Strength</v>
      </c>
      <c r="C14" s="2" t="s">
        <v>1501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18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574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18" t="s">
        <v>1516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574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1517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574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18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18" t="s">
        <v>1564</v>
      </c>
      <c r="K18" s="115"/>
      <c r="L18" s="116">
        <f t="shared" si="1"/>
        <v>38.335126007602533</v>
      </c>
      <c r="M18" s="76"/>
      <c r="N18" s="117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574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18" t="str">
        <f>Rydberg!L19</f>
        <v>Wb</v>
      </c>
      <c r="K19" s="115"/>
      <c r="L19" s="116">
        <f t="shared" si="1"/>
        <v>-18.661632030586336</v>
      </c>
      <c r="M19" s="76"/>
      <c r="N19" s="117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574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18" t="s">
        <v>222</v>
      </c>
      <c r="K20" s="115"/>
      <c r="L20" s="116">
        <f t="shared" si="1"/>
        <v>-34.221421094961777</v>
      </c>
      <c r="M20" s="76"/>
      <c r="N20" s="117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574"/>
      <c r="B21" s="6" t="str">
        <f>Rydberg!B21</f>
        <v>Inductance</v>
      </c>
      <c r="C21" s="6" t="s">
        <v>1506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19" t="str">
        <f>Rydberg!L21</f>
        <v>H</v>
      </c>
      <c r="K21" s="115"/>
      <c r="L21" s="116">
        <f t="shared" si="1"/>
        <v>-26.731558227213039</v>
      </c>
      <c r="M21" s="76"/>
      <c r="N21" s="117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574"/>
      <c r="B22" s="2" t="str">
        <f>Rydberg!B22</f>
        <v>Frequency</v>
      </c>
      <c r="C22" s="2" t="s">
        <v>1507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18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 x14ac:dyDescent="0.25">
      <c r="A23" s="574"/>
      <c r="B23" s="2" t="s">
        <v>1509</v>
      </c>
      <c r="C23" s="2" t="s">
        <v>1510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18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574"/>
      <c r="B24" s="6" t="s">
        <v>1511</v>
      </c>
      <c r="C24" s="2" t="s">
        <v>1512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18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574"/>
      <c r="B25" s="6" t="s">
        <v>1513</v>
      </c>
      <c r="C25" s="6" t="s">
        <v>1514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19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575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4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 x14ac:dyDescent="0.25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8.5442491914853746E+27</v>
      </c>
      <c r="G29" s="37" t="str">
        <f t="shared" ref="G29:G61" si="16">K29&amp;";"&amp;M29&amp;O29&amp;Q29&amp;S29&amp;U29&amp;W29&amp;Y29&amp;AA29&amp;AC29&amp;AE29&amp;AG29&amp;AI29</f>
        <v>0;8E58EX6</v>
      </c>
      <c r="H29" s="38">
        <v>26</v>
      </c>
      <c r="I29" s="61">
        <f>F29/POWER(12,H29)+0.000000000001</f>
        <v>0.74638260405512247</v>
      </c>
      <c r="J29" s="39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 x14ac:dyDescent="0.25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2656639.2784960787</v>
      </c>
      <c r="G30" s="37" t="str">
        <f t="shared" si="16"/>
        <v>0;X814X73412X9</v>
      </c>
      <c r="H30" s="38">
        <v>6</v>
      </c>
      <c r="I30" s="61">
        <f>F30/POWER(12,H30)</f>
        <v>0.88970311913797218</v>
      </c>
      <c r="J30" s="39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 x14ac:dyDescent="0.25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429981696</v>
      </c>
      <c r="G31" s="37" t="str">
        <f t="shared" si="16"/>
        <v>1;000000000000</v>
      </c>
      <c r="H31" s="38">
        <v>8</v>
      </c>
      <c r="I31" s="61">
        <f>F31/POWER(12,H31)</f>
        <v>1</v>
      </c>
      <c r="J31" s="39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 x14ac:dyDescent="0.25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4.4035625115716551E-35</v>
      </c>
      <c r="G32" s="37" t="str">
        <f t="shared" si="16"/>
        <v>1;609064X</v>
      </c>
      <c r="H32" s="38">
        <v>-32</v>
      </c>
      <c r="I32" s="61">
        <f>F32/POWER(12,H32)+0.000000000001</f>
        <v>1.5052340686815795</v>
      </c>
      <c r="J32" s="39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 x14ac:dyDescent="0.25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1.1113603197264573E-24</v>
      </c>
      <c r="G33" s="37" t="str">
        <f t="shared" si="16"/>
        <v>7;442422</v>
      </c>
      <c r="H33" s="38">
        <v>-23</v>
      </c>
      <c r="I33" s="61">
        <f t="shared" ref="I33:I61" si="29">F33/POWER(12,H33)</f>
        <v>7.3624701271004804</v>
      </c>
      <c r="J33" s="39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 x14ac:dyDescent="0.25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9495.739513271712</v>
      </c>
      <c r="G34" s="37" t="str">
        <f t="shared" si="16"/>
        <v>5;5E38X6</v>
      </c>
      <c r="H34" s="38">
        <v>3</v>
      </c>
      <c r="I34" s="61">
        <f t="shared" si="29"/>
        <v>5.4952196257359445</v>
      </c>
      <c r="J34" s="39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 x14ac:dyDescent="0.25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1.1703778498633777E-28</v>
      </c>
      <c r="G35" s="37" t="str">
        <f t="shared" si="16"/>
        <v>1;40E1EE9</v>
      </c>
      <c r="H35" s="38">
        <v>-26</v>
      </c>
      <c r="I35" s="61">
        <f t="shared" si="29"/>
        <v>1.3397954270518375</v>
      </c>
      <c r="J35" s="39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 x14ac:dyDescent="0.25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2.1858626833793382E-10</v>
      </c>
      <c r="G36" s="37" t="str">
        <f t="shared" si="16"/>
        <v>1;164E2E429</v>
      </c>
      <c r="H36" s="38">
        <v>-9</v>
      </c>
      <c r="I36" s="61">
        <f t="shared" si="29"/>
        <v>1.1278571325870708</v>
      </c>
      <c r="J36" s="39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 x14ac:dyDescent="0.25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2.0095077229778059E-18</v>
      </c>
      <c r="G37" s="37" t="str">
        <f t="shared" si="16"/>
        <v>4;55EE7884E</v>
      </c>
      <c r="H37" s="38">
        <v>-17</v>
      </c>
      <c r="I37" s="61">
        <f t="shared" si="29"/>
        <v>4.4583161532792452</v>
      </c>
      <c r="J37" s="39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 x14ac:dyDescent="0.25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6.4204577475839424E-32</v>
      </c>
      <c r="G38" s="37" t="str">
        <f t="shared" si="16"/>
        <v>1;32X7X05</v>
      </c>
      <c r="H38" s="38">
        <v>-29</v>
      </c>
      <c r="I38" s="61">
        <f t="shared" si="29"/>
        <v>1.2700538275238742</v>
      </c>
      <c r="J38" s="39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 x14ac:dyDescent="0.25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8.0462714295002172E-9</v>
      </c>
      <c r="G39" s="37" t="str">
        <f t="shared" si="16"/>
        <v>3;5625</v>
      </c>
      <c r="H39" s="38">
        <v>-8</v>
      </c>
      <c r="I39" s="61">
        <f t="shared" si="29"/>
        <v>3.4597494357328475</v>
      </c>
      <c r="J39" s="39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 x14ac:dyDescent="0.25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4.2482023489592906E+42</v>
      </c>
      <c r="G40" s="37" t="str">
        <f t="shared" si="16"/>
        <v>3;5756</v>
      </c>
      <c r="H40" s="38">
        <v>39</v>
      </c>
      <c r="I40" s="61">
        <f t="shared" si="29"/>
        <v>3.4684592693511482</v>
      </c>
      <c r="J40" s="39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 x14ac:dyDescent="0.25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3.9496489066726903E-34</v>
      </c>
      <c r="G41" s="37" t="str">
        <f t="shared" si="16"/>
        <v>1;1601</v>
      </c>
      <c r="H41" s="38">
        <v>-31</v>
      </c>
      <c r="I41" s="61">
        <f t="shared" si="29"/>
        <v>1.1250637179231051</v>
      </c>
      <c r="J41" s="39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 x14ac:dyDescent="0.25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6.6761251563165152E-35</v>
      </c>
      <c r="G42" s="37" t="str">
        <f t="shared" si="16"/>
        <v>2;3475</v>
      </c>
      <c r="H42" s="38">
        <v>-32</v>
      </c>
      <c r="I42" s="61">
        <f t="shared" si="29"/>
        <v>2.2820457313041502</v>
      </c>
      <c r="J42" s="39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 x14ac:dyDescent="0.25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7.8152307438530514E-34</v>
      </c>
      <c r="G43" s="37" t="str">
        <f t="shared" si="16"/>
        <v>2;286X</v>
      </c>
      <c r="H43" s="38">
        <v>-31</v>
      </c>
      <c r="I43" s="61">
        <f t="shared" si="29"/>
        <v>2.2261807985645645</v>
      </c>
      <c r="J43" s="39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 x14ac:dyDescent="0.25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1.5894819740516948E-11</v>
      </c>
      <c r="G44" s="37" t="str">
        <f t="shared" si="16"/>
        <v>E;98779</v>
      </c>
      <c r="H44" s="38">
        <v>-11</v>
      </c>
      <c r="I44" s="61">
        <f t="shared" si="29"/>
        <v>11.809984117780957</v>
      </c>
      <c r="J44" s="39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 x14ac:dyDescent="0.25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0.93135562980336695</v>
      </c>
      <c r="G45" s="37" t="str">
        <f t="shared" si="16"/>
        <v>0;E21471</v>
      </c>
      <c r="H45" s="38">
        <v>0</v>
      </c>
      <c r="I45" s="61">
        <f t="shared" si="29"/>
        <v>0.93135562980336695</v>
      </c>
      <c r="J45" s="39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 x14ac:dyDescent="0.25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492.01787782894229</v>
      </c>
      <c r="G46" s="37" t="str">
        <f t="shared" si="16"/>
        <v>3;50026E</v>
      </c>
      <c r="H46" s="38">
        <v>2</v>
      </c>
      <c r="I46" s="61">
        <f t="shared" si="29"/>
        <v>3.4167908182565436</v>
      </c>
      <c r="J46" s="39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 x14ac:dyDescent="0.25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22413.354358787921</v>
      </c>
      <c r="G47" s="37" t="str">
        <f t="shared" si="16"/>
        <v>1;0E7943</v>
      </c>
      <c r="H47" s="38">
        <v>4</v>
      </c>
      <c r="I47" s="61">
        <f t="shared" si="29"/>
        <v>1.0808909316545101</v>
      </c>
      <c r="J47" s="39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 x14ac:dyDescent="0.25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9.2646698566203263</v>
      </c>
      <c r="G48" s="37" t="str">
        <f t="shared" si="16"/>
        <v>9;3214</v>
      </c>
      <c r="H48" s="38">
        <v>0</v>
      </c>
      <c r="I48" s="61">
        <f t="shared" si="29"/>
        <v>9.2646698566203263</v>
      </c>
      <c r="J48" s="39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 x14ac:dyDescent="0.25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0.99999910991797114</v>
      </c>
      <c r="G49" s="37" t="str">
        <f t="shared" si="16"/>
        <v>0;EEEEE9</v>
      </c>
      <c r="H49" s="38">
        <v>0</v>
      </c>
      <c r="I49" s="61">
        <f t="shared" si="29"/>
        <v>0.99999910991797114</v>
      </c>
      <c r="J49" s="39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 x14ac:dyDescent="0.25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0.91682485506873779</v>
      </c>
      <c r="G50" s="37" t="str">
        <f t="shared" si="16"/>
        <v>0;E003</v>
      </c>
      <c r="H50" s="38">
        <v>0</v>
      </c>
      <c r="I50" s="61">
        <f t="shared" si="29"/>
        <v>0.91682485506873779</v>
      </c>
      <c r="J50" s="39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 x14ac:dyDescent="0.25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4778.4431924128467</v>
      </c>
      <c r="G51" s="37" t="str">
        <f t="shared" si="16"/>
        <v>2;9225</v>
      </c>
      <c r="H51" s="38">
        <v>3</v>
      </c>
      <c r="I51" s="61">
        <f t="shared" si="29"/>
        <v>2.7653027733870639</v>
      </c>
      <c r="J51" s="39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 x14ac:dyDescent="0.25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6.1156630671800117E-4</v>
      </c>
      <c r="G52" s="37" t="str">
        <f t="shared" si="16"/>
        <v>1;0822</v>
      </c>
      <c r="H52" s="38">
        <v>-3</v>
      </c>
      <c r="I52" s="61">
        <f t="shared" si="29"/>
        <v>1.056786578008706</v>
      </c>
      <c r="J52" s="39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 x14ac:dyDescent="0.25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208.44280901903258</v>
      </c>
      <c r="G53" s="37" t="str">
        <f t="shared" si="16"/>
        <v>1;545392</v>
      </c>
      <c r="H53" s="38">
        <v>2</v>
      </c>
      <c r="I53" s="61">
        <f t="shared" si="29"/>
        <v>1.4475195070766151</v>
      </c>
      <c r="J53" s="39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 x14ac:dyDescent="0.25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4.8837954205948826</v>
      </c>
      <c r="G54" s="37" t="str">
        <f t="shared" si="16"/>
        <v>4;X73246</v>
      </c>
      <c r="H54" s="38">
        <v>0</v>
      </c>
      <c r="I54" s="61">
        <f t="shared" si="29"/>
        <v>4.8837954205948826</v>
      </c>
      <c r="J54" s="39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 x14ac:dyDescent="0.25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1.8319689689913446E-2</v>
      </c>
      <c r="G55" s="37" t="str">
        <f t="shared" si="16"/>
        <v>2;77X6373</v>
      </c>
      <c r="H55" s="38">
        <v>-2</v>
      </c>
      <c r="I55" s="61">
        <f t="shared" si="29"/>
        <v>2.6380353153475364</v>
      </c>
      <c r="J55" s="39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 x14ac:dyDescent="0.25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26346066.939876769</v>
      </c>
      <c r="G56" s="37" t="str">
        <f t="shared" si="16"/>
        <v>8;9X6696E341</v>
      </c>
      <c r="H56" s="38">
        <v>6</v>
      </c>
      <c r="I56" s="61">
        <f t="shared" si="29"/>
        <v>8.8232445116506888</v>
      </c>
      <c r="J56" s="39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 x14ac:dyDescent="0.25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41314934.984228089</v>
      </c>
      <c r="G57" s="37" t="str">
        <f t="shared" si="16"/>
        <v>1;1X05133</v>
      </c>
      <c r="H57" s="38">
        <v>7</v>
      </c>
      <c r="I57" s="61">
        <f t="shared" si="29"/>
        <v>1.153024011074967</v>
      </c>
      <c r="J57" s="39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 x14ac:dyDescent="0.25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6099.4681068912905</v>
      </c>
      <c r="G58" s="37" t="str">
        <f t="shared" si="16"/>
        <v>3;643574X8</v>
      </c>
      <c r="H58" s="38">
        <v>3</v>
      </c>
      <c r="I58" s="61">
        <f t="shared" si="29"/>
        <v>3.5297847840806078</v>
      </c>
      <c r="J58" s="39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 x14ac:dyDescent="0.25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617941201836.73962</v>
      </c>
      <c r="G59" s="37" t="str">
        <f t="shared" si="16"/>
        <v>9;E91731221</v>
      </c>
      <c r="H59" s="43">
        <v>10</v>
      </c>
      <c r="I59" s="62">
        <f t="shared" si="29"/>
        <v>9.9800953994294428</v>
      </c>
      <c r="J59" s="39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 x14ac:dyDescent="0.25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1437.13373751784</v>
      </c>
      <c r="G60" s="37" t="str">
        <f t="shared" si="16"/>
        <v>0;9E9173122</v>
      </c>
      <c r="H60" s="43">
        <v>3</v>
      </c>
      <c r="I60" s="62">
        <f t="shared" si="29"/>
        <v>0.83167461661912034</v>
      </c>
      <c r="J60" s="39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 x14ac:dyDescent="0.3">
      <c r="A61" s="575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9">
        <f>D61</f>
        <v>11.227607324358125</v>
      </c>
      <c r="G61" s="37" t="str">
        <f t="shared" si="16"/>
        <v>0;E28937E9E</v>
      </c>
      <c r="H61" s="43">
        <v>1</v>
      </c>
      <c r="I61" s="62">
        <f t="shared" si="29"/>
        <v>0.93563394369651043</v>
      </c>
      <c r="J61" s="44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 x14ac:dyDescent="0.25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 x14ac:dyDescent="0.25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 x14ac:dyDescent="0.25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 x14ac:dyDescent="0.25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 x14ac:dyDescent="0.25">
      <c r="A66" s="571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 x14ac:dyDescent="0.25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 x14ac:dyDescent="0.25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 x14ac:dyDescent="0.25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 x14ac:dyDescent="0.25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 x14ac:dyDescent="0.25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 x14ac:dyDescent="0.25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 x14ac:dyDescent="0.25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 x14ac:dyDescent="0.25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 x14ac:dyDescent="0.25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 x14ac:dyDescent="0.25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 x14ac:dyDescent="0.3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37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 x14ac:dyDescent="0.25">
      <c r="B82" s="137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288"/>
    </row>
    <row r="85" spans="1:35" x14ac:dyDescent="0.2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37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 x14ac:dyDescent="0.2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37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 x14ac:dyDescent="0.2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37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 x14ac:dyDescent="0.2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3"/>
        <v>5.297163371758364E-8</v>
      </c>
      <c r="G88" s="108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 x14ac:dyDescent="0.2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 x14ac:dyDescent="0.25">
      <c r="A1" s="60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</row>
    <row r="2" spans="1:10" ht="13.5" customHeight="1" x14ac:dyDescent="0.25">
      <c r="A2" s="601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</row>
    <row r="3" spans="1:10" ht="13.5" customHeight="1" x14ac:dyDescent="0.25">
      <c r="A3" s="601"/>
      <c r="B3" s="2" t="str">
        <f>Rydberg!B3</f>
        <v>Length</v>
      </c>
      <c r="C3" s="7" t="s">
        <v>1491</v>
      </c>
      <c r="D3" s="28"/>
      <c r="E3" s="8"/>
      <c r="F3" s="21">
        <f>D31 * F4 / POWER(10,9)</f>
        <v>0.25902068371199999</v>
      </c>
      <c r="G3" s="26"/>
      <c r="H3" s="8">
        <v>-3</v>
      </c>
      <c r="I3" s="58">
        <f>F3/POWER(10,H3)</f>
        <v>259.02068371199999</v>
      </c>
      <c r="J3" s="118" t="str">
        <f>Rydberg!L3</f>
        <v>mm</v>
      </c>
    </row>
    <row r="4" spans="1:10" ht="13.5" customHeight="1" x14ac:dyDescent="0.25">
      <c r="A4" s="601"/>
      <c r="B4" s="2" t="str">
        <f>Rydberg!B4</f>
        <v>Time</v>
      </c>
      <c r="C4" s="7" t="s">
        <v>1490</v>
      </c>
      <c r="D4" s="28"/>
      <c r="E4" s="8"/>
      <c r="F4" s="21">
        <f>86400/100000</f>
        <v>0.86399999999999999</v>
      </c>
      <c r="G4" s="253"/>
      <c r="H4" s="8">
        <v>-3</v>
      </c>
      <c r="I4" s="58">
        <f t="shared" ref="I4:I26" si="0">F4/POWER(10,H4)</f>
        <v>864</v>
      </c>
      <c r="J4" s="118" t="str">
        <f>Rydberg!L4</f>
        <v>ms</v>
      </c>
    </row>
    <row r="5" spans="1:10" ht="13.5" customHeight="1" x14ac:dyDescent="0.25">
      <c r="A5" s="601"/>
      <c r="B5" s="2" t="str">
        <f>Rydberg!B5</f>
        <v>Energy</v>
      </c>
      <c r="C5" s="2" t="s">
        <v>1496</v>
      </c>
      <c r="D5" s="21"/>
      <c r="E5" s="8"/>
      <c r="F5" s="21">
        <f>F8*POWER(F3/F4,2)</f>
        <v>1.5618694925800098</v>
      </c>
      <c r="G5" s="21"/>
      <c r="H5" s="8">
        <v>0</v>
      </c>
      <c r="I5" s="58">
        <f t="shared" si="0"/>
        <v>1.5618694925800098</v>
      </c>
      <c r="J5" s="118" t="s">
        <v>58</v>
      </c>
    </row>
    <row r="6" spans="1:10" ht="13.5" customHeight="1" x14ac:dyDescent="0.25">
      <c r="A6" s="601"/>
      <c r="B6" s="2" t="str">
        <f>Rydberg!B6</f>
        <v>Temperature</v>
      </c>
      <c r="C6" s="2" t="s">
        <v>1494</v>
      </c>
      <c r="D6" s="21"/>
      <c r="E6" s="8"/>
      <c r="F6" s="21">
        <f>5/9</f>
        <v>0.55555555555555558</v>
      </c>
      <c r="G6" s="21"/>
      <c r="H6" s="8">
        <v>0</v>
      </c>
      <c r="I6" s="58">
        <f t="shared" si="0"/>
        <v>0.55555555555555558</v>
      </c>
      <c r="J6" s="118" t="s">
        <v>59</v>
      </c>
    </row>
    <row r="7" spans="1:10" ht="13.5" customHeight="1" x14ac:dyDescent="0.25">
      <c r="A7" s="601"/>
      <c r="B7" s="2" t="str">
        <f>Rydberg!B7</f>
        <v>Amount of substance</v>
      </c>
      <c r="C7" s="2" t="s">
        <v>1495</v>
      </c>
      <c r="D7" s="21"/>
      <c r="E7" s="8"/>
      <c r="F7" s="21">
        <f>F8*1000</f>
        <v>17378.141784675849</v>
      </c>
      <c r="G7" s="21"/>
      <c r="H7" s="8">
        <v>3</v>
      </c>
      <c r="I7" s="58">
        <f t="shared" si="0"/>
        <v>17.378141784675847</v>
      </c>
      <c r="J7" s="118" t="s">
        <v>678</v>
      </c>
    </row>
    <row r="8" spans="1:10" ht="13.5" customHeight="1" x14ac:dyDescent="0.25">
      <c r="A8" s="601"/>
      <c r="B8" s="2" t="str">
        <f>Rydberg!B8</f>
        <v>Mass</v>
      </c>
      <c r="C8" s="2" t="s">
        <v>1493</v>
      </c>
      <c r="D8" s="21"/>
      <c r="E8" s="8"/>
      <c r="F8" s="21">
        <f>POWER(F3*10,3)</f>
        <v>17.378141784675847</v>
      </c>
      <c r="G8" s="21"/>
      <c r="H8" s="8">
        <v>0</v>
      </c>
      <c r="I8" s="58">
        <f t="shared" si="0"/>
        <v>17.378141784675847</v>
      </c>
      <c r="J8" s="118" t="s">
        <v>61</v>
      </c>
    </row>
    <row r="9" spans="1:10" ht="13.5" customHeight="1" x14ac:dyDescent="0.25">
      <c r="A9" s="601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18" t="s">
        <v>62</v>
      </c>
    </row>
    <row r="10" spans="1:10" ht="13.5" customHeight="1" x14ac:dyDescent="0.25">
      <c r="A10" s="601"/>
      <c r="B10" s="2" t="str">
        <f>Rydberg!B10</f>
        <v>Force</v>
      </c>
      <c r="C10" s="2" t="s">
        <v>1497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18" t="s">
        <v>63</v>
      </c>
    </row>
    <row r="11" spans="1:10" ht="13.5" customHeight="1" x14ac:dyDescent="0.25">
      <c r="A11" s="601"/>
      <c r="B11" s="2" t="str">
        <f>Rydberg!B11</f>
        <v>Pressure</v>
      </c>
      <c r="C11" s="2" t="s">
        <v>1498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18" t="s">
        <v>64</v>
      </c>
    </row>
    <row r="12" spans="1:10" ht="13.5" customHeight="1" x14ac:dyDescent="0.25">
      <c r="A12" s="601"/>
      <c r="B12" s="2" t="str">
        <f>Rydberg!B12</f>
        <v>Charge</v>
      </c>
      <c r="C12" s="2" t="s">
        <v>1500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18" t="str">
        <f>Rydberg!L12</f>
        <v>mC</v>
      </c>
    </row>
    <row r="13" spans="1:10" ht="14.25" customHeight="1" x14ac:dyDescent="0.25">
      <c r="A13" s="601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18" t="str">
        <f>Rydberg!L13</f>
        <v>mA</v>
      </c>
    </row>
    <row r="14" spans="1:10" ht="14.25" customHeight="1" x14ac:dyDescent="0.25">
      <c r="A14" s="601"/>
      <c r="B14" s="2" t="str">
        <f>Rydberg!B14</f>
        <v>Field Strength</v>
      </c>
      <c r="C14" s="2" t="s">
        <v>1501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18" t="s">
        <v>683</v>
      </c>
    </row>
    <row r="15" spans="1:10" ht="14.25" customHeight="1" x14ac:dyDescent="0.25">
      <c r="A15" s="601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18" t="s">
        <v>758</v>
      </c>
    </row>
    <row r="16" spans="1:10" ht="14.25" customHeight="1" x14ac:dyDescent="0.25">
      <c r="A16" s="601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214</v>
      </c>
    </row>
    <row r="17" spans="1:10" ht="14.25" customHeight="1" x14ac:dyDescent="0.25">
      <c r="A17" s="601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18" t="str">
        <f>Rydberg!L17</f>
        <v>V</v>
      </c>
    </row>
    <row r="18" spans="1:10" ht="14.25" customHeight="1" x14ac:dyDescent="0.25">
      <c r="A18" s="601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18" t="str">
        <f>Rydberg!L18</f>
        <v>mF</v>
      </c>
    </row>
    <row r="19" spans="1:10" ht="14.25" customHeight="1" x14ac:dyDescent="0.25">
      <c r="A19" s="601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18" t="str">
        <f>Rydberg!L19</f>
        <v>Wb</v>
      </c>
    </row>
    <row r="20" spans="1:10" ht="14.25" customHeight="1" x14ac:dyDescent="0.25">
      <c r="A20" s="601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18" t="s">
        <v>222</v>
      </c>
    </row>
    <row r="21" spans="1:10" ht="14.25" customHeight="1" x14ac:dyDescent="0.25">
      <c r="A21" s="601"/>
      <c r="B21" s="6" t="str">
        <f>Rydberg!B21</f>
        <v>Inductance</v>
      </c>
      <c r="C21" s="6" t="s">
        <v>1506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19" t="str">
        <f>Rydberg!L21</f>
        <v>H</v>
      </c>
    </row>
    <row r="22" spans="1:10" ht="14.25" customHeight="1" x14ac:dyDescent="0.25">
      <c r="A22" s="601"/>
      <c r="B22" s="2" t="str">
        <f>Rydberg!B22</f>
        <v>Frequency</v>
      </c>
      <c r="C22" s="2" t="s">
        <v>1507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18" t="s">
        <v>705</v>
      </c>
    </row>
    <row r="23" spans="1:10" ht="14.25" customHeight="1" x14ac:dyDescent="0.25">
      <c r="A23" s="601"/>
      <c r="B23" s="2" t="s">
        <v>1509</v>
      </c>
      <c r="C23" s="2" t="s">
        <v>1510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18" t="s">
        <v>699</v>
      </c>
    </row>
    <row r="24" spans="1:10" ht="14.25" customHeight="1" x14ac:dyDescent="0.25">
      <c r="A24" s="601"/>
      <c r="B24" s="6" t="s">
        <v>1511</v>
      </c>
      <c r="C24" s="2" t="s">
        <v>1512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18" t="s">
        <v>701</v>
      </c>
    </row>
    <row r="25" spans="1:10" ht="14.25" customHeight="1" x14ac:dyDescent="0.25">
      <c r="A25" s="650"/>
      <c r="B25" s="6" t="s">
        <v>1513</v>
      </c>
      <c r="C25" s="6" t="s">
        <v>1514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19" t="s">
        <v>702</v>
      </c>
    </row>
    <row r="26" spans="1:10" ht="14.25" customHeight="1" thickBot="1" x14ac:dyDescent="0.3">
      <c r="A26" s="650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4" t="s">
        <v>75</v>
      </c>
    </row>
    <row r="27" spans="1:10" ht="11.25" customHeight="1" x14ac:dyDescent="0.25">
      <c r="A27" s="600" t="s">
        <v>27</v>
      </c>
      <c r="B27" s="17" t="s">
        <v>42</v>
      </c>
      <c r="C27" s="18" t="str">
        <f>Rydberg!C31</f>
        <v>Unit Symbol</v>
      </c>
      <c r="D27" s="17" t="s">
        <v>43</v>
      </c>
      <c r="E27" s="18" t="s">
        <v>54</v>
      </c>
      <c r="F27" s="17" t="s">
        <v>47</v>
      </c>
      <c r="G27" s="17" t="s">
        <v>92</v>
      </c>
      <c r="H27" s="568"/>
      <c r="I27" s="569"/>
      <c r="J27" s="20" t="str">
        <f>Rydberg!L31</f>
        <v>Power</v>
      </c>
    </row>
    <row r="28" spans="1:10" ht="14.25" customHeight="1" x14ac:dyDescent="0.25">
      <c r="A28" s="601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/>
      <c r="H28" s="269">
        <f>FLOOR(LOG10(F28)/3,1)*3</f>
        <v>-3</v>
      </c>
      <c r="I28" s="61">
        <f>F28/POWER(10,H28)</f>
        <v>7.2973525663999999</v>
      </c>
      <c r="J28" s="39"/>
    </row>
    <row r="29" spans="1:10" ht="15" customHeight="1" x14ac:dyDescent="0.25">
      <c r="A29" s="601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37"/>
      <c r="H29" s="269">
        <f t="shared" ref="H29:H64" si="1">FLOOR(LOG10(F29)/3,1)*3</f>
        <v>27</v>
      </c>
      <c r="I29" s="61">
        <f t="shared" ref="I29:I64" si="2">F29/POWER(10,H29)</f>
        <v>10.465361766023532</v>
      </c>
      <c r="J29" s="39"/>
    </row>
    <row r="30" spans="1:10" ht="15" customHeight="1" x14ac:dyDescent="0.25">
      <c r="A30" s="601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37"/>
      <c r="H30" s="269">
        <f t="shared" si="1"/>
        <v>6</v>
      </c>
      <c r="I30" s="61">
        <f t="shared" si="2"/>
        <v>2.8424234537468998</v>
      </c>
      <c r="J30" s="39"/>
    </row>
    <row r="31" spans="1:10" ht="15" customHeight="1" x14ac:dyDescent="0.25">
      <c r="A31" s="601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37"/>
      <c r="H31" s="269">
        <f t="shared" si="1"/>
        <v>9</v>
      </c>
      <c r="I31" s="61">
        <f t="shared" si="2"/>
        <v>1</v>
      </c>
      <c r="J31" s="39"/>
    </row>
    <row r="32" spans="1:10" ht="15" customHeight="1" x14ac:dyDescent="0.25">
      <c r="A32" s="601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37"/>
      <c r="H32" s="269">
        <f t="shared" si="1"/>
        <v>-36</v>
      </c>
      <c r="I32" s="61">
        <f t="shared" si="2"/>
        <v>78.14796426727932</v>
      </c>
      <c r="J32" s="39"/>
    </row>
    <row r="33" spans="1:10" ht="15" customHeight="1" x14ac:dyDescent="0.25">
      <c r="A33" s="601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37"/>
      <c r="H33" s="269">
        <f t="shared" si="1"/>
        <v>-24</v>
      </c>
      <c r="I33" s="61">
        <f t="shared" si="2"/>
        <v>4.9109542071183192</v>
      </c>
      <c r="J33" s="39"/>
    </row>
    <row r="34" spans="1:10" ht="15" customHeight="1" x14ac:dyDescent="0.25">
      <c r="A34" s="601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37"/>
      <c r="H34" s="269">
        <f t="shared" si="1"/>
        <v>3</v>
      </c>
      <c r="I34" s="61">
        <f t="shared" si="2"/>
        <v>51.394912393868481</v>
      </c>
      <c r="J34" s="39"/>
    </row>
    <row r="35" spans="1:10" ht="15" customHeight="1" x14ac:dyDescent="0.25">
      <c r="A35" s="601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37"/>
      <c r="H35" s="269">
        <f t="shared" si="1"/>
        <v>-30</v>
      </c>
      <c r="I35" s="61">
        <f t="shared" si="2"/>
        <v>95.553314075517193</v>
      </c>
      <c r="J35" s="39"/>
    </row>
    <row r="36" spans="1:10" ht="15" customHeight="1" x14ac:dyDescent="0.25">
      <c r="A36" s="601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37"/>
      <c r="H36" s="269">
        <f t="shared" si="1"/>
        <v>-12</v>
      </c>
      <c r="I36" s="61">
        <f t="shared" si="2"/>
        <v>204.2992100423848</v>
      </c>
      <c r="J36" s="39"/>
    </row>
    <row r="37" spans="1:10" ht="15" customHeight="1" x14ac:dyDescent="0.25">
      <c r="A37" s="601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37"/>
      <c r="H37" s="269">
        <f t="shared" si="1"/>
        <v>-18</v>
      </c>
      <c r="I37" s="61">
        <f t="shared" si="2"/>
        <v>2.6769880427181039</v>
      </c>
      <c r="J37" s="39"/>
    </row>
    <row r="38" spans="1:10" ht="15" customHeight="1" x14ac:dyDescent="0.25">
      <c r="A38" s="601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37"/>
      <c r="H38" s="269">
        <f t="shared" si="1"/>
        <v>-33</v>
      </c>
      <c r="I38" s="61">
        <f t="shared" si="2"/>
        <v>52.418628371605926</v>
      </c>
      <c r="J38" s="39"/>
    </row>
    <row r="39" spans="1:10" ht="15" customHeight="1" x14ac:dyDescent="0.25">
      <c r="A39" s="601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37"/>
      <c r="H39" s="269">
        <f t="shared" si="1"/>
        <v>-9</v>
      </c>
      <c r="I39" s="61">
        <f t="shared" si="2"/>
        <v>49.821740236799982</v>
      </c>
      <c r="J39" s="39"/>
    </row>
    <row r="40" spans="1:10" ht="15" customHeight="1" x14ac:dyDescent="0.25">
      <c r="A40" s="601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37"/>
      <c r="H40" s="269">
        <f t="shared" si="1"/>
        <v>42</v>
      </c>
      <c r="I40" s="61">
        <f t="shared" si="2"/>
        <v>20.071559027184826</v>
      </c>
      <c r="J40" s="39"/>
    </row>
    <row r="41" spans="1:10" ht="15" customHeight="1" x14ac:dyDescent="0.25">
      <c r="A41" s="601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37"/>
      <c r="H41" s="269">
        <f t="shared" si="1"/>
        <v>-36</v>
      </c>
      <c r="I41" s="61">
        <f t="shared" si="2"/>
        <v>369.1495159844709</v>
      </c>
      <c r="J41" s="39"/>
    </row>
    <row r="42" spans="1:10" ht="15" customHeight="1" x14ac:dyDescent="0.25">
      <c r="A42" s="601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37"/>
      <c r="H42" s="269">
        <f t="shared" si="1"/>
        <v>-36</v>
      </c>
      <c r="I42" s="61">
        <f t="shared" si="2"/>
        <v>62.397656813049615</v>
      </c>
      <c r="J42" s="39"/>
    </row>
    <row r="43" spans="1:10" ht="15" customHeight="1" x14ac:dyDescent="0.25">
      <c r="A43" s="601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37"/>
      <c r="H43" s="269">
        <f t="shared" si="1"/>
        <v>-36</v>
      </c>
      <c r="I43" s="61">
        <f t="shared" si="2"/>
        <v>730.44179737755894</v>
      </c>
      <c r="J43" s="39"/>
    </row>
    <row r="44" spans="1:10" ht="15" customHeight="1" x14ac:dyDescent="0.25">
      <c r="A44" s="601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37"/>
      <c r="H44" s="269">
        <f t="shared" si="1"/>
        <v>-12</v>
      </c>
      <c r="I44" s="61">
        <f t="shared" si="2"/>
        <v>200.47444751845543</v>
      </c>
      <c r="J44" s="39"/>
    </row>
    <row r="45" spans="1:10" ht="15" customHeight="1" x14ac:dyDescent="0.25">
      <c r="A45" s="601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37"/>
      <c r="H45" s="269">
        <f t="shared" si="1"/>
        <v>0</v>
      </c>
      <c r="I45" s="61">
        <f t="shared" si="2"/>
        <v>11.715312161039298</v>
      </c>
      <c r="J45" s="39"/>
    </row>
    <row r="46" spans="1:10" ht="15" customHeight="1" x14ac:dyDescent="0.25">
      <c r="A46" s="601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37"/>
      <c r="H46" s="269">
        <f t="shared" si="1"/>
        <v>0</v>
      </c>
      <c r="I46" s="61">
        <f t="shared" si="2"/>
        <v>491.68800000000005</v>
      </c>
      <c r="J46" s="39"/>
    </row>
    <row r="47" spans="1:10" ht="15" customHeight="1" x14ac:dyDescent="0.25">
      <c r="A47" s="601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37"/>
      <c r="H47" s="269">
        <f t="shared" si="1"/>
        <v>3</v>
      </c>
      <c r="I47" s="61">
        <f t="shared" si="2"/>
        <v>22.413961999999994</v>
      </c>
      <c r="J47" s="39"/>
    </row>
    <row r="48" spans="1:10" ht="15" customHeight="1" x14ac:dyDescent="0.25">
      <c r="A48" s="601"/>
      <c r="B48" s="67" t="str">
        <f>Rydberg!B53</f>
        <v>-log(Sqrt([H+][OH-])/(mol/m^3))</v>
      </c>
      <c r="C48" s="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37"/>
      <c r="H48" s="269">
        <f t="shared" si="1"/>
        <v>0</v>
      </c>
      <c r="I48" s="61">
        <f t="shared" si="2"/>
        <v>9.9982697339452464</v>
      </c>
      <c r="J48" s="39"/>
    </row>
    <row r="49" spans="1:10" ht="15" customHeight="1" x14ac:dyDescent="0.25">
      <c r="A49" s="601"/>
      <c r="B49" s="272" t="str">
        <f>Rydberg!B54</f>
        <v>Maximum density of water</v>
      </c>
      <c r="C49" s="272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37"/>
      <c r="H49" s="269">
        <f t="shared" si="1"/>
        <v>-3</v>
      </c>
      <c r="I49" s="273">
        <f t="shared" si="2"/>
        <v>999.97200000000032</v>
      </c>
      <c r="J49" s="39"/>
    </row>
    <row r="50" spans="1:10" ht="15" customHeight="1" x14ac:dyDescent="0.25">
      <c r="A50" s="601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37"/>
      <c r="H50" s="269">
        <f t="shared" si="1"/>
        <v>-3</v>
      </c>
      <c r="I50" s="61">
        <f t="shared" si="2"/>
        <v>916.8000000000003</v>
      </c>
      <c r="J50" s="39"/>
    </row>
    <row r="51" spans="1:10" ht="15" customHeight="1" x14ac:dyDescent="0.25">
      <c r="A51" s="601"/>
      <c r="B51" s="272" t="str">
        <f>Rydberg!B56</f>
        <v>Specific heat of water</v>
      </c>
      <c r="C51" s="272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37"/>
      <c r="H51" s="269">
        <f t="shared" si="1"/>
        <v>3</v>
      </c>
      <c r="I51" s="273">
        <f t="shared" si="2"/>
        <v>25.862932414046337</v>
      </c>
      <c r="J51" s="274"/>
    </row>
    <row r="52" spans="1:10" ht="15" customHeight="1" x14ac:dyDescent="0.25">
      <c r="A52" s="601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37"/>
      <c r="H52" s="269">
        <f t="shared" si="1"/>
        <v>-3</v>
      </c>
      <c r="I52" s="61">
        <f t="shared" si="2"/>
        <v>3.0915455625626973</v>
      </c>
      <c r="J52" s="39"/>
    </row>
    <row r="53" spans="1:10" ht="15" customHeight="1" x14ac:dyDescent="0.25">
      <c r="A53" s="601"/>
      <c r="B53" s="5" t="str">
        <f>Rydberg!B58</f>
        <v>photon energy at 540THz</v>
      </c>
      <c r="C53" s="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37"/>
      <c r="H53" s="269">
        <f t="shared" si="1"/>
        <v>-21</v>
      </c>
      <c r="I53" s="61">
        <f t="shared" si="2"/>
        <v>229.0894238043841</v>
      </c>
      <c r="J53" s="39"/>
    </row>
    <row r="54" spans="1:10" ht="15" customHeight="1" x14ac:dyDescent="0.25">
      <c r="A54" s="601"/>
      <c r="B54" s="224" t="str">
        <f>Rydberg!B59</f>
        <v>(according to the definition of candela)</v>
      </c>
      <c r="C54" s="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37"/>
      <c r="H54" s="269">
        <f t="shared" si="1"/>
        <v>-3</v>
      </c>
      <c r="I54" s="61">
        <f t="shared" si="2"/>
        <v>85.577305594453094</v>
      </c>
      <c r="J54" s="254"/>
    </row>
    <row r="55" spans="1:10" ht="15" customHeight="1" x14ac:dyDescent="0.25">
      <c r="A55" s="601"/>
      <c r="B55" s="267">
        <f>Rydberg!B60</f>
        <v>1.024</v>
      </c>
      <c r="C55" s="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37"/>
      <c r="H55" s="269">
        <f t="shared" si="1"/>
        <v>0</v>
      </c>
      <c r="I55" s="61">
        <f t="shared" si="2"/>
        <v>28.940198882867687</v>
      </c>
      <c r="J55" s="39"/>
    </row>
    <row r="56" spans="1:10" ht="15" customHeight="1" x14ac:dyDescent="0.25">
      <c r="A56" s="601"/>
      <c r="B56" s="3" t="str">
        <f>Rydberg!B61</f>
        <v>Sea depth at standard atmosphere</v>
      </c>
      <c r="C56" s="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269">
        <f t="shared" si="1"/>
        <v>0</v>
      </c>
      <c r="I56" s="61">
        <f t="shared" si="2"/>
        <v>38.955940622914476</v>
      </c>
      <c r="J56" s="39"/>
    </row>
    <row r="57" spans="1:10" ht="15" customHeight="1" x14ac:dyDescent="0.25">
      <c r="A57" s="601"/>
      <c r="B57" s="3" t="str">
        <f>Rydberg!B62</f>
        <v>Standard atmosphere</v>
      </c>
      <c r="C57" s="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269">
        <f t="shared" si="1"/>
        <v>3</v>
      </c>
      <c r="I57" s="61">
        <f t="shared" si="2"/>
        <v>1.1273926692963294</v>
      </c>
      <c r="J57" s="39"/>
    </row>
    <row r="58" spans="1:10" ht="15" customHeight="1" x14ac:dyDescent="0.25">
      <c r="A58" s="601"/>
      <c r="B58" s="272" t="str">
        <f>Rydberg!B63</f>
        <v>Standard gravitational acceleration</v>
      </c>
      <c r="C58" s="272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269">
        <f t="shared" si="1"/>
        <v>0</v>
      </c>
      <c r="I58" s="273">
        <f t="shared" si="2"/>
        <v>28.262704327271635</v>
      </c>
      <c r="J58" s="274"/>
    </row>
    <row r="59" spans="1:10" ht="15" customHeight="1" x14ac:dyDescent="0.25">
      <c r="A59" s="601"/>
      <c r="B59" s="3" t="str">
        <f>Rydberg!B64</f>
        <v>Gravitational radius of the Earth</v>
      </c>
      <c r="C59" s="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269">
        <f t="shared" si="1"/>
        <v>-3</v>
      </c>
      <c r="I59" s="61">
        <f t="shared" si="2"/>
        <v>17.12229299822593</v>
      </c>
      <c r="J59" s="39"/>
    </row>
    <row r="60" spans="1:10" ht="15" customHeight="1" x14ac:dyDescent="0.25">
      <c r="A60" s="601"/>
      <c r="B60" s="3" t="str">
        <f>Rydberg!B65</f>
        <v>Equatorial radius of the Earth</v>
      </c>
      <c r="C60" s="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269">
        <f t="shared" si="1"/>
        <v>6</v>
      </c>
      <c r="I60" s="61">
        <f t="shared" si="2"/>
        <v>24.62405669151784</v>
      </c>
      <c r="J60" s="39"/>
    </row>
    <row r="61" spans="1:10" ht="15" customHeight="1" x14ac:dyDescent="0.25">
      <c r="A61" s="601"/>
      <c r="B61" s="3" t="str">
        <f>Rydberg!B66</f>
        <v>Meridian length of the Earth / 4</v>
      </c>
      <c r="C61" s="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269">
        <f t="shared" si="1"/>
        <v>6</v>
      </c>
      <c r="I61" s="61">
        <f t="shared" si="2"/>
        <v>38.614541729497518</v>
      </c>
      <c r="J61" s="39"/>
    </row>
    <row r="62" spans="1:10" ht="15" customHeight="1" x14ac:dyDescent="0.25">
      <c r="A62" s="601"/>
      <c r="B62" s="3" t="str">
        <f>Rydberg!B67</f>
        <v>Gravitational radius of the Sun</v>
      </c>
      <c r="C62" s="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269">
        <f t="shared" si="1"/>
        <v>3</v>
      </c>
      <c r="I62" s="61">
        <f t="shared" si="2"/>
        <v>5.7007996220060715</v>
      </c>
      <c r="J62" s="39"/>
    </row>
    <row r="63" spans="1:10" ht="15" customHeight="1" x14ac:dyDescent="0.25">
      <c r="A63" s="601"/>
      <c r="B63" s="3" t="str">
        <f>Rydberg!B68</f>
        <v>Astronomical unit</v>
      </c>
      <c r="C63" s="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269">
        <f t="shared" si="1"/>
        <v>9</v>
      </c>
      <c r="I63" s="61">
        <f t="shared" si="2"/>
        <v>577.5518304412127</v>
      </c>
      <c r="J63" s="39"/>
    </row>
    <row r="64" spans="1:10" ht="15" customHeight="1" thickBot="1" x14ac:dyDescent="0.3">
      <c r="A64" s="602"/>
      <c r="B64" s="89" t="str">
        <f>Rydberg!B69</f>
        <v>Astronomical unit / c0</v>
      </c>
      <c r="C64" s="89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271">
        <f t="shared" si="1"/>
        <v>0</v>
      </c>
      <c r="I64" s="63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 x14ac:dyDescent="0.25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1489</v>
      </c>
      <c r="I1" s="293" t="s">
        <v>760</v>
      </c>
      <c r="J1" s="19"/>
      <c r="K1" s="56" t="s">
        <v>46</v>
      </c>
      <c r="L1" s="20"/>
    </row>
    <row r="2" spans="1:37" ht="13.5" customHeight="1" x14ac:dyDescent="0.25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78"/>
      <c r="J2" s="8"/>
      <c r="K2" s="57"/>
      <c r="L2" s="118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279"/>
      <c r="J3" s="8">
        <v>-3</v>
      </c>
      <c r="K3" s="58">
        <f t="shared" ref="K3:K30" si="1">F3/POWER(10,J3)</f>
        <v>272.10288326799099</v>
      </c>
      <c r="L3" s="118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53"/>
      <c r="I4" s="280"/>
      <c r="J4" s="8">
        <v>-3</v>
      </c>
      <c r="K4" s="58">
        <f t="shared" si="1"/>
        <v>390.26752045263521</v>
      </c>
      <c r="L4" s="118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278"/>
      <c r="J5" s="8">
        <v>-3</v>
      </c>
      <c r="K5" s="58">
        <f t="shared" si="1"/>
        <v>64.143274395689659</v>
      </c>
      <c r="L5" s="118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">
        <v>19</v>
      </c>
      <c r="C6" s="2" t="s">
        <v>59</v>
      </c>
      <c r="D6" s="21">
        <f>D$5/D$37</f>
        <v>25128.586367856475</v>
      </c>
      <c r="E6" s="132">
        <v>-8</v>
      </c>
      <c r="F6" s="135">
        <f t="shared" si="0"/>
        <v>5.844106063495427E-5</v>
      </c>
      <c r="G6" s="21"/>
      <c r="H6" s="21"/>
      <c r="I6" s="278"/>
      <c r="J6" s="132">
        <v>-6</v>
      </c>
      <c r="K6" s="136">
        <f t="shared" si="1"/>
        <v>58.441060634954276</v>
      </c>
      <c r="L6" s="133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278"/>
      <c r="J8" s="8">
        <v>-3</v>
      </c>
      <c r="K8" s="58">
        <f t="shared" si="1"/>
        <v>131.95007973601611</v>
      </c>
      <c r="L8" s="118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278"/>
      <c r="J9" s="8">
        <v>-3</v>
      </c>
      <c r="K9" s="58">
        <f t="shared" si="1"/>
        <v>164.35719355096677</v>
      </c>
      <c r="L9" s="118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278"/>
      <c r="J10" s="8">
        <v>-3</v>
      </c>
      <c r="K10" s="58">
        <f t="shared" si="1"/>
        <v>235.73169686892174</v>
      </c>
      <c r="L10" s="118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278"/>
      <c r="J11" s="8">
        <v>0</v>
      </c>
      <c r="K11" s="58">
        <f t="shared" si="1"/>
        <v>3.1838433747455031</v>
      </c>
      <c r="L11" s="118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278"/>
      <c r="J13" s="30">
        <v>-3</v>
      </c>
      <c r="K13" s="59">
        <f t="shared" si="1"/>
        <v>74.043000044660388</v>
      </c>
      <c r="L13" s="119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278"/>
      <c r="J14" s="8">
        <v>-3</v>
      </c>
      <c r="K14" s="58">
        <f t="shared" si="1"/>
        <v>272.11398554618142</v>
      </c>
      <c r="L14" s="118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278"/>
      <c r="J15" s="8">
        <v>-3</v>
      </c>
      <c r="K15" s="58">
        <f t="shared" si="1"/>
        <v>390.28344405670987</v>
      </c>
      <c r="L15" s="118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278"/>
      <c r="J16" s="30">
        <v>0</v>
      </c>
      <c r="K16" s="59">
        <f t="shared" si="1"/>
        <v>29.979245800000001</v>
      </c>
      <c r="L16" s="119" t="s">
        <v>214</v>
      </c>
      <c r="M16" s="111"/>
      <c r="N16" s="112">
        <f t="shared" si="2"/>
        <v>-18.651142494520347</v>
      </c>
      <c r="O16" s="113"/>
      <c r="P16" s="114">
        <f t="shared" si="3"/>
        <v>1.0000000000000056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14.25" customHeight="1" x14ac:dyDescent="0.25">
      <c r="A17" s="574"/>
      <c r="B17" s="2" t="s">
        <v>718</v>
      </c>
      <c r="C17" s="6" t="s">
        <v>1486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278"/>
      <c r="J17" s="8">
        <v>0</v>
      </c>
      <c r="K17" s="58">
        <f t="shared" si="1"/>
        <v>2.2197532981082846</v>
      </c>
      <c r="L17" s="118" t="s">
        <v>78</v>
      </c>
      <c r="M17" s="115"/>
      <c r="N17" s="116">
        <f t="shared" si="2"/>
        <v>-4.3735698441409809</v>
      </c>
      <c r="O17" s="76"/>
      <c r="P17" s="117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 x14ac:dyDescent="0.25">
      <c r="A18" s="574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278"/>
      <c r="J18" s="8">
        <v>-3</v>
      </c>
      <c r="K18" s="58">
        <f t="shared" si="1"/>
        <v>13.017923234500957</v>
      </c>
      <c r="L18" s="118" t="s">
        <v>233</v>
      </c>
      <c r="M18" s="115"/>
      <c r="N18" s="116">
        <f t="shared" si="2"/>
        <v>23.811930070502573</v>
      </c>
      <c r="O18" s="76"/>
      <c r="P18" s="117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">
        <v>219</v>
      </c>
      <c r="C19" s="2" t="s">
        <v>1487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">
        <v>220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">
        <v>221</v>
      </c>
      <c r="C20" s="2" t="s">
        <v>1488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278"/>
      <c r="J20" s="8">
        <v>0</v>
      </c>
      <c r="K20" s="58">
        <f t="shared" si="1"/>
        <v>11.700403301046656</v>
      </c>
      <c r="L20" s="118" t="s">
        <v>222</v>
      </c>
      <c r="M20" s="115"/>
      <c r="N20" s="116">
        <f t="shared" si="2"/>
        <v>-13.490578704109163</v>
      </c>
      <c r="O20" s="76"/>
      <c r="P20" s="117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281"/>
      <c r="J21" s="30">
        <v>0</v>
      </c>
      <c r="K21" s="59">
        <f t="shared" si="1"/>
        <v>11.699925923406079</v>
      </c>
      <c r="L21" s="31" t="s">
        <v>225</v>
      </c>
      <c r="M21" s="115"/>
      <c r="N21" s="116">
        <f t="shared" si="2"/>
        <v>-13.490354918538115</v>
      </c>
      <c r="O21" s="76"/>
      <c r="P21" s="117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278"/>
      <c r="J22" s="8">
        <v>0</v>
      </c>
      <c r="K22" s="58">
        <f t="shared" si="1"/>
        <v>2.5623449239131975</v>
      </c>
      <c r="L22" s="118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">
        <v>762</v>
      </c>
      <c r="C23" s="2" t="s">
        <v>1641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278"/>
      <c r="J23" s="8">
        <v>0</v>
      </c>
      <c r="K23" s="58">
        <f t="shared" si="1"/>
        <v>115.77319355443814</v>
      </c>
      <c r="L23" s="118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58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">
        <v>763</v>
      </c>
      <c r="C24" s="2" t="s">
        <v>1642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278"/>
      <c r="J24" s="8">
        <v>0</v>
      </c>
      <c r="K24" s="58">
        <f t="shared" si="1"/>
        <v>115.77319355443814</v>
      </c>
      <c r="L24" s="118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">
        <v>1643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278"/>
      <c r="J25" s="8">
        <v>0</v>
      </c>
      <c r="K25" s="58">
        <f t="shared" si="1"/>
        <v>9.2129380158617948</v>
      </c>
      <c r="L25" s="118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">
        <v>764</v>
      </c>
      <c r="C26" s="2" t="s">
        <v>1644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278"/>
      <c r="J26" s="8">
        <v>3</v>
      </c>
      <c r="K26" s="58">
        <f t="shared" si="1"/>
        <v>1.5636578371401118</v>
      </c>
      <c r="L26" s="118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278"/>
      <c r="J27" s="8">
        <v>0</v>
      </c>
      <c r="K27" s="58">
        <f t="shared" si="1"/>
        <v>338.24905085363008</v>
      </c>
      <c r="L27" s="118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278"/>
      <c r="J28" s="8">
        <v>0</v>
      </c>
      <c r="K28" s="58">
        <f t="shared" si="1"/>
        <v>2.5623449239131975</v>
      </c>
      <c r="L28" s="118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">
        <v>768</v>
      </c>
      <c r="C30" s="4" t="s">
        <v>1645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282"/>
      <c r="J30" s="30">
        <v>0</v>
      </c>
      <c r="K30" s="59">
        <f t="shared" si="1"/>
        <v>0.48611773879952869</v>
      </c>
      <c r="L30" s="119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17" t="s">
        <v>42</v>
      </c>
      <c r="C31" s="18" t="s">
        <v>95</v>
      </c>
      <c r="D31" s="17" t="s">
        <v>43</v>
      </c>
      <c r="E31" s="18" t="s">
        <v>54</v>
      </c>
      <c r="F31" s="17" t="s">
        <v>47</v>
      </c>
      <c r="G31" s="17" t="s">
        <v>45</v>
      </c>
      <c r="H31" s="18" t="str">
        <f>Rydberg!H$1</f>
        <v>difference</v>
      </c>
      <c r="I31" s="283"/>
      <c r="J31" s="568" t="s">
        <v>80</v>
      </c>
      <c r="K31" s="569"/>
      <c r="L31" s="20" t="s">
        <v>44</v>
      </c>
      <c r="M31" s="255">
        <v>0</v>
      </c>
      <c r="N31" s="256"/>
      <c r="O31" s="256">
        <f>M31+1</f>
        <v>1</v>
      </c>
      <c r="P31" s="256"/>
      <c r="Q31" s="256">
        <f>O31+1</f>
        <v>2</v>
      </c>
      <c r="R31" s="256"/>
      <c r="S31" s="256">
        <f>Q31+1</f>
        <v>3</v>
      </c>
      <c r="T31" s="256"/>
      <c r="U31" s="256">
        <f>S31+1</f>
        <v>4</v>
      </c>
      <c r="V31" s="256"/>
      <c r="W31" s="256">
        <f>U31+1</f>
        <v>5</v>
      </c>
      <c r="X31" s="256"/>
      <c r="Y31" s="256">
        <f>W31+1</f>
        <v>6</v>
      </c>
      <c r="Z31" s="256"/>
      <c r="AA31" s="256">
        <f>Y31+1</f>
        <v>7</v>
      </c>
      <c r="AB31" s="256"/>
      <c r="AC31" s="256">
        <f>AA31+1</f>
        <v>8</v>
      </c>
      <c r="AD31" s="256"/>
      <c r="AE31" s="256">
        <f>AC31+1</f>
        <v>9</v>
      </c>
      <c r="AF31" s="256"/>
      <c r="AG31" s="256">
        <f>AE31+1</f>
        <v>10</v>
      </c>
      <c r="AH31" s="256"/>
      <c r="AI31" s="256">
        <f>AG31+1</f>
        <v>11</v>
      </c>
      <c r="AJ31" s="256"/>
      <c r="AK31" s="256">
        <f>AI31+1</f>
        <v>12</v>
      </c>
    </row>
    <row r="32" spans="1:37" ht="14.25" customHeight="1" x14ac:dyDescent="0.25">
      <c r="A32" s="574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 x14ac:dyDescent="0.25">
      <c r="A33" s="574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275">
        <f t="shared" ref="H33:H50" si="2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 x14ac:dyDescent="0.25">
      <c r="A34" s="574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275">
        <f t="shared" si="28"/>
        <v>9.9920072216264089E-15</v>
      </c>
      <c r="I34" s="278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 x14ac:dyDescent="0.25">
      <c r="A35" s="574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275">
        <f t="shared" si="2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 x14ac:dyDescent="0.25">
      <c r="A36" s="574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275">
        <f t="shared" si="2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 x14ac:dyDescent="0.25">
      <c r="A37" s="574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275">
        <f t="shared" si="28"/>
        <v>0</v>
      </c>
      <c r="I37" s="278"/>
      <c r="J37" s="131">
        <v>-24</v>
      </c>
      <c r="K37" s="61">
        <f t="shared" ref="K37:K70" si="41">F37/POWER(12,J37)</f>
        <v>1</v>
      </c>
      <c r="L37" s="134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 x14ac:dyDescent="0.25">
      <c r="A38" s="574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275">
        <f t="shared" si="28"/>
        <v>0</v>
      </c>
      <c r="I38" s="278"/>
      <c r="J38" s="131">
        <v>0</v>
      </c>
      <c r="K38" s="61">
        <f t="shared" si="41"/>
        <v>1.0000000000000002</v>
      </c>
      <c r="L38" s="134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 x14ac:dyDescent="0.25">
      <c r="A39" s="574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275">
        <f t="shared" si="28"/>
        <v>4.3606341310531427E-4</v>
      </c>
      <c r="I39" s="278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 x14ac:dyDescent="0.25">
      <c r="A40" s="574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275">
        <f t="shared" si="28"/>
        <v>3.4580088047262425E-3</v>
      </c>
      <c r="I40" s="278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 x14ac:dyDescent="0.25">
      <c r="A41" s="574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275">
        <f t="shared" si="28"/>
        <v>2.5094517379544046E-2</v>
      </c>
      <c r="I41" s="278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 x14ac:dyDescent="0.25">
      <c r="A42" s="574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275">
        <f t="shared" si="28"/>
        <v>-5.1640552075439272E-2</v>
      </c>
      <c r="I42" s="278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 x14ac:dyDescent="0.25">
      <c r="A43" s="574"/>
      <c r="B43" s="3" t="s">
        <v>1281</v>
      </c>
      <c r="C43" s="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275">
        <f t="shared" ref="H43" si="43">K43*POWER(12,I43)/ROUND(K43*POWER(12,I43),0)-1</f>
        <v>7.7157032930879055E-3</v>
      </c>
      <c r="I43" s="278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 x14ac:dyDescent="0.25">
      <c r="A44" s="574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275">
        <f t="shared" si="28"/>
        <v>3.0573382681594152E-2</v>
      </c>
      <c r="I44" s="278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 x14ac:dyDescent="0.25">
      <c r="A45" s="574"/>
      <c r="B45" s="3" t="s">
        <v>1283</v>
      </c>
      <c r="C45" s="3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276">
        <f t="shared" si="28"/>
        <v>-1.9425633766670947E-3</v>
      </c>
      <c r="I45" s="284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 x14ac:dyDescent="0.25">
      <c r="A46" s="574"/>
      <c r="B46" s="3" t="s">
        <v>1217</v>
      </c>
      <c r="C46" s="3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275">
        <f t="shared" si="28"/>
        <v>9.7269906515018434E-4</v>
      </c>
      <c r="I46" s="278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 x14ac:dyDescent="0.25">
      <c r="A47" s="574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275">
        <f t="shared" si="28"/>
        <v>1.5171602578398558E-2</v>
      </c>
      <c r="I47" s="278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 x14ac:dyDescent="0.25">
      <c r="A48" s="574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275">
        <f t="shared" si="28"/>
        <v>-9.679999876022527E-3</v>
      </c>
      <c r="I48" s="278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 x14ac:dyDescent="0.25">
      <c r="A49" s="574"/>
      <c r="B49" s="3" t="s">
        <v>1219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275">
        <f t="shared" si="28"/>
        <v>-1.3039559891063868E-2</v>
      </c>
      <c r="I49" s="278"/>
      <c r="J49" s="131">
        <v>-23</v>
      </c>
      <c r="K49" s="61">
        <f t="shared" si="41"/>
        <v>1.9739208802178723</v>
      </c>
      <c r="L49" s="134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 x14ac:dyDescent="0.25">
      <c r="A50" s="574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275">
        <f t="shared" si="28"/>
        <v>-1.251376109362079E-2</v>
      </c>
      <c r="I50" s="278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 x14ac:dyDescent="0.25">
      <c r="A51" s="574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275"/>
      <c r="I51" s="278"/>
      <c r="J51" s="131">
        <v>6</v>
      </c>
      <c r="K51" s="61">
        <f t="shared" si="41"/>
        <v>1.5653502916628801</v>
      </c>
      <c r="L51" s="134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 x14ac:dyDescent="0.25">
      <c r="A52" s="574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275">
        <f>K52*POWER(12,I52)/ROUND(K52*POWER(12,I52),0)-1</f>
        <v>1.9895566476343829E-2</v>
      </c>
      <c r="I52" s="278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 x14ac:dyDescent="0.25">
      <c r="A53" s="574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275"/>
      <c r="I53" s="278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 x14ac:dyDescent="0.25">
      <c r="A54" s="574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294">
        <f t="shared" ref="H54:H62" si="96">K54*POWER(12,I54)/ROUND(K54*POWER(12,I54),0)-1</f>
        <v>6.0266699811657665E-2</v>
      </c>
      <c r="I54" s="295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 x14ac:dyDescent="0.25">
      <c r="A55" s="574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275">
        <f t="shared" si="96"/>
        <v>-2.7920271380270867E-2</v>
      </c>
      <c r="I55" s="278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 x14ac:dyDescent="0.25">
      <c r="A56" s="574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294">
        <f t="shared" si="96"/>
        <v>6.0007203213203741E-3</v>
      </c>
      <c r="I56" s="295"/>
      <c r="J56" s="131">
        <v>-1</v>
      </c>
      <c r="K56" s="61">
        <f t="shared" si="41"/>
        <v>6.0360043219279227</v>
      </c>
      <c r="L56" s="134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 x14ac:dyDescent="0.25">
      <c r="A57" s="574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275">
        <f t="shared" si="96"/>
        <v>-3.108460903165966E-3</v>
      </c>
      <c r="I57" s="278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 x14ac:dyDescent="0.25">
      <c r="A58" s="574"/>
      <c r="B58" s="5" t="s">
        <v>686</v>
      </c>
      <c r="C58" s="3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275">
        <f t="shared" si="96"/>
        <v>3.1332236248405865E-2</v>
      </c>
      <c r="I58" s="278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 x14ac:dyDescent="0.25">
      <c r="A59" s="574"/>
      <c r="B59" s="224" t="s">
        <v>688</v>
      </c>
      <c r="C59" s="6" t="s">
        <v>1485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275">
        <f t="shared" si="96"/>
        <v>6.085018272078635E-3</v>
      </c>
      <c r="I59" s="278"/>
      <c r="J59" s="38">
        <v>0</v>
      </c>
      <c r="K59" s="61">
        <f t="shared" si="41"/>
        <v>1.0060850182720786</v>
      </c>
      <c r="L59" s="254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 x14ac:dyDescent="0.25">
      <c r="A60" s="574"/>
      <c r="B60" s="267">
        <v>1.024</v>
      </c>
      <c r="C60" s="3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275">
        <f t="shared" si="96"/>
        <v>-6.7097374454384573E-3</v>
      </c>
      <c r="I60" s="278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 x14ac:dyDescent="0.25">
      <c r="A61" s="574"/>
      <c r="B61" s="3" t="s">
        <v>746</v>
      </c>
      <c r="C61" s="3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276">
        <f t="shared" si="96"/>
        <v>2.2435565750911213E-3</v>
      </c>
      <c r="I61" s="284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 x14ac:dyDescent="0.25">
      <c r="A62" s="574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276">
        <f t="shared" si="96"/>
        <v>2.3375252524493462E-5</v>
      </c>
      <c r="I62" s="284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 x14ac:dyDescent="0.25">
      <c r="A63" s="574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296">
        <f>K63*POWER(12,I63)/ROUND(K63*POWER(12,I63)+1,0)-1</f>
        <v>-8.5126391125697087E-2</v>
      </c>
      <c r="I63" s="297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 x14ac:dyDescent="0.25">
      <c r="A64" s="574"/>
      <c r="B64" s="3" t="s">
        <v>1349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275"/>
      <c r="I64" s="278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 x14ac:dyDescent="0.25">
      <c r="A65" s="574"/>
      <c r="B65" s="3" t="s">
        <v>1350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275"/>
      <c r="I65" s="278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 x14ac:dyDescent="0.25">
      <c r="A66" s="574"/>
      <c r="B66" s="3" t="s">
        <v>1351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275">
        <f t="shared" ref="H66" si="136">K66*POWER(12,I66)/ROUND(K66*POWER(12,I66),0)-1</f>
        <v>2.584905909437385E-2</v>
      </c>
      <c r="I66" s="278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 x14ac:dyDescent="0.25">
      <c r="A67" s="574"/>
      <c r="B67" s="3" t="s">
        <v>1352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275"/>
      <c r="I67" s="278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 x14ac:dyDescent="0.25">
      <c r="A68" s="574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275"/>
      <c r="I68" s="281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 x14ac:dyDescent="0.25">
      <c r="A69" s="574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275"/>
      <c r="I69" s="281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 x14ac:dyDescent="0.3">
      <c r="A70" s="575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275"/>
      <c r="I70" s="281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17"/>
      <c r="I71" s="277"/>
      <c r="J71" s="18" t="s">
        <v>44</v>
      </c>
      <c r="K71" s="56" t="s">
        <v>46</v>
      </c>
      <c r="L71" s="20" t="str">
        <f>L31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285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285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285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285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285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285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ref="G83:G88" si="179">M83&amp;";"&amp;O83&amp;Q83&amp;S83&amp;U83&amp;W83&amp;Y83&amp;AA83&amp;AC83&amp;AE83&amp;AG83&amp;AI83&amp;AK83</f>
        <v>1;07X1163X8</v>
      </c>
      <c r="H83" s="108"/>
      <c r="I83" s="286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ref="G84" si="192">M84&amp;";"&amp;O84&amp;Q84&amp;S84&amp;U84&amp;W84&amp;Y84&amp;AA84&amp;AC84&amp;AE84&amp;AG84&amp;AI84&amp;AK84</f>
        <v>1;09019E9995E</v>
      </c>
      <c r="H84" s="108"/>
      <c r="I84" s="286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ref="G85" si="219">M85&amp;";"&amp;O85&amp;Q85&amp;S85&amp;U85&amp;W85&amp;Y85&amp;AA85&amp;AC85&amp;AE85&amp;AG85&amp;AI85&amp;AK85</f>
        <v>1;001XXX0E449</v>
      </c>
      <c r="H85" s="108"/>
      <c r="I85" s="286"/>
      <c r="J85" s="43">
        <v>49</v>
      </c>
      <c r="K85" s="62">
        <f t="shared" ref="K85" si="220">F85/POWER(12,J85)</f>
        <v>1.0011045199619639</v>
      </c>
      <c r="L85" s="44" t="s">
        <v>1484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79"/>
        <v>0;EX08X990X0X8</v>
      </c>
      <c r="H86" s="108"/>
      <c r="I86" s="286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ref="G87" si="246">M87&amp;";"&amp;O87&amp;Q87&amp;S87&amp;U87&amp;W87&amp;Y87&amp;AA87&amp;AC87&amp;AE87&amp;AG87&amp;AI87&amp;AK87</f>
        <v>4;68X10E696900</v>
      </c>
      <c r="H87" s="108"/>
      <c r="I87" s="286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287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37" t="str">
        <f t="shared" ref="G90" si="259">M90&amp;";"&amp;O90&amp;Q90&amp;S90&amp;U90&amp;W90&amp;Y90&amp;AA90&amp;AC90&amp;AE90&amp;AG90&amp;AI90&amp;AK90</f>
        <v>0;EEE086801481</v>
      </c>
      <c r="H90" s="37"/>
      <c r="I90" s="285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0.96961964811418999</v>
      </c>
      <c r="E92" s="8">
        <v>7</v>
      </c>
      <c r="F92" s="21">
        <f>D92</f>
        <v>0.96961964811418999</v>
      </c>
      <c r="G92" s="37" t="str">
        <f t="shared" ref="G92" si="272">M92&amp;";"&amp;O92&amp;Q92&amp;S92&amp;U92&amp;W92&amp;Y92&amp;AA92&amp;AC92&amp;AE92&amp;AG92&amp;AI92&amp;AK92</f>
        <v>0;E776049</v>
      </c>
      <c r="H92" s="37"/>
      <c r="I92" s="285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210744461044423.06</v>
      </c>
      <c r="G93" s="37" t="str">
        <f t="shared" ref="G93" si="285">M93&amp;";"&amp;O93&amp;Q93&amp;S93&amp;U93&amp;W93&amp;Y93&amp;AA93&amp;AC93&amp;AE93&amp;AG93&amp;AI93&amp;AK93</f>
        <v>1;E777832</v>
      </c>
      <c r="H93" s="37"/>
      <c r="I93" s="285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548306993392534.69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6" spans="1:37" x14ac:dyDescent="0.25">
      <c r="B96" s="14" t="s">
        <v>663</v>
      </c>
      <c r="C96" s="14" t="s">
        <v>664</v>
      </c>
      <c r="D96" s="193">
        <f>D34</f>
        <v>10973731.568507999</v>
      </c>
      <c r="E96" s="8">
        <v>12</v>
      </c>
      <c r="F96" s="21">
        <f>D96*0.3048</f>
        <v>3344793.3820812381</v>
      </c>
      <c r="G96" s="37" t="str">
        <f t="shared" ref="G96" si="298">M96&amp;";"&amp;O96&amp;Q96&amp;S96&amp;U96&amp;W96&amp;Y96&amp;AA96&amp;AC96&amp;AE96&amp;AG96&amp;AI96&amp;AK96</f>
        <v>1;1537894702X0</v>
      </c>
      <c r="H96" s="108"/>
      <c r="I96" s="286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 x14ac:dyDescent="0.25">
      <c r="B97" s="14" t="s">
        <v>667</v>
      </c>
      <c r="C97" s="14" t="s">
        <v>668</v>
      </c>
      <c r="D97" s="193">
        <f>D40</f>
        <v>5.2917721067E-11</v>
      </c>
      <c r="E97" s="8">
        <v>9</v>
      </c>
      <c r="F97" s="21">
        <f>D97/0.3048</f>
        <v>1.7361457042979002E-10</v>
      </c>
      <c r="G97" s="37" t="str">
        <f t="shared" ref="G97" si="311">M97&amp;";"&amp;O97&amp;Q97&amp;S97&amp;U97&amp;W97&amp;Y97&amp;AA97&amp;AC97&amp;AE97&amp;AG97&amp;AI97&amp;AK97</f>
        <v>0;X8EE6E523</v>
      </c>
      <c r="H97" s="108"/>
      <c r="I97" s="286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 x14ac:dyDescent="0.25">
      <c r="B98" s="55" t="s">
        <v>666</v>
      </c>
      <c r="C98" s="55" t="s">
        <v>665</v>
      </c>
      <c r="D98" s="193">
        <f>1/(D34*D40)</f>
        <v>1722.0451526998279</v>
      </c>
      <c r="E98" s="8">
        <v>9</v>
      </c>
      <c r="F98" s="21">
        <f>1/(F96*F97)</f>
        <v>1722.0451526998283</v>
      </c>
      <c r="G98" s="37" t="str">
        <f t="shared" ref="G98" si="324">M98&amp;";"&amp;O98&amp;Q98&amp;S98&amp;U98&amp;W98&amp;Y98&amp;AA98&amp;AC98&amp;AE98&amp;AG98&amp;AI98&amp;AK98</f>
        <v>0;EE6066035</v>
      </c>
      <c r="H98" s="37"/>
      <c r="I98" s="285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 x14ac:dyDescent="0.25">
      <c r="D100" s="476">
        <f>POWER(D$35,4)/(D$34*D$34*D$35*D$36*F$85*LOG(2*PI(),2)*POWER(4*PI(),2))</f>
        <v>6.6743055641331449E-11</v>
      </c>
      <c r="I100" s="14"/>
    </row>
    <row r="101" spans="2:37" x14ac:dyDescent="0.25">
      <c r="I101" s="14"/>
    </row>
    <row r="102" spans="2:37" x14ac:dyDescent="0.25">
      <c r="I102" s="14"/>
    </row>
    <row r="103" spans="2:37" x14ac:dyDescent="0.25">
      <c r="I103" s="14"/>
    </row>
    <row r="104" spans="2:37" x14ac:dyDescent="0.25">
      <c r="I104" s="14"/>
    </row>
    <row r="105" spans="2:37" x14ac:dyDescent="0.25">
      <c r="I105" s="14"/>
    </row>
    <row r="106" spans="2:37" x14ac:dyDescent="0.25">
      <c r="I106" s="14"/>
    </row>
    <row r="107" spans="2:37" x14ac:dyDescent="0.25">
      <c r="I107" s="14"/>
    </row>
    <row r="108" spans="2:37" x14ac:dyDescent="0.25">
      <c r="I108" s="14"/>
    </row>
    <row r="109" spans="2:37" x14ac:dyDescent="0.25">
      <c r="I109" s="14"/>
    </row>
    <row r="110" spans="2:37" x14ac:dyDescent="0.25">
      <c r="I110" s="14"/>
    </row>
    <row r="111" spans="2:37" x14ac:dyDescent="0.25">
      <c r="I111" s="14"/>
    </row>
    <row r="112" spans="2:37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I120" s="14"/>
    </row>
    <row r="121" spans="8:9" x14ac:dyDescent="0.25">
      <c r="I121" s="14"/>
    </row>
    <row r="122" spans="8:9" x14ac:dyDescent="0.25">
      <c r="H122" s="234"/>
      <c r="I122" s="292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60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 x14ac:dyDescent="0.25">
      <c r="A2" s="601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 x14ac:dyDescent="0.25">
      <c r="A3" s="601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0</v>
      </c>
      <c r="F3" s="21">
        <f>D3*POWER(10,E3)</f>
        <v>1.8288000000000002</v>
      </c>
      <c r="G3" s="21">
        <f>$D3</f>
        <v>1.8288000000000002</v>
      </c>
      <c r="H3" s="8">
        <v>0</v>
      </c>
      <c r="I3" s="58">
        <f>F3/POWER(10,H3)</f>
        <v>1.8288000000000002</v>
      </c>
      <c r="J3" s="118" t="s">
        <v>771</v>
      </c>
      <c r="K3" s="80"/>
      <c r="L3" s="268">
        <f>F3/G3</f>
        <v>1</v>
      </c>
    </row>
    <row r="4" spans="1:12" ht="13.5" customHeight="1" x14ac:dyDescent="0.25">
      <c r="A4" s="601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755</v>
      </c>
      <c r="K4" s="24"/>
      <c r="L4" s="268">
        <f t="shared" ref="L4:L30" si="2">F4/G4</f>
        <v>1</v>
      </c>
    </row>
    <row r="5" spans="1:12" ht="13.5" customHeight="1" x14ac:dyDescent="0.25">
      <c r="A5" s="601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-3</v>
      </c>
      <c r="F5" s="21">
        <f t="shared" si="0"/>
        <v>109.61031130911486</v>
      </c>
      <c r="G5" s="21">
        <f>G8*POWER(G3/G4,2)</f>
        <v>109.61031130911485</v>
      </c>
      <c r="H5" s="8">
        <v>0</v>
      </c>
      <c r="I5" s="58">
        <f t="shared" si="1"/>
        <v>109.61031130911486</v>
      </c>
      <c r="J5" s="118" t="s">
        <v>748</v>
      </c>
      <c r="K5" s="24"/>
      <c r="L5" s="268">
        <f t="shared" si="2"/>
        <v>1.0000000000000002</v>
      </c>
    </row>
    <row r="6" spans="1:12" ht="13.5" customHeight="1" x14ac:dyDescent="0.25">
      <c r="A6" s="601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3</v>
      </c>
      <c r="F6" s="21">
        <f t="shared" si="0"/>
        <v>4.2832483535160417</v>
      </c>
      <c r="G6" s="21">
        <f>G5/G8/D55*1000</f>
        <v>4.2832483535160417</v>
      </c>
      <c r="H6" s="8">
        <v>0</v>
      </c>
      <c r="I6" s="58">
        <f t="shared" si="1"/>
        <v>4.2832483535160417</v>
      </c>
      <c r="J6" s="118" t="s">
        <v>749</v>
      </c>
      <c r="K6" s="24"/>
      <c r="L6" s="268">
        <f t="shared" si="2"/>
        <v>1</v>
      </c>
    </row>
    <row r="7" spans="1:12" ht="13.5" customHeight="1" x14ac:dyDescent="0.25">
      <c r="A7" s="601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 x14ac:dyDescent="0.25">
      <c r="A8" s="601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 x14ac:dyDescent="0.25">
      <c r="A9" s="601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1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18" t="s">
        <v>750</v>
      </c>
      <c r="K9" s="24"/>
      <c r="L9" s="268">
        <f t="shared" si="2"/>
        <v>1.0000000000000002</v>
      </c>
    </row>
    <row r="10" spans="1:12" ht="13.5" customHeight="1" x14ac:dyDescent="0.25">
      <c r="A10" s="601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1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18" t="s">
        <v>751</v>
      </c>
      <c r="K10" s="24"/>
      <c r="L10" s="268">
        <f t="shared" si="2"/>
        <v>1.0000000000000002</v>
      </c>
    </row>
    <row r="11" spans="1:12" ht="13.5" customHeight="1" x14ac:dyDescent="0.25">
      <c r="A11" s="601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1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 x14ac:dyDescent="0.25">
      <c r="A12" s="601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756</v>
      </c>
      <c r="K12" s="24"/>
      <c r="L12" s="268">
        <f t="shared" si="2"/>
        <v>1.0000000000000002</v>
      </c>
    </row>
    <row r="13" spans="1:12" ht="14.25" customHeight="1" x14ac:dyDescent="0.25">
      <c r="A13" s="601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757</v>
      </c>
      <c r="K13" s="24"/>
      <c r="L13" s="268">
        <f t="shared" si="2"/>
        <v>1.0000000000000002</v>
      </c>
    </row>
    <row r="14" spans="1:12" ht="14.25" customHeight="1" x14ac:dyDescent="0.25">
      <c r="A14" s="601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1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18" t="s">
        <v>683</v>
      </c>
      <c r="K14" s="24"/>
      <c r="L14" s="268">
        <f t="shared" si="2"/>
        <v>1.0000000000000002</v>
      </c>
    </row>
    <row r="15" spans="1:12" ht="14.25" customHeight="1" x14ac:dyDescent="0.25">
      <c r="A15" s="601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1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18" t="s">
        <v>758</v>
      </c>
      <c r="K15" s="24"/>
      <c r="L15" s="268">
        <f t="shared" si="2"/>
        <v>1.0000000000000002</v>
      </c>
    </row>
    <row r="16" spans="1:12" ht="14.25" customHeight="1" x14ac:dyDescent="0.25">
      <c r="A16" s="601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1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 x14ac:dyDescent="0.25">
      <c r="A17" s="601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1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18" t="str">
        <f>Rydberg!L17</f>
        <v>V</v>
      </c>
      <c r="K17" s="24"/>
      <c r="L17" s="268">
        <f t="shared" si="2"/>
        <v>0.99999999999999989</v>
      </c>
    </row>
    <row r="18" spans="1:12" ht="14.25" customHeight="1" x14ac:dyDescent="0.25">
      <c r="A18" s="601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1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 x14ac:dyDescent="0.25">
      <c r="A19" s="601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1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18" t="str">
        <f>Rydberg!L19</f>
        <v>Wb</v>
      </c>
      <c r="K19" s="76"/>
      <c r="L19" s="268">
        <f t="shared" si="2"/>
        <v>1.0000000000000002</v>
      </c>
    </row>
    <row r="20" spans="1:12" ht="14.25" customHeight="1" x14ac:dyDescent="0.25">
      <c r="A20" s="601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1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18" t="str">
        <f>Rydberg!L20</f>
        <v>T</v>
      </c>
      <c r="K20" s="76"/>
      <c r="L20" s="268">
        <f t="shared" si="2"/>
        <v>1.0000000000000002</v>
      </c>
    </row>
    <row r="21" spans="1:12" ht="14.25" customHeight="1" x14ac:dyDescent="0.25">
      <c r="A21" s="601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1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 x14ac:dyDescent="0.25">
      <c r="A22" s="601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 x14ac:dyDescent="0.25">
      <c r="A23" s="601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1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18" t="s">
        <v>752</v>
      </c>
      <c r="K23" s="258"/>
      <c r="L23" s="268">
        <f t="shared" si="2"/>
        <v>1.0000000000000002</v>
      </c>
    </row>
    <row r="24" spans="1:12" ht="14.25" customHeight="1" x14ac:dyDescent="0.25">
      <c r="A24" s="601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1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18" t="s">
        <v>753</v>
      </c>
      <c r="K24" s="24"/>
      <c r="L24" s="268">
        <f t="shared" si="2"/>
        <v>1.0000000000000002</v>
      </c>
    </row>
    <row r="25" spans="1:12" ht="14.25" customHeight="1" x14ac:dyDescent="0.25">
      <c r="A25" s="601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1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18" t="s">
        <v>753</v>
      </c>
      <c r="K25" s="24"/>
      <c r="L25" s="268">
        <f t="shared" si="2"/>
        <v>1</v>
      </c>
    </row>
    <row r="26" spans="1:12" ht="14.25" customHeight="1" x14ac:dyDescent="0.25">
      <c r="A26" s="601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18" t="s">
        <v>754</v>
      </c>
      <c r="K26" s="24"/>
      <c r="L26" s="268">
        <f t="shared" si="2"/>
        <v>1</v>
      </c>
    </row>
    <row r="27" spans="1:12" ht="14.25" customHeight="1" x14ac:dyDescent="0.25">
      <c r="A27" s="601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 x14ac:dyDescent="0.25">
      <c r="A28" s="601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 x14ac:dyDescent="0.25">
      <c r="A29" s="601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1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18" t="s">
        <v>701</v>
      </c>
      <c r="K29" s="24"/>
      <c r="L29" s="268">
        <f t="shared" si="2"/>
        <v>1</v>
      </c>
    </row>
    <row r="30" spans="1:12" ht="14.25" customHeight="1" thickBot="1" x14ac:dyDescent="0.3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9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19" t="s">
        <v>702</v>
      </c>
      <c r="K30" s="261">
        <v>1</v>
      </c>
      <c r="L30" s="268">
        <f t="shared" si="2"/>
        <v>1</v>
      </c>
    </row>
    <row r="31" spans="1:12" ht="11.25" customHeight="1" x14ac:dyDescent="0.25">
      <c r="A31" s="60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 x14ac:dyDescent="0.25">
      <c r="A32" s="60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 x14ac:dyDescent="0.25">
      <c r="A33" s="60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 x14ac:dyDescent="0.25">
      <c r="A34" s="60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37"/>
      <c r="H34" s="269">
        <f t="shared" si="3"/>
        <v>6</v>
      </c>
      <c r="I34" s="61">
        <f t="shared" si="4"/>
        <v>20.068760292487433</v>
      </c>
      <c r="J34" s="39"/>
    </row>
    <row r="35" spans="1:10" ht="15" customHeight="1" x14ac:dyDescent="0.25">
      <c r="A35" s="60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37"/>
      <c r="H35" s="269">
        <f t="shared" si="3"/>
        <v>6</v>
      </c>
      <c r="I35" s="61">
        <f t="shared" si="4"/>
        <v>70.817116062992113</v>
      </c>
      <c r="J35" s="39"/>
    </row>
    <row r="36" spans="1:10" ht="15" customHeight="1" x14ac:dyDescent="0.25">
      <c r="A36" s="60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37"/>
      <c r="H36" s="269">
        <f t="shared" si="3"/>
        <v>-36</v>
      </c>
      <c r="I36" s="61">
        <f t="shared" si="4"/>
        <v>2.2271065529971978</v>
      </c>
      <c r="J36" s="39"/>
    </row>
    <row r="37" spans="1:10" ht="15" customHeight="1" x14ac:dyDescent="0.25">
      <c r="A37" s="60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 x14ac:dyDescent="0.25">
      <c r="A38" s="60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 x14ac:dyDescent="0.25">
      <c r="A39" s="60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 x14ac:dyDescent="0.25">
      <c r="A40" s="60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37"/>
      <c r="H40" s="269">
        <f t="shared" si="3"/>
        <v>-12</v>
      </c>
      <c r="I40" s="61">
        <f t="shared" si="4"/>
        <v>28.935761738298336</v>
      </c>
      <c r="J40" s="39"/>
    </row>
    <row r="41" spans="1:10" ht="15" customHeight="1" x14ac:dyDescent="0.25">
      <c r="A41" s="60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 x14ac:dyDescent="0.25">
      <c r="A42" s="60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 x14ac:dyDescent="0.25">
      <c r="A43" s="601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37"/>
      <c r="H43" s="269">
        <f t="shared" si="3"/>
        <v>-12</v>
      </c>
      <c r="I43" s="61">
        <f t="shared" si="4"/>
        <v>12.455086307018339</v>
      </c>
      <c r="J43" s="39"/>
    </row>
    <row r="44" spans="1:10" ht="15" customHeight="1" x14ac:dyDescent="0.25">
      <c r="A44" s="601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37"/>
      <c r="H44" s="269">
        <f t="shared" si="3"/>
        <v>42</v>
      </c>
      <c r="I44" s="61">
        <f t="shared" si="4"/>
        <v>2.0193249229057328</v>
      </c>
      <c r="J44" s="39"/>
    </row>
    <row r="45" spans="1:10" ht="15" customHeight="1" x14ac:dyDescent="0.25">
      <c r="A45" s="601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37"/>
      <c r="H45" s="269">
        <f t="shared" si="3"/>
        <v>-36</v>
      </c>
      <c r="I45" s="61">
        <f t="shared" si="4"/>
        <v>52.284208236139271</v>
      </c>
      <c r="J45" s="39"/>
    </row>
    <row r="46" spans="1:10" ht="15" customHeight="1" x14ac:dyDescent="0.25">
      <c r="A46" s="601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37"/>
      <c r="H46" s="269">
        <f t="shared" si="3"/>
        <v>-36</v>
      </c>
      <c r="I46" s="61">
        <f t="shared" si="4"/>
        <v>8.8376442091769718</v>
      </c>
      <c r="J46" s="39"/>
    </row>
    <row r="47" spans="1:10" ht="15" customHeight="1" x14ac:dyDescent="0.25">
      <c r="A47" s="601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37"/>
      <c r="H47" s="269">
        <f t="shared" si="3"/>
        <v>-36</v>
      </c>
      <c r="I47" s="61">
        <f t="shared" si="4"/>
        <v>103.45556308429434</v>
      </c>
      <c r="J47" s="39"/>
    </row>
    <row r="48" spans="1:10" ht="15" customHeight="1" x14ac:dyDescent="0.25">
      <c r="A48" s="601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37"/>
      <c r="H48" s="269">
        <f t="shared" si="3"/>
        <v>-9</v>
      </c>
      <c r="I48" s="61">
        <f t="shared" si="4"/>
        <v>251.57584648482111</v>
      </c>
      <c r="J48" s="39"/>
    </row>
    <row r="49" spans="1:10" ht="15" customHeight="1" x14ac:dyDescent="0.25">
      <c r="A49" s="601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37"/>
      <c r="H49" s="269">
        <f t="shared" si="3"/>
        <v>0</v>
      </c>
      <c r="I49" s="61">
        <f t="shared" si="4"/>
        <v>4.160837314962003</v>
      </c>
      <c r="J49" s="39"/>
    </row>
    <row r="50" spans="1:10" ht="15" customHeight="1" x14ac:dyDescent="0.25">
      <c r="A50" s="601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37"/>
      <c r="H50" s="269">
        <f t="shared" si="3"/>
        <v>0</v>
      </c>
      <c r="I50" s="61">
        <f t="shared" si="4"/>
        <v>63.774027900055778</v>
      </c>
      <c r="J50" s="39"/>
    </row>
    <row r="51" spans="1:10" ht="15" customHeight="1" x14ac:dyDescent="0.25">
      <c r="A51" s="601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37"/>
      <c r="H51" s="269">
        <f t="shared" si="3"/>
        <v>-3</v>
      </c>
      <c r="I51" s="61">
        <f t="shared" si="4"/>
        <v>22.413334409063992</v>
      </c>
      <c r="J51" s="39"/>
    </row>
    <row r="52" spans="1:10" ht="15" customHeight="1" x14ac:dyDescent="0.25">
      <c r="A52" s="601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37"/>
      <c r="H52" s="269">
        <f t="shared" si="3"/>
        <v>0</v>
      </c>
      <c r="I52" s="61">
        <f t="shared" si="4"/>
        <v>3.9982575735295067</v>
      </c>
      <c r="J52" s="39"/>
    </row>
    <row r="53" spans="1:10" ht="15" customHeight="1" x14ac:dyDescent="0.25">
      <c r="A53" s="601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37"/>
      <c r="H53" s="269">
        <f t="shared" si="3"/>
        <v>3</v>
      </c>
      <c r="I53" s="273">
        <f t="shared" si="4"/>
        <v>1.0000000000000002</v>
      </c>
      <c r="J53" s="39"/>
    </row>
    <row r="54" spans="1:10" ht="15" customHeight="1" x14ac:dyDescent="0.25">
      <c r="A54" s="601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37"/>
      <c r="H54" s="269">
        <f t="shared" si="3"/>
        <v>0</v>
      </c>
      <c r="I54" s="61">
        <f t="shared" si="4"/>
        <v>916.82567111879143</v>
      </c>
      <c r="J54" s="39"/>
    </row>
    <row r="55" spans="1:10" ht="15" customHeight="1" x14ac:dyDescent="0.25">
      <c r="A55" s="601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 x14ac:dyDescent="0.25">
      <c r="A56" s="601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37"/>
      <c r="H56" s="269">
        <f t="shared" si="3"/>
        <v>-3</v>
      </c>
      <c r="I56" s="61">
        <f t="shared" si="4"/>
        <v>2.1960009192746797</v>
      </c>
      <c r="J56" s="39"/>
    </row>
    <row r="57" spans="1:10" ht="15" customHeight="1" x14ac:dyDescent="0.25">
      <c r="A57" s="601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37"/>
      <c r="H57" s="269">
        <f t="shared" si="3"/>
        <v>-21</v>
      </c>
      <c r="I57" s="61">
        <f t="shared" si="4"/>
        <v>3.2643624294044495</v>
      </c>
      <c r="J57" s="39"/>
    </row>
    <row r="58" spans="1:10" ht="15" customHeight="1" x14ac:dyDescent="0.25">
      <c r="A58" s="601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37"/>
      <c r="H58" s="269">
        <f t="shared" si="3"/>
        <v>-3</v>
      </c>
      <c r="I58" s="61">
        <f t="shared" si="4"/>
        <v>2.8402285762759822</v>
      </c>
      <c r="J58" s="254"/>
    </row>
    <row r="59" spans="1:10" ht="15" customHeight="1" x14ac:dyDescent="0.25">
      <c r="A59" s="601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37"/>
      <c r="H59" s="269">
        <f t="shared" si="3"/>
        <v>3</v>
      </c>
      <c r="I59" s="61">
        <f t="shared" si="4"/>
        <v>1.0247594048503932</v>
      </c>
      <c r="J59" s="39"/>
    </row>
    <row r="60" spans="1:10" ht="15" customHeight="1" x14ac:dyDescent="0.25">
      <c r="A60" s="601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269">
        <f t="shared" si="3"/>
        <v>0</v>
      </c>
      <c r="I60" s="61">
        <f t="shared" si="4"/>
        <v>5.5174947368719272</v>
      </c>
      <c r="J60" s="39"/>
    </row>
    <row r="61" spans="1:10" ht="15" customHeight="1" x14ac:dyDescent="0.25">
      <c r="A61" s="601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269">
        <f t="shared" si="3"/>
        <v>3</v>
      </c>
      <c r="I61" s="61">
        <f t="shared" si="4"/>
        <v>5.654104622822052</v>
      </c>
      <c r="J61" s="39"/>
    </row>
    <row r="62" spans="1:10" ht="15" customHeight="1" x14ac:dyDescent="0.25">
      <c r="A62" s="601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269">
        <f t="shared" si="3"/>
        <v>0</v>
      </c>
      <c r="I62" s="273">
        <f t="shared" si="4"/>
        <v>1.0007416062992123</v>
      </c>
      <c r="J62" s="274"/>
    </row>
    <row r="63" spans="1:10" ht="15" customHeight="1" x14ac:dyDescent="0.25">
      <c r="A63" s="601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269">
        <f t="shared" si="3"/>
        <v>-3</v>
      </c>
      <c r="I63" s="61">
        <f t="shared" si="4"/>
        <v>2.4251028210398462</v>
      </c>
      <c r="J63" s="39"/>
    </row>
    <row r="64" spans="1:10" ht="15" customHeight="1" x14ac:dyDescent="0.25">
      <c r="A64" s="601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269">
        <f t="shared" si="3"/>
        <v>6</v>
      </c>
      <c r="I64" s="61">
        <f t="shared" si="4"/>
        <v>3.4876093613298336</v>
      </c>
      <c r="J64" s="39"/>
    </row>
    <row r="65" spans="1:10" ht="15" customHeight="1" x14ac:dyDescent="0.25">
      <c r="A65" s="601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269">
        <f t="shared" si="3"/>
        <v>6</v>
      </c>
      <c r="I65" s="61">
        <f t="shared" si="4"/>
        <v>5.4691409667541553</v>
      </c>
      <c r="J65" s="39"/>
    </row>
    <row r="66" spans="1:10" ht="15" customHeight="1" x14ac:dyDescent="0.25">
      <c r="A66" s="601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269">
        <f t="shared" si="3"/>
        <v>0</v>
      </c>
      <c r="I66" s="61">
        <f t="shared" si="4"/>
        <v>807.42837696693107</v>
      </c>
      <c r="J66" s="39"/>
    </row>
    <row r="67" spans="1:10" ht="15" customHeight="1" x14ac:dyDescent="0.25">
      <c r="A67" s="601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269">
        <f t="shared" si="3"/>
        <v>9</v>
      </c>
      <c r="I67" s="61">
        <f t="shared" si="4"/>
        <v>81.801110017497805</v>
      </c>
      <c r="J67" s="39"/>
    </row>
    <row r="68" spans="1:10" ht="15" customHeight="1" thickBot="1" x14ac:dyDescent="0.3">
      <c r="A68" s="602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60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 x14ac:dyDescent="0.25">
      <c r="A2" s="601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 x14ac:dyDescent="0.25">
      <c r="A3" s="601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-1</v>
      </c>
      <c r="F3" s="21">
        <f>D3*POWER(10,E3)</f>
        <v>0.18288000000000004</v>
      </c>
      <c r="G3" s="21">
        <f>$D3/10</f>
        <v>0.18288000000000001</v>
      </c>
      <c r="H3" s="8">
        <v>0</v>
      </c>
      <c r="I3" s="58">
        <f>F3/POWER(10,H3)</f>
        <v>0.18288000000000004</v>
      </c>
      <c r="J3" s="118" t="s">
        <v>772</v>
      </c>
      <c r="K3" s="80"/>
      <c r="L3" s="268">
        <f>F3/G3</f>
        <v>1.0000000000000002</v>
      </c>
    </row>
    <row r="4" spans="1:12" ht="13.5" customHeight="1" x14ac:dyDescent="0.25">
      <c r="A4" s="601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56</v>
      </c>
      <c r="K4" s="24"/>
      <c r="L4" s="268">
        <f t="shared" ref="L4:L30" si="2">F4/G4</f>
        <v>1</v>
      </c>
    </row>
    <row r="5" spans="1:12" ht="13.5" customHeight="1" x14ac:dyDescent="0.25">
      <c r="A5" s="601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-5</v>
      </c>
      <c r="F5" s="21">
        <f t="shared" si="0"/>
        <v>1.0961031130911487</v>
      </c>
      <c r="G5" s="21">
        <f>G8*POWER(G3/G4,2)</f>
        <v>1.0961031130911483</v>
      </c>
      <c r="H5" s="8">
        <v>0</v>
      </c>
      <c r="I5" s="58">
        <f t="shared" si="1"/>
        <v>1.0961031130911487</v>
      </c>
      <c r="J5" s="118" t="s">
        <v>58</v>
      </c>
      <c r="K5" s="24"/>
      <c r="L5" s="268">
        <f t="shared" si="2"/>
        <v>1.0000000000000004</v>
      </c>
    </row>
    <row r="6" spans="1:12" ht="13.5" customHeight="1" x14ac:dyDescent="0.25">
      <c r="A6" s="601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1</v>
      </c>
      <c r="F6" s="21">
        <f t="shared" si="0"/>
        <v>4.2832483535160421E-2</v>
      </c>
      <c r="G6" s="21">
        <f>G5/G8/D55*1000</f>
        <v>4.2832483535160414E-2</v>
      </c>
      <c r="H6" s="8">
        <v>-3</v>
      </c>
      <c r="I6" s="58">
        <f t="shared" si="1"/>
        <v>42.832483535160421</v>
      </c>
      <c r="J6" s="118" t="s">
        <v>773</v>
      </c>
      <c r="K6" s="24"/>
      <c r="L6" s="268">
        <f t="shared" si="2"/>
        <v>1.0000000000000002</v>
      </c>
    </row>
    <row r="7" spans="1:12" ht="13.5" customHeight="1" x14ac:dyDescent="0.25">
      <c r="A7" s="601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 x14ac:dyDescent="0.25">
      <c r="A8" s="601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 x14ac:dyDescent="0.25">
      <c r="A9" s="601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1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18" t="s">
        <v>62</v>
      </c>
      <c r="K9" s="24"/>
      <c r="L9" s="268">
        <f t="shared" si="2"/>
        <v>1.0000000000000004</v>
      </c>
    </row>
    <row r="10" spans="1:12" ht="13.5" customHeight="1" x14ac:dyDescent="0.25">
      <c r="A10" s="601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1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18" t="s">
        <v>63</v>
      </c>
      <c r="K10" s="24"/>
      <c r="L10" s="268">
        <f t="shared" si="2"/>
        <v>1.0000000000000002</v>
      </c>
    </row>
    <row r="11" spans="1:12" ht="13.5" customHeight="1" x14ac:dyDescent="0.25">
      <c r="A11" s="601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1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 x14ac:dyDescent="0.25">
      <c r="A12" s="601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65</v>
      </c>
      <c r="K12" s="24"/>
      <c r="L12" s="268">
        <f t="shared" si="2"/>
        <v>1.0000000000000002</v>
      </c>
    </row>
    <row r="13" spans="1:12" ht="14.25" customHeight="1" x14ac:dyDescent="0.25">
      <c r="A13" s="601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66</v>
      </c>
      <c r="K13" s="24"/>
      <c r="L13" s="268">
        <f t="shared" si="2"/>
        <v>1.0000000000000002</v>
      </c>
    </row>
    <row r="14" spans="1:12" ht="14.25" customHeight="1" x14ac:dyDescent="0.25">
      <c r="A14" s="601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1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18" t="s">
        <v>683</v>
      </c>
      <c r="K14" s="24"/>
      <c r="L14" s="268">
        <f t="shared" si="2"/>
        <v>1</v>
      </c>
    </row>
    <row r="15" spans="1:12" ht="14.25" customHeight="1" x14ac:dyDescent="0.25">
      <c r="A15" s="601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1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18" t="s">
        <v>758</v>
      </c>
      <c r="K15" s="24"/>
      <c r="L15" s="268">
        <f t="shared" si="2"/>
        <v>1.0000000000000002</v>
      </c>
    </row>
    <row r="16" spans="1:12" ht="14.25" customHeight="1" x14ac:dyDescent="0.25">
      <c r="A16" s="601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1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 x14ac:dyDescent="0.25">
      <c r="A17" s="601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1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18" t="str">
        <f>Rydberg!L17</f>
        <v>V</v>
      </c>
      <c r="K17" s="24"/>
      <c r="L17" s="268">
        <f t="shared" si="2"/>
        <v>1</v>
      </c>
    </row>
    <row r="18" spans="1:12" ht="14.25" customHeight="1" x14ac:dyDescent="0.25">
      <c r="A18" s="601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1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 x14ac:dyDescent="0.25">
      <c r="A19" s="601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1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18" t="str">
        <f>Rydberg!L19</f>
        <v>Wb</v>
      </c>
      <c r="K19" s="76"/>
      <c r="L19" s="268">
        <f t="shared" si="2"/>
        <v>1</v>
      </c>
    </row>
    <row r="20" spans="1:12" ht="14.25" customHeight="1" x14ac:dyDescent="0.25">
      <c r="A20" s="601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1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18" t="str">
        <f>Rydberg!L20</f>
        <v>T</v>
      </c>
      <c r="K20" s="76"/>
      <c r="L20" s="268">
        <f t="shared" si="2"/>
        <v>1.0000000000000004</v>
      </c>
    </row>
    <row r="21" spans="1:12" ht="14.25" customHeight="1" x14ac:dyDescent="0.25">
      <c r="A21" s="601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1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 x14ac:dyDescent="0.25">
      <c r="A22" s="601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 x14ac:dyDescent="0.25">
      <c r="A23" s="601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1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18" t="s">
        <v>690</v>
      </c>
      <c r="K23" s="258"/>
      <c r="L23" s="268">
        <f t="shared" si="2"/>
        <v>1.0000000000000004</v>
      </c>
    </row>
    <row r="24" spans="1:12" ht="14.25" customHeight="1" x14ac:dyDescent="0.25">
      <c r="A24" s="601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1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18" t="s">
        <v>693</v>
      </c>
      <c r="K24" s="24"/>
      <c r="L24" s="268">
        <f t="shared" si="2"/>
        <v>1.0000000000000004</v>
      </c>
    </row>
    <row r="25" spans="1:12" ht="14.25" customHeight="1" x14ac:dyDescent="0.25">
      <c r="A25" s="601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1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18" t="s">
        <v>693</v>
      </c>
      <c r="K25" s="24"/>
      <c r="L25" s="268">
        <f t="shared" si="2"/>
        <v>1.0000000000000002</v>
      </c>
    </row>
    <row r="26" spans="1:12" ht="14.25" customHeight="1" x14ac:dyDescent="0.25">
      <c r="A26" s="601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18" t="s">
        <v>706</v>
      </c>
      <c r="K26" s="24"/>
      <c r="L26" s="268">
        <f t="shared" si="2"/>
        <v>1.0000000000000002</v>
      </c>
    </row>
    <row r="27" spans="1:12" ht="14.25" customHeight="1" x14ac:dyDescent="0.25">
      <c r="A27" s="601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 x14ac:dyDescent="0.25">
      <c r="A28" s="601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 x14ac:dyDescent="0.25">
      <c r="A29" s="601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1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18" t="s">
        <v>701</v>
      </c>
      <c r="K29" s="24"/>
      <c r="L29" s="268">
        <f t="shared" si="2"/>
        <v>1.0000000000000002</v>
      </c>
    </row>
    <row r="30" spans="1:12" ht="14.25" customHeight="1" thickBot="1" x14ac:dyDescent="0.3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9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19" t="s">
        <v>702</v>
      </c>
      <c r="K30" s="261">
        <v>1</v>
      </c>
      <c r="L30" s="268">
        <f t="shared" si="2"/>
        <v>1.0000000000000002</v>
      </c>
    </row>
    <row r="31" spans="1:12" ht="11.25" customHeight="1" x14ac:dyDescent="0.25">
      <c r="A31" s="60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 x14ac:dyDescent="0.25">
      <c r="A32" s="60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 x14ac:dyDescent="0.25">
      <c r="A33" s="60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 x14ac:dyDescent="0.25">
      <c r="A34" s="60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37"/>
      <c r="H34" s="269">
        <f t="shared" si="3"/>
        <v>6</v>
      </c>
      <c r="I34" s="61">
        <f t="shared" si="4"/>
        <v>2.0068760292487435</v>
      </c>
      <c r="J34" s="39"/>
    </row>
    <row r="35" spans="1:10" ht="15" customHeight="1" x14ac:dyDescent="0.25">
      <c r="A35" s="60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37"/>
      <c r="H35" s="269">
        <f t="shared" si="3"/>
        <v>6</v>
      </c>
      <c r="I35" s="61">
        <f t="shared" si="4"/>
        <v>708.17116062992113</v>
      </c>
      <c r="J35" s="39"/>
    </row>
    <row r="36" spans="1:10" ht="15" customHeight="1" x14ac:dyDescent="0.25">
      <c r="A36" s="60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37"/>
      <c r="H36" s="269">
        <f t="shared" si="3"/>
        <v>-36</v>
      </c>
      <c r="I36" s="61">
        <f t="shared" si="4"/>
        <v>222.7106552997198</v>
      </c>
      <c r="J36" s="39"/>
    </row>
    <row r="37" spans="1:10" ht="15" customHeight="1" x14ac:dyDescent="0.25">
      <c r="A37" s="60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 x14ac:dyDescent="0.25">
      <c r="A38" s="60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 x14ac:dyDescent="0.25">
      <c r="A39" s="60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 x14ac:dyDescent="0.25">
      <c r="A40" s="60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37"/>
      <c r="H40" s="269">
        <f t="shared" si="3"/>
        <v>-12</v>
      </c>
      <c r="I40" s="61">
        <f t="shared" si="4"/>
        <v>289.35761738298334</v>
      </c>
      <c r="J40" s="39"/>
    </row>
    <row r="41" spans="1:10" ht="15" customHeight="1" x14ac:dyDescent="0.25">
      <c r="A41" s="60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 x14ac:dyDescent="0.25">
      <c r="A42" s="60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 x14ac:dyDescent="0.25">
      <c r="A43" s="601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37"/>
      <c r="H43" s="269">
        <f t="shared" si="3"/>
        <v>-9</v>
      </c>
      <c r="I43" s="61">
        <f t="shared" si="4"/>
        <v>12.455086307018336</v>
      </c>
      <c r="J43" s="39"/>
    </row>
    <row r="44" spans="1:10" ht="15" customHeight="1" x14ac:dyDescent="0.25">
      <c r="A44" s="601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37"/>
      <c r="H44" s="269">
        <f t="shared" si="3"/>
        <v>42</v>
      </c>
      <c r="I44" s="61">
        <f t="shared" si="4"/>
        <v>20.193249229057326</v>
      </c>
      <c r="J44" s="39"/>
    </row>
    <row r="45" spans="1:10" ht="15" customHeight="1" x14ac:dyDescent="0.25">
      <c r="A45" s="601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37"/>
      <c r="H45" s="269">
        <f t="shared" si="3"/>
        <v>-36</v>
      </c>
      <c r="I45" s="61">
        <f t="shared" si="4"/>
        <v>522.84208236139261</v>
      </c>
      <c r="J45" s="39"/>
    </row>
    <row r="46" spans="1:10" ht="15" customHeight="1" x14ac:dyDescent="0.25">
      <c r="A46" s="601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37"/>
      <c r="H46" s="269">
        <f t="shared" si="3"/>
        <v>-36</v>
      </c>
      <c r="I46" s="61">
        <f t="shared" si="4"/>
        <v>88.376442091769704</v>
      </c>
      <c r="J46" s="39"/>
    </row>
    <row r="47" spans="1:10" ht="15" customHeight="1" x14ac:dyDescent="0.25">
      <c r="A47" s="601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37"/>
      <c r="H47" s="269">
        <f t="shared" si="3"/>
        <v>-33</v>
      </c>
      <c r="I47" s="61">
        <f t="shared" si="4"/>
        <v>1.0345556308429431</v>
      </c>
      <c r="J47" s="39"/>
    </row>
    <row r="48" spans="1:10" ht="15" customHeight="1" x14ac:dyDescent="0.25">
      <c r="A48" s="601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37"/>
      <c r="H48" s="269">
        <f t="shared" si="3"/>
        <v>-15</v>
      </c>
      <c r="I48" s="61">
        <f t="shared" si="4"/>
        <v>2.5157584648482123</v>
      </c>
      <c r="J48" s="39"/>
    </row>
    <row r="49" spans="1:10" ht="15" customHeight="1" x14ac:dyDescent="0.25">
      <c r="A49" s="601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37"/>
      <c r="H49" s="269">
        <f t="shared" si="3"/>
        <v>0</v>
      </c>
      <c r="I49" s="61">
        <f t="shared" si="4"/>
        <v>4.1608373149620039</v>
      </c>
      <c r="J49" s="39"/>
    </row>
    <row r="50" spans="1:10" ht="15" customHeight="1" x14ac:dyDescent="0.25">
      <c r="A50" s="601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37"/>
      <c r="H50" s="269">
        <f t="shared" si="3"/>
        <v>3</v>
      </c>
      <c r="I50" s="61">
        <f t="shared" si="4"/>
        <v>6.3774027900055774</v>
      </c>
      <c r="J50" s="39"/>
    </row>
    <row r="51" spans="1:10" ht="15" customHeight="1" x14ac:dyDescent="0.25">
      <c r="A51" s="601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37"/>
      <c r="H51" s="269">
        <f t="shared" si="3"/>
        <v>0</v>
      </c>
      <c r="I51" s="61">
        <f t="shared" si="4"/>
        <v>22.413334409063989</v>
      </c>
      <c r="J51" s="39"/>
    </row>
    <row r="52" spans="1:10" ht="15" customHeight="1" x14ac:dyDescent="0.25">
      <c r="A52" s="601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37"/>
      <c r="H52" s="269">
        <f t="shared" si="3"/>
        <v>0</v>
      </c>
      <c r="I52" s="61">
        <f t="shared" si="4"/>
        <v>6.9982575735295072</v>
      </c>
      <c r="J52" s="39"/>
    </row>
    <row r="53" spans="1:10" ht="15" customHeight="1" x14ac:dyDescent="0.25">
      <c r="A53" s="601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37"/>
      <c r="H53" s="269">
        <f t="shared" si="3"/>
        <v>0</v>
      </c>
      <c r="I53" s="273">
        <f t="shared" si="4"/>
        <v>1.0000000000000002</v>
      </c>
      <c r="J53" s="39"/>
    </row>
    <row r="54" spans="1:10" ht="15" customHeight="1" x14ac:dyDescent="0.25">
      <c r="A54" s="601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37"/>
      <c r="H54" s="269">
        <f t="shared" si="3"/>
        <v>-3</v>
      </c>
      <c r="I54" s="61">
        <f t="shared" si="4"/>
        <v>916.82567111879155</v>
      </c>
      <c r="J54" s="39"/>
    </row>
    <row r="55" spans="1:10" ht="15" customHeight="1" x14ac:dyDescent="0.25">
      <c r="A55" s="601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 x14ac:dyDescent="0.25">
      <c r="A56" s="601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37"/>
      <c r="H56" s="269">
        <f t="shared" si="3"/>
        <v>-3</v>
      </c>
      <c r="I56" s="61">
        <f t="shared" si="4"/>
        <v>2.1960009192746801</v>
      </c>
      <c r="J56" s="39"/>
    </row>
    <row r="57" spans="1:10" ht="15" customHeight="1" x14ac:dyDescent="0.25">
      <c r="A57" s="601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37"/>
      <c r="H57" s="269">
        <f t="shared" si="3"/>
        <v>-21</v>
      </c>
      <c r="I57" s="61">
        <f t="shared" si="4"/>
        <v>326.43624294044497</v>
      </c>
      <c r="J57" s="39"/>
    </row>
    <row r="58" spans="1:10" ht="15" customHeight="1" x14ac:dyDescent="0.25">
      <c r="A58" s="601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37"/>
      <c r="H58" s="269">
        <f t="shared" si="3"/>
        <v>0</v>
      </c>
      <c r="I58" s="61">
        <f t="shared" si="4"/>
        <v>2.8402285762759822</v>
      </c>
      <c r="J58" s="254"/>
    </row>
    <row r="59" spans="1:10" ht="15" customHeight="1" x14ac:dyDescent="0.25">
      <c r="A59" s="601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37"/>
      <c r="H59" s="269">
        <f t="shared" si="3"/>
        <v>0</v>
      </c>
      <c r="I59" s="61">
        <f t="shared" si="4"/>
        <v>10.247594048503933</v>
      </c>
      <c r="J59" s="39"/>
    </row>
    <row r="60" spans="1:10" ht="15" customHeight="1" x14ac:dyDescent="0.25">
      <c r="A60" s="601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269">
        <f t="shared" si="3"/>
        <v>0</v>
      </c>
      <c r="I60" s="61">
        <f t="shared" si="4"/>
        <v>55.174947368719266</v>
      </c>
      <c r="J60" s="39"/>
    </row>
    <row r="61" spans="1:10" ht="15" customHeight="1" x14ac:dyDescent="0.25">
      <c r="A61" s="601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269">
        <f t="shared" si="3"/>
        <v>0</v>
      </c>
      <c r="I61" s="61">
        <f t="shared" si="4"/>
        <v>565.41046228220523</v>
      </c>
      <c r="J61" s="39"/>
    </row>
    <row r="62" spans="1:10" ht="15" customHeight="1" x14ac:dyDescent="0.25">
      <c r="A62" s="601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269">
        <f t="shared" si="3"/>
        <v>0</v>
      </c>
      <c r="I62" s="273">
        <f t="shared" si="4"/>
        <v>10.007416062992123</v>
      </c>
      <c r="J62" s="274"/>
    </row>
    <row r="63" spans="1:10" ht="15" customHeight="1" x14ac:dyDescent="0.25">
      <c r="A63" s="601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269">
        <f t="shared" si="3"/>
        <v>-3</v>
      </c>
      <c r="I63" s="61">
        <f t="shared" si="4"/>
        <v>24.251028210398456</v>
      </c>
      <c r="J63" s="39"/>
    </row>
    <row r="64" spans="1:10" ht="15" customHeight="1" x14ac:dyDescent="0.25">
      <c r="A64" s="601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269">
        <f t="shared" si="3"/>
        <v>6</v>
      </c>
      <c r="I64" s="61">
        <f t="shared" si="4"/>
        <v>34.876093613298323</v>
      </c>
      <c r="J64" s="39"/>
    </row>
    <row r="65" spans="1:10" ht="15" customHeight="1" x14ac:dyDescent="0.25">
      <c r="A65" s="601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269">
        <f t="shared" si="3"/>
        <v>6</v>
      </c>
      <c r="I65" s="61">
        <f t="shared" si="4"/>
        <v>54.691409667541542</v>
      </c>
      <c r="J65" s="39"/>
    </row>
    <row r="66" spans="1:10" ht="15" customHeight="1" x14ac:dyDescent="0.25">
      <c r="A66" s="601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269">
        <f t="shared" si="3"/>
        <v>3</v>
      </c>
      <c r="I66" s="61">
        <f t="shared" si="4"/>
        <v>8.0742837696693091</v>
      </c>
      <c r="J66" s="39"/>
    </row>
    <row r="67" spans="1:10" ht="15" customHeight="1" x14ac:dyDescent="0.25">
      <c r="A67" s="601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269">
        <f t="shared" si="3"/>
        <v>9</v>
      </c>
      <c r="I67" s="61">
        <f t="shared" si="4"/>
        <v>818.01110017497786</v>
      </c>
      <c r="J67" s="39"/>
    </row>
    <row r="68" spans="1:10" ht="15" customHeight="1" thickBot="1" x14ac:dyDescent="0.3">
      <c r="A68" s="602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 x14ac:dyDescent="0.25"/>
  <cols>
    <col min="1" max="1" width="16.4609375" style="14" customWidth="1"/>
    <col min="2" max="2" width="9.61328125" style="14" customWidth="1"/>
    <col min="3" max="4" width="9.61328125" style="232" customWidth="1"/>
    <col min="5" max="7" width="9.61328125" style="14" customWidth="1"/>
    <col min="8" max="8" width="9.61328125" style="389" customWidth="1"/>
    <col min="9" max="9" width="9.61328125" style="14" customWidth="1"/>
    <col min="10" max="16384" width="9" style="14"/>
  </cols>
  <sheetData>
    <row r="1" spans="1:8" x14ac:dyDescent="0.25">
      <c r="A1" s="397" t="s">
        <v>1136</v>
      </c>
      <c r="B1" s="403">
        <v>1365.94</v>
      </c>
      <c r="C1" s="404" t="s">
        <v>1137</v>
      </c>
      <c r="D1" s="400">
        <f>$B1/(Clock_by_Rydberg!F9/POWER(Clock_by_Rydberg!F3,2))</f>
        <v>617.58993213124222</v>
      </c>
      <c r="E1" s="410" t="s">
        <v>1147</v>
      </c>
      <c r="F1" s="417">
        <f>$B1/(TGM!F9/POWER(TGM!F3,2))</f>
        <v>0.27650160097796167</v>
      </c>
      <c r="G1" s="418" t="s">
        <v>1152</v>
      </c>
      <c r="H1" s="413" t="s">
        <v>1165</v>
      </c>
    </row>
    <row r="2" spans="1:8" x14ac:dyDescent="0.25">
      <c r="A2" s="398" t="s">
        <v>1151</v>
      </c>
      <c r="B2" s="91">
        <f>B1*B7*B7</f>
        <v>3.0569085248498895E+25</v>
      </c>
      <c r="C2" s="405" t="s">
        <v>1138</v>
      </c>
      <c r="D2" s="401">
        <f>$B2/Clock_by_Rydberg!F9</f>
        <v>1.863327669902472E+26</v>
      </c>
      <c r="E2" s="411" t="s">
        <v>1148</v>
      </c>
      <c r="F2" s="406">
        <f>$B2/TGM!F9</f>
        <v>7.0777629856157472E+22</v>
      </c>
      <c r="G2" s="419" t="s">
        <v>1153</v>
      </c>
      <c r="H2" s="414"/>
    </row>
    <row r="3" spans="1:8" x14ac:dyDescent="0.25">
      <c r="A3" s="398" t="s">
        <v>1140</v>
      </c>
      <c r="B3" s="406">
        <f>C7*B7*B7</f>
        <v>2.8645789066927231E+27</v>
      </c>
      <c r="C3" s="407" t="s">
        <v>1141</v>
      </c>
      <c r="D3" s="401">
        <f>$B3/Clock_by_Rydberg!F24</f>
        <v>2.4765695559574514E+25</v>
      </c>
      <c r="E3" s="411" t="s">
        <v>1149</v>
      </c>
      <c r="F3" s="406">
        <f>$B3/TGM!F24</f>
        <v>2.4284391286245942E+27</v>
      </c>
      <c r="G3" s="419" t="s">
        <v>1154</v>
      </c>
      <c r="H3" s="415" t="s">
        <v>1156</v>
      </c>
    </row>
    <row r="4" spans="1:8" ht="12" thickBot="1" x14ac:dyDescent="0.3">
      <c r="A4" s="399" t="s">
        <v>1142</v>
      </c>
      <c r="B4" s="408">
        <f>B3/B2</f>
        <v>93.708362007115966</v>
      </c>
      <c r="C4" s="409" t="s">
        <v>1143</v>
      </c>
      <c r="D4" s="402">
        <f>D3/D2</f>
        <v>0.13291111359319197</v>
      </c>
      <c r="E4" s="412" t="s">
        <v>1150</v>
      </c>
      <c r="F4" s="420">
        <f>F3/F2</f>
        <v>34310.82862706692</v>
      </c>
      <c r="G4" s="409" t="s">
        <v>1155</v>
      </c>
      <c r="H4" s="416"/>
    </row>
    <row r="5" spans="1:8" ht="12" thickBot="1" x14ac:dyDescent="0.3"/>
    <row r="6" spans="1:8" ht="35.15" thickBot="1" x14ac:dyDescent="0.3">
      <c r="A6" s="425" t="s">
        <v>1166</v>
      </c>
      <c r="B6" s="426" t="s">
        <v>1134</v>
      </c>
      <c r="C6" s="427" t="s">
        <v>1139</v>
      </c>
      <c r="D6" s="427" t="s">
        <v>1144</v>
      </c>
      <c r="E6" s="426" t="s">
        <v>1158</v>
      </c>
      <c r="F6" s="428" t="s">
        <v>1157</v>
      </c>
      <c r="G6" s="426" t="s">
        <v>1146</v>
      </c>
      <c r="H6" s="429" t="s">
        <v>1165</v>
      </c>
    </row>
    <row r="7" spans="1:8" x14ac:dyDescent="0.25">
      <c r="A7" s="421" t="s">
        <v>1135</v>
      </c>
      <c r="B7" s="45">
        <f>Rydberg!D68</f>
        <v>149597870000</v>
      </c>
      <c r="C7" s="430">
        <v>128000</v>
      </c>
      <c r="D7" s="423">
        <f>(-26.74+4.83)/2-LOG10(360*60*60/(2*PI())*10)*2.5</f>
        <v>-26.741062832941147</v>
      </c>
      <c r="E7" s="423">
        <f t="shared" ref="E7:E13" si="0">-2*LOG(B7/B$14,2)</f>
        <v>43.897148650652433</v>
      </c>
      <c r="F7" s="422">
        <f>C7/Clock_by_Rydberg!F$26*POWER(12,16)</f>
        <v>1.5176144082023119E+19</v>
      </c>
      <c r="G7" s="423">
        <f t="shared" ref="G7:G16" si="1">E7-E$16</f>
        <v>63.718439083706201</v>
      </c>
      <c r="H7" s="424"/>
    </row>
    <row r="8" spans="1:8" x14ac:dyDescent="0.25">
      <c r="A8" s="393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27">
        <f t="shared" ref="D8:D16" si="3">D$7+5*LOG10(B8/B$7)</f>
        <v>-2.7360665329429885</v>
      </c>
      <c r="E8" s="127">
        <f t="shared" si="0"/>
        <v>12</v>
      </c>
      <c r="F8" s="12">
        <f>C8/Clock_by_Rydberg!F$26*POWER(12,16)</f>
        <v>3794573077.6212811</v>
      </c>
      <c r="G8" s="127">
        <f t="shared" si="1"/>
        <v>31.821290433053768</v>
      </c>
      <c r="H8" s="390"/>
    </row>
    <row r="9" spans="1:8" x14ac:dyDescent="0.25">
      <c r="A9" s="394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27">
        <f t="shared" si="3"/>
        <v>0</v>
      </c>
      <c r="E9" s="127">
        <f t="shared" si="0"/>
        <v>8.364393485894249</v>
      </c>
      <c r="F9" s="12">
        <f>C9/Clock_by_Rydberg!F$26*POWER(12,16)</f>
        <v>305306680.91254687</v>
      </c>
      <c r="G9" s="127">
        <f t="shared" si="1"/>
        <v>28.185683918948016</v>
      </c>
      <c r="H9" s="390"/>
    </row>
    <row r="10" spans="1:8" x14ac:dyDescent="0.25">
      <c r="A10" s="393" t="s">
        <v>1129</v>
      </c>
      <c r="B10" s="8">
        <f>360*60*60/(2*PI())*B7*10</f>
        <v>3.0856775670528307E+17</v>
      </c>
      <c r="C10" s="12">
        <f t="shared" si="2"/>
        <v>3.0085671090045293E-8</v>
      </c>
      <c r="D10" s="127">
        <f t="shared" si="3"/>
        <v>4.83106283294115</v>
      </c>
      <c r="E10" s="127">
        <f t="shared" si="0"/>
        <v>1.9450161447289163</v>
      </c>
      <c r="F10" s="12">
        <f>C10/Clock_by_Rydberg!F$26*POWER(12,16)</f>
        <v>3567066.2442725389</v>
      </c>
      <c r="G10" s="127">
        <f t="shared" si="1"/>
        <v>21.766306577782686</v>
      </c>
      <c r="H10" s="390"/>
    </row>
    <row r="11" spans="1:8" x14ac:dyDescent="0.25">
      <c r="A11" s="395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27">
        <f t="shared" si="3"/>
        <v>5.0000000000000036</v>
      </c>
      <c r="E11" s="127">
        <f t="shared" si="0"/>
        <v>1.720537296119524</v>
      </c>
      <c r="F11" s="12">
        <f>C11/Clock_by_Rydberg!F$26*POWER(12,16)</f>
        <v>3053066.8091254672</v>
      </c>
      <c r="G11" s="127">
        <f t="shared" si="1"/>
        <v>21.541827729173292</v>
      </c>
      <c r="H11" s="390"/>
    </row>
    <row r="12" spans="1:8" x14ac:dyDescent="0.25">
      <c r="A12" s="395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27">
        <f t="shared" si="3"/>
        <v>6.0000000000000071</v>
      </c>
      <c r="E12" s="127">
        <f t="shared" si="0"/>
        <v>0.39176605816457932</v>
      </c>
      <c r="F12" s="12">
        <f>C12/Clock_by_Rydberg!F$26*POWER(12,16)</f>
        <v>1215447.7888917341</v>
      </c>
      <c r="G12" s="127">
        <f t="shared" si="1"/>
        <v>20.213056491218346</v>
      </c>
      <c r="H12" s="390"/>
    </row>
    <row r="13" spans="1:8" x14ac:dyDescent="0.25">
      <c r="A13" s="393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27">
        <f t="shared" si="3"/>
        <v>6.2903705171273145</v>
      </c>
      <c r="E13" s="127">
        <f t="shared" si="0"/>
        <v>5.9300666557045804E-3</v>
      </c>
      <c r="F13" s="12">
        <f>C13/Clock_by_Rydberg!F$26*POWER(12,16)</f>
        <v>930225.20126567094</v>
      </c>
      <c r="G13" s="127">
        <f t="shared" si="1"/>
        <v>19.827220499709473</v>
      </c>
      <c r="H13" s="390"/>
    </row>
    <row r="14" spans="1:8" x14ac:dyDescent="0.25">
      <c r="A14" s="395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27">
        <f t="shared" si="3"/>
        <v>6.2948333369764455</v>
      </c>
      <c r="E14" s="127">
        <v>0</v>
      </c>
      <c r="F14" s="12">
        <f>C14/Clock_by_Rydberg!F$26*POWER(12,16)</f>
        <v>926409.44277863309</v>
      </c>
      <c r="G14" s="127">
        <f t="shared" si="1"/>
        <v>19.821290433053768</v>
      </c>
      <c r="H14" s="391" t="s">
        <v>1167</v>
      </c>
    </row>
    <row r="15" spans="1:8" x14ac:dyDescent="0.25">
      <c r="A15" s="395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27">
        <f t="shared" si="3"/>
        <v>7.2639334670570079</v>
      </c>
      <c r="E15" s="127">
        <f>-2*LOG(B15/B$14,2)</f>
        <v>-1.2877123795494494</v>
      </c>
      <c r="F15" s="12">
        <f>C15/Clock_by_Rydberg!F$26*POWER(12,16)</f>
        <v>379457.30776212807</v>
      </c>
      <c r="G15" s="127">
        <f t="shared" si="1"/>
        <v>18.533578053504318</v>
      </c>
      <c r="H15" s="390"/>
    </row>
    <row r="16" spans="1:8" ht="12" thickBot="1" x14ac:dyDescent="0.3">
      <c r="A16" s="431">
        <f t="shared" si="4"/>
        <v>61600.106149431929</v>
      </c>
      <c r="B16" s="396">
        <f>B$14*SQRT(F$14)</f>
        <v>5.8278200136214256E+20</v>
      </c>
      <c r="C16" s="396">
        <f t="shared" si="2"/>
        <v>8.4342899822374644E-15</v>
      </c>
      <c r="D16" s="130">
        <f t="shared" si="3"/>
        <v>21.211840769768173</v>
      </c>
      <c r="E16" s="130">
        <f>-2*LOG(B16/B$14,2)</f>
        <v>-19.821290433053768</v>
      </c>
      <c r="F16" s="396">
        <f>C16/Clock_by_Rydberg!F$26*POWER(12,16)</f>
        <v>0.99999999999999978</v>
      </c>
      <c r="G16" s="130">
        <f t="shared" si="1"/>
        <v>0</v>
      </c>
      <c r="H16" s="392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123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279"/>
      <c r="J3" s="8">
        <v>-3</v>
      </c>
      <c r="K3" s="58">
        <f>F3/POWER(10,J3)</f>
        <v>273.04381743412307</v>
      </c>
      <c r="L3" s="118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123">
        <f>D$3/D$35</f>
        <v>3.0501708619960013E-16</v>
      </c>
      <c r="E4" s="8">
        <v>14</v>
      </c>
      <c r="F4" s="21">
        <f t="shared" si="0"/>
        <v>0.39161706897455911</v>
      </c>
      <c r="G4" s="21"/>
      <c r="H4" s="253"/>
      <c r="I4" s="280"/>
      <c r="J4" s="8">
        <v>-3</v>
      </c>
      <c r="K4" s="58">
        <f t="shared" ref="K4:K30" si="1">F4/POWER(10,J4)</f>
        <v>391.61706897455912</v>
      </c>
      <c r="L4" s="118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278"/>
      <c r="J5" s="8">
        <v>-3</v>
      </c>
      <c r="K5" s="58">
        <f t="shared" si="1"/>
        <v>63.922230758907624</v>
      </c>
      <c r="L5" s="118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2">
        <v>-8</v>
      </c>
      <c r="F6" s="135">
        <f t="shared" si="0"/>
        <v>5.8239667352465121E-5</v>
      </c>
      <c r="G6" s="21"/>
      <c r="H6" s="21"/>
      <c r="I6" s="278"/>
      <c r="J6" s="132">
        <v>-6</v>
      </c>
      <c r="K6" s="136">
        <f t="shared" si="1"/>
        <v>58.239667352465126</v>
      </c>
      <c r="L6" s="133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278"/>
      <c r="J8" s="8">
        <v>-3</v>
      </c>
      <c r="K8" s="58">
        <f t="shared" si="1"/>
        <v>131.49536759708465</v>
      </c>
      <c r="L8" s="118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278"/>
      <c r="J9" s="8">
        <v>-3</v>
      </c>
      <c r="K9" s="58">
        <f t="shared" si="1"/>
        <v>163.22636530191753</v>
      </c>
      <c r="L9" s="118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278"/>
      <c r="J10" s="8">
        <v>-3</v>
      </c>
      <c r="K10" s="58">
        <f t="shared" si="1"/>
        <v>234.10978999489726</v>
      </c>
      <c r="L10" s="118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278"/>
      <c r="J11" s="8">
        <v>0</v>
      </c>
      <c r="K11" s="58">
        <f t="shared" si="1"/>
        <v>3.1401824422611879</v>
      </c>
      <c r="L11" s="118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278"/>
      <c r="J13" s="8">
        <v>-3</v>
      </c>
      <c r="K13" s="58">
        <f t="shared" si="1"/>
        <v>73.787841040660055</v>
      </c>
      <c r="L13" s="118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278"/>
      <c r="J14" s="8">
        <v>-3</v>
      </c>
      <c r="K14" s="58">
        <f t="shared" si="1"/>
        <v>270.24175729033948</v>
      </c>
      <c r="L14" s="118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278"/>
      <c r="J15" s="8">
        <v>-3</v>
      </c>
      <c r="K15" s="58">
        <f t="shared" si="1"/>
        <v>387.59817343277041</v>
      </c>
      <c r="L15" s="118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278"/>
      <c r="J17" s="8">
        <v>0</v>
      </c>
      <c r="K17" s="58">
        <f t="shared" si="1"/>
        <v>2.2121038236092754</v>
      </c>
      <c r="L17" s="118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278"/>
      <c r="J18" s="8">
        <v>-3</v>
      </c>
      <c r="K18" s="58">
        <f t="shared" si="1"/>
        <v>13.062939327665111</v>
      </c>
      <c r="L18" s="118" t="str">
        <f>Rydberg!L18</f>
        <v>mF</v>
      </c>
      <c r="M18" s="115"/>
      <c r="N18" s="116">
        <f t="shared" si="2"/>
        <v>23.792996249945343</v>
      </c>
      <c r="O18" s="76"/>
      <c r="P18" s="117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278"/>
      <c r="J20" s="8">
        <v>0</v>
      </c>
      <c r="K20" s="58">
        <f t="shared" si="1"/>
        <v>11.619900912972053</v>
      </c>
      <c r="L20" s="118" t="str">
        <f>Rydberg!L20</f>
        <v>T</v>
      </c>
      <c r="M20" s="115"/>
      <c r="N20" s="116">
        <f t="shared" si="2"/>
        <v>-13.452711062994702</v>
      </c>
      <c r="O20" s="76"/>
      <c r="P20" s="117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281"/>
      <c r="J21" s="30">
        <v>0</v>
      </c>
      <c r="K21" s="59">
        <f t="shared" si="1"/>
        <v>11.740384370263861</v>
      </c>
      <c r="L21" s="119" t="str">
        <f>Rydberg!L21</f>
        <v>H</v>
      </c>
      <c r="M21" s="115"/>
      <c r="N21" s="116">
        <f t="shared" si="2"/>
        <v>-13.509288739095346</v>
      </c>
      <c r="O21" s="76"/>
      <c r="P21" s="117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278"/>
      <c r="J22" s="8">
        <v>0</v>
      </c>
      <c r="K22" s="58">
        <f t="shared" si="1"/>
        <v>2.553514847088965</v>
      </c>
      <c r="L22" s="118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278"/>
      <c r="J23" s="8">
        <v>0</v>
      </c>
      <c r="K23" s="58">
        <f t="shared" si="1"/>
        <v>115.37422845659673</v>
      </c>
      <c r="L23" s="118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58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278"/>
      <c r="J24" s="8">
        <v>0</v>
      </c>
      <c r="K24" s="58">
        <f t="shared" si="1"/>
        <v>115.37422845659673</v>
      </c>
      <c r="L24" s="118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278"/>
      <c r="J25" s="8">
        <v>0</v>
      </c>
      <c r="K25" s="58">
        <f t="shared" si="1"/>
        <v>9.1811893821404915</v>
      </c>
      <c r="L25" s="118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278"/>
      <c r="J26" s="8">
        <v>3</v>
      </c>
      <c r="K26" s="58">
        <f t="shared" si="1"/>
        <v>1.5475479538755421</v>
      </c>
      <c r="L26" s="118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278"/>
      <c r="J27" s="8">
        <v>0</v>
      </c>
      <c r="K27" s="58">
        <f t="shared" si="1"/>
        <v>337.08341344202046</v>
      </c>
      <c r="L27" s="118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278"/>
      <c r="J28" s="8">
        <v>0</v>
      </c>
      <c r="K28" s="58">
        <f t="shared" si="1"/>
        <v>2.553514847088965</v>
      </c>
      <c r="L28" s="118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275">
        <f t="shared" si="18"/>
        <v>3.4580088047260205E-3</v>
      </c>
      <c r="I34" s="278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275">
        <f t="shared" si="18"/>
        <v>9.9986685597741598E-13</v>
      </c>
      <c r="I36" s="278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1.000088900582341E-12</v>
      </c>
      <c r="I37" s="278"/>
      <c r="J37" s="131">
        <v>-24</v>
      </c>
      <c r="K37" s="61">
        <f>F37/POWER(12,J37)+0.000000000001</f>
        <v>1.0000000000010001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275">
        <f t="shared" si="18"/>
        <v>3.8955801289535241E-3</v>
      </c>
      <c r="I39" s="278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275">
        <f t="shared" si="18"/>
        <v>0</v>
      </c>
      <c r="I40" s="278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275">
        <f t="shared" si="18"/>
        <v>-4.8361116754470745E-2</v>
      </c>
      <c r="I42" s="278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275">
        <f t="shared" ref="H43" si="33">K43*POWER(12,I43)/ROUND(K43*POWER(12,I43),0)-1</f>
        <v>1.1200393067736236E-2</v>
      </c>
      <c r="I43" s="278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275">
        <f t="shared" si="18"/>
        <v>2.3482719543121755E-2</v>
      </c>
      <c r="I44" s="278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276">
        <f t="shared" si="18"/>
        <v>4.9719540263253315E-3</v>
      </c>
      <c r="I45" s="284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275">
        <f t="shared" si="18"/>
        <v>-2.4767451330987011E-3</v>
      </c>
      <c r="I46" s="278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275">
        <f t="shared" si="18"/>
        <v>1.1673227649680262E-2</v>
      </c>
      <c r="I47" s="278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275">
        <f t="shared" si="18"/>
        <v>-1.3092733891673425E-2</v>
      </c>
      <c r="I48" s="278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275">
        <f t="shared" si="18"/>
        <v>1.2161959387599897E-3</v>
      </c>
      <c r="I50" s="278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275"/>
      <c r="I51" s="278"/>
      <c r="J51" s="131">
        <v>6</v>
      </c>
      <c r="K51" s="61">
        <f t="shared" si="31"/>
        <v>1.5707632867539312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275">
        <f>K52*POWER(12,I52)/ROUND(K52*POWER(12,I52),0)-1</f>
        <v>9.3878977730439406E-3</v>
      </c>
      <c r="I52" s="278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275"/>
      <c r="I53" s="278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294">
        <f t="shared" ref="H54:H62" si="114">K54*POWER(12,I54)/ROUND(K54*POWER(12,I54),0)-1</f>
        <v>7.5008592566943921E-2</v>
      </c>
      <c r="I54" s="295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275">
        <f t="shared" si="114"/>
        <v>-1.4404525661344314E-2</v>
      </c>
      <c r="I55" s="278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294">
        <f t="shared" si="114"/>
        <v>2.5339490983011803E-3</v>
      </c>
      <c r="I56" s="295"/>
      <c r="J56" s="131">
        <v>-1</v>
      </c>
      <c r="K56" s="61">
        <f t="shared" si="31"/>
        <v>6.0152036945898075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275">
        <f t="shared" si="114"/>
        <v>7.2691214406108706E-3</v>
      </c>
      <c r="I57" s="278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275">
        <f t="shared" si="114"/>
        <v>3.4898592201950684E-2</v>
      </c>
      <c r="I58" s="278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275">
        <f t="shared" si="114"/>
        <v>9.5640691235665543E-3</v>
      </c>
      <c r="I59" s="278"/>
      <c r="J59" s="38">
        <v>0</v>
      </c>
      <c r="K59" s="61">
        <f t="shared" si="31"/>
        <v>1.0095640691235666</v>
      </c>
      <c r="L59" s="254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275">
        <f t="shared" si="114"/>
        <v>1.0583482271439903E-2</v>
      </c>
      <c r="I60" s="278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276">
        <f t="shared" si="114"/>
        <v>-1.2102671152942612E-3</v>
      </c>
      <c r="I61" s="284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276">
        <f t="shared" si="114"/>
        <v>3.4825983062658494E-4</v>
      </c>
      <c r="I62" s="284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296">
        <f t="shared" ref="H63" si="115">K63*POWER(12,I63)/ROUND(K63*POWER(12,I63),0)-1</f>
        <v>-8.1962750130998074E-2</v>
      </c>
      <c r="I63" s="297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275"/>
      <c r="I64" s="278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275"/>
      <c r="I65" s="278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275">
        <f t="shared" ref="H66" si="116">K66*POWER(12,I66)/ROUND(K66*POWER(12,I66),0)-1</f>
        <v>2.2313888666172454E-2</v>
      </c>
      <c r="I66" s="278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275"/>
      <c r="I67" s="278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275"/>
      <c r="I68" s="281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275"/>
      <c r="I69" s="281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 x14ac:dyDescent="0.3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285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285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285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285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285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285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146"/>
        <v>1;07X1163X8</v>
      </c>
      <c r="H83" s="108"/>
      <c r="I83" s="286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146"/>
        <v>1;09019E9995E</v>
      </c>
      <c r="H84" s="108"/>
      <c r="I84" s="286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146"/>
        <v>1;001XXX0E449</v>
      </c>
      <c r="H85" s="108"/>
      <c r="I85" s="286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46"/>
        <v>0;EX08X990X0X8</v>
      </c>
      <c r="H86" s="108"/>
      <c r="I86" s="286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146"/>
        <v>4;68X10E696900</v>
      </c>
      <c r="H87" s="108"/>
      <c r="I87" s="286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287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37" t="str">
        <f t="shared" ref="G90" si="147">M90&amp;";"&amp;O90&amp;Q90&amp;S90&amp;U90&amp;W90&amp;Y90&amp;AA90&amp;AC90&amp;AE90&amp;AG90&amp;AI90&amp;AK90</f>
        <v>1;00504673324</v>
      </c>
      <c r="H90" s="37"/>
      <c r="I90" s="285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0.96627824941988083</v>
      </c>
      <c r="E92" s="8">
        <v>7</v>
      </c>
      <c r="F92" s="21">
        <f>D92</f>
        <v>0.96627824941988083</v>
      </c>
      <c r="G92" s="37" t="str">
        <f t="shared" ref="G92:G93" si="173">M92&amp;";"&amp;O92&amp;Q92&amp;S92&amp;U92&amp;W92&amp;Y92&amp;AA92&amp;AC92&amp;AE92&amp;AG92&amp;AI92&amp;AK92</f>
        <v>0;E7188E5</v>
      </c>
      <c r="H92" s="37"/>
      <c r="I92" s="285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211473217246261.94</v>
      </c>
      <c r="G93" s="37" t="str">
        <f t="shared" si="173"/>
        <v>1;E874E15</v>
      </c>
      <c r="H93" s="37"/>
      <c r="I93" s="285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546417476946198.56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1232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70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279"/>
      <c r="J3" s="8">
        <f>FLOOR(LOG(F3,1000),1)*3</f>
        <v>-36</v>
      </c>
      <c r="K3" s="58">
        <f>F3/POWER(10,J3)</f>
        <v>95.617360022251518</v>
      </c>
      <c r="L3" s="118"/>
      <c r="M3" s="506">
        <f>ROUND(LOG(F3/Clock_by_Rydberg!F3)/LOG(12),0)</f>
        <v>-31</v>
      </c>
      <c r="N3" s="268">
        <f>FLOOR(M3,8)/8</f>
        <v>-4</v>
      </c>
      <c r="O3" s="268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70">
        <f>D$3/D$35</f>
        <v>3.1894518181058281E-43</v>
      </c>
      <c r="E4" s="8">
        <v>0</v>
      </c>
      <c r="F4" s="21">
        <f t="shared" si="0"/>
        <v>3.1894518181058281E-43</v>
      </c>
      <c r="G4" s="460">
        <f>(F4*POWER(12,39-M2/2)/SQRT(D36/Rydberg!D36)-Clock!F4)*(365+31/128)*128*12*12*12/60</f>
        <v>29.800919207778851</v>
      </c>
      <c r="H4" s="253"/>
      <c r="I4" s="280"/>
      <c r="J4" s="8">
        <f t="shared" ref="J4:J30" si="1">FLOOR(LOG(F4,1000),1)*3</f>
        <v>-45</v>
      </c>
      <c r="K4" s="58">
        <f t="shared" ref="K4:K30" si="2">F4/POWER(10,J4)</f>
        <v>318.94518181058277</v>
      </c>
      <c r="L4" s="118"/>
      <c r="M4" s="506">
        <f>ROUND(LOG(F4/Clock_by_Rydberg!F4)/LOG(12),0)</f>
        <v>-39</v>
      </c>
      <c r="N4" s="268">
        <f t="shared" ref="N4:N30" si="3">FLOOR(M4,8)/8</f>
        <v>-5</v>
      </c>
      <c r="O4" s="268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278"/>
      <c r="J5" s="8">
        <f t="shared" si="1"/>
        <v>6</v>
      </c>
      <c r="K5" s="58">
        <f t="shared" si="2"/>
        <v>330.64359022871076</v>
      </c>
      <c r="L5" s="118" t="s">
        <v>1227</v>
      </c>
      <c r="M5" s="506">
        <f>ROUND(LOG(F5/Clock_by_Rydberg!F5)/LOG(12),0)</f>
        <v>9</v>
      </c>
      <c r="N5" s="268">
        <f t="shared" si="3"/>
        <v>1</v>
      </c>
      <c r="O5" s="268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8">
        <v>0</v>
      </c>
      <c r="F6" s="21">
        <f t="shared" si="0"/>
        <v>2.3948426079413085E+31</v>
      </c>
      <c r="G6" s="21"/>
      <c r="H6" s="21"/>
      <c r="I6" s="278"/>
      <c r="J6" s="8">
        <f t="shared" si="1"/>
        <v>30</v>
      </c>
      <c r="K6" s="58">
        <f t="shared" si="2"/>
        <v>23.948426079413085</v>
      </c>
      <c r="L6" s="118"/>
      <c r="M6" s="506">
        <f>ROUND(LOG(F6/Clock_by_Rydberg!F6)/LOG(12),0)</f>
        <v>33</v>
      </c>
      <c r="N6" s="268">
        <f t="shared" si="3"/>
        <v>4</v>
      </c>
      <c r="O6" s="268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/>
      <c r="M7" s="506">
        <f>ROUND(LOG(F7/Clock_by_Rydberg!F7)/LOG(12),0)</f>
        <v>-24</v>
      </c>
      <c r="N7" s="268">
        <f t="shared" si="3"/>
        <v>-3</v>
      </c>
      <c r="O7" s="268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278"/>
      <c r="J8" s="8">
        <f t="shared" si="1"/>
        <v>-9</v>
      </c>
      <c r="K8" s="58">
        <f t="shared" si="2"/>
        <v>3.6789060920174466</v>
      </c>
      <c r="L8" s="118" t="s">
        <v>576</v>
      </c>
      <c r="M8" s="506">
        <f>ROUND(LOG(F8/Clock_by_Rydberg!F8)/LOG(12),0)</f>
        <v>-7</v>
      </c>
      <c r="N8" s="268">
        <f t="shared" si="3"/>
        <v>-1</v>
      </c>
      <c r="O8" s="268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278"/>
      <c r="J9" s="8">
        <f t="shared" si="1"/>
        <v>51</v>
      </c>
      <c r="K9" s="58">
        <f t="shared" si="2"/>
        <v>1.0366784296653069</v>
      </c>
      <c r="L9" s="118"/>
      <c r="M9" s="506">
        <f>ROUND(LOG(F9/Clock_by_Rydberg!F9)/LOG(12),0)</f>
        <v>48</v>
      </c>
      <c r="N9" s="268">
        <f t="shared" si="3"/>
        <v>6</v>
      </c>
      <c r="O9" s="268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278"/>
      <c r="J10" s="8">
        <f t="shared" si="1"/>
        <v>42</v>
      </c>
      <c r="K10" s="58">
        <f t="shared" si="2"/>
        <v>3.4579870240274917</v>
      </c>
      <c r="L10" s="118"/>
      <c r="M10" s="506">
        <f>ROUND(LOG(F10/Clock_by_Rydberg!F10)/LOG(12),0)</f>
        <v>40</v>
      </c>
      <c r="N10" s="268">
        <f t="shared" si="3"/>
        <v>5</v>
      </c>
      <c r="O10" s="268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278"/>
      <c r="J11" s="8">
        <f t="shared" si="1"/>
        <v>108</v>
      </c>
      <c r="K11" s="58">
        <f t="shared" si="2"/>
        <v>378.22467798382746</v>
      </c>
      <c r="L11" s="118"/>
      <c r="M11" s="506">
        <f>ROUND(LOG(F11/Clock_by_Rydberg!F11)/LOG(12),0)</f>
        <v>102</v>
      </c>
      <c r="N11" s="268">
        <f t="shared" si="3"/>
        <v>12</v>
      </c>
      <c r="O11" s="268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278"/>
      <c r="J12" s="8">
        <f t="shared" si="1"/>
        <v>-18</v>
      </c>
      <c r="K12" s="58">
        <f t="shared" si="2"/>
        <v>1.8755460225984497</v>
      </c>
      <c r="L12" s="118" t="s">
        <v>1228</v>
      </c>
      <c r="M12" s="506">
        <f>ROUND(LOG(F12/Clock_by_Rydberg!F12)/LOG(12),0)</f>
        <v>-15</v>
      </c>
      <c r="N12" s="268">
        <f t="shared" si="3"/>
        <v>-2</v>
      </c>
      <c r="O12" s="268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278"/>
      <c r="J13" s="8">
        <f t="shared" si="1"/>
        <v>24</v>
      </c>
      <c r="K13" s="58">
        <f t="shared" si="2"/>
        <v>5.8804651380885611</v>
      </c>
      <c r="L13" s="118" t="s">
        <v>1229</v>
      </c>
      <c r="M13" s="506">
        <f>ROUND(LOG(F13/Clock_by_Rydberg!F13)/LOG(12),0)</f>
        <v>24</v>
      </c>
      <c r="N13" s="268">
        <f t="shared" si="3"/>
        <v>3</v>
      </c>
      <c r="O13" s="268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278"/>
      <c r="J14" s="8">
        <f t="shared" si="1"/>
        <v>57</v>
      </c>
      <c r="K14" s="58">
        <f t="shared" si="2"/>
        <v>61.499973819817797</v>
      </c>
      <c r="L14" s="118"/>
      <c r="M14" s="506">
        <f>ROUND(LOG(F14/Clock_by_Rydberg!F14)/LOG(12),0)</f>
        <v>55</v>
      </c>
      <c r="N14" s="268">
        <f t="shared" si="3"/>
        <v>6</v>
      </c>
      <c r="O14" s="268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278"/>
      <c r="J15" s="8">
        <f t="shared" si="1"/>
        <v>48</v>
      </c>
      <c r="K15" s="58">
        <f t="shared" si="2"/>
        <v>205.14183121917557</v>
      </c>
      <c r="L15" s="118"/>
      <c r="M15" s="506">
        <f>ROUND(LOG(F15/Clock_by_Rydberg!F15)/LOG(12),0)</f>
        <v>47</v>
      </c>
      <c r="N15" s="268">
        <f t="shared" si="3"/>
        <v>5</v>
      </c>
      <c r="O15" s="268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506">
        <f>ROUND(LOG(F16/Clock_by_Rydberg!F16)/LOG(12),0)</f>
        <v>0</v>
      </c>
      <c r="N16" s="268">
        <f t="shared" si="3"/>
        <v>0</v>
      </c>
      <c r="O16" s="268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278"/>
      <c r="J17" s="8">
        <f t="shared" si="1"/>
        <v>24</v>
      </c>
      <c r="K17" s="58">
        <f t="shared" si="2"/>
        <v>176.29190979308794</v>
      </c>
      <c r="L17" s="118" t="s">
        <v>1230</v>
      </c>
      <c r="M17" s="506">
        <f>ROUND(LOG(F17/Clock_by_Rydberg!F17)/LOG(12),0)</f>
        <v>24</v>
      </c>
      <c r="N17" s="268">
        <f t="shared" si="3"/>
        <v>3</v>
      </c>
      <c r="O17" s="268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278"/>
      <c r="J18" s="8">
        <f t="shared" si="1"/>
        <v>-45</v>
      </c>
      <c r="K18" s="58">
        <f t="shared" si="2"/>
        <v>10.638866098845714</v>
      </c>
      <c r="L18" s="118"/>
      <c r="M18" s="506">
        <f>ROUND(LOG(F18/Clock_by_Rydberg!F18)/LOG(12),0)</f>
        <v>-39</v>
      </c>
      <c r="N18" s="268">
        <f t="shared" si="3"/>
        <v>-5</v>
      </c>
      <c r="O18" s="268">
        <f t="shared" si="4"/>
        <v>1</v>
      </c>
      <c r="P18" s="117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278"/>
      <c r="J19" s="8">
        <f t="shared" si="1"/>
        <v>-18</v>
      </c>
      <c r="K19" s="58">
        <f t="shared" si="2"/>
        <v>56.227455220691283</v>
      </c>
      <c r="L19" s="118" t="s">
        <v>786</v>
      </c>
      <c r="M19" s="506">
        <f>ROUND(LOG(F19/Clock_by_Rydberg!F19)/LOG(12),0)</f>
        <v>-15</v>
      </c>
      <c r="N19" s="268">
        <f t="shared" si="3"/>
        <v>-2</v>
      </c>
      <c r="O19" s="268">
        <f t="shared" si="4"/>
        <v>1</v>
      </c>
      <c r="P19" s="117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278"/>
      <c r="J20" s="8">
        <f t="shared" si="1"/>
        <v>51</v>
      </c>
      <c r="K20" s="58">
        <f t="shared" si="2"/>
        <v>6.1499973819817804</v>
      </c>
      <c r="L20" s="118"/>
      <c r="M20" s="506">
        <f>ROUND(LOG(F20/Clock_by_Rydberg!F20)/LOG(12),0)</f>
        <v>47</v>
      </c>
      <c r="N20" s="268">
        <f t="shared" si="3"/>
        <v>5</v>
      </c>
      <c r="O20" s="268">
        <f t="shared" si="4"/>
        <v>7</v>
      </c>
      <c r="P20" s="117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281"/>
      <c r="J21" s="8">
        <f t="shared" si="1"/>
        <v>-42</v>
      </c>
      <c r="K21" s="59">
        <f t="shared" si="2"/>
        <v>9.5617360022251532</v>
      </c>
      <c r="L21" s="119"/>
      <c r="M21" s="506">
        <f>ROUND(LOG(F21/Clock_by_Rydberg!F21)/LOG(12),0)</f>
        <v>-39</v>
      </c>
      <c r="N21" s="268">
        <f t="shared" si="3"/>
        <v>-5</v>
      </c>
      <c r="O21" s="268">
        <f t="shared" si="4"/>
        <v>1</v>
      </c>
      <c r="P21" s="117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278"/>
      <c r="J22" s="8">
        <f t="shared" si="1"/>
        <v>42</v>
      </c>
      <c r="K22" s="58">
        <f t="shared" si="2"/>
        <v>3.1353350262989279</v>
      </c>
      <c r="L22" s="118"/>
      <c r="M22" s="506">
        <f>ROUND(LOG(F22/Clock_by_Rydberg!F22)/LOG(12),0)</f>
        <v>39</v>
      </c>
      <c r="N22" s="268">
        <f t="shared" si="3"/>
        <v>4</v>
      </c>
      <c r="O22" s="268">
        <f t="shared" si="4"/>
        <v>7</v>
      </c>
      <c r="P22" s="83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278"/>
      <c r="J23" s="8">
        <f t="shared" si="1"/>
        <v>51</v>
      </c>
      <c r="K23" s="58">
        <f t="shared" si="2"/>
        <v>730.9465002519687</v>
      </c>
      <c r="L23" s="118"/>
      <c r="M23" s="506">
        <f>ROUND(LOG(F23/Clock_by_Rydberg!F23)/LOG(12),0)</f>
        <v>48</v>
      </c>
      <c r="N23" s="268">
        <f t="shared" si="3"/>
        <v>6</v>
      </c>
      <c r="O23" s="268">
        <f t="shared" si="4"/>
        <v>0</v>
      </c>
      <c r="P23" s="83"/>
      <c r="Q23" s="24"/>
      <c r="R23" s="258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278"/>
      <c r="J24" s="8">
        <f t="shared" si="1"/>
        <v>51</v>
      </c>
      <c r="K24" s="58">
        <f t="shared" si="2"/>
        <v>730.9465002519687</v>
      </c>
      <c r="L24" s="118"/>
      <c r="M24" s="506">
        <f>ROUND(LOG(F24/Clock_by_Rydberg!F24)/LOG(12),0)</f>
        <v>48</v>
      </c>
      <c r="N24" s="268">
        <f t="shared" si="3"/>
        <v>6</v>
      </c>
      <c r="O24" s="268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278"/>
      <c r="J25" s="8">
        <f t="shared" si="1"/>
        <v>51</v>
      </c>
      <c r="K25" s="58">
        <f t="shared" si="2"/>
        <v>58.166874325411065</v>
      </c>
      <c r="L25" s="118"/>
      <c r="M25" s="506">
        <f>ROUND(LOG(F25/Clock_by_Rydberg!F25)/LOG(12),0)</f>
        <v>48</v>
      </c>
      <c r="N25" s="268">
        <f t="shared" si="3"/>
        <v>6</v>
      </c>
      <c r="O25" s="268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278"/>
      <c r="J26" s="8">
        <f t="shared" si="1"/>
        <v>120</v>
      </c>
      <c r="K26" s="58">
        <f t="shared" si="2"/>
        <v>79.94882651676734</v>
      </c>
      <c r="L26" s="118"/>
      <c r="M26" s="506">
        <f>ROUND(LOG(F26/Clock_by_Rydberg!F26)/LOG(12),0)</f>
        <v>110</v>
      </c>
      <c r="N26" s="268">
        <f t="shared" si="3"/>
        <v>13</v>
      </c>
      <c r="O26" s="268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278"/>
      <c r="J27" s="8">
        <f t="shared" si="1"/>
        <v>18</v>
      </c>
      <c r="K27" s="58">
        <f t="shared" si="2"/>
        <v>5.2063462159881002</v>
      </c>
      <c r="L27" s="118" t="s">
        <v>1231</v>
      </c>
      <c r="M27" s="506">
        <f>ROUND(LOG(F27/Clock_by_Rydberg!F27)/LOG(12),0)</f>
        <v>15</v>
      </c>
      <c r="N27" s="268">
        <f t="shared" si="3"/>
        <v>1</v>
      </c>
      <c r="O27" s="268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278"/>
      <c r="J28" s="8">
        <f t="shared" si="1"/>
        <v>42</v>
      </c>
      <c r="K28" s="58">
        <f t="shared" si="2"/>
        <v>3.1353350262989279</v>
      </c>
      <c r="L28" s="118"/>
      <c r="M28" s="506">
        <f>ROUND(LOG(F28/Clock_by_Rydberg!F28)/LOG(12),0)</f>
        <v>39</v>
      </c>
      <c r="N28" s="268">
        <f t="shared" si="3"/>
        <v>4</v>
      </c>
      <c r="O28" s="268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506">
        <f>ROUND(LOG(F29/Clock_by_Rydberg!F29)/LOG(12),0)</f>
        <v>16</v>
      </c>
      <c r="N29" s="268">
        <f t="shared" si="3"/>
        <v>2</v>
      </c>
      <c r="O29" s="268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506">
        <f>ROUND(LOG(F30/Clock_by_Rydberg!F30)/LOG(12),0)</f>
        <v>16</v>
      </c>
      <c r="N30" s="268">
        <f t="shared" si="3"/>
        <v>2</v>
      </c>
      <c r="O30" s="268">
        <f t="shared" si="4"/>
        <v>0</v>
      </c>
      <c r="P30" s="114"/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275">
        <f t="shared" ref="H33:H50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275">
        <f t="shared" si="19"/>
        <v>9.7269906515018434E-4</v>
      </c>
      <c r="I34" s="278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275">
        <f t="shared" si="19"/>
        <v>0</v>
      </c>
      <c r="I35" s="278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 x14ac:dyDescent="0.25">
      <c r="A36" s="574"/>
      <c r="B36" s="3" t="str">
        <f>Rydberg!B36 &amp; "  "</f>
        <v xml:space="preserve">Quantum of action  </v>
      </c>
      <c r="C36" s="3" t="str">
        <f>Rydberg!C36</f>
        <v>Js</v>
      </c>
      <c r="D36" s="481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275">
        <f t="shared" si="19"/>
        <v>1.000088900582341E-12</v>
      </c>
      <c r="I36" s="278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275">
        <f t="shared" si="19"/>
        <v>1.000088900582341E-12</v>
      </c>
      <c r="I37" s="278"/>
      <c r="J37" s="131">
        <f t="shared" si="32"/>
        <v>0</v>
      </c>
      <c r="K37" s="61">
        <f>F37/POWER(12,J37)+0.000000000001</f>
        <v>1.0000000000010001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275">
        <f t="shared" si="19"/>
        <v>1.000088900582341E-12</v>
      </c>
      <c r="I38" s="278"/>
      <c r="J38" s="131">
        <v>0</v>
      </c>
      <c r="K38" s="61">
        <f>F38/POWER(12,J38)+0.000000000001</f>
        <v>1.0000000000010001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275">
        <f t="shared" si="19"/>
        <v>1.4091866367300643E-3</v>
      </c>
      <c r="I39" s="278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275">
        <f t="shared" si="19"/>
        <v>2.4828946302901667E-3</v>
      </c>
      <c r="I40" s="278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275">
        <f t="shared" si="19"/>
        <v>-5.0718083727016472E-2</v>
      </c>
      <c r="I42" s="278"/>
      <c r="J42" s="38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275">
        <f t="shared" ref="H43" si="35">K43*POWER(12,I43)/ROUND(K43*POWER(12,I43),0)-1</f>
        <v>8.6959074156183203E-3</v>
      </c>
      <c r="I43" s="278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275">
        <f t="shared" si="19"/>
        <v>2.8571428571428692E-2</v>
      </c>
      <c r="I44" s="278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276">
        <f t="shared" si="19"/>
        <v>3.4305891460917337E-13</v>
      </c>
      <c r="I45" s="284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275">
        <f t="shared" si="19"/>
        <v>0</v>
      </c>
      <c r="I46" s="278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275">
        <f t="shared" si="19"/>
        <v>1.4185105674219933E-2</v>
      </c>
      <c r="I47" s="278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275">
        <f t="shared" si="19"/>
        <v>-1.0642347140058628E-2</v>
      </c>
      <c r="I48" s="278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275">
        <f t="shared" si="19"/>
        <v>-1.303955989106409E-2</v>
      </c>
      <c r="I49" s="278"/>
      <c r="J49" s="131">
        <f t="shared" si="32"/>
        <v>-1</v>
      </c>
      <c r="K49" s="61">
        <f t="shared" si="33"/>
        <v>1.9739208802178718</v>
      </c>
      <c r="L49" s="134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275">
        <f t="shared" si="19"/>
        <v>-8.6660438698714648E-3</v>
      </c>
      <c r="I50" s="278"/>
      <c r="J50" s="38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275"/>
      <c r="I51" s="278"/>
      <c r="J51" s="131">
        <f t="shared" si="32"/>
        <v>-27</v>
      </c>
      <c r="K51" s="61">
        <f t="shared" si="33"/>
        <v>1.5668729064282136</v>
      </c>
      <c r="L51" s="134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275">
        <f>K52*POWER(12,I52)/ROUND(K52*POWER(12,I52),0)-1</f>
        <v>1.6925192516792142E-2</v>
      </c>
      <c r="I52" s="278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275"/>
      <c r="I53" s="278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294">
        <f t="shared" ref="H54:H63" si="62">K54*POWER(12,I54)/ROUND(K54*POWER(12,I54),0)-1</f>
        <v>6.4398004413078302E-2</v>
      </c>
      <c r="I54" s="295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275">
        <f t="shared" si="62"/>
        <v>-2.4132585266477324E-2</v>
      </c>
      <c r="I55" s="278"/>
      <c r="J55" s="38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294">
        <f t="shared" si="62"/>
        <v>5.0231352572012167E-3</v>
      </c>
      <c r="I56" s="295"/>
      <c r="J56" s="131">
        <f t="shared" si="32"/>
        <v>16</v>
      </c>
      <c r="K56" s="61">
        <f t="shared" si="33"/>
        <v>6.0301388115432069</v>
      </c>
      <c r="L56" s="134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275">
        <f t="shared" si="62"/>
        <v>-1.9660397404264174E-4</v>
      </c>
      <c r="I57" s="278"/>
      <c r="J57" s="38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275">
        <f t="shared" si="62"/>
        <v>3.2335412150463982E-2</v>
      </c>
      <c r="I58" s="278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275">
        <f t="shared" si="62"/>
        <v>7.0636362288134524E-3</v>
      </c>
      <c r="I59" s="278"/>
      <c r="J59" s="38">
        <f t="shared" si="32"/>
        <v>-24</v>
      </c>
      <c r="K59" s="61">
        <f t="shared" si="33"/>
        <v>1.0070636362288135</v>
      </c>
      <c r="L59" s="254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275">
        <f t="shared" si="62"/>
        <v>-1.8694677995946263E-3</v>
      </c>
      <c r="I60" s="278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276">
        <f t="shared" si="62"/>
        <v>1.2696225492738744E-3</v>
      </c>
      <c r="I61" s="284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276">
        <f t="shared" si="62"/>
        <v>-6.022187687942937E-4</v>
      </c>
      <c r="I62" s="284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296">
        <f t="shared" si="62"/>
        <v>9.8916206694062758E-2</v>
      </c>
      <c r="I63" s="297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275"/>
      <c r="I64" s="278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275"/>
      <c r="I65" s="278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275">
        <f t="shared" ref="H66" si="63">K66*POWER(12,I66)/ROUND(K66*POWER(12,I66),0)-1</f>
        <v>2.4852186330812875E-2</v>
      </c>
      <c r="I66" s="278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275"/>
      <c r="I67" s="278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275"/>
      <c r="I68" s="281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275"/>
      <c r="I69" s="281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 x14ac:dyDescent="0.3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275"/>
      <c r="I70" s="281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285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285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285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285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285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285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3"/>
        <v>1;07X1163X8</v>
      </c>
      <c r="H83" s="108"/>
      <c r="I83" s="286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3"/>
        <v>1;09019E9995E</v>
      </c>
      <c r="H84" s="108"/>
      <c r="I84" s="286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3"/>
        <v>1;001XXX0E449</v>
      </c>
      <c r="H85" s="108"/>
      <c r="I85" s="286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3"/>
        <v>0;EX08X990X0X8</v>
      </c>
      <c r="H86" s="108"/>
      <c r="I86" s="286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3"/>
        <v>4;68X10E696900</v>
      </c>
      <c r="H87" s="108"/>
      <c r="I87" s="286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287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37" t="str">
        <f t="shared" ref="G90" si="94">M90&amp;";"&amp;O90&amp;Q90&amp;S90&amp;U90&amp;W90&amp;Y90&amp;AA90&amp;AC90&amp;AE90&amp;AG90&amp;AI90&amp;AK90</f>
        <v>1;0009</v>
      </c>
      <c r="H90" s="37"/>
      <c r="I90" s="285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0.96867741649673156</v>
      </c>
      <c r="E92" s="8">
        <v>7</v>
      </c>
      <c r="F92" s="21">
        <f>D92</f>
        <v>0.96867741649673156</v>
      </c>
      <c r="G92" s="37" t="str">
        <f t="shared" ref="G92:G93" si="120">M92&amp;";"&amp;O92&amp;Q92&amp;S92&amp;U92&amp;W92&amp;Y92&amp;AA92&amp;AC92&amp;AE92&amp;AG92&amp;AI92&amp;AK92</f>
        <v>0;E75X5E3</v>
      </c>
      <c r="H92" s="37"/>
      <c r="I92" s="285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4</v>
      </c>
      <c r="F93" s="21">
        <f>D93/F22</f>
        <v>1.722303981777147E-28</v>
      </c>
      <c r="G93" s="37" t="str">
        <f t="shared" si="120"/>
        <v>1;E7XE</v>
      </c>
      <c r="H93" s="37"/>
      <c r="I93" s="285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6.7091908880199866E+56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D96" s="444">
        <f>D$6*POWER(12,-27)-273.15</f>
        <v>-98.815503003248892</v>
      </c>
      <c r="E96" s="14" t="s">
        <v>1233</v>
      </c>
      <c r="F96" s="14" t="s">
        <v>1234</v>
      </c>
      <c r="I96" s="14"/>
    </row>
    <row r="97" spans="2:9" x14ac:dyDescent="0.25">
      <c r="D97" s="444">
        <f>2*D$6*POWER(12,-27)-273.15</f>
        <v>75.518993993502193</v>
      </c>
      <c r="E97" s="14" t="s">
        <v>1233</v>
      </c>
      <c r="F97" s="14" t="s">
        <v>1235</v>
      </c>
      <c r="I97" s="14"/>
    </row>
    <row r="98" spans="2:9" x14ac:dyDescent="0.25">
      <c r="D98" s="444">
        <f>D$6*POWER(12,-26)-273.15</f>
        <v>1818.8639639610128</v>
      </c>
      <c r="E98" s="14" t="s">
        <v>1233</v>
      </c>
      <c r="F98" s="14" t="s">
        <v>1236</v>
      </c>
      <c r="I98" s="14"/>
    </row>
    <row r="99" spans="2:9" x14ac:dyDescent="0.25">
      <c r="D99" s="444">
        <f>3*D$6*POWER(12,-26)-273.15</f>
        <v>6002.8918918830386</v>
      </c>
      <c r="E99" s="14" t="s">
        <v>1233</v>
      </c>
      <c r="F99" s="14" t="s">
        <v>1237</v>
      </c>
      <c r="I99" s="14"/>
    </row>
    <row r="100" spans="2:9" x14ac:dyDescent="0.25">
      <c r="D100" s="444"/>
      <c r="I100" s="14"/>
    </row>
    <row r="101" spans="2:9" ht="22.3" x14ac:dyDescent="0.25">
      <c r="B101" s="580" t="s">
        <v>1326</v>
      </c>
      <c r="C101" s="580"/>
      <c r="D101" s="580"/>
      <c r="E101" s="580"/>
      <c r="F101" s="580"/>
      <c r="G101" s="580"/>
      <c r="H101" s="580"/>
      <c r="I101" s="14"/>
    </row>
    <row r="102" spans="2:9" x14ac:dyDescent="0.25">
      <c r="D102" s="444"/>
      <c r="I102" s="14"/>
    </row>
    <row r="103" spans="2:9" s="437" customFormat="1" ht="26.15" x14ac:dyDescent="0.25">
      <c r="B103" s="581" t="s">
        <v>1638</v>
      </c>
      <c r="C103" s="581"/>
      <c r="D103" s="581"/>
      <c r="E103" s="581"/>
      <c r="F103" s="581"/>
      <c r="G103" s="581"/>
      <c r="H103" s="581"/>
    </row>
    <row r="104" spans="2:9" x14ac:dyDescent="0.25">
      <c r="D104" s="444"/>
      <c r="I104" s="14"/>
    </row>
    <row r="105" spans="2:9" x14ac:dyDescent="0.25">
      <c r="D105" s="444"/>
      <c r="I105" s="14"/>
    </row>
    <row r="106" spans="2:9" x14ac:dyDescent="0.25">
      <c r="D106" s="444"/>
      <c r="I106" s="14"/>
    </row>
    <row r="107" spans="2:9" x14ac:dyDescent="0.25">
      <c r="D107" s="444"/>
      <c r="I107" s="14"/>
    </row>
    <row r="108" spans="2:9" x14ac:dyDescent="0.25">
      <c r="D108" s="444"/>
      <c r="I108" s="14"/>
    </row>
    <row r="109" spans="2:9" x14ac:dyDescent="0.25">
      <c r="I109" s="14"/>
    </row>
    <row r="110" spans="2:9" x14ac:dyDescent="0.25">
      <c r="B110" s="452" t="s">
        <v>1258</v>
      </c>
      <c r="C110" s="579" t="s">
        <v>1259</v>
      </c>
      <c r="D110" s="579"/>
      <c r="E110" s="579" t="s">
        <v>1260</v>
      </c>
      <c r="F110" s="579"/>
      <c r="G110" s="579"/>
      <c r="H110" s="450" t="s">
        <v>1262</v>
      </c>
      <c r="I110" s="14"/>
    </row>
    <row r="111" spans="2:9" x14ac:dyDescent="0.25">
      <c r="B111" s="8" t="str">
        <f>B54</f>
        <v>Maximum density of water</v>
      </c>
      <c r="C111" s="447">
        <f>$K54</f>
        <v>1.0643980044130783</v>
      </c>
      <c r="D111" s="449">
        <f>$J54</f>
        <v>-84</v>
      </c>
      <c r="E111" s="578" t="s">
        <v>1548</v>
      </c>
      <c r="F111" s="578"/>
      <c r="G111" s="578"/>
      <c r="H111" s="451" t="str">
        <f>DEC2OCT(ABS(D111))</f>
        <v>124</v>
      </c>
      <c r="I111" s="14"/>
    </row>
    <row r="112" spans="2:9" x14ac:dyDescent="0.25">
      <c r="B112" s="458">
        <f>$C112*D$6*POWER(12,-26)-273.15</f>
        <v>6002.8918918830386</v>
      </c>
      <c r="C112" s="447">
        <v>3</v>
      </c>
      <c r="D112" s="449">
        <v>-26</v>
      </c>
      <c r="E112" s="578" t="s">
        <v>1544</v>
      </c>
      <c r="F112" s="578"/>
      <c r="G112" s="578"/>
      <c r="H112" s="451" t="str">
        <f t="shared" ref="H112:H123" si="146">DEC2OCT(ABS(D112))</f>
        <v>32</v>
      </c>
      <c r="I112" s="14"/>
    </row>
    <row r="113" spans="2:9" x14ac:dyDescent="0.25">
      <c r="B113" s="8" t="str">
        <f>B34</f>
        <v>Rydberg constant</v>
      </c>
      <c r="C113" s="447">
        <f>$K34</f>
        <v>1.0009726990651502</v>
      </c>
      <c r="D113" s="449">
        <f>$J34</f>
        <v>-25</v>
      </c>
      <c r="E113" s="578" t="s">
        <v>1545</v>
      </c>
      <c r="F113" s="578"/>
      <c r="G113" s="578"/>
      <c r="H113" s="451" t="str">
        <f t="shared" si="146"/>
        <v>31</v>
      </c>
      <c r="I113" s="14"/>
    </row>
    <row r="114" spans="2:9" x14ac:dyDescent="0.25">
      <c r="B114" s="8" t="s">
        <v>1273</v>
      </c>
      <c r="C114" s="447">
        <f>$K58</f>
        <v>1.032335412150464</v>
      </c>
      <c r="D114" s="449">
        <f>$J58</f>
        <v>-25</v>
      </c>
      <c r="E114" s="578" t="s">
        <v>1545</v>
      </c>
      <c r="F114" s="578"/>
      <c r="G114" s="578"/>
      <c r="H114" s="451" t="str">
        <f t="shared" ref="H114" si="147">DEC2OCT(ABS(D114))</f>
        <v>31</v>
      </c>
      <c r="I114" s="14"/>
    </row>
    <row r="115" spans="2:9" x14ac:dyDescent="0.25">
      <c r="B115" s="8" t="str">
        <f>B42</f>
        <v>Electron mass</v>
      </c>
      <c r="C115" s="447">
        <f>$K42</f>
        <v>0.94928191627298353</v>
      </c>
      <c r="D115" s="449">
        <f>$J42</f>
        <v>-20</v>
      </c>
      <c r="E115" s="578" t="s">
        <v>1549</v>
      </c>
      <c r="F115" s="578"/>
      <c r="G115" s="578"/>
      <c r="H115" s="451" t="str">
        <f t="shared" ref="H115" si="148">DEC2OCT(ABS(D115))</f>
        <v>24</v>
      </c>
      <c r="I115" s="14"/>
    </row>
    <row r="116" spans="2:9" x14ac:dyDescent="0.25">
      <c r="B116" s="8" t="str">
        <f>B39</f>
        <v>Unified atomic mass unit</v>
      </c>
      <c r="C116" s="447">
        <f>$K39</f>
        <v>1.0014091866367301</v>
      </c>
      <c r="D116" s="449">
        <f>$J39</f>
        <v>-17</v>
      </c>
      <c r="E116" s="578" t="s">
        <v>1261</v>
      </c>
      <c r="F116" s="578"/>
      <c r="G116" s="578"/>
      <c r="H116" s="451" t="str">
        <f t="shared" si="146"/>
        <v>21</v>
      </c>
      <c r="I116" s="14"/>
    </row>
    <row r="117" spans="2:9" x14ac:dyDescent="0.25">
      <c r="B117" s="21" t="str">
        <f>B32</f>
        <v>Fine Structure Constant</v>
      </c>
      <c r="C117" s="447">
        <f>$K32</f>
        <v>1.0508187695616</v>
      </c>
      <c r="D117" s="449">
        <f>$J32</f>
        <v>-2</v>
      </c>
      <c r="E117" s="578" t="s">
        <v>1546</v>
      </c>
      <c r="F117" s="578"/>
      <c r="G117" s="578"/>
      <c r="H117" s="451" t="str">
        <f t="shared" ref="H117" si="149">DEC2OCT(ABS(D117))</f>
        <v>2</v>
      </c>
      <c r="I117" s="14"/>
    </row>
    <row r="118" spans="2:9" x14ac:dyDescent="0.25">
      <c r="B118" s="8" t="str">
        <f>B41</f>
        <v>Elementary electric charge</v>
      </c>
      <c r="C118" s="447">
        <f>$K41</f>
        <v>1.025094517379544</v>
      </c>
      <c r="D118" s="449">
        <f>$J41</f>
        <v>-1</v>
      </c>
      <c r="E118" s="578" t="s">
        <v>1547</v>
      </c>
      <c r="F118" s="578"/>
      <c r="G118" s="578"/>
      <c r="H118" s="451" t="str">
        <f t="shared" si="146"/>
        <v>1</v>
      </c>
      <c r="I118" s="14"/>
    </row>
    <row r="119" spans="2:9" x14ac:dyDescent="0.25">
      <c r="B119" s="8" t="str">
        <f>B47</f>
        <v>Planck length</v>
      </c>
      <c r="C119" s="447">
        <f>$K47</f>
        <v>2.0283702113484399</v>
      </c>
      <c r="D119" s="449">
        <f>$J47</f>
        <v>-1</v>
      </c>
      <c r="E119" s="578" t="s">
        <v>1280</v>
      </c>
      <c r="F119" s="578"/>
      <c r="G119" s="578"/>
      <c r="H119" s="451" t="str">
        <f t="shared" si="146"/>
        <v>1</v>
      </c>
      <c r="I119" s="14"/>
    </row>
    <row r="120" spans="2:9" x14ac:dyDescent="0.25">
      <c r="B120" s="8" t="str">
        <f>B40</f>
        <v>Bohr Radius</v>
      </c>
      <c r="C120" s="447">
        <f>$K40</f>
        <v>1.0024828946302902</v>
      </c>
      <c r="D120" s="449">
        <f>$J40</f>
        <v>22</v>
      </c>
      <c r="E120" s="578" t="s">
        <v>1550</v>
      </c>
      <c r="F120" s="578"/>
      <c r="G120" s="578"/>
      <c r="H120" s="451" t="str">
        <f t="shared" si="146"/>
        <v>26</v>
      </c>
      <c r="I120" s="14"/>
    </row>
    <row r="121" spans="2:9" x14ac:dyDescent="0.25">
      <c r="B121" s="8" t="s">
        <v>1264</v>
      </c>
      <c r="C121" s="448">
        <f>86400/128/($D4*POWER(12,42))</f>
        <v>0.99994334194967516</v>
      </c>
      <c r="D121" s="449">
        <v>42</v>
      </c>
      <c r="E121" s="578" t="s">
        <v>1637</v>
      </c>
      <c r="F121" s="578"/>
      <c r="G121" s="578"/>
      <c r="H121" s="451" t="str">
        <f t="shared" si="146"/>
        <v>52</v>
      </c>
      <c r="I121" s="14"/>
    </row>
    <row r="122" spans="2:9" x14ac:dyDescent="0.25">
      <c r="B122" s="8" t="s">
        <v>1279</v>
      </c>
      <c r="C122" s="448">
        <f>4600000000*365.2422*86400/($D4*POWER(12,D122))</f>
        <v>2.0098698980308911</v>
      </c>
      <c r="D122" s="449">
        <v>55</v>
      </c>
      <c r="E122" s="578" t="s">
        <v>1636</v>
      </c>
      <c r="F122" s="578"/>
      <c r="G122" s="578"/>
      <c r="H122" s="451" t="str">
        <f t="shared" si="146"/>
        <v>67</v>
      </c>
      <c r="I122" s="14"/>
    </row>
    <row r="123" spans="2:9" x14ac:dyDescent="0.25">
      <c r="B123" s="8" t="s">
        <v>1436</v>
      </c>
      <c r="C123" s="448">
        <f>435.4*POWER(10,15)/($D4*POWER(12,D123))</f>
        <v>0.50236873158668049</v>
      </c>
      <c r="D123" s="449">
        <v>56</v>
      </c>
      <c r="E123" s="578" t="s">
        <v>1635</v>
      </c>
      <c r="F123" s="578"/>
      <c r="G123" s="578"/>
      <c r="H123" s="451" t="str">
        <f t="shared" si="146"/>
        <v>70</v>
      </c>
      <c r="I123" s="14"/>
    </row>
    <row r="124" spans="2:9" x14ac:dyDescent="0.25">
      <c r="I124" s="14"/>
    </row>
    <row r="125" spans="2:9" s="453" customFormat="1" ht="18" x14ac:dyDescent="0.25">
      <c r="D125" s="454" t="s">
        <v>1265</v>
      </c>
      <c r="E125" s="455"/>
      <c r="F125" s="456" t="s">
        <v>1263</v>
      </c>
      <c r="G125" s="457"/>
    </row>
    <row r="126" spans="2:9" x14ac:dyDescent="0.25">
      <c r="I126" s="14"/>
    </row>
    <row r="127" spans="2:9" x14ac:dyDescent="0.25">
      <c r="I127" s="14"/>
    </row>
    <row r="128" spans="2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</sheetData>
  <mergeCells count="21">
    <mergeCell ref="C110:D110"/>
    <mergeCell ref="A1:A30"/>
    <mergeCell ref="A31:A70"/>
    <mergeCell ref="J31:K31"/>
    <mergeCell ref="A71:A88"/>
    <mergeCell ref="E110:G110"/>
    <mergeCell ref="B101:H101"/>
    <mergeCell ref="B103:H103"/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279"/>
      <c r="J3" s="8">
        <v>-3</v>
      </c>
      <c r="K3" s="58">
        <f>F3/POWER(10,J3)</f>
        <v>272.35212567339147</v>
      </c>
      <c r="L3" s="118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278"/>
      <c r="J5" s="8">
        <v>-3</v>
      </c>
      <c r="K5" s="58">
        <f t="shared" si="1"/>
        <v>64.084573829424144</v>
      </c>
      <c r="L5" s="118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2">
        <v>-8</v>
      </c>
      <c r="F6" s="135">
        <f t="shared" si="0"/>
        <v>5.8387578436161818E-5</v>
      </c>
      <c r="G6" s="21"/>
      <c r="H6" s="21"/>
      <c r="I6" s="278"/>
      <c r="J6" s="132">
        <v>-6</v>
      </c>
      <c r="K6" s="136">
        <f t="shared" si="1"/>
        <v>58.387578436161817</v>
      </c>
      <c r="L6" s="133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278"/>
      <c r="J8" s="8">
        <v>-3</v>
      </c>
      <c r="K8" s="58">
        <f t="shared" si="1"/>
        <v>131.82932593178242</v>
      </c>
      <c r="L8" s="118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278"/>
      <c r="J9" s="8">
        <v>-3</v>
      </c>
      <c r="K9" s="58">
        <f t="shared" si="1"/>
        <v>164.05650900332583</v>
      </c>
      <c r="L9" s="118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278"/>
      <c r="J10" s="8">
        <v>-3</v>
      </c>
      <c r="K10" s="58">
        <f t="shared" si="1"/>
        <v>235.30043568037092</v>
      </c>
      <c r="L10" s="118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278"/>
      <c r="J11" s="8">
        <v>0</v>
      </c>
      <c r="K11" s="58">
        <f t="shared" si="1"/>
        <v>3.1722046166902267</v>
      </c>
      <c r="L11" s="118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278"/>
      <c r="J13" s="8">
        <v>-3</v>
      </c>
      <c r="K13" s="58">
        <f t="shared" si="1"/>
        <v>73.975239767818167</v>
      </c>
      <c r="L13" s="118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278"/>
      <c r="J14" s="8">
        <v>-3</v>
      </c>
      <c r="K14" s="58">
        <f t="shared" si="1"/>
        <v>271.61616449629008</v>
      </c>
      <c r="L14" s="118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278"/>
      <c r="J15" s="8">
        <v>-3</v>
      </c>
      <c r="K15" s="58">
        <f t="shared" si="1"/>
        <v>389.56943697072518</v>
      </c>
      <c r="L15" s="118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278"/>
      <c r="J17" s="8">
        <v>0</v>
      </c>
      <c r="K17" s="58">
        <f t="shared" si="1"/>
        <v>2.2177218961133556</v>
      </c>
      <c r="L17" s="118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278"/>
      <c r="J18" s="8">
        <v>-3</v>
      </c>
      <c r="K18" s="58">
        <f t="shared" si="1"/>
        <v>13.029847468677811</v>
      </c>
      <c r="L18" s="118" t="str">
        <f>Rydberg!L18</f>
        <v>mF</v>
      </c>
      <c r="M18" s="115"/>
      <c r="N18" s="116">
        <f t="shared" si="2"/>
        <v>23.806908356885113</v>
      </c>
      <c r="O18" s="76"/>
      <c r="P18" s="117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278"/>
      <c r="J20" s="8">
        <v>0</v>
      </c>
      <c r="K20" s="58">
        <f t="shared" si="1"/>
        <v>11.678997907112979</v>
      </c>
      <c r="L20" s="118" t="str">
        <f>Rydberg!L20</f>
        <v>T</v>
      </c>
      <c r="M20" s="115"/>
      <c r="N20" s="116">
        <f t="shared" si="2"/>
        <v>-13.480535276874237</v>
      </c>
      <c r="O20" s="76"/>
      <c r="P20" s="117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281"/>
      <c r="J21" s="30">
        <v>0</v>
      </c>
      <c r="K21" s="59">
        <f t="shared" si="1"/>
        <v>11.710642890625</v>
      </c>
      <c r="L21" s="119" t="str">
        <f>Rydberg!L21</f>
        <v>H</v>
      </c>
      <c r="M21" s="115"/>
      <c r="N21" s="116">
        <f t="shared" si="2"/>
        <v>-13.495376632155578</v>
      </c>
      <c r="O21" s="76"/>
      <c r="P21" s="117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278"/>
      <c r="J23" s="8">
        <v>0</v>
      </c>
      <c r="K23" s="58">
        <f t="shared" si="1"/>
        <v>115.66724398943637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58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278"/>
      <c r="J24" s="8">
        <v>0</v>
      </c>
      <c r="K24" s="58">
        <f t="shared" si="1"/>
        <v>115.66724398943637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278"/>
      <c r="J26" s="8">
        <v>3</v>
      </c>
      <c r="K26" s="58">
        <f t="shared" si="1"/>
        <v>1.5593688312653382</v>
      </c>
      <c r="L26" s="118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278"/>
      <c r="J27" s="8">
        <v>0</v>
      </c>
      <c r="K27" s="58">
        <f t="shared" si="1"/>
        <v>337.93950303258504</v>
      </c>
      <c r="L27" s="118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275">
        <f t="shared" si="18"/>
        <v>9.1598590359298626E-4</v>
      </c>
      <c r="I34" s="278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275">
        <f t="shared" si="1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0</v>
      </c>
      <c r="I37" s="278"/>
      <c r="J37" s="131">
        <v>-24</v>
      </c>
      <c r="K37" s="61">
        <f t="shared" ref="K37:K70" si="31">F37/POWER(12,J37)</f>
        <v>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275">
        <f t="shared" si="18"/>
        <v>1.3524487446376909E-3</v>
      </c>
      <c r="I39" s="278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275">
        <f t="shared" si="18"/>
        <v>2.5396965748714084E-3</v>
      </c>
      <c r="I40" s="278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275">
        <f t="shared" si="18"/>
        <v>-5.077186818960111E-2</v>
      </c>
      <c r="I42" s="278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275">
        <f t="shared" ref="H43" si="33">K43*POWER(12,I43)/ROUND(K43*POWER(12,I43),0)-1</f>
        <v>8.6387566721335407E-3</v>
      </c>
      <c r="I43" s="278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275">
        <f t="shared" si="18"/>
        <v>2.8687992181260613E-2</v>
      </c>
      <c r="I44" s="278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276">
        <f t="shared" si="18"/>
        <v>-1.133128905148606E-4</v>
      </c>
      <c r="I45" s="284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275">
        <f t="shared" si="18"/>
        <v>5.6661260641410749E-5</v>
      </c>
      <c r="I46" s="278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275">
        <f t="shared" si="18"/>
        <v>1.4242570680831124E-2</v>
      </c>
      <c r="I47" s="278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275">
        <f t="shared" si="18"/>
        <v>-1.0586288888222439E-2</v>
      </c>
      <c r="I48" s="278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275">
        <f t="shared" si="18"/>
        <v>-8.8906929734000606E-3</v>
      </c>
      <c r="I50" s="278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275"/>
      <c r="I51" s="278"/>
      <c r="J51" s="131">
        <v>6</v>
      </c>
      <c r="K51" s="61">
        <f t="shared" si="31"/>
        <v>1.5667841304642285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275">
        <f>K52*POWER(12,I52)/ROUND(K52*POWER(12,I52),0)-1</f>
        <v>1.70980631016453E-2</v>
      </c>
      <c r="I52" s="278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275"/>
      <c r="I53" s="278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294">
        <f t="shared" ref="H54:H62" si="60">K54*POWER(12,I54)/ROUND(K54*POWER(12,I54),0)-1</f>
        <v>6.415679805067076E-2</v>
      </c>
      <c r="I54" s="295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275">
        <f t="shared" si="60"/>
        <v>-2.435372945156955E-2</v>
      </c>
      <c r="I55" s="278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294">
        <f t="shared" si="60"/>
        <v>5.0800811350184549E-3</v>
      </c>
      <c r="I56" s="295"/>
      <c r="J56" s="131">
        <v>-1</v>
      </c>
      <c r="K56" s="61">
        <f t="shared" si="31"/>
        <v>6.0304804868101112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275">
        <f t="shared" si="60"/>
        <v>-3.665350790945654E-4</v>
      </c>
      <c r="I57" s="278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275">
        <f t="shared" si="60"/>
        <v>3.2276922038730449E-2</v>
      </c>
      <c r="I58" s="278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275">
        <f t="shared" si="60"/>
        <v>7.006577966631955E-3</v>
      </c>
      <c r="I59" s="278"/>
      <c r="J59" s="38">
        <v>0</v>
      </c>
      <c r="K59" s="61">
        <f t="shared" si="31"/>
        <v>1.007006577966632</v>
      </c>
      <c r="L59" s="254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275">
        <f t="shared" si="60"/>
        <v>-2.1521964096963275E-3</v>
      </c>
      <c r="I60" s="278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276">
        <f t="shared" si="60"/>
        <v>1.3263557483296218E-3</v>
      </c>
      <c r="I61" s="284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276">
        <f t="shared" si="60"/>
        <v>-8.2869523944650858E-4</v>
      </c>
      <c r="I62" s="284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296">
        <f>K63*POWER(12,I63)/ROUND(K63*POWER(12,I63)+1,0)-1</f>
        <v>-8.4288379796399027E-2</v>
      </c>
      <c r="I63" s="297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275"/>
      <c r="I64" s="278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275"/>
      <c r="I65" s="278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275">
        <f t="shared" ref="H66" si="61">K66*POWER(12,I66)/ROUND(K66*POWER(12,I66),0)-1</f>
        <v>2.4910255747661258E-2</v>
      </c>
      <c r="I66" s="278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275"/>
      <c r="I67" s="278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275"/>
      <c r="I68" s="281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285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285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285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285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285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285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1"/>
        <v>1;07X1163X8</v>
      </c>
      <c r="H83" s="108"/>
      <c r="I83" s="286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1"/>
        <v>1;09019E9995E</v>
      </c>
      <c r="H84" s="108"/>
      <c r="I84" s="286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1"/>
        <v>1;001XXX0E449</v>
      </c>
      <c r="H85" s="108"/>
      <c r="I85" s="286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1"/>
        <v>0;EX08X990X0X8</v>
      </c>
      <c r="H86" s="108"/>
      <c r="I86" s="286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1"/>
        <v>4;68X10E696900</v>
      </c>
      <c r="H87" s="108"/>
      <c r="I87" s="286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287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37" t="str">
        <f t="shared" ref="G90" si="92">M90&amp;";"&amp;O90&amp;Q90&amp;S90&amp;U90&amp;W90&amp;Y90&amp;AA90&amp;AC90&amp;AE90&amp;AG90&amp;AI90&amp;AK90</f>
        <v>1;00078436XX14</v>
      </c>
      <c r="H90" s="37"/>
      <c r="I90" s="285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0.96873230298030488</v>
      </c>
      <c r="E92" s="8">
        <v>7</v>
      </c>
      <c r="F92" s="21">
        <f>D92</f>
        <v>0.96873230298030488</v>
      </c>
      <c r="G92" s="37" t="str">
        <f t="shared" ref="G92:G93" si="118">M92&amp;";"&amp;O92&amp;Q92&amp;S92&amp;U92&amp;W92&amp;Y92&amp;AA92&amp;AC92&amp;AE92&amp;AG92&amp;AI92&amp;AK92</f>
        <v>0;E75E772</v>
      </c>
      <c r="H92" s="37"/>
      <c r="I92" s="285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118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ht="12" thickBot="1" x14ac:dyDescent="0.3">
      <c r="K95" s="79"/>
      <c r="L95" s="79"/>
      <c r="M95" s="79"/>
    </row>
    <row r="96" spans="1:37" ht="12" thickBot="1" x14ac:dyDescent="0.3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298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H120" s="234"/>
      <c r="I120" s="292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279"/>
      <c r="J3" s="8">
        <v>-3</v>
      </c>
      <c r="K3" s="58">
        <f>F3/POWER(10,J3)</f>
        <v>272.35220593302245</v>
      </c>
      <c r="L3" s="118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459">
        <f>(F4-Clock!F4)*(365+31/128)*128*12*12*12</f>
        <v>9.2995314392070014</v>
      </c>
      <c r="H4" s="253"/>
      <c r="I4" s="280"/>
      <c r="J4" s="8">
        <v>-3</v>
      </c>
      <c r="K4" s="58">
        <f t="shared" ref="K4:K30" si="1">F4/POWER(10,J4)</f>
        <v>390.62511511354381</v>
      </c>
      <c r="L4" s="118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278"/>
      <c r="J5" s="8">
        <v>-3</v>
      </c>
      <c r="K5" s="58">
        <f t="shared" si="1"/>
        <v>64.084554944303576</v>
      </c>
      <c r="L5" s="118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-8</v>
      </c>
      <c r="F6" s="135">
        <f t="shared" si="0"/>
        <v>5.8387561229892158E-5</v>
      </c>
      <c r="G6" s="21"/>
      <c r="H6" s="21"/>
      <c r="I6" s="278"/>
      <c r="J6" s="132">
        <v>-6</v>
      </c>
      <c r="K6" s="136">
        <f t="shared" si="1"/>
        <v>58.387561229892164</v>
      </c>
      <c r="L6" s="133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278"/>
      <c r="J8" s="8">
        <v>-3</v>
      </c>
      <c r="K8" s="58">
        <f t="shared" si="1"/>
        <v>131.82928708292121</v>
      </c>
      <c r="L8" s="118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278"/>
      <c r="J9" s="8">
        <v>-3</v>
      </c>
      <c r="K9" s="58">
        <f t="shared" si="1"/>
        <v>164.05641231152276</v>
      </c>
      <c r="L9" s="118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v>-3</v>
      </c>
      <c r="K10" s="58">
        <f t="shared" si="1"/>
        <v>235.30029699874513</v>
      </c>
      <c r="L10" s="118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278"/>
      <c r="J11" s="8">
        <v>0</v>
      </c>
      <c r="K11" s="58">
        <f t="shared" si="1"/>
        <v>3.1722008774165378</v>
      </c>
      <c r="L11" s="118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v>-3</v>
      </c>
      <c r="K13" s="58">
        <f t="shared" si="1"/>
        <v>73.975217968011464</v>
      </c>
      <c r="L13" s="118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278"/>
      <c r="J14" s="8">
        <v>-3</v>
      </c>
      <c r="K14" s="58">
        <f t="shared" ref="K14" si="5">F14/POWER(10,J14)</f>
        <v>271.61600441086068</v>
      </c>
      <c r="L14" s="118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278"/>
      <c r="J15" s="8">
        <v>-3</v>
      </c>
      <c r="K15" s="58">
        <f t="shared" ref="K15" si="9">F15/POWER(10,J15)</f>
        <v>389.56920736586812</v>
      </c>
      <c r="L15" s="118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v>0</v>
      </c>
      <c r="K17" s="58">
        <f t="shared" si="1"/>
        <v>2.2177212425715922</v>
      </c>
      <c r="L17" s="118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278"/>
      <c r="J18" s="8">
        <v>-3</v>
      </c>
      <c r="K18" s="58">
        <f t="shared" si="1"/>
        <v>13.029851308452322</v>
      </c>
      <c r="L18" s="118" t="str">
        <f>Rydberg!L18</f>
        <v>mF</v>
      </c>
      <c r="M18" s="115"/>
      <c r="N18" s="116">
        <f t="shared" si="2"/>
        <v>23.806906740561544</v>
      </c>
      <c r="O18" s="76"/>
      <c r="P18" s="117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v>0</v>
      </c>
      <c r="K20" s="58">
        <f t="shared" si="1"/>
        <v>11.678991023732532</v>
      </c>
      <c r="L20" s="118" t="str">
        <f>Rydberg!L20</f>
        <v>T</v>
      </c>
      <c r="M20" s="115"/>
      <c r="N20" s="116">
        <f t="shared" si="2"/>
        <v>-13.480532044227107</v>
      </c>
      <c r="O20" s="76"/>
      <c r="P20" s="117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281"/>
      <c r="J21" s="30">
        <v>0</v>
      </c>
      <c r="K21" s="59">
        <f t="shared" si="1"/>
        <v>11.710646341642224</v>
      </c>
      <c r="L21" s="119" t="str">
        <f>Rydberg!L21</f>
        <v>H</v>
      </c>
      <c r="M21" s="115"/>
      <c r="N21" s="116">
        <f t="shared" si="2"/>
        <v>-13.495378248479144</v>
      </c>
      <c r="O21" s="76"/>
      <c r="P21" s="117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278"/>
      <c r="J22" s="8">
        <v>0</v>
      </c>
      <c r="K22" s="58">
        <f t="shared" si="1"/>
        <v>2.5599992455921017</v>
      </c>
      <c r="L22" s="118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278"/>
      <c r="J23" s="8">
        <v>0</v>
      </c>
      <c r="K23" s="58">
        <f t="shared" si="1"/>
        <v>115.66720990338855</v>
      </c>
      <c r="L23" s="118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58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278"/>
      <c r="J24" s="8">
        <v>0</v>
      </c>
      <c r="K24" s="58">
        <f t="shared" si="1"/>
        <v>115.66720990338855</v>
      </c>
      <c r="L24" s="118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278"/>
      <c r="J25" s="8">
        <v>0</v>
      </c>
      <c r="K25" s="58">
        <f t="shared" si="1"/>
        <v>9.204504104886059</v>
      </c>
      <c r="L25" s="118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278"/>
      <c r="J26" s="8">
        <v>3</v>
      </c>
      <c r="K26" s="58">
        <f t="shared" si="1"/>
        <v>1.5593674526718038</v>
      </c>
      <c r="L26" s="118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278"/>
      <c r="J27" s="8">
        <v>0</v>
      </c>
      <c r="K27" s="58">
        <f t="shared" si="1"/>
        <v>337.93940344499509</v>
      </c>
      <c r="L27" s="118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278"/>
      <c r="J28" s="8">
        <v>0</v>
      </c>
      <c r="K28" s="58">
        <f t="shared" si="1"/>
        <v>2.5599992455921017</v>
      </c>
      <c r="L28" s="118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275">
        <f t="shared" ref="H33:H50" si="26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275">
        <f t="shared" si="26"/>
        <v>9.1628086419759391E-4</v>
      </c>
      <c r="I34" s="278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275">
        <f t="shared" si="26"/>
        <v>9.9920072216264089E-15</v>
      </c>
      <c r="I35" s="278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275">
        <f t="shared" si="26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275">
        <f t="shared" si="26"/>
        <v>0</v>
      </c>
      <c r="I37" s="278"/>
      <c r="J37" s="131">
        <v>-24</v>
      </c>
      <c r="K37" s="61">
        <f t="shared" ref="K37:K71" si="39">F37/POWER(12,J37)</f>
        <v>1</v>
      </c>
      <c r="L37" s="134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275">
        <f t="shared" si="26"/>
        <v>0</v>
      </c>
      <c r="I38" s="278"/>
      <c r="J38" s="131">
        <v>0</v>
      </c>
      <c r="K38" s="61">
        <f t="shared" si="39"/>
        <v>1.0000000000000002</v>
      </c>
      <c r="L38" s="134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275">
        <f t="shared" si="26"/>
        <v>1.3527438338638564E-3</v>
      </c>
      <c r="I39" s="278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275">
        <f t="shared" si="26"/>
        <v>2.5394011358612634E-3</v>
      </c>
      <c r="I40" s="278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505">
        <f t="shared" si="26"/>
        <v>2.5094517379544046E-2</v>
      </c>
      <c r="I41" s="278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275">
        <f t="shared" si="26"/>
        <v>-5.0771588460924999E-2</v>
      </c>
      <c r="I42" s="278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275">
        <f t="shared" ref="H43" si="41">K43*POWER(12,I43)/ROUND(K43*POWER(12,I43),0)-1</f>
        <v>8.639053908566563E-3</v>
      </c>
      <c r="I43" s="278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275">
        <f t="shared" si="26"/>
        <v>2.868738589201647E-2</v>
      </c>
      <c r="I44" s="278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276">
        <f t="shared" si="26"/>
        <v>-1.1272357586811221E-4</v>
      </c>
      <c r="I45" s="284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275">
        <f t="shared" si="26"/>
        <v>5.6366553358389027E-5</v>
      </c>
      <c r="I46" s="278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275">
        <f t="shared" si="26"/>
        <v>1.4242271793094119E-2</v>
      </c>
      <c r="I47" s="278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275">
        <f t="shared" si="26"/>
        <v>-1.0586580459128192E-2</v>
      </c>
      <c r="I48" s="278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275">
        <f t="shared" si="26"/>
        <v>-1.3039559891063979E-2</v>
      </c>
      <c r="I49" s="278"/>
      <c r="J49" s="131">
        <v>-23</v>
      </c>
      <c r="K49" s="61">
        <f t="shared" si="39"/>
        <v>1.973920880217872</v>
      </c>
      <c r="L49" s="134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275">
        <f t="shared" si="26"/>
        <v>-8.8895246902124248E-3</v>
      </c>
      <c r="I50" s="278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275"/>
      <c r="I51" s="278"/>
      <c r="J51" s="131">
        <v>6</v>
      </c>
      <c r="K51" s="61">
        <f t="shared" si="39"/>
        <v>1.5667845921808969</v>
      </c>
      <c r="L51" s="134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275">
        <f>K52*POWER(12,I52)/ROUND(K52*POWER(12,I52),0)-1</f>
        <v>1.7097163914239433E-2</v>
      </c>
      <c r="I52" s="278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275"/>
      <c r="I53" s="278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294">
        <f t="shared" ref="H54:H62" si="68">K54*POWER(12,I54)/ROUND(K54*POWER(12,I54),0)-1</f>
        <v>6.415805243955397E-2</v>
      </c>
      <c r="I54" s="295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505">
        <f t="shared" si="68"/>
        <v>-2.4352579395639951E-2</v>
      </c>
      <c r="I55" s="278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294">
        <f t="shared" si="68"/>
        <v>5.0797849473813717E-3</v>
      </c>
      <c r="I56" s="295"/>
      <c r="J56" s="131">
        <v>-1</v>
      </c>
      <c r="K56" s="61">
        <f t="shared" si="39"/>
        <v>6.0304787096842887</v>
      </c>
      <c r="L56" s="134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275">
        <f t="shared" si="68"/>
        <v>-3.6565133086097212E-4</v>
      </c>
      <c r="I57" s="278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275">
        <f t="shared" si="68"/>
        <v>3.2277226241110402E-2</v>
      </c>
      <c r="I58" s="278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275">
        <f t="shared" si="68"/>
        <v>7.0068747220770611E-3</v>
      </c>
      <c r="I59" s="278"/>
      <c r="J59" s="38">
        <v>0</v>
      </c>
      <c r="K59" s="61">
        <f t="shared" si="39"/>
        <v>1.0070068747220771</v>
      </c>
      <c r="L59" s="254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275">
        <f t="shared" si="68"/>
        <v>-2.1507261266298094E-3</v>
      </c>
      <c r="I60" s="278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276">
        <f t="shared" si="68"/>
        <v>1.3260606668796804E-3</v>
      </c>
      <c r="I61" s="284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276">
        <f t="shared" si="68"/>
        <v>-8.2751745307185764E-4</v>
      </c>
      <c r="I62" s="284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296">
        <f>K63*POWER(12,I63)/ROUND(K63*POWER(12,I63)+1,0)-1</f>
        <v>-8.4288109944726464E-2</v>
      </c>
      <c r="I63" s="297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275"/>
      <c r="I64" s="278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275"/>
      <c r="I65" s="278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505">
        <f t="shared" ref="H66" si="70">K66*POWER(12,I66)/ROUND(K66*POWER(12,I66),0)-1</f>
        <v>2.4909953716258038E-2</v>
      </c>
      <c r="I66" s="278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275"/>
      <c r="I67" s="278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 x14ac:dyDescent="0.25">
      <c r="A68" s="574"/>
      <c r="B68" s="64" t="s">
        <v>1567</v>
      </c>
      <c r="C68" s="3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275"/>
      <c r="I68" s="278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 x14ac:dyDescent="0.25">
      <c r="A69" s="574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275"/>
      <c r="I69" s="281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 x14ac:dyDescent="0.25">
      <c r="A70" s="574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275"/>
      <c r="I70" s="281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 x14ac:dyDescent="0.3">
      <c r="A71" s="575"/>
      <c r="B71" s="89" t="s">
        <v>117</v>
      </c>
      <c r="C71" s="89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06" t="str">
        <f t="shared" si="25"/>
        <v>9;E91731X53</v>
      </c>
      <c r="H71" s="307"/>
      <c r="I71" s="282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 x14ac:dyDescent="0.25">
      <c r="A72" s="570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17"/>
      <c r="I72" s="277"/>
      <c r="J72" s="18" t="s">
        <v>44</v>
      </c>
      <c r="K72" s="56" t="s">
        <v>46</v>
      </c>
      <c r="L72" s="20" t="str">
        <f>Rydberg!L71</f>
        <v>Power</v>
      </c>
    </row>
    <row r="73" spans="1:37" ht="11.25" customHeight="1" x14ac:dyDescent="0.25">
      <c r="A73" s="571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285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 x14ac:dyDescent="0.25">
      <c r="A74" s="571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285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 x14ac:dyDescent="0.25">
      <c r="A75" s="571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285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 x14ac:dyDescent="0.25">
      <c r="A76" s="571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285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 x14ac:dyDescent="0.25">
      <c r="A77" s="571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285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 x14ac:dyDescent="0.25">
      <c r="A78" s="571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285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 x14ac:dyDescent="0.25">
      <c r="A79" s="571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285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 x14ac:dyDescent="0.25">
      <c r="A80" s="571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285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 x14ac:dyDescent="0.25">
      <c r="A81" s="571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285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 x14ac:dyDescent="0.25">
      <c r="A82" s="571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285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 x14ac:dyDescent="0.25">
      <c r="A83" s="571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285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 x14ac:dyDescent="0.25">
      <c r="A84" s="571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08" t="str">
        <f t="shared" si="127"/>
        <v>1;07X1163X8</v>
      </c>
      <c r="H84" s="108"/>
      <c r="I84" s="286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 x14ac:dyDescent="0.25">
      <c r="A85" s="571"/>
      <c r="B85" s="30" t="s">
        <v>1284</v>
      </c>
      <c r="C85" s="30"/>
      <c r="D85" s="29"/>
      <c r="E85" s="30">
        <v>11</v>
      </c>
      <c r="F85" s="29">
        <v>1836.15267245</v>
      </c>
      <c r="G85" s="108" t="str">
        <f t="shared" si="127"/>
        <v>1;09019E9995E</v>
      </c>
      <c r="H85" s="108"/>
      <c r="I85" s="286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 x14ac:dyDescent="0.25">
      <c r="A86" s="571"/>
      <c r="B86" s="30" t="s">
        <v>1285</v>
      </c>
      <c r="C86" s="30"/>
      <c r="D86" s="29"/>
      <c r="E86" s="30">
        <v>11</v>
      </c>
      <c r="F86" s="29">
        <f>POWER(F85,9)*POWER(F73,-11)</f>
        <v>7.5920748046678716E+52</v>
      </c>
      <c r="G86" s="108" t="str">
        <f t="shared" si="127"/>
        <v>1;001XXX0E449</v>
      </c>
      <c r="H86" s="108"/>
      <c r="I86" s="286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 x14ac:dyDescent="0.25">
      <c r="A87" s="571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08" t="str">
        <f t="shared" si="127"/>
        <v>0;EX08X990X0X8</v>
      </c>
      <c r="H87" s="108"/>
      <c r="I87" s="286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 x14ac:dyDescent="0.25">
      <c r="A88" s="571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08" t="str">
        <f t="shared" si="127"/>
        <v>4;68X10E696900</v>
      </c>
      <c r="H88" s="108"/>
      <c r="I88" s="286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 x14ac:dyDescent="0.3">
      <c r="A89" s="572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287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 x14ac:dyDescent="0.25">
      <c r="K90" s="79"/>
      <c r="L90" s="79"/>
      <c r="M90" s="79"/>
    </row>
    <row r="91" spans="1:37" ht="15" customHeight="1" x14ac:dyDescent="0.25">
      <c r="B91" s="3" t="s">
        <v>267</v>
      </c>
      <c r="C91" s="3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37" t="str">
        <f t="shared" ref="G91" si="128">M91&amp;";"&amp;O91&amp;Q91&amp;S91&amp;U91&amp;W91&amp;Y91&amp;AA91&amp;AC91&amp;AE91&amp;AG91&amp;AI91&amp;AK91</f>
        <v>1;000785217E43</v>
      </c>
      <c r="H91" s="37"/>
      <c r="I91" s="285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 x14ac:dyDescent="0.25">
      <c r="B92" s="137" t="s">
        <v>268</v>
      </c>
      <c r="D92" s="14">
        <f>1/(1+0.00054461702177)</f>
        <v>0.99945567942448077</v>
      </c>
    </row>
    <row r="93" spans="1:37" x14ac:dyDescent="0.25">
      <c r="B93" s="3" t="s">
        <v>1646</v>
      </c>
      <c r="C93" s="3"/>
      <c r="D93" s="21">
        <f>R23</f>
        <v>0.96873201750401561</v>
      </c>
      <c r="E93" s="8">
        <v>7</v>
      </c>
      <c r="F93" s="21">
        <f>D93</f>
        <v>0.96873201750401561</v>
      </c>
      <c r="G93" s="37" t="str">
        <f t="shared" ref="G93:G94" si="154">M93&amp;";"&amp;O93&amp;Q93&amp;S93&amp;U93&amp;W93&amp;Y93&amp;AA93&amp;AC93&amp;AE93&amp;AG93&amp;AI93&amp;AK93</f>
        <v>0;E75E764</v>
      </c>
      <c r="H93" s="37"/>
      <c r="I93" s="285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 x14ac:dyDescent="0.25">
      <c r="B94" s="3" t="s">
        <v>761</v>
      </c>
      <c r="C94" s="3"/>
      <c r="D94" s="21">
        <v>540000000000000</v>
      </c>
      <c r="E94" s="8">
        <v>7</v>
      </c>
      <c r="F94" s="21">
        <f>D94/F22</f>
        <v>210937562161313.66</v>
      </c>
      <c r="G94" s="37" t="str">
        <f t="shared" si="154"/>
        <v>1;E7X9143</v>
      </c>
      <c r="H94" s="37"/>
      <c r="I94" s="285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 x14ac:dyDescent="0.25">
      <c r="B95" s="14" t="s">
        <v>1619</v>
      </c>
      <c r="D95" s="193">
        <f>F22*F95</f>
        <v>547805050107810.25</v>
      </c>
      <c r="F95" s="193">
        <f>G95*POWER(12,J95)</f>
        <v>213986410758144</v>
      </c>
      <c r="G95" s="209">
        <v>2</v>
      </c>
      <c r="J95" s="14">
        <v>13</v>
      </c>
      <c r="K95" s="79"/>
      <c r="L95" s="79"/>
      <c r="M95" s="79"/>
    </row>
    <row r="96" spans="1:37" x14ac:dyDescent="0.25">
      <c r="D96" s="193"/>
      <c r="F96" s="193"/>
      <c r="G96" s="209"/>
      <c r="K96" s="79"/>
      <c r="L96" s="79"/>
      <c r="M96" s="79"/>
    </row>
    <row r="97" spans="1:37" x14ac:dyDescent="0.25">
      <c r="B97" s="14" t="s">
        <v>1130</v>
      </c>
    </row>
    <row r="98" spans="1:37" x14ac:dyDescent="0.25">
      <c r="B98" s="107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08" t="str">
        <f t="shared" ref="G98:G99" si="180">M98&amp;";"&amp;O98&amp;Q98&amp;S98&amp;U98&amp;W98&amp;Y98&amp;AA98&amp;AC98&amp;AE98&amp;AG98&amp;AI98&amp;AK98</f>
        <v>8;62E613</v>
      </c>
      <c r="H98" s="108"/>
      <c r="I98" s="286"/>
      <c r="J98" s="43">
        <v>-9</v>
      </c>
      <c r="K98" s="109">
        <f>F98/POWER(12,J98)+0.00000000000001</f>
        <v>8.5205491420513102</v>
      </c>
      <c r="L98" s="44" t="str">
        <f>INDEX(powers!$H$2:$H$75,33+J98)</f>
        <v>unino atomic</v>
      </c>
      <c r="M98" s="97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96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96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96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96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96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96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96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96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96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96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96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96" t="str">
        <f t="shared" ref="AK98:AK99" si="193">IF($E98&gt;=AK$31,MID($J$31,IF($E98&gt;AK$31,INT(AJ98),ROUND(AJ98,0))+1,1),"")</f>
        <v/>
      </c>
    </row>
    <row r="99" spans="1:37" x14ac:dyDescent="0.25">
      <c r="B99" s="107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08" t="str">
        <f t="shared" si="180"/>
        <v>3;881495</v>
      </c>
      <c r="H99" s="108"/>
      <c r="I99" s="286"/>
      <c r="J99" s="43">
        <v>-11</v>
      </c>
      <c r="K99" s="109">
        <f>F99/POWER(12,J99)+0.00000000000001</f>
        <v>3.7230317755700058</v>
      </c>
      <c r="L99" s="44" t="str">
        <f>INDEX(powers!$H$2:$H$75,33+J99)</f>
        <v>terno atomic</v>
      </c>
      <c r="M99" s="97" t="str">
        <f t="shared" si="181"/>
        <v>3</v>
      </c>
      <c r="N99" s="8">
        <f>(K99-INT(K99))*12</f>
        <v>8.676381306840069</v>
      </c>
      <c r="O99" s="96" t="str">
        <f t="shared" si="182"/>
        <v>8</v>
      </c>
      <c r="P99" s="8">
        <f>(N99-INT(N99))*12</f>
        <v>8.1165756820808284</v>
      </c>
      <c r="Q99" s="96" t="str">
        <f t="shared" si="183"/>
        <v>8</v>
      </c>
      <c r="R99" s="8">
        <f>(P99-INT(P99))*12</f>
        <v>1.3989081849699403</v>
      </c>
      <c r="S99" s="96" t="str">
        <f t="shared" si="184"/>
        <v>1</v>
      </c>
      <c r="T99" s="8">
        <f>(R99-INT(R99))*12</f>
        <v>4.7868982196392835</v>
      </c>
      <c r="U99" s="96" t="str">
        <f t="shared" si="185"/>
        <v>4</v>
      </c>
      <c r="V99" s="8">
        <f>(T99-INT(T99))*12</f>
        <v>9.4427786356714023</v>
      </c>
      <c r="W99" s="96" t="str">
        <f t="shared" si="186"/>
        <v>9</v>
      </c>
      <c r="X99" s="8">
        <f>(V99-INT(V99))*12</f>
        <v>5.3133436280568276</v>
      </c>
      <c r="Y99" s="96" t="str">
        <f t="shared" si="187"/>
        <v>5</v>
      </c>
      <c r="Z99" s="8">
        <f>(X99-INT(X99))*12</f>
        <v>3.760123536681931</v>
      </c>
      <c r="AA99" s="96" t="str">
        <f t="shared" si="188"/>
        <v/>
      </c>
      <c r="AB99" s="8">
        <f>(Z99-INT(Z99))*12</f>
        <v>9.121482440183172</v>
      </c>
      <c r="AC99" s="96" t="str">
        <f t="shared" si="189"/>
        <v/>
      </c>
      <c r="AD99" s="8">
        <f>(AB99-INT(AB99))*12</f>
        <v>1.457789282198064</v>
      </c>
      <c r="AE99" s="96" t="str">
        <f t="shared" si="190"/>
        <v/>
      </c>
      <c r="AF99" s="8">
        <f>(AD99-INT(AD99))*12</f>
        <v>5.4934713863767684</v>
      </c>
      <c r="AG99" s="96" t="str">
        <f t="shared" si="191"/>
        <v/>
      </c>
      <c r="AH99" s="8">
        <f>(AF99-INT(AF99))*12</f>
        <v>5.9216566365212202</v>
      </c>
      <c r="AI99" s="96" t="str">
        <f t="shared" si="192"/>
        <v/>
      </c>
      <c r="AJ99" s="8">
        <f>(AH99-INT(AH99))*12</f>
        <v>11.059879638254642</v>
      </c>
      <c r="AK99" s="96" t="str">
        <f t="shared" si="193"/>
        <v/>
      </c>
    </row>
    <row r="100" spans="1:37" x14ac:dyDescent="0.25">
      <c r="A100" s="386"/>
      <c r="B100" s="107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285"/>
      <c r="J100" s="38">
        <v>-11</v>
      </c>
      <c r="K100" s="128">
        <f>F100/POWER(12,J100)+0.00000000000001</f>
        <v>4.8846120631258705</v>
      </c>
      <c r="L100" s="39" t="str">
        <f>INDEX(powers!$H$2:$H$75,33+J100)</f>
        <v>terno atomic</v>
      </c>
      <c r="M100" s="97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96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96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96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96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96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96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96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96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96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96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96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96" t="str">
        <f t="shared" ref="AK100" si="207">IF($E100&gt;=AK$31,MID($J$31,IF($E100&gt;AK$31,INT(AJ100),ROUND(AJ100,0))+1,1),"")</f>
        <v/>
      </c>
    </row>
    <row r="101" spans="1:37" ht="12" thickBot="1" x14ac:dyDescent="0.3">
      <c r="B101" s="105" t="s">
        <v>1162</v>
      </c>
      <c r="C101" s="379"/>
      <c r="D101" s="379">
        <f>solar_luminosity!C11</f>
        <v>2.5750450803308634E-8</v>
      </c>
      <c r="E101" s="379">
        <v>6</v>
      </c>
      <c r="F101" s="380">
        <f>D101/F$26</f>
        <v>1.651339506874283E-11</v>
      </c>
      <c r="G101" s="381" t="str">
        <f t="shared" ref="G101" si="208">M101&amp;";"&amp;O101&amp;Q101&amp;S101&amp;U101&amp;W101&amp;Y101&amp;AA101&amp;AC101&amp;AE101&amp;AG101&amp;AI101&amp;AK101</f>
        <v>1;0329X3</v>
      </c>
      <c r="H101" s="381"/>
      <c r="I101" s="382"/>
      <c r="J101" s="383">
        <v>-10</v>
      </c>
      <c r="K101" s="384">
        <f>F101/POWER(12,J101)+0.00000000000001</f>
        <v>1.0224658970461653</v>
      </c>
      <c r="L101" s="385" t="str">
        <f>INDEX(powers!$H$2:$H$75,33+J101)</f>
        <v>dino atomic</v>
      </c>
      <c r="M101" s="97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96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96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96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96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96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96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96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96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96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96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96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96" t="str">
        <f t="shared" ref="AK101" si="221">IF($E101&gt;=AK$31,MID($J$31,IF($E101&gt;AK$31,INT(AJ101),ROUND(AJ101,0))+1,1),"")</f>
        <v/>
      </c>
    </row>
    <row r="102" spans="1:37" x14ac:dyDescent="0.25">
      <c r="F102" s="193"/>
      <c r="G102" s="234"/>
      <c r="H102" s="234"/>
      <c r="I102" s="292"/>
      <c r="J102" s="235"/>
      <c r="K102" s="236"/>
      <c r="L102" s="236"/>
      <c r="M102" s="237"/>
      <c r="O102" s="237"/>
      <c r="Q102" s="237"/>
      <c r="S102" s="237"/>
      <c r="U102" s="237"/>
      <c r="W102" s="237"/>
      <c r="Y102" s="237"/>
      <c r="AA102" s="237"/>
      <c r="AC102" s="237"/>
      <c r="AE102" s="237"/>
      <c r="AG102" s="237"/>
      <c r="AI102" s="237"/>
      <c r="AK102" s="237"/>
    </row>
    <row r="103" spans="1:37" ht="12" thickBot="1" x14ac:dyDescent="0.3">
      <c r="B103" s="14" t="s">
        <v>1353</v>
      </c>
      <c r="K103" s="79"/>
      <c r="L103" s="79"/>
      <c r="M103" s="79"/>
    </row>
    <row r="104" spans="1:37" ht="12" thickBot="1" x14ac:dyDescent="0.3">
      <c r="B104" s="68" t="s">
        <v>1354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298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 x14ac:dyDescent="0.25">
      <c r="F105" s="193"/>
      <c r="G105" s="234"/>
      <c r="H105" s="234"/>
      <c r="I105" s="292"/>
      <c r="J105" s="235"/>
      <c r="K105" s="236"/>
      <c r="L105" s="236"/>
      <c r="M105" s="237"/>
      <c r="O105" s="237"/>
      <c r="Q105" s="237"/>
      <c r="S105" s="237"/>
      <c r="U105" s="237"/>
      <c r="W105" s="237"/>
      <c r="Y105" s="237"/>
      <c r="AA105" s="237"/>
      <c r="AC105" s="237"/>
      <c r="AE105" s="237"/>
      <c r="AG105" s="237"/>
      <c r="AI105" s="237"/>
      <c r="AK105" s="237"/>
    </row>
    <row r="106" spans="1:37" ht="12" thickBot="1" x14ac:dyDescent="0.3">
      <c r="B106" s="14" t="s">
        <v>1132</v>
      </c>
      <c r="K106" s="79"/>
      <c r="L106" s="79"/>
      <c r="M106" s="79"/>
    </row>
    <row r="107" spans="1:37" x14ac:dyDescent="0.25">
      <c r="B107" s="98" t="s">
        <v>115</v>
      </c>
      <c r="C107" s="99"/>
      <c r="D107" s="100"/>
      <c r="E107" s="99">
        <v>9</v>
      </c>
      <c r="F107" s="100">
        <f>Clock!F96</f>
        <v>1.0020361796982167</v>
      </c>
      <c r="G107" s="101" t="str">
        <f t="shared" ref="G107" si="236">M107&amp;";"&amp;O107&amp;Q107&amp;S107&amp;U107&amp;W107&amp;Y107&amp;AA107&amp;AC107&amp;AE107&amp;AG107&amp;AI107&amp;AK107</f>
        <v>1;003628000</v>
      </c>
      <c r="H107" s="101"/>
      <c r="I107" s="289"/>
      <c r="J107" s="102">
        <v>0</v>
      </c>
      <c r="K107" s="103">
        <f>F107/POWER(12,J107)+0.00000000000001</f>
        <v>1.0020361796982267</v>
      </c>
      <c r="L107" s="104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 x14ac:dyDescent="0.25">
      <c r="B108" s="107" t="s">
        <v>204</v>
      </c>
      <c r="C108" s="30"/>
      <c r="D108" s="30"/>
      <c r="E108" s="30">
        <v>12</v>
      </c>
      <c r="F108" s="29">
        <f>F4/Clock!F4</f>
        <v>1.0000002946906721</v>
      </c>
      <c r="G108" s="108" t="str">
        <f t="shared" ref="G108" si="250">M108&amp;";"&amp;O108&amp;Q108&amp;S108&amp;U108&amp;W108&amp;Y108&amp;AA108&amp;AC108&amp;AE108&amp;AG108&amp;AI108&amp;AK108</f>
        <v>1;000000X68658</v>
      </c>
      <c r="H108" s="108"/>
      <c r="I108" s="286"/>
      <c r="J108" s="43">
        <v>0</v>
      </c>
      <c r="K108" s="109">
        <f>F108/POWER(12,J108)+0.00000000000001</f>
        <v>1.0000002946906821</v>
      </c>
      <c r="L108" s="44" t="str">
        <f>INDEX(powers!$H$2:$H$75,33+J108)</f>
        <v xml:space="preserve"> </v>
      </c>
      <c r="M108" s="97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96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96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96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96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96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96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96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96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96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96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96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96" t="str">
        <f t="shared" ref="AK108" si="263">IF($E108&gt;=AK$31,MID($J$31,IF($E108&gt;AK$31,INT(AJ108),ROUND(AJ108,0))+1,1),"")</f>
        <v>8</v>
      </c>
    </row>
    <row r="109" spans="1:37" ht="12" thickBot="1" x14ac:dyDescent="0.3">
      <c r="B109" s="105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287"/>
      <c r="J109" s="48">
        <v>0</v>
      </c>
      <c r="K109" s="106">
        <f>F109/POWER(12,J109)+0.00000000000001</f>
        <v>0.99999970530942484</v>
      </c>
      <c r="L109" s="49" t="str">
        <f>INDEX(powers!$H$2:$H$75,33+J109)</f>
        <v xml:space="preserve"> </v>
      </c>
      <c r="M109" s="97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96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96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96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96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96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96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96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96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96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96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96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96" t="str">
        <f t="shared" ref="AK109" si="277">IF($E109&gt;=AK$31,MID($J$31,IF($E109&gt;AK$31,INT(AJ109),ROUND(AJ109,0))+1,1),"")</f>
        <v>5</v>
      </c>
    </row>
    <row r="110" spans="1:37" x14ac:dyDescent="0.25">
      <c r="F110" s="193"/>
      <c r="G110" s="234"/>
      <c r="H110" s="234"/>
      <c r="I110" s="292"/>
      <c r="J110" s="235"/>
      <c r="K110" s="236"/>
      <c r="L110" s="236"/>
      <c r="M110" s="237"/>
      <c r="O110" s="237"/>
      <c r="Q110" s="237"/>
      <c r="S110" s="237"/>
      <c r="U110" s="237"/>
      <c r="W110" s="237"/>
      <c r="Y110" s="237"/>
      <c r="AA110" s="237"/>
      <c r="AC110" s="237"/>
      <c r="AE110" s="237"/>
      <c r="AG110" s="237"/>
      <c r="AI110" s="237"/>
      <c r="AK110" s="237"/>
    </row>
    <row r="111" spans="1:37" ht="12" thickBot="1" x14ac:dyDescent="0.3">
      <c r="B111" s="14" t="s">
        <v>1475</v>
      </c>
      <c r="C111" s="54">
        <v>1.0249999999999999</v>
      </c>
      <c r="F111" s="193"/>
      <c r="G111" s="234"/>
      <c r="H111" s="234"/>
      <c r="I111" s="292"/>
      <c r="J111" s="235"/>
      <c r="K111" s="236"/>
      <c r="L111" s="236"/>
      <c r="M111" s="237"/>
      <c r="O111" s="237"/>
      <c r="Q111" s="237"/>
      <c r="S111" s="237"/>
      <c r="U111" s="237"/>
      <c r="W111" s="237"/>
      <c r="Y111" s="237"/>
      <c r="AA111" s="237"/>
      <c r="AC111" s="237"/>
      <c r="AE111" s="237"/>
      <c r="AG111" s="237"/>
      <c r="AI111" s="237"/>
      <c r="AK111" s="237"/>
    </row>
    <row r="112" spans="1:37" ht="13.75" x14ac:dyDescent="0.25">
      <c r="B112" s="245" t="s">
        <v>1474</v>
      </c>
      <c r="C112" s="143"/>
      <c r="D112" s="142">
        <f>POWER(10,7)</f>
        <v>10000000</v>
      </c>
      <c r="E112" s="143">
        <v>9</v>
      </c>
      <c r="F112" s="142">
        <f>D112/F3/C$111</f>
        <v>35821621.225916758</v>
      </c>
      <c r="G112" s="145" t="str">
        <f t="shared" ref="G112" si="278">M112&amp;";"&amp;O112&amp;Q112&amp;S112&amp;U112&amp;W112&amp;Y112&amp;AA112&amp;AC112&amp;AE112&amp;AG112&amp;AI112&amp;AK112</f>
        <v>0;EEE613129</v>
      </c>
      <c r="H112" s="145"/>
      <c r="I112" s="526"/>
      <c r="J112" s="146">
        <v>7</v>
      </c>
      <c r="K112" s="194">
        <f>F112/POWER(12,J112)+0.00000000000001</f>
        <v>0.9997157058308952</v>
      </c>
      <c r="L112" s="14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 x14ac:dyDescent="0.25">
      <c r="B113" s="91" t="s">
        <v>1476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285"/>
      <c r="J113" s="38">
        <v>5</v>
      </c>
      <c r="K113" s="128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 x14ac:dyDescent="0.25">
      <c r="B114" s="91" t="s">
        <v>1477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285"/>
      <c r="J114" s="38">
        <v>-16</v>
      </c>
      <c r="K114" s="128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 x14ac:dyDescent="0.3">
      <c r="B115" s="527" t="s">
        <v>1478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287"/>
      <c r="J115" s="48">
        <v>2</v>
      </c>
      <c r="K115" s="106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 x14ac:dyDescent="0.25">
      <c r="F116" s="193"/>
      <c r="G116" s="234"/>
      <c r="H116" s="234"/>
      <c r="I116" s="292"/>
      <c r="J116" s="235"/>
      <c r="K116" s="236"/>
      <c r="L116" s="236"/>
      <c r="M116" s="237"/>
      <c r="O116" s="237"/>
      <c r="Q116" s="237"/>
      <c r="S116" s="237"/>
      <c r="U116" s="237"/>
      <c r="W116" s="237"/>
      <c r="Y116" s="237"/>
      <c r="AA116" s="237"/>
      <c r="AC116" s="237"/>
      <c r="AE116" s="237"/>
      <c r="AG116" s="237"/>
      <c r="AI116" s="237"/>
      <c r="AK116" s="237"/>
    </row>
    <row r="117" spans="2:39" ht="12" thickBot="1" x14ac:dyDescent="0.3">
      <c r="B117" s="14" t="s">
        <v>1131</v>
      </c>
      <c r="C117" s="54" t="s">
        <v>658</v>
      </c>
      <c r="D117" s="238">
        <f>AM118</f>
        <v>-74.360439333280311</v>
      </c>
      <c r="F117" s="232"/>
      <c r="G117" s="193"/>
      <c r="H117" s="193"/>
    </row>
    <row r="118" spans="2:39" x14ac:dyDescent="0.25">
      <c r="B118" s="98" t="s">
        <v>646</v>
      </c>
      <c r="C118" s="240" t="s">
        <v>626</v>
      </c>
      <c r="D118" s="242">
        <v>-273.14999999999998</v>
      </c>
      <c r="E118" s="99">
        <v>9</v>
      </c>
      <c r="F118" s="225">
        <f t="shared" ref="F118:F140" si="334">(D118-D$117)/F$6/20736</f>
        <v>-164.19058641975303</v>
      </c>
      <c r="G118" s="239" t="str">
        <f>"-"&amp;M118&amp;";"&amp;O118&amp;Q118&amp;S118&amp;U118&amp;W118&amp;Y118&amp;AA118&amp;AC118&amp;AE118&amp;AG118&amp;AI118&amp;AK118</f>
        <v>-1;182354000</v>
      </c>
      <c r="H118" s="239"/>
      <c r="I118" s="290"/>
      <c r="J118" s="226">
        <v>2</v>
      </c>
      <c r="K118" s="227">
        <f>-F118/POWER(12,J118)+0.00000000000001</f>
        <v>1.1402124056927394</v>
      </c>
      <c r="L118" s="104" t="str">
        <f>INDEX(powers!$H$2:$H$75,33+J118)</f>
        <v>gross</v>
      </c>
      <c r="M118" s="97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96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96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96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96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96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96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96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96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96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96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96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96" t="str">
        <f t="shared" ref="AK118:AK140" si="359">IF($E118&gt;=AK$31,MID($J$31,IF($E118&gt;AK$31,INT(AJ118),ROUND(AJ118,0))+1,1),"")</f>
        <v/>
      </c>
      <c r="AL118" s="238">
        <f>-(144*1+1*12+8+2/12+3/144+5/1728+4/20736)</f>
        <v>-164.19058641975306</v>
      </c>
      <c r="AM118" s="238">
        <f>-AL118*F$6*20736+D118</f>
        <v>-74.360439333280311</v>
      </c>
    </row>
    <row r="119" spans="2:39" x14ac:dyDescent="0.25">
      <c r="B119" s="126" t="s">
        <v>644</v>
      </c>
      <c r="C119" s="10" t="s">
        <v>645</v>
      </c>
      <c r="D119" s="198">
        <v>-89.4</v>
      </c>
      <c r="E119" s="8">
        <v>9</v>
      </c>
      <c r="F119" s="228">
        <f t="shared" si="334"/>
        <v>-12.421951520402779</v>
      </c>
      <c r="G119" s="229" t="str">
        <f>"-"&amp;M119&amp;";"&amp;O119&amp;Q119&amp;S119&amp;U119&amp;W119&amp;Y119&amp;AA119&amp;AC119&amp;AE119&amp;AG119&amp;AI119&amp;AK119</f>
        <v>-1;05091705X</v>
      </c>
      <c r="H119" s="229"/>
      <c r="I119" s="291"/>
      <c r="J119" s="230">
        <v>1</v>
      </c>
      <c r="K119" s="231">
        <f>-F119/POWER(12,J119)+0.00000000000001</f>
        <v>1.0351626267002416</v>
      </c>
      <c r="L119" s="39" t="str">
        <f>INDEX(powers!$H$2:$H$75,33+J119)</f>
        <v>dozen</v>
      </c>
      <c r="M119" s="97" t="str">
        <f t="shared" si="335"/>
        <v>1</v>
      </c>
      <c r="N119" s="8">
        <f t="shared" si="336"/>
        <v>0.4219515204028994</v>
      </c>
      <c r="O119" s="96" t="str">
        <f t="shared" si="337"/>
        <v>0</v>
      </c>
      <c r="P119" s="8">
        <f t="shared" si="338"/>
        <v>5.0634182448347929</v>
      </c>
      <c r="Q119" s="96" t="str">
        <f t="shared" si="339"/>
        <v>5</v>
      </c>
      <c r="R119" s="8">
        <f t="shared" si="340"/>
        <v>0.7610189380175143</v>
      </c>
      <c r="S119" s="96" t="str">
        <f t="shared" si="341"/>
        <v>0</v>
      </c>
      <c r="T119" s="8">
        <f t="shared" si="342"/>
        <v>9.1322272562101716</v>
      </c>
      <c r="U119" s="96" t="str">
        <f t="shared" si="343"/>
        <v>9</v>
      </c>
      <c r="V119" s="8">
        <f t="shared" si="344"/>
        <v>1.5867270745220594</v>
      </c>
      <c r="W119" s="96" t="str">
        <f t="shared" si="345"/>
        <v>1</v>
      </c>
      <c r="X119" s="8">
        <f t="shared" si="346"/>
        <v>7.0407248942647129</v>
      </c>
      <c r="Y119" s="96" t="str">
        <f t="shared" si="347"/>
        <v>7</v>
      </c>
      <c r="Z119" s="8">
        <f t="shared" si="348"/>
        <v>0.48869873117655516</v>
      </c>
      <c r="AA119" s="96" t="str">
        <f t="shared" si="349"/>
        <v>0</v>
      </c>
      <c r="AB119" s="8">
        <f t="shared" si="350"/>
        <v>5.8643847741186619</v>
      </c>
      <c r="AC119" s="96" t="str">
        <f t="shared" si="351"/>
        <v>5</v>
      </c>
      <c r="AD119" s="8">
        <f t="shared" si="352"/>
        <v>10.372617289423943</v>
      </c>
      <c r="AE119" s="96" t="str">
        <f t="shared" si="353"/>
        <v>X</v>
      </c>
      <c r="AF119" s="8">
        <f t="shared" si="354"/>
        <v>4.4714074730873108</v>
      </c>
      <c r="AG119" s="96" t="str">
        <f t="shared" si="355"/>
        <v/>
      </c>
      <c r="AH119" s="8">
        <f t="shared" si="356"/>
        <v>5.6568896770477295</v>
      </c>
      <c r="AI119" s="96" t="str">
        <f t="shared" si="357"/>
        <v/>
      </c>
      <c r="AJ119" s="8">
        <f t="shared" si="358"/>
        <v>7.8826761245727539</v>
      </c>
      <c r="AK119" s="96" t="str">
        <f t="shared" si="359"/>
        <v/>
      </c>
    </row>
    <row r="120" spans="2:39" x14ac:dyDescent="0.25">
      <c r="B120" s="126"/>
      <c r="C120" s="9" t="s">
        <v>627</v>
      </c>
      <c r="D120" s="198">
        <v>-78</v>
      </c>
      <c r="E120" s="8">
        <v>9</v>
      </c>
      <c r="F120" s="228">
        <f t="shared" si="334"/>
        <v>-3.0061015184838986</v>
      </c>
      <c r="G120" s="229" t="str">
        <f>"-"&amp;M120&amp;";"&amp;O120&amp;Q120&amp;S120&amp;U120&amp;W120&amp;Y120&amp;AA120&amp;AC120&amp;AE120&amp;AG120&amp;AI120&amp;AK120</f>
        <v>-3;00X663053</v>
      </c>
      <c r="H120" s="229"/>
      <c r="I120" s="291"/>
      <c r="J120" s="230">
        <v>0</v>
      </c>
      <c r="K120" s="231">
        <f>-F120/POWER(12,J120)+0.00000000000001</f>
        <v>3.0061015184839088</v>
      </c>
      <c r="L120" s="39" t="str">
        <f>INDEX(powers!$H$2:$H$75,33+J120)</f>
        <v xml:space="preserve"> </v>
      </c>
      <c r="M120" s="97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96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96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96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96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96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96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96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96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96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96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96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96" t="str">
        <f t="shared" ref="AK120" si="384">IF($E120&gt;=AK$31,MID($J$31,IF($E120&gt;AK$31,INT(AJ120),ROUND(AJ120,0))+1,1),"")</f>
        <v/>
      </c>
    </row>
    <row r="121" spans="2:39" x14ac:dyDescent="0.25">
      <c r="B121" s="126"/>
      <c r="C121" s="9" t="s">
        <v>628</v>
      </c>
      <c r="D121" s="198">
        <v>-55</v>
      </c>
      <c r="E121" s="8">
        <v>9</v>
      </c>
      <c r="F121" s="127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285"/>
      <c r="J121" s="38">
        <v>1</v>
      </c>
      <c r="K121" s="128">
        <f t="shared" ref="K121:K140" si="386">F121/POWER(12,J121)+0.00000000000001</f>
        <v>1.3325657363554027</v>
      </c>
      <c r="L121" s="39" t="str">
        <f>INDEX(powers!$H$2:$H$75,33+J121)</f>
        <v>dozen</v>
      </c>
      <c r="M121" s="97" t="str">
        <f t="shared" si="335"/>
        <v>1</v>
      </c>
      <c r="N121" s="8">
        <f t="shared" si="336"/>
        <v>3.9907888362648318</v>
      </c>
      <c r="O121" s="96" t="str">
        <f t="shared" si="337"/>
        <v>3</v>
      </c>
      <c r="P121" s="8">
        <f t="shared" si="338"/>
        <v>11.889466035177982</v>
      </c>
      <c r="Q121" s="96" t="str">
        <f t="shared" si="339"/>
        <v>E</v>
      </c>
      <c r="R121" s="8">
        <f t="shared" si="340"/>
        <v>10.673592422135783</v>
      </c>
      <c r="S121" s="96" t="str">
        <f t="shared" si="341"/>
        <v>X</v>
      </c>
      <c r="T121" s="8">
        <f t="shared" si="342"/>
        <v>8.0831090656294009</v>
      </c>
      <c r="U121" s="96" t="str">
        <f t="shared" si="343"/>
        <v>8</v>
      </c>
      <c r="V121" s="8">
        <f t="shared" si="344"/>
        <v>0.99730878755281083</v>
      </c>
      <c r="W121" s="96" t="str">
        <f t="shared" si="345"/>
        <v>0</v>
      </c>
      <c r="X121" s="8">
        <f t="shared" si="346"/>
        <v>11.96770545063373</v>
      </c>
      <c r="Y121" s="96" t="str">
        <f t="shared" si="347"/>
        <v>E</v>
      </c>
      <c r="Z121" s="8">
        <f t="shared" si="348"/>
        <v>11.612465407604759</v>
      </c>
      <c r="AA121" s="96" t="str">
        <f t="shared" si="349"/>
        <v>E</v>
      </c>
      <c r="AB121" s="8">
        <f t="shared" si="350"/>
        <v>7.3495848912571091</v>
      </c>
      <c r="AC121" s="96" t="str">
        <f t="shared" si="351"/>
        <v>7</v>
      </c>
      <c r="AD121" s="8">
        <f t="shared" si="352"/>
        <v>4.1950186950853094</v>
      </c>
      <c r="AE121" s="96" t="str">
        <f t="shared" si="353"/>
        <v>4</v>
      </c>
      <c r="AF121" s="8">
        <f t="shared" si="354"/>
        <v>2.3402243410237134</v>
      </c>
      <c r="AG121" s="96" t="str">
        <f t="shared" si="355"/>
        <v/>
      </c>
      <c r="AH121" s="8">
        <f t="shared" si="356"/>
        <v>4.0826920922845602</v>
      </c>
      <c r="AI121" s="96" t="str">
        <f t="shared" si="357"/>
        <v/>
      </c>
      <c r="AJ121" s="8">
        <f t="shared" si="358"/>
        <v>0.99230510741472244</v>
      </c>
      <c r="AK121" s="96" t="str">
        <f t="shared" si="359"/>
        <v/>
      </c>
    </row>
    <row r="122" spans="2:39" x14ac:dyDescent="0.25">
      <c r="B122" s="126"/>
      <c r="C122" s="9" t="s">
        <v>629</v>
      </c>
      <c r="D122" s="198">
        <v>-32</v>
      </c>
      <c r="E122" s="8">
        <v>9</v>
      </c>
      <c r="F122" s="127">
        <f t="shared" si="334"/>
        <v>34.987679191013321</v>
      </c>
      <c r="G122" s="37" t="str">
        <f t="shared" si="385"/>
        <v>2;XEX286232</v>
      </c>
      <c r="H122" s="37"/>
      <c r="I122" s="285"/>
      <c r="J122" s="38">
        <v>1</v>
      </c>
      <c r="K122" s="128">
        <f t="shared" si="386"/>
        <v>2.9156399325844538</v>
      </c>
      <c r="L122" s="39" t="str">
        <f>INDEX(powers!$H$2:$H$75,33+J122)</f>
        <v>dozen</v>
      </c>
      <c r="M122" s="97" t="str">
        <f t="shared" si="335"/>
        <v>2</v>
      </c>
      <c r="N122" s="8">
        <f t="shared" si="336"/>
        <v>10.987679191013445</v>
      </c>
      <c r="O122" s="96" t="str">
        <f t="shared" si="337"/>
        <v>X</v>
      </c>
      <c r="P122" s="8">
        <f t="shared" si="338"/>
        <v>11.85215029216134</v>
      </c>
      <c r="Q122" s="96" t="str">
        <f t="shared" si="339"/>
        <v>E</v>
      </c>
      <c r="R122" s="8">
        <f t="shared" si="340"/>
        <v>10.225803505936085</v>
      </c>
      <c r="S122" s="96" t="str">
        <f t="shared" si="341"/>
        <v>X</v>
      </c>
      <c r="T122" s="8">
        <f t="shared" si="342"/>
        <v>2.70964207123302</v>
      </c>
      <c r="U122" s="96" t="str">
        <f t="shared" si="343"/>
        <v>2</v>
      </c>
      <c r="V122" s="8">
        <f t="shared" si="344"/>
        <v>8.5157048547962404</v>
      </c>
      <c r="W122" s="96" t="str">
        <f t="shared" si="345"/>
        <v>8</v>
      </c>
      <c r="X122" s="8">
        <f t="shared" si="346"/>
        <v>6.1884582575548848</v>
      </c>
      <c r="Y122" s="96" t="str">
        <f t="shared" si="347"/>
        <v>6</v>
      </c>
      <c r="Z122" s="8">
        <f t="shared" si="348"/>
        <v>2.2614990906586172</v>
      </c>
      <c r="AA122" s="96" t="str">
        <f t="shared" si="349"/>
        <v>2</v>
      </c>
      <c r="AB122" s="8">
        <f t="shared" si="350"/>
        <v>3.1379890879034065</v>
      </c>
      <c r="AC122" s="96" t="str">
        <f t="shared" si="351"/>
        <v>3</v>
      </c>
      <c r="AD122" s="8">
        <f t="shared" si="352"/>
        <v>1.6558690548408777</v>
      </c>
      <c r="AE122" s="96" t="str">
        <f t="shared" si="353"/>
        <v>2</v>
      </c>
      <c r="AF122" s="8">
        <f t="shared" si="354"/>
        <v>7.8704286580905318</v>
      </c>
      <c r="AG122" s="96" t="str">
        <f t="shared" si="355"/>
        <v/>
      </c>
      <c r="AH122" s="8">
        <f t="shared" si="356"/>
        <v>10.445143897086382</v>
      </c>
      <c r="AI122" s="96" t="str">
        <f t="shared" si="357"/>
        <v/>
      </c>
      <c r="AJ122" s="8">
        <f t="shared" si="358"/>
        <v>5.3417267650365829</v>
      </c>
      <c r="AK122" s="96" t="str">
        <f t="shared" si="359"/>
        <v/>
      </c>
    </row>
    <row r="123" spans="2:39" x14ac:dyDescent="0.25">
      <c r="B123" s="126"/>
      <c r="C123" s="9" t="s">
        <v>630</v>
      </c>
      <c r="D123" s="198">
        <v>-17.8</v>
      </c>
      <c r="E123" s="8">
        <v>9</v>
      </c>
      <c r="F123" s="127">
        <f t="shared" si="334"/>
        <v>46.716194105684195</v>
      </c>
      <c r="G123" s="37" t="str">
        <f t="shared" si="385"/>
        <v>3;X87170018</v>
      </c>
      <c r="H123" s="37"/>
      <c r="I123" s="285"/>
      <c r="J123" s="38">
        <v>1</v>
      </c>
      <c r="K123" s="128">
        <f t="shared" si="386"/>
        <v>3.8930161754736932</v>
      </c>
      <c r="L123" s="39" t="str">
        <f>INDEX(powers!$H$2:$H$75,33+J123)</f>
        <v>dozen</v>
      </c>
      <c r="M123" s="97" t="str">
        <f t="shared" si="335"/>
        <v>3</v>
      </c>
      <c r="N123" s="8">
        <f t="shared" si="336"/>
        <v>10.716194105684318</v>
      </c>
      <c r="O123" s="96" t="str">
        <f t="shared" si="337"/>
        <v>X</v>
      </c>
      <c r="P123" s="8">
        <f t="shared" si="338"/>
        <v>8.5943292682118155</v>
      </c>
      <c r="Q123" s="96" t="str">
        <f t="shared" si="339"/>
        <v>8</v>
      </c>
      <c r="R123" s="8">
        <f t="shared" si="340"/>
        <v>7.1319512185417864</v>
      </c>
      <c r="S123" s="96" t="str">
        <f t="shared" si="341"/>
        <v>7</v>
      </c>
      <c r="T123" s="8">
        <f t="shared" si="342"/>
        <v>1.5834146225014365</v>
      </c>
      <c r="U123" s="96" t="str">
        <f t="shared" si="343"/>
        <v>1</v>
      </c>
      <c r="V123" s="8">
        <f t="shared" si="344"/>
        <v>7.000975470017238</v>
      </c>
      <c r="W123" s="96" t="str">
        <f t="shared" si="345"/>
        <v>7</v>
      </c>
      <c r="X123" s="8">
        <f t="shared" si="346"/>
        <v>1.1705640206855605E-2</v>
      </c>
      <c r="Y123" s="96" t="str">
        <f t="shared" si="347"/>
        <v>0</v>
      </c>
      <c r="Z123" s="8">
        <f t="shared" si="348"/>
        <v>0.14046768248226726</v>
      </c>
      <c r="AA123" s="96" t="str">
        <f t="shared" si="349"/>
        <v>0</v>
      </c>
      <c r="AB123" s="8">
        <f t="shared" si="350"/>
        <v>1.6856121897872072</v>
      </c>
      <c r="AC123" s="96" t="str">
        <f t="shared" si="351"/>
        <v>1</v>
      </c>
      <c r="AD123" s="8">
        <f t="shared" si="352"/>
        <v>8.2273462774464861</v>
      </c>
      <c r="AE123" s="96" t="str">
        <f t="shared" si="353"/>
        <v>8</v>
      </c>
      <c r="AF123" s="8">
        <f t="shared" si="354"/>
        <v>2.7281553293578327</v>
      </c>
      <c r="AG123" s="96" t="str">
        <f t="shared" si="355"/>
        <v/>
      </c>
      <c r="AH123" s="8">
        <f t="shared" si="356"/>
        <v>8.737863952293992</v>
      </c>
      <c r="AI123" s="96" t="str">
        <f t="shared" si="357"/>
        <v/>
      </c>
      <c r="AJ123" s="8">
        <f t="shared" si="358"/>
        <v>8.8543674275279045</v>
      </c>
      <c r="AK123" s="96" t="str">
        <f t="shared" si="359"/>
        <v/>
      </c>
    </row>
    <row r="124" spans="2:39" x14ac:dyDescent="0.25">
      <c r="B124" s="126"/>
      <c r="C124" s="9" t="s">
        <v>631</v>
      </c>
      <c r="D124" s="198">
        <v>-9</v>
      </c>
      <c r="E124" s="8">
        <v>9</v>
      </c>
      <c r="F124" s="127">
        <f t="shared" si="334"/>
        <v>53.984569545761921</v>
      </c>
      <c r="G124" s="37" t="str">
        <f t="shared" si="385"/>
        <v>4;5E99404XE</v>
      </c>
      <c r="H124" s="37"/>
      <c r="I124" s="285"/>
      <c r="J124" s="38">
        <v>1</v>
      </c>
      <c r="K124" s="128">
        <f t="shared" si="386"/>
        <v>4.4987141288135035</v>
      </c>
      <c r="L124" s="39" t="str">
        <f>INDEX(powers!$H$2:$H$75,33+J124)</f>
        <v>dozen</v>
      </c>
      <c r="M124" s="97" t="str">
        <f t="shared" si="335"/>
        <v>4</v>
      </c>
      <c r="N124" s="8">
        <f t="shared" si="336"/>
        <v>5.9845695457620423</v>
      </c>
      <c r="O124" s="96" t="str">
        <f t="shared" si="337"/>
        <v>5</v>
      </c>
      <c r="P124" s="8">
        <f t="shared" si="338"/>
        <v>11.814834549144507</v>
      </c>
      <c r="Q124" s="96" t="str">
        <f t="shared" si="339"/>
        <v>E</v>
      </c>
      <c r="R124" s="8">
        <f t="shared" si="340"/>
        <v>9.7780145897340844</v>
      </c>
      <c r="S124" s="96" t="str">
        <f t="shared" si="341"/>
        <v>9</v>
      </c>
      <c r="T124" s="8">
        <f t="shared" si="342"/>
        <v>9.3361750768090133</v>
      </c>
      <c r="U124" s="96" t="str">
        <f t="shared" si="343"/>
        <v>9</v>
      </c>
      <c r="V124" s="8">
        <f t="shared" si="344"/>
        <v>4.0341009217081591</v>
      </c>
      <c r="W124" s="96" t="str">
        <f t="shared" si="345"/>
        <v>4</v>
      </c>
      <c r="X124" s="8">
        <f t="shared" si="346"/>
        <v>0.40921106049790978</v>
      </c>
      <c r="Y124" s="96" t="str">
        <f t="shared" si="347"/>
        <v>0</v>
      </c>
      <c r="Z124" s="8">
        <f t="shared" si="348"/>
        <v>4.9105327259749174</v>
      </c>
      <c r="AA124" s="96" t="str">
        <f t="shared" si="349"/>
        <v>4</v>
      </c>
      <c r="AB124" s="8">
        <f t="shared" si="350"/>
        <v>10.926392711699009</v>
      </c>
      <c r="AC124" s="96" t="str">
        <f t="shared" si="351"/>
        <v>X</v>
      </c>
      <c r="AD124" s="8">
        <f t="shared" si="352"/>
        <v>11.116712540388107</v>
      </c>
      <c r="AE124" s="96" t="str">
        <f t="shared" si="353"/>
        <v>E</v>
      </c>
      <c r="AF124" s="8">
        <f t="shared" si="354"/>
        <v>1.4005504846572876</v>
      </c>
      <c r="AG124" s="96" t="str">
        <f t="shared" si="355"/>
        <v/>
      </c>
      <c r="AH124" s="8">
        <f t="shared" si="356"/>
        <v>4.8066058158874512</v>
      </c>
      <c r="AI124" s="96" t="str">
        <f t="shared" si="357"/>
        <v/>
      </c>
      <c r="AJ124" s="8">
        <f t="shared" si="358"/>
        <v>9.6792697906494141</v>
      </c>
      <c r="AK124" s="96" t="str">
        <f t="shared" si="359"/>
        <v/>
      </c>
    </row>
    <row r="125" spans="2:39" x14ac:dyDescent="0.25">
      <c r="B125" s="126" t="s">
        <v>647</v>
      </c>
      <c r="C125" s="9" t="s">
        <v>632</v>
      </c>
      <c r="D125" s="198">
        <v>0</v>
      </c>
      <c r="E125" s="8">
        <v>9</v>
      </c>
      <c r="F125" s="127">
        <f t="shared" si="334"/>
        <v>61.41813533675051</v>
      </c>
      <c r="G125" s="37" t="str">
        <f t="shared" si="385"/>
        <v>5;150265551</v>
      </c>
      <c r="H125" s="37"/>
      <c r="I125" s="285"/>
      <c r="J125" s="38">
        <v>1</v>
      </c>
      <c r="K125" s="128">
        <f t="shared" si="386"/>
        <v>5.1181779447292186</v>
      </c>
      <c r="L125" s="39" t="str">
        <f>INDEX(powers!$H$2:$H$75,33+J125)</f>
        <v>dozen</v>
      </c>
      <c r="M125" s="97" t="str">
        <f t="shared" si="335"/>
        <v>5</v>
      </c>
      <c r="N125" s="8">
        <f t="shared" si="336"/>
        <v>1.4181353367506233</v>
      </c>
      <c r="O125" s="96" t="str">
        <f t="shared" si="337"/>
        <v>1</v>
      </c>
      <c r="P125" s="8">
        <f t="shared" si="338"/>
        <v>5.0176240410074797</v>
      </c>
      <c r="Q125" s="96" t="str">
        <f t="shared" si="339"/>
        <v>5</v>
      </c>
      <c r="R125" s="8">
        <f t="shared" si="340"/>
        <v>0.21148849208975662</v>
      </c>
      <c r="S125" s="96" t="str">
        <f t="shared" si="341"/>
        <v>0</v>
      </c>
      <c r="T125" s="8">
        <f t="shared" si="342"/>
        <v>2.5378619050770794</v>
      </c>
      <c r="U125" s="96" t="str">
        <f t="shared" si="343"/>
        <v>2</v>
      </c>
      <c r="V125" s="8">
        <f t="shared" si="344"/>
        <v>6.4543428609249531</v>
      </c>
      <c r="W125" s="96" t="str">
        <f t="shared" si="345"/>
        <v>6</v>
      </c>
      <c r="X125" s="8">
        <f t="shared" si="346"/>
        <v>5.4521143310994375</v>
      </c>
      <c r="Y125" s="96" t="str">
        <f t="shared" si="347"/>
        <v>5</v>
      </c>
      <c r="Z125" s="8">
        <f t="shared" si="348"/>
        <v>5.4253719731932506</v>
      </c>
      <c r="AA125" s="96" t="str">
        <f t="shared" si="349"/>
        <v>5</v>
      </c>
      <c r="AB125" s="8">
        <f t="shared" si="350"/>
        <v>5.1044636783190072</v>
      </c>
      <c r="AC125" s="96" t="str">
        <f t="shared" si="351"/>
        <v>5</v>
      </c>
      <c r="AD125" s="8">
        <f t="shared" si="352"/>
        <v>1.2535641398280859</v>
      </c>
      <c r="AE125" s="96" t="str">
        <f t="shared" si="353"/>
        <v>1</v>
      </c>
      <c r="AF125" s="8">
        <f t="shared" si="354"/>
        <v>3.0427696779370308</v>
      </c>
      <c r="AG125" s="96" t="str">
        <f t="shared" si="355"/>
        <v/>
      </c>
      <c r="AH125" s="8">
        <f t="shared" si="356"/>
        <v>0.51323613524436951</v>
      </c>
      <c r="AI125" s="96" t="str">
        <f t="shared" si="357"/>
        <v/>
      </c>
      <c r="AJ125" s="8">
        <f t="shared" si="358"/>
        <v>6.1588336229324341</v>
      </c>
      <c r="AK125" s="96" t="str">
        <f t="shared" si="359"/>
        <v/>
      </c>
      <c r="AL125" s="238">
        <f>5*12+1+5/12</f>
        <v>61.416666666666664</v>
      </c>
      <c r="AM125" s="238">
        <f t="shared" ref="AM125:AM127" si="387">-AL125*F$6*20736+D125</f>
        <v>-74.358661178471934</v>
      </c>
    </row>
    <row r="126" spans="2:39" x14ac:dyDescent="0.25">
      <c r="B126" s="126" t="s">
        <v>656</v>
      </c>
      <c r="C126" s="9" t="s">
        <v>657</v>
      </c>
      <c r="D126" s="198">
        <v>8.8999999999999995E-5</v>
      </c>
      <c r="E126" s="8">
        <v>9</v>
      </c>
      <c r="F126" s="127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285"/>
      <c r="J126" s="38">
        <v>1</v>
      </c>
      <c r="K126" s="128">
        <f t="shared" ref="K126" si="389">F126/POWER(12,J126)+0.00000000000001</f>
        <v>5.1181840705380655</v>
      </c>
      <c r="L126" s="39" t="str">
        <f>INDEX(powers!$H$2:$H$75,33+J126)</f>
        <v>dozen</v>
      </c>
      <c r="M126" s="97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96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96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96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96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96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96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96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96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96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96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96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96" t="str">
        <f t="shared" ref="AK126" si="414">IF($E126&gt;=AK$31,MID($J$31,IF($E126&gt;AK$31,INT(AJ126),ROUND(AJ126,0))+1,1),"")</f>
        <v/>
      </c>
      <c r="AL126" s="238">
        <f>5*12+1+5/12</f>
        <v>61.416666666666664</v>
      </c>
      <c r="AM126" s="238">
        <f t="shared" ref="AM126" si="415">-AL126*F$6*20736+D126</f>
        <v>-74.358572178471931</v>
      </c>
    </row>
    <row r="127" spans="2:39" x14ac:dyDescent="0.25">
      <c r="B127" s="126" t="s">
        <v>648</v>
      </c>
      <c r="C127" s="9" t="s">
        <v>642</v>
      </c>
      <c r="D127" s="198">
        <v>0.01</v>
      </c>
      <c r="E127" s="8">
        <v>9</v>
      </c>
      <c r="F127" s="127">
        <f t="shared" si="334"/>
        <v>61.426394854296056</v>
      </c>
      <c r="G127" s="37" t="str">
        <f t="shared" si="385"/>
        <v>5;151498827</v>
      </c>
      <c r="H127" s="37"/>
      <c r="I127" s="285"/>
      <c r="J127" s="38">
        <v>1</v>
      </c>
      <c r="K127" s="128">
        <f t="shared" si="386"/>
        <v>5.1188662378580148</v>
      </c>
      <c r="L127" s="39" t="str">
        <f>INDEX(powers!$H$2:$H$75,33+J127)</f>
        <v>dozen</v>
      </c>
      <c r="M127" s="97" t="str">
        <f t="shared" si="335"/>
        <v>5</v>
      </c>
      <c r="N127" s="8">
        <f t="shared" si="336"/>
        <v>1.4263948542961771</v>
      </c>
      <c r="O127" s="96" t="str">
        <f t="shared" si="337"/>
        <v>1</v>
      </c>
      <c r="P127" s="8">
        <f t="shared" si="338"/>
        <v>5.1167382515541249</v>
      </c>
      <c r="Q127" s="96" t="str">
        <f t="shared" si="339"/>
        <v>5</v>
      </c>
      <c r="R127" s="8">
        <f t="shared" si="340"/>
        <v>1.4008590186494985</v>
      </c>
      <c r="S127" s="96" t="str">
        <f t="shared" si="341"/>
        <v>1</v>
      </c>
      <c r="T127" s="8">
        <f t="shared" si="342"/>
        <v>4.8103082237939816</v>
      </c>
      <c r="U127" s="96" t="str">
        <f t="shared" si="343"/>
        <v>4</v>
      </c>
      <c r="V127" s="8">
        <f t="shared" si="344"/>
        <v>9.7236986855277792</v>
      </c>
      <c r="W127" s="96" t="str">
        <f t="shared" si="345"/>
        <v>9</v>
      </c>
      <c r="X127" s="8">
        <f t="shared" si="346"/>
        <v>8.6843842263333499</v>
      </c>
      <c r="Y127" s="96" t="str">
        <f t="shared" si="347"/>
        <v>8</v>
      </c>
      <c r="Z127" s="8">
        <f t="shared" si="348"/>
        <v>8.2126107160001993</v>
      </c>
      <c r="AA127" s="96" t="str">
        <f t="shared" si="349"/>
        <v>8</v>
      </c>
      <c r="AB127" s="8">
        <f t="shared" si="350"/>
        <v>2.5513285920023918</v>
      </c>
      <c r="AC127" s="96" t="str">
        <f t="shared" si="351"/>
        <v>2</v>
      </c>
      <c r="AD127" s="8">
        <f t="shared" si="352"/>
        <v>6.6159431040287018</v>
      </c>
      <c r="AE127" s="96" t="str">
        <f t="shared" si="353"/>
        <v>7</v>
      </c>
      <c r="AF127" s="8">
        <f t="shared" si="354"/>
        <v>7.3913172483444214</v>
      </c>
      <c r="AG127" s="96" t="str">
        <f t="shared" si="355"/>
        <v/>
      </c>
      <c r="AH127" s="8">
        <f t="shared" si="356"/>
        <v>4.6958069801330566</v>
      </c>
      <c r="AI127" s="96" t="str">
        <f t="shared" si="357"/>
        <v/>
      </c>
      <c r="AJ127" s="8">
        <f t="shared" si="358"/>
        <v>8.3496837615966797</v>
      </c>
      <c r="AK127" s="96" t="str">
        <f t="shared" si="359"/>
        <v/>
      </c>
      <c r="AL127" s="238">
        <f>5*12+1+5/12</f>
        <v>61.416666666666664</v>
      </c>
      <c r="AM127" s="238">
        <f t="shared" si="387"/>
        <v>-74.348661178471929</v>
      </c>
    </row>
    <row r="128" spans="2:39" x14ac:dyDescent="0.25">
      <c r="B128" s="126" t="s">
        <v>650</v>
      </c>
      <c r="C128" s="9" t="s">
        <v>633</v>
      </c>
      <c r="D128" s="198">
        <v>3.98</v>
      </c>
      <c r="E128" s="8">
        <v>9</v>
      </c>
      <c r="F128" s="127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285"/>
      <c r="J128" s="38">
        <v>1</v>
      </c>
      <c r="K128" s="128">
        <f t="shared" ref="K128:K129" si="417">F128/POWER(12,J128)+0.00000000000001</f>
        <v>5.3921186099897245</v>
      </c>
      <c r="L128" s="39" t="str">
        <f>INDEX(powers!$H$2:$H$75,33+J128)</f>
        <v>dozen</v>
      </c>
      <c r="M128" s="97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96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96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96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96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96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96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96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96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96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96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96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96" t="str">
        <f t="shared" ref="AK128:AK129" si="442">IF($E128&gt;=AK$31,MID($J$31,IF($E128&gt;AK$31,INT(AJ128),ROUND(AJ128,0))+1,1),"")</f>
        <v/>
      </c>
    </row>
    <row r="129" spans="2:39" x14ac:dyDescent="0.25">
      <c r="B129" s="126"/>
      <c r="C129" s="9" t="s">
        <v>634</v>
      </c>
      <c r="D129" s="198">
        <v>14</v>
      </c>
      <c r="E129" s="8">
        <v>9</v>
      </c>
      <c r="F129" s="127">
        <f t="shared" si="334"/>
        <v>72.981459900510529</v>
      </c>
      <c r="G129" s="37" t="str">
        <f t="shared" si="416"/>
        <v>6;0E93E6769</v>
      </c>
      <c r="H129" s="37"/>
      <c r="I129" s="285"/>
      <c r="J129" s="38">
        <v>1</v>
      </c>
      <c r="K129" s="128">
        <f t="shared" si="417"/>
        <v>6.0817883250425542</v>
      </c>
      <c r="L129" s="39" t="str">
        <f>INDEX(powers!$H$2:$H$75,33+J129)</f>
        <v>dozen</v>
      </c>
      <c r="M129" s="97" t="str">
        <f t="shared" si="418"/>
        <v>6</v>
      </c>
      <c r="N129" s="8">
        <f t="shared" si="419"/>
        <v>0.98145990051065013</v>
      </c>
      <c r="O129" s="96" t="str">
        <f t="shared" si="420"/>
        <v>0</v>
      </c>
      <c r="P129" s="8">
        <f t="shared" si="421"/>
        <v>11.777518806127802</v>
      </c>
      <c r="Q129" s="96" t="str">
        <f t="shared" si="422"/>
        <v>E</v>
      </c>
      <c r="R129" s="8">
        <f t="shared" si="423"/>
        <v>9.3302256735336186</v>
      </c>
      <c r="S129" s="96" t="str">
        <f t="shared" si="424"/>
        <v>9</v>
      </c>
      <c r="T129" s="8">
        <f t="shared" si="425"/>
        <v>3.9627080824034238</v>
      </c>
      <c r="U129" s="96" t="str">
        <f t="shared" si="426"/>
        <v>3</v>
      </c>
      <c r="V129" s="8">
        <f t="shared" si="427"/>
        <v>11.552496988841085</v>
      </c>
      <c r="W129" s="96" t="str">
        <f t="shared" si="428"/>
        <v>E</v>
      </c>
      <c r="X129" s="8">
        <f t="shared" si="429"/>
        <v>6.6299638660930214</v>
      </c>
      <c r="Y129" s="96" t="str">
        <f t="shared" si="430"/>
        <v>6</v>
      </c>
      <c r="Z129" s="8">
        <f t="shared" si="431"/>
        <v>7.5595663931162562</v>
      </c>
      <c r="AA129" s="96" t="str">
        <f t="shared" si="432"/>
        <v>7</v>
      </c>
      <c r="AB129" s="8">
        <f t="shared" si="433"/>
        <v>6.7147967173950747</v>
      </c>
      <c r="AC129" s="96" t="str">
        <f t="shared" si="434"/>
        <v>6</v>
      </c>
      <c r="AD129" s="8">
        <f t="shared" si="435"/>
        <v>8.577560608740896</v>
      </c>
      <c r="AE129" s="96" t="str">
        <f t="shared" si="436"/>
        <v>9</v>
      </c>
      <c r="AF129" s="8">
        <f t="shared" si="437"/>
        <v>6.9307273048907518</v>
      </c>
      <c r="AG129" s="96" t="str">
        <f t="shared" si="438"/>
        <v/>
      </c>
      <c r="AH129" s="8">
        <f t="shared" si="439"/>
        <v>11.168727658689022</v>
      </c>
      <c r="AI129" s="96" t="str">
        <f t="shared" si="440"/>
        <v/>
      </c>
      <c r="AJ129" s="8">
        <f t="shared" si="441"/>
        <v>2.0247319042682648</v>
      </c>
      <c r="AK129" s="96" t="str">
        <f t="shared" si="442"/>
        <v/>
      </c>
    </row>
    <row r="130" spans="2:39" x14ac:dyDescent="0.25">
      <c r="B130" s="126"/>
      <c r="C130" s="9" t="s">
        <v>654</v>
      </c>
      <c r="D130" s="198">
        <v>15</v>
      </c>
      <c r="E130" s="8">
        <v>9</v>
      </c>
      <c r="F130" s="127">
        <f t="shared" si="334"/>
        <v>73.807411655064811</v>
      </c>
      <c r="G130" s="37" t="str">
        <f t="shared" si="385"/>
        <v>6;198325X35</v>
      </c>
      <c r="H130" s="37"/>
      <c r="I130" s="285"/>
      <c r="J130" s="38">
        <v>1</v>
      </c>
      <c r="K130" s="128">
        <f t="shared" si="386"/>
        <v>6.1506176379220774</v>
      </c>
      <c r="L130" s="39" t="str">
        <f>INDEX(powers!$H$2:$H$75,33+J130)</f>
        <v>dozen</v>
      </c>
      <c r="M130" s="97" t="str">
        <f t="shared" si="335"/>
        <v>6</v>
      </c>
      <c r="N130" s="8">
        <f t="shared" si="336"/>
        <v>1.8074116550649286</v>
      </c>
      <c r="O130" s="96" t="str">
        <f t="shared" si="337"/>
        <v>1</v>
      </c>
      <c r="P130" s="8">
        <f t="shared" si="338"/>
        <v>9.6889398607791435</v>
      </c>
      <c r="Q130" s="96" t="str">
        <f t="shared" si="339"/>
        <v>9</v>
      </c>
      <c r="R130" s="8">
        <f t="shared" si="340"/>
        <v>8.2672783293497218</v>
      </c>
      <c r="S130" s="96" t="str">
        <f t="shared" si="341"/>
        <v>8</v>
      </c>
      <c r="T130" s="8">
        <f t="shared" si="342"/>
        <v>3.2073399521966621</v>
      </c>
      <c r="U130" s="96" t="str">
        <f t="shared" si="343"/>
        <v>3</v>
      </c>
      <c r="V130" s="8">
        <f t="shared" si="344"/>
        <v>2.4880794263599455</v>
      </c>
      <c r="W130" s="96" t="str">
        <f t="shared" si="345"/>
        <v>2</v>
      </c>
      <c r="X130" s="8">
        <f t="shared" si="346"/>
        <v>5.856953116319346</v>
      </c>
      <c r="Y130" s="96" t="str">
        <f t="shared" si="347"/>
        <v>5</v>
      </c>
      <c r="Z130" s="8">
        <f t="shared" si="348"/>
        <v>10.283437395832152</v>
      </c>
      <c r="AA130" s="96" t="str">
        <f t="shared" si="349"/>
        <v>X</v>
      </c>
      <c r="AB130" s="8">
        <f t="shared" si="350"/>
        <v>3.4012487499858253</v>
      </c>
      <c r="AC130" s="96" t="str">
        <f t="shared" si="351"/>
        <v>3</v>
      </c>
      <c r="AD130" s="8">
        <f t="shared" si="352"/>
        <v>4.8149849998299032</v>
      </c>
      <c r="AE130" s="96" t="str">
        <f t="shared" si="353"/>
        <v>5</v>
      </c>
      <c r="AF130" s="8">
        <f t="shared" si="354"/>
        <v>9.7798199979588389</v>
      </c>
      <c r="AG130" s="96" t="str">
        <f t="shared" si="355"/>
        <v/>
      </c>
      <c r="AH130" s="8">
        <f t="shared" si="356"/>
        <v>9.3578399755060673</v>
      </c>
      <c r="AI130" s="96" t="str">
        <f t="shared" si="357"/>
        <v/>
      </c>
      <c r="AJ130" s="8">
        <f t="shared" si="358"/>
        <v>4.2940797060728073</v>
      </c>
      <c r="AK130" s="96" t="str">
        <f t="shared" si="359"/>
        <v/>
      </c>
      <c r="AL130" s="238">
        <f>6*12+1+9/12+8/144+3/1728</f>
        <v>73.807291666666671</v>
      </c>
      <c r="AM130" s="238">
        <f t="shared" ref="AM130" si="443">-AL130*F$6*20736+D130</f>
        <v>-74.360294060390586</v>
      </c>
    </row>
    <row r="131" spans="2:39" x14ac:dyDescent="0.25">
      <c r="B131" s="126"/>
      <c r="C131" s="9" t="s">
        <v>635</v>
      </c>
      <c r="D131" s="198">
        <v>20</v>
      </c>
      <c r="E131" s="8">
        <v>9</v>
      </c>
      <c r="F131" s="127">
        <f t="shared" si="334"/>
        <v>77.937170427836264</v>
      </c>
      <c r="G131" s="37" t="str">
        <f t="shared" si="385"/>
        <v>6;5E2E51EXX</v>
      </c>
      <c r="H131" s="37"/>
      <c r="I131" s="285"/>
      <c r="J131" s="38">
        <v>1</v>
      </c>
      <c r="K131" s="128">
        <f t="shared" si="386"/>
        <v>6.4947642023196988</v>
      </c>
      <c r="L131" s="39" t="str">
        <f>INDEX(powers!$H$2:$H$75,33+J131)</f>
        <v>dozen</v>
      </c>
      <c r="M131" s="97" t="str">
        <f t="shared" si="335"/>
        <v>6</v>
      </c>
      <c r="N131" s="8">
        <f t="shared" si="336"/>
        <v>5.937170427836385</v>
      </c>
      <c r="O131" s="96" t="str">
        <f t="shared" si="337"/>
        <v>5</v>
      </c>
      <c r="P131" s="8">
        <f t="shared" si="338"/>
        <v>11.246045134036621</v>
      </c>
      <c r="Q131" s="96" t="str">
        <f t="shared" si="339"/>
        <v>E</v>
      </c>
      <c r="R131" s="8">
        <f t="shared" si="340"/>
        <v>2.9525416084394465</v>
      </c>
      <c r="S131" s="96" t="str">
        <f t="shared" si="341"/>
        <v>2</v>
      </c>
      <c r="T131" s="8">
        <f t="shared" si="342"/>
        <v>11.430499301273358</v>
      </c>
      <c r="U131" s="96" t="str">
        <f t="shared" si="343"/>
        <v>E</v>
      </c>
      <c r="V131" s="8">
        <f t="shared" si="344"/>
        <v>5.1659916152802907</v>
      </c>
      <c r="W131" s="96" t="str">
        <f t="shared" si="345"/>
        <v>5</v>
      </c>
      <c r="X131" s="8">
        <f t="shared" si="346"/>
        <v>1.9918993833634886</v>
      </c>
      <c r="Y131" s="96" t="str">
        <f t="shared" si="347"/>
        <v>1</v>
      </c>
      <c r="Z131" s="8">
        <f t="shared" si="348"/>
        <v>11.902792600361863</v>
      </c>
      <c r="AA131" s="96" t="str">
        <f t="shared" si="349"/>
        <v>E</v>
      </c>
      <c r="AB131" s="8">
        <f t="shared" si="350"/>
        <v>10.833511204342358</v>
      </c>
      <c r="AC131" s="96" t="str">
        <f t="shared" si="351"/>
        <v>X</v>
      </c>
      <c r="AD131" s="8">
        <f t="shared" si="352"/>
        <v>10.002134452108294</v>
      </c>
      <c r="AE131" s="96" t="str">
        <f t="shared" si="353"/>
        <v>X</v>
      </c>
      <c r="AF131" s="8">
        <f t="shared" si="354"/>
        <v>2.5613425299525261E-2</v>
      </c>
      <c r="AG131" s="96" t="str">
        <f t="shared" si="355"/>
        <v/>
      </c>
      <c r="AH131" s="8">
        <f t="shared" si="356"/>
        <v>0.30736110359430313</v>
      </c>
      <c r="AI131" s="96" t="str">
        <f t="shared" si="357"/>
        <v/>
      </c>
      <c r="AJ131" s="8">
        <f t="shared" si="358"/>
        <v>3.6883332431316376</v>
      </c>
      <c r="AK131" s="96" t="str">
        <f t="shared" si="359"/>
        <v/>
      </c>
    </row>
    <row r="132" spans="2:39" x14ac:dyDescent="0.25">
      <c r="B132" s="126"/>
      <c r="C132" s="9" t="s">
        <v>655</v>
      </c>
      <c r="D132" s="198">
        <v>25.5</v>
      </c>
      <c r="E132" s="8">
        <v>9</v>
      </c>
      <c r="F132" s="127">
        <f t="shared" si="334"/>
        <v>82.479905077884837</v>
      </c>
      <c r="G132" s="37" t="str">
        <f t="shared" si="385"/>
        <v>6;X591338X7</v>
      </c>
      <c r="H132" s="37"/>
      <c r="I132" s="285"/>
      <c r="J132" s="38">
        <v>1</v>
      </c>
      <c r="K132" s="128">
        <f t="shared" si="386"/>
        <v>6.8733254231570795</v>
      </c>
      <c r="L132" s="39" t="str">
        <f>INDEX(powers!$H$2:$H$75,33+J132)</f>
        <v>dozen</v>
      </c>
      <c r="M132" s="97" t="str">
        <f t="shared" si="335"/>
        <v>6</v>
      </c>
      <c r="N132" s="8">
        <f t="shared" si="336"/>
        <v>10.479905077884954</v>
      </c>
      <c r="O132" s="96" t="str">
        <f t="shared" si="337"/>
        <v>X</v>
      </c>
      <c r="P132" s="8">
        <f t="shared" si="338"/>
        <v>5.7588609346194488</v>
      </c>
      <c r="Q132" s="96" t="str">
        <f t="shared" si="339"/>
        <v>5</v>
      </c>
      <c r="R132" s="8">
        <f t="shared" si="340"/>
        <v>9.1063312154333858</v>
      </c>
      <c r="S132" s="96" t="str">
        <f t="shared" si="341"/>
        <v>9</v>
      </c>
      <c r="T132" s="8">
        <f t="shared" si="342"/>
        <v>1.275974585200629</v>
      </c>
      <c r="U132" s="96" t="str">
        <f t="shared" si="343"/>
        <v>1</v>
      </c>
      <c r="V132" s="8">
        <f t="shared" si="344"/>
        <v>3.3116950224075481</v>
      </c>
      <c r="W132" s="96" t="str">
        <f t="shared" si="345"/>
        <v>3</v>
      </c>
      <c r="X132" s="8">
        <f t="shared" si="346"/>
        <v>3.7403402688905771</v>
      </c>
      <c r="Y132" s="96" t="str">
        <f t="shared" si="347"/>
        <v>3</v>
      </c>
      <c r="Z132" s="8">
        <f t="shared" si="348"/>
        <v>8.8840832266869256</v>
      </c>
      <c r="AA132" s="96" t="str">
        <f t="shared" si="349"/>
        <v>8</v>
      </c>
      <c r="AB132" s="8">
        <f t="shared" si="350"/>
        <v>10.608998720243108</v>
      </c>
      <c r="AC132" s="96" t="str">
        <f t="shared" si="351"/>
        <v>X</v>
      </c>
      <c r="AD132" s="8">
        <f t="shared" si="352"/>
        <v>7.3079846429172903</v>
      </c>
      <c r="AE132" s="96" t="str">
        <f t="shared" si="353"/>
        <v>7</v>
      </c>
      <c r="AF132" s="8">
        <f t="shared" si="354"/>
        <v>3.695815715007484</v>
      </c>
      <c r="AG132" s="96" t="str">
        <f t="shared" si="355"/>
        <v/>
      </c>
      <c r="AH132" s="8">
        <f t="shared" si="356"/>
        <v>8.3497885800898075</v>
      </c>
      <c r="AI132" s="96" t="str">
        <f t="shared" si="357"/>
        <v/>
      </c>
      <c r="AJ132" s="8">
        <f t="shared" si="358"/>
        <v>4.1974629610776901</v>
      </c>
      <c r="AK132" s="96" t="str">
        <f t="shared" si="359"/>
        <v/>
      </c>
      <c r="AL132" s="238">
        <f>6*12+10+6/12</f>
        <v>82.5</v>
      </c>
      <c r="AM132" s="238">
        <f t="shared" ref="AM132" si="444">-AL132*F$6*20736+D132</f>
        <v>-74.384768747201107</v>
      </c>
    </row>
    <row r="133" spans="2:39" x14ac:dyDescent="0.25">
      <c r="B133" s="91"/>
      <c r="C133" s="9" t="s">
        <v>636</v>
      </c>
      <c r="D133" s="198">
        <v>37</v>
      </c>
      <c r="E133" s="8">
        <v>9</v>
      </c>
      <c r="F133" s="127">
        <f t="shared" si="334"/>
        <v>91.97835025525913</v>
      </c>
      <c r="G133" s="37" t="str">
        <f t="shared" si="385"/>
        <v>7;7E8X70X26</v>
      </c>
      <c r="H133" s="37"/>
      <c r="I133" s="285"/>
      <c r="J133" s="38">
        <v>1</v>
      </c>
      <c r="K133" s="128">
        <f t="shared" si="386"/>
        <v>7.6648625212716039</v>
      </c>
      <c r="L133" s="39" t="str">
        <f>INDEX(powers!$H$2:$H$75,33+J133)</f>
        <v>dozen</v>
      </c>
      <c r="M133" s="97" t="str">
        <f t="shared" si="335"/>
        <v>7</v>
      </c>
      <c r="N133" s="8">
        <f t="shared" si="336"/>
        <v>7.9783502552592473</v>
      </c>
      <c r="O133" s="96" t="str">
        <f t="shared" si="337"/>
        <v>7</v>
      </c>
      <c r="P133" s="8">
        <f t="shared" si="338"/>
        <v>11.740203063110968</v>
      </c>
      <c r="Q133" s="96" t="str">
        <f t="shared" si="339"/>
        <v>E</v>
      </c>
      <c r="R133" s="8">
        <f t="shared" si="340"/>
        <v>8.8824367573316181</v>
      </c>
      <c r="S133" s="96" t="str">
        <f t="shared" si="341"/>
        <v>8</v>
      </c>
      <c r="T133" s="8">
        <f t="shared" si="342"/>
        <v>10.589241087979417</v>
      </c>
      <c r="U133" s="96" t="str">
        <f t="shared" si="343"/>
        <v>X</v>
      </c>
      <c r="V133" s="8">
        <f t="shared" si="344"/>
        <v>7.0708930557530039</v>
      </c>
      <c r="W133" s="96" t="str">
        <f t="shared" si="345"/>
        <v>7</v>
      </c>
      <c r="X133" s="8">
        <f t="shared" si="346"/>
        <v>0.85071666903604637</v>
      </c>
      <c r="Y133" s="96" t="str">
        <f t="shared" si="347"/>
        <v>0</v>
      </c>
      <c r="Z133" s="8">
        <f t="shared" si="348"/>
        <v>10.208600028432556</v>
      </c>
      <c r="AA133" s="96" t="str">
        <f t="shared" si="349"/>
        <v>X</v>
      </c>
      <c r="AB133" s="8">
        <f t="shared" si="350"/>
        <v>2.5032003411906771</v>
      </c>
      <c r="AC133" s="96" t="str">
        <f t="shared" si="351"/>
        <v>2</v>
      </c>
      <c r="AD133" s="8">
        <f t="shared" si="352"/>
        <v>6.0384040942881256</v>
      </c>
      <c r="AE133" s="96" t="str">
        <f t="shared" si="353"/>
        <v>6</v>
      </c>
      <c r="AF133" s="8">
        <f t="shared" si="354"/>
        <v>0.46084913145750761</v>
      </c>
      <c r="AG133" s="96" t="str">
        <f t="shared" si="355"/>
        <v/>
      </c>
      <c r="AH133" s="8">
        <f t="shared" si="356"/>
        <v>5.5301895774900913</v>
      </c>
      <c r="AI133" s="96" t="str">
        <f t="shared" si="357"/>
        <v/>
      </c>
      <c r="AJ133" s="8">
        <f t="shared" si="358"/>
        <v>6.3622749298810959</v>
      </c>
      <c r="AK133" s="96" t="str">
        <f t="shared" si="359"/>
        <v/>
      </c>
    </row>
    <row r="134" spans="2:39" x14ac:dyDescent="0.25">
      <c r="B134" s="126"/>
      <c r="C134" s="9" t="s">
        <v>637</v>
      </c>
      <c r="D134" s="198">
        <v>37.799999999999997</v>
      </c>
      <c r="E134" s="8">
        <v>9</v>
      </c>
      <c r="F134" s="127">
        <f t="shared" si="334"/>
        <v>92.639111658902564</v>
      </c>
      <c r="G134" s="37" t="str">
        <f t="shared" si="385"/>
        <v>7;878047523</v>
      </c>
      <c r="H134" s="37"/>
      <c r="I134" s="285"/>
      <c r="J134" s="38">
        <v>1</v>
      </c>
      <c r="K134" s="128">
        <f t="shared" si="386"/>
        <v>7.7199259715752238</v>
      </c>
      <c r="L134" s="39" t="str">
        <f>INDEX(powers!$H$2:$H$75,33+J134)</f>
        <v>dozen</v>
      </c>
      <c r="M134" s="97" t="str">
        <f t="shared" si="335"/>
        <v>7</v>
      </c>
      <c r="N134" s="8">
        <f t="shared" si="336"/>
        <v>8.6391116589026851</v>
      </c>
      <c r="O134" s="96" t="str">
        <f t="shared" si="337"/>
        <v>8</v>
      </c>
      <c r="P134" s="8">
        <f t="shared" si="338"/>
        <v>7.6693399068322208</v>
      </c>
      <c r="Q134" s="96" t="str">
        <f t="shared" si="339"/>
        <v>7</v>
      </c>
      <c r="R134" s="8">
        <f t="shared" si="340"/>
        <v>8.0320788819866493</v>
      </c>
      <c r="S134" s="96" t="str">
        <f t="shared" si="341"/>
        <v>8</v>
      </c>
      <c r="T134" s="8">
        <f t="shared" si="342"/>
        <v>0.38494658383979186</v>
      </c>
      <c r="U134" s="96" t="str">
        <f t="shared" si="343"/>
        <v>0</v>
      </c>
      <c r="V134" s="8">
        <f t="shared" si="344"/>
        <v>4.6193590060775023</v>
      </c>
      <c r="W134" s="96" t="str">
        <f t="shared" si="345"/>
        <v>4</v>
      </c>
      <c r="X134" s="8">
        <f t="shared" si="346"/>
        <v>7.4323080729300273</v>
      </c>
      <c r="Y134" s="96" t="str">
        <f t="shared" si="347"/>
        <v>7</v>
      </c>
      <c r="Z134" s="8">
        <f t="shared" si="348"/>
        <v>5.1876968751603272</v>
      </c>
      <c r="AA134" s="96" t="str">
        <f t="shared" si="349"/>
        <v>5</v>
      </c>
      <c r="AB134" s="8">
        <f t="shared" si="350"/>
        <v>2.2523625019239262</v>
      </c>
      <c r="AC134" s="96" t="str">
        <f t="shared" si="351"/>
        <v>2</v>
      </c>
      <c r="AD134" s="8">
        <f t="shared" si="352"/>
        <v>3.0283500230871141</v>
      </c>
      <c r="AE134" s="96" t="str">
        <f t="shared" si="353"/>
        <v>3</v>
      </c>
      <c r="AF134" s="8">
        <f t="shared" si="354"/>
        <v>0.34020027704536915</v>
      </c>
      <c r="AG134" s="96" t="str">
        <f t="shared" si="355"/>
        <v/>
      </c>
      <c r="AH134" s="8">
        <f t="shared" si="356"/>
        <v>4.0824033245444298</v>
      </c>
      <c r="AI134" s="96" t="str">
        <f t="shared" si="357"/>
        <v/>
      </c>
      <c r="AJ134" s="8">
        <f t="shared" si="358"/>
        <v>0.98883989453315735</v>
      </c>
      <c r="AK134" s="96" t="str">
        <f t="shared" si="359"/>
        <v/>
      </c>
    </row>
    <row r="135" spans="2:39" x14ac:dyDescent="0.25">
      <c r="B135" s="126" t="s">
        <v>649</v>
      </c>
      <c r="C135" s="9" t="s">
        <v>638</v>
      </c>
      <c r="D135" s="198">
        <v>58.8</v>
      </c>
      <c r="E135" s="8">
        <v>9</v>
      </c>
      <c r="F135" s="127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285"/>
      <c r="J135" s="38">
        <v>1</v>
      </c>
      <c r="K135" s="128">
        <f t="shared" ref="K135" si="446">F135/POWER(12,J135)+0.00000000000001</f>
        <v>9.165341542045228</v>
      </c>
      <c r="L135" s="39" t="str">
        <f>INDEX(powers!$H$2:$H$75,33+J135)</f>
        <v>dozen</v>
      </c>
      <c r="M135" s="97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96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96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96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96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96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96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96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96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96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96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96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96" t="str">
        <f t="shared" ref="AK135" si="471">IF($E135&gt;=AK$31,MID($J$31,IF($E135&gt;AK$31,INT(AJ135),ROUND(AJ135,0))+1,1),"")</f>
        <v/>
      </c>
    </row>
    <row r="136" spans="2:39" x14ac:dyDescent="0.25">
      <c r="B136" s="126"/>
      <c r="C136" s="9" t="s">
        <v>639</v>
      </c>
      <c r="D136" s="198">
        <v>60</v>
      </c>
      <c r="E136" s="8">
        <v>9</v>
      </c>
      <c r="F136" s="127">
        <f t="shared" si="334"/>
        <v>110.97524061000776</v>
      </c>
      <c r="G136" s="37" t="str">
        <f t="shared" si="385"/>
        <v>9;2E85270X3</v>
      </c>
      <c r="H136" s="37"/>
      <c r="I136" s="285"/>
      <c r="J136" s="38">
        <v>1</v>
      </c>
      <c r="K136" s="128">
        <f t="shared" si="386"/>
        <v>9.2479367175006573</v>
      </c>
      <c r="L136" s="39" t="str">
        <f>INDEX(powers!$H$2:$H$75,33+J136)</f>
        <v>dozen</v>
      </c>
      <c r="M136" s="97" t="str">
        <f t="shared" si="335"/>
        <v>9</v>
      </c>
      <c r="N136" s="8">
        <f t="shared" si="336"/>
        <v>2.9752406100078872</v>
      </c>
      <c r="O136" s="96" t="str">
        <f t="shared" si="337"/>
        <v>2</v>
      </c>
      <c r="P136" s="8">
        <f t="shared" si="338"/>
        <v>11.702887320094646</v>
      </c>
      <c r="Q136" s="96" t="str">
        <f t="shared" si="339"/>
        <v>E</v>
      </c>
      <c r="R136" s="8">
        <f t="shared" si="340"/>
        <v>8.4346478411357566</v>
      </c>
      <c r="S136" s="96" t="str">
        <f t="shared" si="341"/>
        <v>8</v>
      </c>
      <c r="T136" s="8">
        <f t="shared" si="342"/>
        <v>5.2157740936290793</v>
      </c>
      <c r="U136" s="96" t="str">
        <f t="shared" si="343"/>
        <v>5</v>
      </c>
      <c r="V136" s="8">
        <f t="shared" si="344"/>
        <v>2.5892891235489515</v>
      </c>
      <c r="W136" s="96" t="str">
        <f t="shared" si="345"/>
        <v>2</v>
      </c>
      <c r="X136" s="8">
        <f t="shared" si="346"/>
        <v>7.0714694825874176</v>
      </c>
      <c r="Y136" s="96" t="str">
        <f t="shared" si="347"/>
        <v>7</v>
      </c>
      <c r="Z136" s="8">
        <f t="shared" si="348"/>
        <v>0.85763379104901105</v>
      </c>
      <c r="AA136" s="96" t="str">
        <f t="shared" si="349"/>
        <v>0</v>
      </c>
      <c r="AB136" s="8">
        <f t="shared" si="350"/>
        <v>10.291605492588133</v>
      </c>
      <c r="AC136" s="96" t="str">
        <f t="shared" si="351"/>
        <v>X</v>
      </c>
      <c r="AD136" s="8">
        <f t="shared" si="352"/>
        <v>3.4992659110575914</v>
      </c>
      <c r="AE136" s="96" t="str">
        <f t="shared" si="353"/>
        <v>3</v>
      </c>
      <c r="AF136" s="8">
        <f t="shared" si="354"/>
        <v>5.9911909326910973</v>
      </c>
      <c r="AG136" s="96" t="str">
        <f t="shared" si="355"/>
        <v/>
      </c>
      <c r="AH136" s="8">
        <f t="shared" si="356"/>
        <v>11.894291192293167</v>
      </c>
      <c r="AI136" s="96" t="str">
        <f t="shared" si="357"/>
        <v/>
      </c>
      <c r="AJ136" s="8">
        <f t="shared" si="358"/>
        <v>10.731494307518005</v>
      </c>
      <c r="AK136" s="96" t="str">
        <f t="shared" si="359"/>
        <v/>
      </c>
    </row>
    <row r="137" spans="2:39" x14ac:dyDescent="0.25">
      <c r="B137" s="126"/>
      <c r="C137" s="9" t="s">
        <v>640</v>
      </c>
      <c r="D137" s="198">
        <v>83</v>
      </c>
      <c r="E137" s="8">
        <v>9</v>
      </c>
      <c r="F137" s="127">
        <f t="shared" si="334"/>
        <v>129.97213096475636</v>
      </c>
      <c r="G137" s="37" t="str">
        <f t="shared" si="385"/>
        <v>X;9E7EX1361</v>
      </c>
      <c r="H137" s="37"/>
      <c r="I137" s="285"/>
      <c r="J137" s="38">
        <v>1</v>
      </c>
      <c r="K137" s="128">
        <f t="shared" si="386"/>
        <v>10.831010913729708</v>
      </c>
      <c r="L137" s="39" t="str">
        <f>INDEX(powers!$H$2:$H$75,33+J137)</f>
        <v>dozen</v>
      </c>
      <c r="M137" s="97" t="str">
        <f t="shared" si="335"/>
        <v>X</v>
      </c>
      <c r="N137" s="8">
        <f t="shared" si="336"/>
        <v>9.9721309647564951</v>
      </c>
      <c r="O137" s="96" t="str">
        <f t="shared" si="337"/>
        <v>9</v>
      </c>
      <c r="P137" s="8">
        <f t="shared" si="338"/>
        <v>11.665571577077941</v>
      </c>
      <c r="Q137" s="96" t="str">
        <f t="shared" si="339"/>
        <v>E</v>
      </c>
      <c r="R137" s="8">
        <f t="shared" si="340"/>
        <v>7.9868589249352908</v>
      </c>
      <c r="S137" s="96" t="str">
        <f t="shared" si="341"/>
        <v>7</v>
      </c>
      <c r="T137" s="8">
        <f t="shared" si="342"/>
        <v>11.84230709922349</v>
      </c>
      <c r="U137" s="96" t="str">
        <f t="shared" si="343"/>
        <v>E</v>
      </c>
      <c r="V137" s="8">
        <f t="shared" si="344"/>
        <v>10.107685190681877</v>
      </c>
      <c r="W137" s="96" t="str">
        <f t="shared" si="345"/>
        <v>X</v>
      </c>
      <c r="X137" s="8">
        <f t="shared" si="346"/>
        <v>1.2922222881825292</v>
      </c>
      <c r="Y137" s="96" t="str">
        <f t="shared" si="347"/>
        <v>1</v>
      </c>
      <c r="Z137" s="8">
        <f t="shared" si="348"/>
        <v>3.5066674581903499</v>
      </c>
      <c r="AA137" s="96" t="str">
        <f t="shared" si="349"/>
        <v>3</v>
      </c>
      <c r="AB137" s="8">
        <f t="shared" si="350"/>
        <v>6.0800094982841983</v>
      </c>
      <c r="AC137" s="96" t="str">
        <f t="shared" si="351"/>
        <v>6</v>
      </c>
      <c r="AD137" s="8">
        <f t="shared" si="352"/>
        <v>0.96011397941038013</v>
      </c>
      <c r="AE137" s="96" t="str">
        <f t="shared" si="353"/>
        <v>1</v>
      </c>
      <c r="AF137" s="8">
        <f t="shared" si="354"/>
        <v>11.521367752924562</v>
      </c>
      <c r="AG137" s="96" t="str">
        <f t="shared" si="355"/>
        <v/>
      </c>
      <c r="AH137" s="8">
        <f t="shared" si="356"/>
        <v>6.256413035094738</v>
      </c>
      <c r="AI137" s="96" t="str">
        <f t="shared" si="357"/>
        <v/>
      </c>
      <c r="AJ137" s="8">
        <f t="shared" si="358"/>
        <v>3.0769564211368561</v>
      </c>
      <c r="AK137" s="96" t="str">
        <f t="shared" si="359"/>
        <v/>
      </c>
    </row>
    <row r="138" spans="2:39" x14ac:dyDescent="0.25">
      <c r="B138" s="91" t="s">
        <v>652</v>
      </c>
      <c r="C138" s="9" t="s">
        <v>643</v>
      </c>
      <c r="D138" s="198">
        <v>99.974000000000004</v>
      </c>
      <c r="E138" s="8">
        <v>9</v>
      </c>
      <c r="F138" s="127">
        <f t="shared" si="334"/>
        <v>143.99183604656085</v>
      </c>
      <c r="G138" s="37" t="str">
        <f t="shared" si="385"/>
        <v>0;EEEX9X867</v>
      </c>
      <c r="H138" s="37"/>
      <c r="I138" s="285"/>
      <c r="J138" s="38">
        <v>2</v>
      </c>
      <c r="K138" s="128">
        <f t="shared" si="386"/>
        <v>0.99994330587890479</v>
      </c>
      <c r="L138" s="39" t="str">
        <f>INDEX(powers!$H$2:$H$75,33+J138)</f>
        <v>gross</v>
      </c>
      <c r="M138" s="97" t="str">
        <f t="shared" si="335"/>
        <v>0</v>
      </c>
      <c r="N138" s="8">
        <f t="shared" si="336"/>
        <v>11.999319670546857</v>
      </c>
      <c r="O138" s="96" t="str">
        <f t="shared" si="337"/>
        <v>E</v>
      </c>
      <c r="P138" s="8">
        <f t="shared" si="338"/>
        <v>11.991836046562284</v>
      </c>
      <c r="Q138" s="96" t="str">
        <f t="shared" si="339"/>
        <v>E</v>
      </c>
      <c r="R138" s="8">
        <f t="shared" si="340"/>
        <v>11.902032558747408</v>
      </c>
      <c r="S138" s="96" t="str">
        <f t="shared" si="341"/>
        <v>E</v>
      </c>
      <c r="T138" s="8">
        <f t="shared" si="342"/>
        <v>10.824390704968891</v>
      </c>
      <c r="U138" s="96" t="str">
        <f t="shared" si="343"/>
        <v>X</v>
      </c>
      <c r="V138" s="8">
        <f t="shared" si="344"/>
        <v>9.8926884596266973</v>
      </c>
      <c r="W138" s="96" t="str">
        <f t="shared" si="345"/>
        <v>9</v>
      </c>
      <c r="X138" s="8">
        <f t="shared" si="346"/>
        <v>10.712261515520368</v>
      </c>
      <c r="Y138" s="96" t="str">
        <f t="shared" si="347"/>
        <v>X</v>
      </c>
      <c r="Z138" s="8">
        <f t="shared" si="348"/>
        <v>8.5471381862444105</v>
      </c>
      <c r="AA138" s="96" t="str">
        <f t="shared" si="349"/>
        <v>8</v>
      </c>
      <c r="AB138" s="8">
        <f t="shared" si="350"/>
        <v>6.5656582349329256</v>
      </c>
      <c r="AC138" s="96" t="str">
        <f t="shared" si="351"/>
        <v>6</v>
      </c>
      <c r="AD138" s="8">
        <f t="shared" si="352"/>
        <v>6.7878988191951066</v>
      </c>
      <c r="AE138" s="96" t="str">
        <f t="shared" si="353"/>
        <v>7</v>
      </c>
      <c r="AF138" s="8">
        <f t="shared" si="354"/>
        <v>9.4547858303412795</v>
      </c>
      <c r="AG138" s="96" t="str">
        <f t="shared" si="355"/>
        <v/>
      </c>
      <c r="AH138" s="8">
        <f t="shared" si="356"/>
        <v>5.4574299640953541</v>
      </c>
      <c r="AI138" s="96" t="str">
        <f t="shared" si="357"/>
        <v/>
      </c>
      <c r="AJ138" s="8">
        <f t="shared" si="358"/>
        <v>5.489159569144249</v>
      </c>
      <c r="AK138" s="96" t="str">
        <f t="shared" si="359"/>
        <v/>
      </c>
      <c r="AL138" s="238">
        <f>144</f>
        <v>144</v>
      </c>
      <c r="AM138" s="238">
        <f t="shared" ref="AM138:AM140" si="472">-AL138*F$6*20736+D138</f>
        <v>-74.370323631478286</v>
      </c>
    </row>
    <row r="139" spans="2:39" x14ac:dyDescent="0.25">
      <c r="B139" s="91" t="s">
        <v>653</v>
      </c>
      <c r="C139" s="9" t="s">
        <v>651</v>
      </c>
      <c r="D139" s="198">
        <v>99.983900000000006</v>
      </c>
      <c r="E139" s="8">
        <v>9</v>
      </c>
      <c r="F139" s="127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285"/>
      <c r="J139" s="38">
        <v>2</v>
      </c>
      <c r="K139" s="128">
        <f t="shared" ref="K139" si="474">F139/POWER(12,J139)+0.00000000000001</f>
        <v>1.0000000900620303</v>
      </c>
      <c r="L139" s="39" t="str">
        <f>INDEX(powers!$H$2:$H$75,33+J139)</f>
        <v>gross</v>
      </c>
      <c r="M139" s="97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96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96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96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96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96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96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96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96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96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96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96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96" t="str">
        <f t="shared" ref="AK139" si="499">IF($E139&gt;=AK$31,MID($J$31,IF($E139&gt;AK$31,INT(AJ139),ROUND(AJ139,0))+1,1),"")</f>
        <v/>
      </c>
      <c r="AL139" s="238">
        <f>144</f>
        <v>144</v>
      </c>
      <c r="AM139" s="238">
        <f t="shared" si="472"/>
        <v>-74.360423631478284</v>
      </c>
    </row>
    <row r="140" spans="2:39" ht="12" thickBot="1" x14ac:dyDescent="0.3">
      <c r="B140" s="129"/>
      <c r="C140" s="241" t="s">
        <v>641</v>
      </c>
      <c r="D140" s="199">
        <v>100</v>
      </c>
      <c r="E140" s="33">
        <v>9</v>
      </c>
      <c r="F140" s="130">
        <f t="shared" si="334"/>
        <v>144.01331079217923</v>
      </c>
      <c r="G140" s="47" t="str">
        <f t="shared" si="385"/>
        <v>1;0001E001X</v>
      </c>
      <c r="H140" s="47"/>
      <c r="I140" s="287"/>
      <c r="J140" s="48">
        <v>2</v>
      </c>
      <c r="K140" s="106">
        <f t="shared" si="386"/>
        <v>1.0000924360568102</v>
      </c>
      <c r="L140" s="49" t="str">
        <f>INDEX(powers!$H$2:$H$75,33+J140)</f>
        <v>gross</v>
      </c>
      <c r="M140" s="97" t="str">
        <f t="shared" si="335"/>
        <v>1</v>
      </c>
      <c r="N140" s="8">
        <f t="shared" si="336"/>
        <v>1.1092326817223608E-3</v>
      </c>
      <c r="O140" s="96" t="str">
        <f t="shared" si="337"/>
        <v>0</v>
      </c>
      <c r="P140" s="8">
        <f t="shared" si="338"/>
        <v>1.3310792180668329E-2</v>
      </c>
      <c r="Q140" s="96" t="str">
        <f t="shared" si="339"/>
        <v>0</v>
      </c>
      <c r="R140" s="8">
        <f t="shared" si="340"/>
        <v>0.15972950616801995</v>
      </c>
      <c r="S140" s="96" t="str">
        <f t="shared" si="341"/>
        <v>0</v>
      </c>
      <c r="T140" s="8">
        <f t="shared" si="342"/>
        <v>1.9167540740162394</v>
      </c>
      <c r="U140" s="96" t="str">
        <f t="shared" si="343"/>
        <v>1</v>
      </c>
      <c r="V140" s="8">
        <f t="shared" si="344"/>
        <v>11.001048888194873</v>
      </c>
      <c r="W140" s="96" t="str">
        <f t="shared" si="345"/>
        <v>E</v>
      </c>
      <c r="X140" s="8">
        <f t="shared" si="346"/>
        <v>1.2586658338477719E-2</v>
      </c>
      <c r="Y140" s="96" t="str">
        <f t="shared" si="347"/>
        <v>0</v>
      </c>
      <c r="Z140" s="8">
        <f t="shared" si="348"/>
        <v>0.15103990006173262</v>
      </c>
      <c r="AA140" s="96" t="str">
        <f t="shared" si="349"/>
        <v>0</v>
      </c>
      <c r="AB140" s="8">
        <f t="shared" si="350"/>
        <v>1.8124788007407915</v>
      </c>
      <c r="AC140" s="96" t="str">
        <f t="shared" si="351"/>
        <v>1</v>
      </c>
      <c r="AD140" s="8">
        <f t="shared" si="352"/>
        <v>9.7497456088894978</v>
      </c>
      <c r="AE140" s="96" t="str">
        <f t="shared" si="353"/>
        <v>X</v>
      </c>
      <c r="AF140" s="8">
        <f t="shared" si="354"/>
        <v>8.9969473066739738</v>
      </c>
      <c r="AG140" s="96" t="str">
        <f t="shared" si="355"/>
        <v/>
      </c>
      <c r="AH140" s="8">
        <f t="shared" si="356"/>
        <v>11.963367680087686</v>
      </c>
      <c r="AI140" s="96" t="str">
        <f t="shared" si="357"/>
        <v/>
      </c>
      <c r="AJ140" s="8">
        <f t="shared" si="358"/>
        <v>11.560412161052227</v>
      </c>
      <c r="AK140" s="96" t="str">
        <f t="shared" si="359"/>
        <v/>
      </c>
      <c r="AL140" s="238">
        <f>144</f>
        <v>144</v>
      </c>
      <c r="AM140" s="238">
        <f t="shared" si="472"/>
        <v>-74.344323631478289</v>
      </c>
    </row>
    <row r="141" spans="2:39" x14ac:dyDescent="0.25">
      <c r="B141" s="55"/>
      <c r="D141" s="243">
        <f>(D117+144*F6*20736-D139)*1</f>
        <v>-1.5701802027479062E-5</v>
      </c>
      <c r="F141" s="233"/>
      <c r="G141" s="234"/>
      <c r="H141" s="234"/>
      <c r="I141" s="292"/>
      <c r="J141" s="235"/>
      <c r="K141" s="236"/>
      <c r="L141" s="236"/>
      <c r="M141" s="237"/>
      <c r="O141" s="237"/>
      <c r="Q141" s="237"/>
      <c r="S141" s="237"/>
      <c r="U141" s="237"/>
      <c r="W141" s="237"/>
      <c r="Y141" s="237"/>
      <c r="AA141" s="237"/>
      <c r="AC141" s="237"/>
      <c r="AE141" s="237"/>
      <c r="AG141" s="237"/>
      <c r="AI141" s="237"/>
      <c r="AK141" s="237"/>
    </row>
    <row r="142" spans="2:39" x14ac:dyDescent="0.25">
      <c r="B142" s="138" t="s">
        <v>669</v>
      </c>
      <c r="C142" s="54"/>
      <c r="D142" s="238">
        <f>D$117+F$6*F142*20736</f>
        <v>14.022446952121882</v>
      </c>
      <c r="F142" s="233">
        <f>12*6+1</f>
        <v>73</v>
      </c>
    </row>
    <row r="143" spans="2:39" x14ac:dyDescent="0.25">
      <c r="B143" s="138" t="s">
        <v>670</v>
      </c>
      <c r="C143" s="54"/>
      <c r="D143" s="238">
        <f>D$117+F$6*F143*20736</f>
        <v>37.026211875719724</v>
      </c>
      <c r="F143" s="233">
        <f>12*7+8</f>
        <v>92</v>
      </c>
      <c r="AL143" s="238"/>
    </row>
    <row r="144" spans="2:39" x14ac:dyDescent="0.25">
      <c r="B144" s="138" t="s">
        <v>671</v>
      </c>
      <c r="C144" s="54"/>
      <c r="D144" s="238">
        <f>D$117+F$6*F144*20736</f>
        <v>99.983884298197978</v>
      </c>
      <c r="F144" s="233">
        <v>144</v>
      </c>
    </row>
    <row r="145" spans="2:5" ht="13.3" x14ac:dyDescent="0.25">
      <c r="B145" s="138" t="s">
        <v>1238</v>
      </c>
      <c r="D145" s="444">
        <f>F6*POWER(12,7)*3-273.15</f>
        <v>6003.245650733219</v>
      </c>
      <c r="E145" s="14" t="s">
        <v>1239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279"/>
      <c r="J3" s="8">
        <v>-3</v>
      </c>
      <c r="K3" s="58">
        <f>F3/POWER(10,J3)</f>
        <v>279.13648677733482</v>
      </c>
      <c r="L3" s="118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278"/>
      <c r="J5" s="8">
        <v>-3</v>
      </c>
      <c r="K5" s="58">
        <f t="shared" si="1"/>
        <v>70.70906327031868</v>
      </c>
      <c r="L5" s="118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2">
        <v>-8</v>
      </c>
      <c r="F6" s="135">
        <f t="shared" si="0"/>
        <v>6.1022707861111021E-5</v>
      </c>
      <c r="G6" s="21"/>
      <c r="H6" s="21"/>
      <c r="I6" s="278"/>
      <c r="J6" s="132">
        <v>-6</v>
      </c>
      <c r="K6" s="136">
        <f t="shared" si="1"/>
        <v>61.022707861111023</v>
      </c>
      <c r="L6" s="133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278"/>
      <c r="J7" s="8">
        <v>0</v>
      </c>
      <c r="K7" s="58">
        <f t="shared" si="1"/>
        <v>138.47199109052877</v>
      </c>
      <c r="L7" s="118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278"/>
      <c r="J8" s="8">
        <v>-3</v>
      </c>
      <c r="K8" s="58">
        <f t="shared" si="1"/>
        <v>138.47199109052875</v>
      </c>
      <c r="L8" s="118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278"/>
      <c r="J9" s="8">
        <v>-3</v>
      </c>
      <c r="K9" s="58">
        <f t="shared" si="1"/>
        <v>181.01520197201583</v>
      </c>
      <c r="L9" s="118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278"/>
      <c r="J10" s="8">
        <v>-3</v>
      </c>
      <c r="K10" s="58">
        <f t="shared" si="1"/>
        <v>253.31358177737189</v>
      </c>
      <c r="L10" s="118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278"/>
      <c r="J11" s="8">
        <v>0</v>
      </c>
      <c r="K11" s="58">
        <f t="shared" si="1"/>
        <v>3.2510620567306479</v>
      </c>
      <c r="L11" s="118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278"/>
      <c r="J12" s="8">
        <v>-3</v>
      </c>
      <c r="K12" s="58">
        <f t="shared" si="1"/>
        <v>29.621723713995152</v>
      </c>
      <c r="L12" s="118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278"/>
      <c r="J13" s="8">
        <v>-3</v>
      </c>
      <c r="K13" s="58">
        <f t="shared" si="1"/>
        <v>75.831612707827588</v>
      </c>
      <c r="L13" s="118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278"/>
      <c r="J14" s="8">
        <v>-3</v>
      </c>
      <c r="K14" s="58">
        <f t="shared" si="1"/>
        <v>271.66499651590851</v>
      </c>
      <c r="L14" s="118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278"/>
      <c r="J15" s="8">
        <v>-3</v>
      </c>
      <c r="K15" s="58">
        <f t="shared" si="1"/>
        <v>380.16935904433456</v>
      </c>
      <c r="L15" s="118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278"/>
      <c r="J16" s="8">
        <v>0</v>
      </c>
      <c r="K16" s="58">
        <f t="shared" si="1"/>
        <v>28.529415983411972</v>
      </c>
      <c r="L16" s="118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278"/>
      <c r="J17" s="8">
        <v>0</v>
      </c>
      <c r="K17" s="58">
        <f t="shared" si="1"/>
        <v>2.1634316236346027</v>
      </c>
      <c r="L17" s="118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278"/>
      <c r="J18" s="8">
        <v>-3</v>
      </c>
      <c r="K18" s="58">
        <f t="shared" si="1"/>
        <v>13.692008284611344</v>
      </c>
      <c r="L18" s="118" t="str">
        <f>Rydberg!L18</f>
        <v>mF</v>
      </c>
      <c r="M18" s="115"/>
      <c r="N18" s="116">
        <f t="shared" si="2"/>
        <v>23.535028049887593</v>
      </c>
      <c r="O18" s="76"/>
      <c r="P18" s="117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278"/>
      <c r="J19" s="8">
        <v>0</v>
      </c>
      <c r="K19" s="58">
        <f t="shared" si="1"/>
        <v>0.84509047798226677</v>
      </c>
      <c r="L19" s="118" t="str">
        <f>Rydberg!L19</f>
        <v>Wb</v>
      </c>
      <c r="M19" s="115"/>
      <c r="N19" s="116">
        <f t="shared" si="2"/>
        <v>0.92315788534000631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278"/>
      <c r="J20" s="8">
        <v>0</v>
      </c>
      <c r="K20" s="58">
        <f t="shared" si="1"/>
        <v>10.846009788322926</v>
      </c>
      <c r="L20" s="118" t="str">
        <f>Rydberg!L20</f>
        <v>T</v>
      </c>
      <c r="M20" s="115"/>
      <c r="N20" s="116">
        <f t="shared" si="2"/>
        <v>-13.074686794138827</v>
      </c>
      <c r="O20" s="76"/>
      <c r="P20" s="117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281"/>
      <c r="J21" s="30">
        <v>0</v>
      </c>
      <c r="K21" s="59">
        <f t="shared" si="1"/>
        <v>11.144303118520302</v>
      </c>
      <c r="L21" s="119" t="str">
        <f>Rydberg!L21</f>
        <v>H</v>
      </c>
      <c r="M21" s="115"/>
      <c r="N21" s="116">
        <f t="shared" si="2"/>
        <v>-13.22349632515806</v>
      </c>
      <c r="O21" s="76"/>
      <c r="P21" s="117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278"/>
      <c r="J23" s="8">
        <v>0</v>
      </c>
      <c r="K23" s="58">
        <f t="shared" si="1"/>
        <v>115.66724398943636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58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278"/>
      <c r="J24" s="8">
        <v>0</v>
      </c>
      <c r="K24" s="58">
        <f t="shared" si="1"/>
        <v>115.66724398943636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278"/>
      <c r="J26" s="8">
        <v>3</v>
      </c>
      <c r="K26" s="58">
        <f t="shared" si="1"/>
        <v>1.4844896412666566</v>
      </c>
      <c r="L26" s="118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278"/>
      <c r="J27" s="8">
        <v>0</v>
      </c>
      <c r="K27" s="58">
        <f t="shared" si="1"/>
        <v>354.4882971917537</v>
      </c>
      <c r="L27" s="118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278"/>
      <c r="J29" s="8">
        <v>0</v>
      </c>
      <c r="K29" s="58">
        <f t="shared" si="1"/>
        <v>0.510638019381777</v>
      </c>
      <c r="L29" s="118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282"/>
      <c r="J30" s="33">
        <v>0</v>
      </c>
      <c r="K30" s="60">
        <f t="shared" si="1"/>
        <v>0.510638019381777</v>
      </c>
      <c r="L30" s="124" t="s">
        <v>702</v>
      </c>
      <c r="M30" s="111"/>
      <c r="N30" s="112">
        <f t="shared" si="2"/>
        <v>3.6863129547492965</v>
      </c>
      <c r="O30" s="113"/>
      <c r="P30" s="114">
        <f t="shared" si="3"/>
        <v>0.99999999999999856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275">
        <f t="shared" ref="H33:H50" si="18">K33*POWER(12,I33)/ROUND(K33*POWER(12,I33),0)-1</f>
        <v>4.8969694312153145E-2</v>
      </c>
      <c r="I33" s="278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275">
        <f t="shared" si="18"/>
        <v>2.584905909437385E-2</v>
      </c>
      <c r="I34" s="278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275">
        <f t="shared" si="18"/>
        <v>-2.4304816551464214E-2</v>
      </c>
      <c r="I35" s="278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275">
        <f t="shared" si="18"/>
        <v>-9.3686567668116449E-2</v>
      </c>
      <c r="I36" s="278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275">
        <f t="shared" si="18"/>
        <v>-5.2783121118870624E-2</v>
      </c>
      <c r="I37" s="278"/>
      <c r="J37" s="131">
        <v>-24</v>
      </c>
      <c r="K37" s="61">
        <f t="shared" ref="K37:K70" si="31">F37/POWER(12,J37)</f>
        <v>0.94721687888112938</v>
      </c>
      <c r="L37" s="134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275">
        <f t="shared" si="18"/>
        <v>-6.3982001136972944E-3</v>
      </c>
      <c r="I38" s="278"/>
      <c r="J38" s="131">
        <v>0</v>
      </c>
      <c r="K38" s="61">
        <f t="shared" si="31"/>
        <v>0.99360179988630271</v>
      </c>
      <c r="L38" s="134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275">
        <f t="shared" si="18"/>
        <v>-4.6683612342637737E-2</v>
      </c>
      <c r="I39" s="278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275">
        <f t="shared" si="18"/>
        <v>-2.1826846835941605E-2</v>
      </c>
      <c r="I40" s="278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275">
        <f t="shared" si="18"/>
        <v>0</v>
      </c>
      <c r="I41" s="278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275">
        <f t="shared" si="18"/>
        <v>-9.6307464155405476E-2</v>
      </c>
      <c r="I42" s="278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 x14ac:dyDescent="0.25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275">
        <f t="shared" si="18"/>
        <v>-3.9746837222641052E-2</v>
      </c>
      <c r="I43" s="278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 x14ac:dyDescent="0.25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275">
        <f t="shared" si="18"/>
        <v>3.6356031296000957E-3</v>
      </c>
      <c r="I44" s="278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 x14ac:dyDescent="0.25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276">
        <f t="shared" si="18"/>
        <v>-1.4925343090519183E-2</v>
      </c>
      <c r="I45" s="284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 x14ac:dyDescent="0.25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275">
        <f t="shared" si="18"/>
        <v>-2.4249532432368492E-2</v>
      </c>
      <c r="I46" s="278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 x14ac:dyDescent="0.25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275">
        <f t="shared" si="18"/>
        <v>-1.0408408938252123E-2</v>
      </c>
      <c r="I47" s="278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 x14ac:dyDescent="0.25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275">
        <f t="shared" si="18"/>
        <v>-3.4633807630297775E-2</v>
      </c>
      <c r="I48" s="278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 x14ac:dyDescent="0.25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275">
        <f t="shared" si="18"/>
        <v>0.12107298318256188</v>
      </c>
      <c r="I49" s="278"/>
      <c r="J49" s="131">
        <v>-23</v>
      </c>
      <c r="K49" s="61">
        <f t="shared" si="31"/>
        <v>2.2421459663651238</v>
      </c>
      <c r="L49" s="134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 x14ac:dyDescent="0.25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275">
        <f t="shared" si="18"/>
        <v>-5.643537843972446E-2</v>
      </c>
      <c r="I50" s="278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 x14ac:dyDescent="0.25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275"/>
      <c r="I51" s="278"/>
      <c r="J51" s="131">
        <v>6</v>
      </c>
      <c r="K51" s="61">
        <f t="shared" si="31"/>
        <v>1.4991260551436987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 x14ac:dyDescent="0.25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275">
        <f>K52*POWER(12,I52)/ROUND(K52*POWER(12,I52),0)-1</f>
        <v>-9.012328240740497E-3</v>
      </c>
      <c r="I52" s="278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 x14ac:dyDescent="0.25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275"/>
      <c r="I53" s="278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 x14ac:dyDescent="0.25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294">
        <f t="shared" ref="H54:H62" si="32">K54*POWER(12,I54)/ROUND(K54*POWER(12,I54),0)-1</f>
        <v>9.0719895287958208E-2</v>
      </c>
      <c r="I54" s="295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 x14ac:dyDescent="0.25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275">
        <f t="shared" si="32"/>
        <v>0</v>
      </c>
      <c r="I55" s="278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 x14ac:dyDescent="0.25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294">
        <f t="shared" si="32"/>
        <v>1.6653345369377348E-13</v>
      </c>
      <c r="I56" s="295"/>
      <c r="J56" s="131">
        <v>-1</v>
      </c>
      <c r="K56" s="61">
        <f>F56/POWER(12,J56)+0.000000000001</f>
        <v>6.0000000000009992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 x14ac:dyDescent="0.25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275">
        <f t="shared" si="32"/>
        <v>-4.8320134479610477E-2</v>
      </c>
      <c r="I57" s="278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 x14ac:dyDescent="0.25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275">
        <f t="shared" si="32"/>
        <v>-6.4433559671118301E-2</v>
      </c>
      <c r="I58" s="278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 x14ac:dyDescent="0.25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275">
        <f t="shared" si="32"/>
        <v>3.2276922038730227E-2</v>
      </c>
      <c r="I59" s="278"/>
      <c r="J59" s="38">
        <v>0</v>
      </c>
      <c r="K59" s="61">
        <f t="shared" si="31"/>
        <v>1.0322769220387302</v>
      </c>
      <c r="L59" s="254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 x14ac:dyDescent="0.25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275">
        <f t="shared" si="32"/>
        <v>-2.1021704613478631E-3</v>
      </c>
      <c r="I60" s="278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 x14ac:dyDescent="0.25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276">
        <f t="shared" si="32"/>
        <v>4.1278940960458588E-3</v>
      </c>
      <c r="I61" s="284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 x14ac:dyDescent="0.25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276">
        <f t="shared" si="32"/>
        <v>2.0170460976616233E-3</v>
      </c>
      <c r="I62" s="284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 x14ac:dyDescent="0.25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296">
        <f>K63*POWER(12,I63)/ROUND(K63*POWER(12,I63)+1,0)-1</f>
        <v>-0.10654458273949174</v>
      </c>
      <c r="I63" s="297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 x14ac:dyDescent="0.25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275"/>
      <c r="I64" s="278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 x14ac:dyDescent="0.25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275"/>
      <c r="I65" s="278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 x14ac:dyDescent="0.25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275">
        <f t="shared" ref="H66" si="33">K66*POWER(12,I66)/ROUND(K66*POWER(12,I66),0)-1</f>
        <v>0</v>
      </c>
      <c r="I66" s="278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 x14ac:dyDescent="0.25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275"/>
      <c r="I67" s="278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 x14ac:dyDescent="0.25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275"/>
      <c r="I68" s="281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 x14ac:dyDescent="0.25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575"/>
      <c r="B70" s="89" t="s">
        <v>117</v>
      </c>
      <c r="C70" s="89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06" t="str">
        <f t="shared" si="17"/>
        <v>9;E91731X53</v>
      </c>
      <c r="H70" s="307"/>
      <c r="I70" s="282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 x14ac:dyDescent="0.25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285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 x14ac:dyDescent="0.25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 x14ac:dyDescent="0.25">
      <c r="A75" s="571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 x14ac:dyDescent="0.25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285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 x14ac:dyDescent="0.25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285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 x14ac:dyDescent="0.25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285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 x14ac:dyDescent="0.25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 x14ac:dyDescent="0.25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 x14ac:dyDescent="0.25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285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 x14ac:dyDescent="0.25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285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 x14ac:dyDescent="0.25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63"/>
        <v>1;07X1163X8</v>
      </c>
      <c r="H83" s="108"/>
      <c r="I83" s="286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 x14ac:dyDescent="0.25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63"/>
        <v>1;09019E9995E</v>
      </c>
      <c r="H84" s="108"/>
      <c r="I84" s="286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 x14ac:dyDescent="0.25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63"/>
        <v>1;001XXX0E449</v>
      </c>
      <c r="H85" s="108"/>
      <c r="I85" s="286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 x14ac:dyDescent="0.25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63"/>
        <v>0;EX08X990X0X8</v>
      </c>
      <c r="H86" s="108"/>
      <c r="I86" s="286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 x14ac:dyDescent="0.25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63"/>
        <v>4;68X10E696900</v>
      </c>
      <c r="H87" s="108"/>
      <c r="I87" s="286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 x14ac:dyDescent="0.3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287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37" t="str">
        <f t="shared" ref="G90" si="64">M90&amp;";"&amp;O90&amp;Q90&amp;S90&amp;U90&amp;W90&amp;Y90&amp;AA90&amp;AC90&amp;AE90&amp;AG90&amp;AI90&amp;AK90</f>
        <v>1;03785164573</v>
      </c>
      <c r="H90" s="37"/>
      <c r="I90" s="285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 x14ac:dyDescent="0.25">
      <c r="B91" s="137" t="s">
        <v>268</v>
      </c>
      <c r="D91" s="14">
        <f>1/(1+0.00054461702177)</f>
        <v>0.99945567942448077</v>
      </c>
    </row>
    <row r="92" spans="1:37" x14ac:dyDescent="0.25">
      <c r="B92" s="3" t="s">
        <v>1646</v>
      </c>
      <c r="C92" s="3"/>
      <c r="D92" s="21">
        <f>R23</f>
        <v>1.0688711746099697</v>
      </c>
      <c r="E92" s="8">
        <v>7</v>
      </c>
      <c r="F92" s="21">
        <f>D92</f>
        <v>1.0688711746099697</v>
      </c>
      <c r="G92" s="37" t="str">
        <f t="shared" ref="G92:G93" si="90">M92&amp;";"&amp;O92&amp;Q92&amp;S92&amp;U92&amp;W92&amp;Y92&amp;AA92&amp;AC92&amp;AE92&amp;AG92&amp;AI92&amp;AK92</f>
        <v>1;09E0143</v>
      </c>
      <c r="H92" s="37"/>
      <c r="I92" s="285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 x14ac:dyDescent="0.25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90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x14ac:dyDescent="0.25">
      <c r="D95" s="193"/>
      <c r="F95" s="193"/>
      <c r="G95" s="209"/>
      <c r="K95" s="79"/>
      <c r="L95" s="79"/>
      <c r="M95" s="79"/>
    </row>
    <row r="96" spans="1:37" x14ac:dyDescent="0.25">
      <c r="B96" s="14" t="s">
        <v>1130</v>
      </c>
    </row>
    <row r="97" spans="1:39" x14ac:dyDescent="0.25">
      <c r="B97" s="107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08" t="str">
        <f t="shared" ref="G97:G100" si="116">M97&amp;";"&amp;O97&amp;Q97&amp;S97&amp;U97&amp;W97&amp;Y97&amp;AA97&amp;AC97&amp;AE97&amp;AG97&amp;AI97&amp;AK97</f>
        <v>8;E4X1E8</v>
      </c>
      <c r="H97" s="108"/>
      <c r="I97" s="286"/>
      <c r="J97" s="43">
        <v>-9</v>
      </c>
      <c r="K97" s="109">
        <f>F97/POWER(12,J97)+0.00000000000001</f>
        <v>8.950326524116722</v>
      </c>
      <c r="L97" s="44" t="str">
        <f>INDEX(powers!$H$2:$H$75,33+J97)</f>
        <v>unino atomic</v>
      </c>
      <c r="M97" s="97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96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96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96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96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96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96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96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96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96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96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96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96" t="str">
        <f t="shared" ref="AK97:AK100" si="129">IF($E97&gt;=AK$31,MID($J$31,IF($E97&gt;AK$31,INT(AJ97),ROUND(AJ97,0))+1,1),"")</f>
        <v/>
      </c>
    </row>
    <row r="98" spans="1:39" x14ac:dyDescent="0.25">
      <c r="B98" s="107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08" t="str">
        <f t="shared" si="116"/>
        <v>3;XE1X98</v>
      </c>
      <c r="H98" s="108"/>
      <c r="I98" s="286"/>
      <c r="J98" s="43">
        <v>-11</v>
      </c>
      <c r="K98" s="109">
        <f>F98/POWER(12,J98)+0.00000000000001</f>
        <v>3.9108218843030205</v>
      </c>
      <c r="L98" s="44" t="str">
        <f>INDEX(powers!$H$2:$H$75,33+J98)</f>
        <v>terno atomic</v>
      </c>
      <c r="M98" s="97" t="str">
        <f t="shared" si="117"/>
        <v>3</v>
      </c>
      <c r="N98" s="8">
        <f>(K98-INT(K98))*12</f>
        <v>10.929862611636246</v>
      </c>
      <c r="O98" s="96" t="str">
        <f t="shared" si="118"/>
        <v>X</v>
      </c>
      <c r="P98" s="8">
        <f>(N98-INT(N98))*12</f>
        <v>11.158351339634947</v>
      </c>
      <c r="Q98" s="96" t="str">
        <f t="shared" si="119"/>
        <v>E</v>
      </c>
      <c r="R98" s="8">
        <f>(P98-INT(P98))*12</f>
        <v>1.9002160756193689</v>
      </c>
      <c r="S98" s="96" t="str">
        <f t="shared" si="120"/>
        <v>1</v>
      </c>
      <c r="T98" s="8">
        <f>(R98-INT(R98))*12</f>
        <v>10.802592907432427</v>
      </c>
      <c r="U98" s="96" t="str">
        <f t="shared" si="121"/>
        <v>X</v>
      </c>
      <c r="V98" s="8">
        <f>(T98-INT(T98))*12</f>
        <v>9.6311148891891207</v>
      </c>
      <c r="W98" s="96" t="str">
        <f t="shared" si="122"/>
        <v>9</v>
      </c>
      <c r="X98" s="8">
        <f>(V98-INT(V98))*12</f>
        <v>7.5733786702694488</v>
      </c>
      <c r="Y98" s="96" t="str">
        <f t="shared" si="123"/>
        <v>8</v>
      </c>
      <c r="Z98" s="8">
        <f>(X98-INT(X98))*12</f>
        <v>6.8805440432333853</v>
      </c>
      <c r="AA98" s="96" t="str">
        <f t="shared" si="124"/>
        <v/>
      </c>
      <c r="AB98" s="8">
        <f>(Z98-INT(Z98))*12</f>
        <v>10.566528518800624</v>
      </c>
      <c r="AC98" s="96" t="str">
        <f t="shared" si="125"/>
        <v/>
      </c>
      <c r="AD98" s="8">
        <f>(AB98-INT(AB98))*12</f>
        <v>6.7983422256074846</v>
      </c>
      <c r="AE98" s="96" t="str">
        <f t="shared" si="126"/>
        <v/>
      </c>
      <c r="AF98" s="8">
        <f>(AD98-INT(AD98))*12</f>
        <v>9.5801067072898149</v>
      </c>
      <c r="AG98" s="96" t="str">
        <f t="shared" si="127"/>
        <v/>
      </c>
      <c r="AH98" s="8">
        <f>(AF98-INT(AF98))*12</f>
        <v>6.9612804874777794</v>
      </c>
      <c r="AI98" s="96" t="str">
        <f t="shared" si="128"/>
        <v/>
      </c>
      <c r="AJ98" s="8">
        <f>(AH98-INT(AH98))*12</f>
        <v>11.535365849733353</v>
      </c>
      <c r="AK98" s="96" t="str">
        <f t="shared" si="129"/>
        <v/>
      </c>
    </row>
    <row r="99" spans="1:39" x14ac:dyDescent="0.25">
      <c r="A99" s="386"/>
      <c r="B99" s="107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285"/>
      <c r="J99" s="38">
        <v>-11</v>
      </c>
      <c r="K99" s="128">
        <f>F99/POWER(12,J99)+0.00000000000001</f>
        <v>5.130992401986278</v>
      </c>
      <c r="L99" s="39" t="str">
        <f>INDEX(powers!$H$2:$H$75,33+J99)</f>
        <v>terno atomic</v>
      </c>
      <c r="M99" s="97" t="str">
        <f t="shared" si="117"/>
        <v>5</v>
      </c>
      <c r="N99" s="8">
        <f>(K99-INT(K99))*12</f>
        <v>1.5719088238353365</v>
      </c>
      <c r="O99" s="96" t="str">
        <f t="shared" si="118"/>
        <v>1</v>
      </c>
      <c r="P99" s="8">
        <f>(N99-INT(N99))*12</f>
        <v>6.8629058860240377</v>
      </c>
      <c r="Q99" s="96" t="str">
        <f t="shared" si="119"/>
        <v>6</v>
      </c>
      <c r="R99" s="8">
        <f>(P99-INT(P99))*12</f>
        <v>10.354870632288453</v>
      </c>
      <c r="S99" s="96" t="str">
        <f t="shared" si="120"/>
        <v>X</v>
      </c>
      <c r="T99" s="8">
        <f>(R99-INT(R99))*12</f>
        <v>4.2584475874614327</v>
      </c>
      <c r="U99" s="96" t="str">
        <f t="shared" si="121"/>
        <v>4</v>
      </c>
      <c r="V99" s="8">
        <f>(T99-INT(T99))*12</f>
        <v>3.1013710495371924</v>
      </c>
      <c r="W99" s="96" t="str">
        <f t="shared" si="122"/>
        <v>3</v>
      </c>
      <c r="X99" s="8">
        <f>(V99-INT(V99))*12</f>
        <v>1.2164525944463094</v>
      </c>
      <c r="Y99" s="96" t="str">
        <f t="shared" si="123"/>
        <v>1</v>
      </c>
      <c r="Z99" s="8">
        <f>(X99-INT(X99))*12</f>
        <v>2.5974311333557125</v>
      </c>
      <c r="AA99" s="96" t="str">
        <f t="shared" si="124"/>
        <v/>
      </c>
      <c r="AB99" s="8">
        <f>(Z99-INT(Z99))*12</f>
        <v>7.1691736002685502</v>
      </c>
      <c r="AC99" s="96" t="str">
        <f t="shared" si="125"/>
        <v/>
      </c>
      <c r="AD99" s="8">
        <f>(AB99-INT(AB99))*12</f>
        <v>2.0300832032226026</v>
      </c>
      <c r="AE99" s="96" t="str">
        <f t="shared" si="126"/>
        <v/>
      </c>
      <c r="AF99" s="8">
        <f>(AD99-INT(AD99))*12</f>
        <v>0.36099843867123127</v>
      </c>
      <c r="AG99" s="96" t="str">
        <f t="shared" si="127"/>
        <v/>
      </c>
      <c r="AH99" s="8">
        <f>(AF99-INT(AF99))*12</f>
        <v>4.3319812640547752</v>
      </c>
      <c r="AI99" s="96" t="str">
        <f t="shared" si="128"/>
        <v/>
      </c>
      <c r="AJ99" s="8">
        <f>(AH99-INT(AH99))*12</f>
        <v>3.9837751686573029</v>
      </c>
      <c r="AK99" s="96" t="str">
        <f t="shared" si="129"/>
        <v/>
      </c>
    </row>
    <row r="100" spans="1:39" ht="12" thickBot="1" x14ac:dyDescent="0.3">
      <c r="B100" s="105" t="s">
        <v>1162</v>
      </c>
      <c r="C100" s="379"/>
      <c r="D100" s="379">
        <f>solar_luminosity!C11</f>
        <v>2.5750450803308634E-8</v>
      </c>
      <c r="E100" s="379">
        <v>6</v>
      </c>
      <c r="F100" s="380">
        <f>D100/F$26</f>
        <v>1.7346332427982983E-11</v>
      </c>
      <c r="G100" s="381" t="str">
        <f t="shared" si="116"/>
        <v>1;0X7E34</v>
      </c>
      <c r="H100" s="381"/>
      <c r="I100" s="382"/>
      <c r="J100" s="383">
        <v>-10</v>
      </c>
      <c r="K100" s="384">
        <f>F100/POWER(12,J100)+0.00000000000001</f>
        <v>1.0740391828940148</v>
      </c>
      <c r="L100" s="385" t="str">
        <f>INDEX(powers!$H$2:$H$75,33+J100)</f>
        <v>dino atomic</v>
      </c>
      <c r="M100" s="97" t="str">
        <f t="shared" si="117"/>
        <v>1</v>
      </c>
      <c r="N100" s="8">
        <f>(K100-INT(K100))*12</f>
        <v>0.88847019472817745</v>
      </c>
      <c r="O100" s="96" t="str">
        <f t="shared" si="118"/>
        <v>0</v>
      </c>
      <c r="P100" s="8">
        <f>(N100-INT(N100))*12</f>
        <v>10.661642336738129</v>
      </c>
      <c r="Q100" s="96" t="str">
        <f t="shared" si="119"/>
        <v>X</v>
      </c>
      <c r="R100" s="8">
        <f>(P100-INT(P100))*12</f>
        <v>7.9397080408575533</v>
      </c>
      <c r="S100" s="96" t="str">
        <f t="shared" si="120"/>
        <v>7</v>
      </c>
      <c r="T100" s="8">
        <f>(R100-INT(R100))*12</f>
        <v>11.27649649029064</v>
      </c>
      <c r="U100" s="96" t="str">
        <f t="shared" si="121"/>
        <v>E</v>
      </c>
      <c r="V100" s="8">
        <f>(T100-INT(T100))*12</f>
        <v>3.3179578834876793</v>
      </c>
      <c r="W100" s="96" t="str">
        <f t="shared" si="122"/>
        <v>3</v>
      </c>
      <c r="X100" s="8">
        <f>(V100-INT(V100))*12</f>
        <v>3.8154946018521514</v>
      </c>
      <c r="Y100" s="96" t="str">
        <f t="shared" si="123"/>
        <v>4</v>
      </c>
      <c r="Z100" s="8">
        <f>(X100-INT(X100))*12</f>
        <v>9.7859352222258167</v>
      </c>
      <c r="AA100" s="96" t="str">
        <f t="shared" si="124"/>
        <v/>
      </c>
      <c r="AB100" s="8">
        <f>(Z100-INT(Z100))*12</f>
        <v>9.4312226667098003</v>
      </c>
      <c r="AC100" s="96" t="str">
        <f t="shared" si="125"/>
        <v/>
      </c>
      <c r="AD100" s="8">
        <f>(AB100-INT(AB100))*12</f>
        <v>5.174672000517603</v>
      </c>
      <c r="AE100" s="96" t="str">
        <f t="shared" si="126"/>
        <v/>
      </c>
      <c r="AF100" s="8">
        <f>(AD100-INT(AD100))*12</f>
        <v>2.0960640062112361</v>
      </c>
      <c r="AG100" s="96" t="str">
        <f t="shared" si="127"/>
        <v/>
      </c>
      <c r="AH100" s="8">
        <f>(AF100-INT(AF100))*12</f>
        <v>1.1527680745348334</v>
      </c>
      <c r="AI100" s="96" t="str">
        <f t="shared" si="128"/>
        <v/>
      </c>
      <c r="AJ100" s="8">
        <f>(AH100-INT(AH100))*12</f>
        <v>1.8332168944180012</v>
      </c>
      <c r="AK100" s="96" t="str">
        <f t="shared" si="129"/>
        <v/>
      </c>
    </row>
    <row r="101" spans="1:39" x14ac:dyDescent="0.25">
      <c r="F101" s="193"/>
      <c r="G101" s="234"/>
      <c r="H101" s="234"/>
      <c r="I101" s="292"/>
      <c r="J101" s="235"/>
      <c r="K101" s="236"/>
      <c r="L101" s="236"/>
      <c r="M101" s="237"/>
      <c r="O101" s="237"/>
      <c r="Q101" s="237"/>
      <c r="S101" s="237"/>
      <c r="U101" s="237"/>
      <c r="W101" s="237"/>
      <c r="Y101" s="237"/>
      <c r="AA101" s="237"/>
      <c r="AC101" s="237"/>
      <c r="AE101" s="237"/>
      <c r="AG101" s="237"/>
      <c r="AI101" s="237"/>
      <c r="AK101" s="237"/>
    </row>
    <row r="102" spans="1:39" ht="12" thickBot="1" x14ac:dyDescent="0.3">
      <c r="B102" s="14" t="s">
        <v>1353</v>
      </c>
      <c r="K102" s="79"/>
      <c r="L102" s="79"/>
      <c r="M102" s="79"/>
    </row>
    <row r="103" spans="1:39" ht="12" thickBot="1" x14ac:dyDescent="0.3">
      <c r="B103" s="68" t="s">
        <v>1354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298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 x14ac:dyDescent="0.25">
      <c r="F104" s="193"/>
      <c r="G104" s="234"/>
      <c r="H104" s="234"/>
      <c r="I104" s="292"/>
      <c r="J104" s="235"/>
      <c r="K104" s="236"/>
      <c r="L104" s="236"/>
      <c r="M104" s="237"/>
      <c r="O104" s="237"/>
      <c r="Q104" s="237"/>
      <c r="S104" s="237"/>
      <c r="U104" s="237"/>
      <c r="W104" s="237"/>
      <c r="Y104" s="237"/>
      <c r="AA104" s="237"/>
      <c r="AC104" s="237"/>
      <c r="AE104" s="237"/>
      <c r="AG104" s="237"/>
      <c r="AI104" s="237"/>
      <c r="AK104" s="237"/>
    </row>
    <row r="105" spans="1:39" ht="12" thickBot="1" x14ac:dyDescent="0.3">
      <c r="B105" s="14" t="s">
        <v>1132</v>
      </c>
      <c r="K105" s="79"/>
      <c r="L105" s="79"/>
      <c r="M105" s="79"/>
    </row>
    <row r="106" spans="1:39" x14ac:dyDescent="0.25">
      <c r="B106" s="98" t="s">
        <v>115</v>
      </c>
      <c r="C106" s="99"/>
      <c r="D106" s="100"/>
      <c r="E106" s="99">
        <v>9</v>
      </c>
      <c r="F106" s="100">
        <f>Clock!F96</f>
        <v>1.0020361796982167</v>
      </c>
      <c r="G106" s="101" t="str">
        <f t="shared" ref="G106:G108" si="144">M106&amp;";"&amp;O106&amp;Q106&amp;S106&amp;U106&amp;W106&amp;Y106&amp;AA106&amp;AC106&amp;AE106&amp;AG106&amp;AI106&amp;AK106</f>
        <v>1;003628000</v>
      </c>
      <c r="H106" s="101"/>
      <c r="I106" s="289"/>
      <c r="J106" s="102">
        <v>0</v>
      </c>
      <c r="K106" s="103">
        <f>F106/POWER(12,J106)+0.00000000000001</f>
        <v>1.0020361796982267</v>
      </c>
      <c r="L106" s="104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 x14ac:dyDescent="0.25">
      <c r="B107" s="107" t="s">
        <v>204</v>
      </c>
      <c r="C107" s="30"/>
      <c r="D107" s="30"/>
      <c r="E107" s="30">
        <v>12</v>
      </c>
      <c r="F107" s="29">
        <f>F4/Clock!F4</f>
        <v>1</v>
      </c>
      <c r="G107" s="108" t="str">
        <f t="shared" si="144"/>
        <v>1;000000000000</v>
      </c>
      <c r="H107" s="108"/>
      <c r="I107" s="286"/>
      <c r="J107" s="43">
        <v>0</v>
      </c>
      <c r="K107" s="109">
        <f>F107/POWER(12,J107)+0.00000000000001</f>
        <v>1.00000000000001</v>
      </c>
      <c r="L107" s="44" t="str">
        <f>INDEX(powers!$H$2:$H$75,33+J107)</f>
        <v xml:space="preserve"> </v>
      </c>
      <c r="M107" s="97" t="str">
        <f t="shared" si="145"/>
        <v>1</v>
      </c>
      <c r="N107" s="8">
        <f>(K107-INT(K107))*12</f>
        <v>1.1990408665951691E-13</v>
      </c>
      <c r="O107" s="96" t="str">
        <f t="shared" si="146"/>
        <v>0</v>
      </c>
      <c r="P107" s="8">
        <f>(N107-INT(N107))*12</f>
        <v>1.4388490399142029E-12</v>
      </c>
      <c r="Q107" s="96" t="str">
        <f t="shared" si="147"/>
        <v>0</v>
      </c>
      <c r="R107" s="8">
        <f>(P107-INT(P107))*12</f>
        <v>1.7266188478970435E-11</v>
      </c>
      <c r="S107" s="96" t="str">
        <f t="shared" si="148"/>
        <v>0</v>
      </c>
      <c r="T107" s="8">
        <f>(R107-INT(R107))*12</f>
        <v>2.0719426174764521E-10</v>
      </c>
      <c r="U107" s="96" t="str">
        <f t="shared" si="149"/>
        <v>0</v>
      </c>
      <c r="V107" s="8">
        <f>(T107-INT(T107))*12</f>
        <v>2.4863311409717426E-9</v>
      </c>
      <c r="W107" s="96" t="str">
        <f t="shared" si="150"/>
        <v>0</v>
      </c>
      <c r="X107" s="8">
        <f>(V107-INT(V107))*12</f>
        <v>2.9835973691660911E-8</v>
      </c>
      <c r="Y107" s="96" t="str">
        <f t="shared" si="151"/>
        <v>0</v>
      </c>
      <c r="Z107" s="8">
        <f>(X107-INT(X107))*12</f>
        <v>3.5803168429993093E-7</v>
      </c>
      <c r="AA107" s="96" t="str">
        <f t="shared" si="152"/>
        <v>0</v>
      </c>
      <c r="AB107" s="8">
        <f>(Z107-INT(Z107))*12</f>
        <v>4.2963802115991712E-6</v>
      </c>
      <c r="AC107" s="96" t="str">
        <f t="shared" si="153"/>
        <v>0</v>
      </c>
      <c r="AD107" s="8">
        <f>(AB107-INT(AB107))*12</f>
        <v>5.1556562539190054E-5</v>
      </c>
      <c r="AE107" s="96" t="str">
        <f t="shared" si="154"/>
        <v>0</v>
      </c>
      <c r="AF107" s="8">
        <f>(AD107-INT(AD107))*12</f>
        <v>6.1867875047028065E-4</v>
      </c>
      <c r="AG107" s="96" t="str">
        <f t="shared" si="155"/>
        <v>0</v>
      </c>
      <c r="AH107" s="8">
        <f>(AF107-INT(AF107))*12</f>
        <v>7.4241450056433678E-3</v>
      </c>
      <c r="AI107" s="96" t="str">
        <f t="shared" si="156"/>
        <v>0</v>
      </c>
      <c r="AJ107" s="8">
        <f>(AH107-INT(AH107))*12</f>
        <v>8.9089740067720413E-2</v>
      </c>
      <c r="AK107" s="96" t="str">
        <f t="shared" si="157"/>
        <v>0</v>
      </c>
    </row>
    <row r="108" spans="1:39" ht="12" thickBot="1" x14ac:dyDescent="0.3">
      <c r="B108" s="105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287"/>
      <c r="J108" s="48">
        <v>0</v>
      </c>
      <c r="K108" s="106">
        <f>F108/POWER(12,J108)+0.00000000000001</f>
        <v>1.1033710461823119</v>
      </c>
      <c r="L108" s="49" t="str">
        <f>INDEX(powers!$H$2:$H$75,33+J108)</f>
        <v xml:space="preserve"> </v>
      </c>
      <c r="M108" s="97" t="str">
        <f t="shared" si="145"/>
        <v>1</v>
      </c>
      <c r="N108" s="8">
        <f>(K108-INT(K108))*12</f>
        <v>1.2404525541877423</v>
      </c>
      <c r="O108" s="96" t="str">
        <f t="shared" si="146"/>
        <v>1</v>
      </c>
      <c r="P108" s="8">
        <f>(N108-INT(N108))*12</f>
        <v>2.885430650252907</v>
      </c>
      <c r="Q108" s="96" t="str">
        <f t="shared" si="147"/>
        <v>2</v>
      </c>
      <c r="R108" s="8">
        <f>(P108-INT(P108))*12</f>
        <v>10.625167803034884</v>
      </c>
      <c r="S108" s="96" t="str">
        <f t="shared" si="148"/>
        <v>X</v>
      </c>
      <c r="T108" s="8">
        <f>(R108-INT(R108))*12</f>
        <v>7.5020136364186101</v>
      </c>
      <c r="U108" s="96" t="str">
        <f t="shared" si="149"/>
        <v>7</v>
      </c>
      <c r="V108" s="8">
        <f>(T108-INT(T108))*12</f>
        <v>6.0241636370233209</v>
      </c>
      <c r="W108" s="96" t="str">
        <f t="shared" si="150"/>
        <v>6</v>
      </c>
      <c r="X108" s="8">
        <f>(V108-INT(V108))*12</f>
        <v>0.289963644279851</v>
      </c>
      <c r="Y108" s="96" t="str">
        <f t="shared" si="151"/>
        <v>0</v>
      </c>
      <c r="Z108" s="8">
        <f>(X108-INT(X108))*12</f>
        <v>3.479563731358212</v>
      </c>
      <c r="AA108" s="96" t="str">
        <f t="shared" si="152"/>
        <v>3</v>
      </c>
      <c r="AB108" s="8">
        <f>(Z108-INT(Z108))*12</f>
        <v>5.7547647762985434</v>
      </c>
      <c r="AC108" s="96" t="str">
        <f t="shared" si="153"/>
        <v>5</v>
      </c>
      <c r="AD108" s="8">
        <f>(AB108-INT(AB108))*12</f>
        <v>9.0571773155825213</v>
      </c>
      <c r="AE108" s="96" t="str">
        <f t="shared" si="154"/>
        <v>9</v>
      </c>
      <c r="AF108" s="8">
        <f>(AD108-INT(AD108))*12</f>
        <v>0.68612778699025512</v>
      </c>
      <c r="AG108" s="96" t="str">
        <f t="shared" si="155"/>
        <v>0</v>
      </c>
      <c r="AH108" s="8">
        <f>(AF108-INT(AF108))*12</f>
        <v>8.2335334438830614</v>
      </c>
      <c r="AI108" s="96" t="str">
        <f t="shared" si="156"/>
        <v>8</v>
      </c>
      <c r="AJ108" s="8">
        <f>(AH108-INT(AH108))*12</f>
        <v>2.8024013265967369</v>
      </c>
      <c r="AK108" s="96" t="str">
        <f t="shared" si="157"/>
        <v>3</v>
      </c>
    </row>
    <row r="109" spans="1:39" x14ac:dyDescent="0.25">
      <c r="F109" s="193"/>
      <c r="G109" s="234"/>
      <c r="H109" s="234"/>
      <c r="I109" s="292"/>
      <c r="J109" s="235"/>
      <c r="K109" s="236"/>
      <c r="L109" s="236"/>
      <c r="M109" s="237"/>
      <c r="O109" s="237"/>
      <c r="Q109" s="237"/>
      <c r="S109" s="237"/>
      <c r="U109" s="237"/>
      <c r="W109" s="237"/>
      <c r="Y109" s="237"/>
      <c r="AA109" s="237"/>
      <c r="AC109" s="237"/>
      <c r="AE109" s="237"/>
      <c r="AG109" s="237"/>
      <c r="AI109" s="237"/>
      <c r="AK109" s="237"/>
    </row>
    <row r="110" spans="1:39" ht="12" thickBot="1" x14ac:dyDescent="0.3">
      <c r="B110" s="14" t="s">
        <v>1131</v>
      </c>
      <c r="C110" s="54" t="s">
        <v>658</v>
      </c>
      <c r="D110" s="238">
        <f>AM111</f>
        <v>-65.388549499005478</v>
      </c>
      <c r="F110" s="232"/>
      <c r="G110" s="193"/>
      <c r="H110" s="193"/>
    </row>
    <row r="111" spans="1:39" x14ac:dyDescent="0.25">
      <c r="B111" s="98" t="s">
        <v>646</v>
      </c>
      <c r="C111" s="240" t="s">
        <v>626</v>
      </c>
      <c r="D111" s="242">
        <v>-273.14999999999998</v>
      </c>
      <c r="E111" s="99">
        <v>9</v>
      </c>
      <c r="F111" s="225">
        <f t="shared" ref="F111:F133" si="158">(D111-D$110)/F$6/20736</f>
        <v>-164.19068287037035</v>
      </c>
      <c r="G111" s="239" t="str">
        <f>"-"&amp;M111&amp;";"&amp;O111&amp;Q111&amp;S111&amp;U111&amp;W111&amp;Y111&amp;AA111&amp;AC111&amp;AE111&amp;AG111&amp;AI111&amp;AK111</f>
        <v>-1;182356000</v>
      </c>
      <c r="H111" s="239"/>
      <c r="I111" s="290"/>
      <c r="J111" s="226">
        <v>2</v>
      </c>
      <c r="K111" s="227">
        <f>-F111/POWER(12,J111)+0.00000000000001</f>
        <v>1.140213075488693</v>
      </c>
      <c r="L111" s="104" t="str">
        <f>INDEX(powers!$H$2:$H$75,33+J111)</f>
        <v>gross</v>
      </c>
      <c r="M111" s="97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96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96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96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96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96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96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96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96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96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96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96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96" t="str">
        <f t="shared" ref="AK111:AK133" si="183">IF($E111&gt;=AK$31,MID($J$31,IF($E111&gt;AK$31,INT(AJ111),ROUND(AJ111,0))+1,1),"")</f>
        <v/>
      </c>
      <c r="AL111" s="238">
        <f>-(144*1+1*12+8+2/12+3/144+5/1728+6/20736)</f>
        <v>-164.19068287037035</v>
      </c>
      <c r="AM111" s="238">
        <f>-AL111*F$6*20736+D111</f>
        <v>-65.388549499005478</v>
      </c>
    </row>
    <row r="112" spans="1:39" x14ac:dyDescent="0.25">
      <c r="B112" s="126" t="s">
        <v>644</v>
      </c>
      <c r="C112" s="10" t="s">
        <v>645</v>
      </c>
      <c r="D112" s="198">
        <v>-89.4</v>
      </c>
      <c r="E112" s="8">
        <v>9</v>
      </c>
      <c r="F112" s="228">
        <f t="shared" si="158"/>
        <v>-18.975880486777388</v>
      </c>
      <c r="G112" s="229" t="str">
        <f>"-"&amp;M112&amp;";"&amp;O112&amp;Q112&amp;S112&amp;U112&amp;W112&amp;Y112&amp;AA112&amp;AC112&amp;AE112&amp;AG112&amp;AI112&amp;AK112</f>
        <v>-1;6E863X363</v>
      </c>
      <c r="H112" s="229"/>
      <c r="I112" s="291"/>
      <c r="J112" s="230">
        <v>1</v>
      </c>
      <c r="K112" s="231">
        <f>-F112/POWER(12,J112)+0.00000000000001</f>
        <v>1.5813233738981256</v>
      </c>
      <c r="L112" s="39" t="str">
        <f>INDEX(powers!$H$2:$H$75,33+J112)</f>
        <v>dozen</v>
      </c>
      <c r="M112" s="97" t="str">
        <f t="shared" si="159"/>
        <v>1</v>
      </c>
      <c r="N112" s="8">
        <f t="shared" si="160"/>
        <v>6.9758804867775073</v>
      </c>
      <c r="O112" s="96" t="str">
        <f t="shared" si="161"/>
        <v>6</v>
      </c>
      <c r="P112" s="8">
        <f t="shared" si="162"/>
        <v>11.710565841330087</v>
      </c>
      <c r="Q112" s="96" t="str">
        <f t="shared" si="163"/>
        <v>E</v>
      </c>
      <c r="R112" s="8">
        <f t="shared" si="164"/>
        <v>8.5267900959610472</v>
      </c>
      <c r="S112" s="96" t="str">
        <f t="shared" si="165"/>
        <v>8</v>
      </c>
      <c r="T112" s="8">
        <f t="shared" si="166"/>
        <v>6.3214811515325664</v>
      </c>
      <c r="U112" s="96" t="str">
        <f t="shared" si="167"/>
        <v>6</v>
      </c>
      <c r="V112" s="8">
        <f t="shared" si="168"/>
        <v>3.8577738183907968</v>
      </c>
      <c r="W112" s="96" t="str">
        <f t="shared" si="169"/>
        <v>3</v>
      </c>
      <c r="X112" s="8">
        <f t="shared" si="170"/>
        <v>10.293285820689562</v>
      </c>
      <c r="Y112" s="96" t="str">
        <f t="shared" si="171"/>
        <v>X</v>
      </c>
      <c r="Z112" s="8">
        <f t="shared" si="172"/>
        <v>3.5194298482747399</v>
      </c>
      <c r="AA112" s="96" t="str">
        <f t="shared" si="173"/>
        <v>3</v>
      </c>
      <c r="AB112" s="8">
        <f t="shared" si="174"/>
        <v>6.2331581792968791</v>
      </c>
      <c r="AC112" s="96" t="str">
        <f t="shared" si="175"/>
        <v>6</v>
      </c>
      <c r="AD112" s="8">
        <f t="shared" si="176"/>
        <v>2.7978981515625492</v>
      </c>
      <c r="AE112" s="96" t="str">
        <f t="shared" si="177"/>
        <v>3</v>
      </c>
      <c r="AF112" s="8">
        <f t="shared" si="178"/>
        <v>9.5747778187505901</v>
      </c>
      <c r="AG112" s="96" t="str">
        <f t="shared" si="179"/>
        <v/>
      </c>
      <c r="AH112" s="8">
        <f t="shared" si="180"/>
        <v>6.897333825007081</v>
      </c>
      <c r="AI112" s="96" t="str">
        <f t="shared" si="181"/>
        <v/>
      </c>
      <c r="AJ112" s="8">
        <f t="shared" si="182"/>
        <v>10.768005900084972</v>
      </c>
      <c r="AK112" s="96" t="str">
        <f t="shared" si="183"/>
        <v/>
      </c>
    </row>
    <row r="113" spans="2:39" x14ac:dyDescent="0.25">
      <c r="B113" s="126"/>
      <c r="C113" s="9" t="s">
        <v>627</v>
      </c>
      <c r="D113" s="198">
        <v>-78</v>
      </c>
      <c r="E113" s="8">
        <v>9</v>
      </c>
      <c r="F113" s="228">
        <f t="shared" si="158"/>
        <v>-9.9666356042034518</v>
      </c>
      <c r="G113" s="229" t="str">
        <f>"-"&amp;M113&amp;";"&amp;O113&amp;Q113&amp;S113&amp;U113&amp;W113&amp;Y113&amp;AA113&amp;AC113&amp;AE113&amp;AG113&amp;AI113&amp;AK113</f>
        <v>-9;E7241X546</v>
      </c>
      <c r="H113" s="229"/>
      <c r="I113" s="291"/>
      <c r="J113" s="230">
        <v>0</v>
      </c>
      <c r="K113" s="231">
        <f>-F113/POWER(12,J113)+0.00000000000001</f>
        <v>9.9666356042034625</v>
      </c>
      <c r="L113" s="39" t="str">
        <f>INDEX(powers!$H$2:$H$75,33+J113)</f>
        <v xml:space="preserve"> </v>
      </c>
      <c r="M113" s="97" t="str">
        <f t="shared" si="159"/>
        <v>9</v>
      </c>
      <c r="N113" s="8">
        <f t="shared" si="160"/>
        <v>11.59962725044155</v>
      </c>
      <c r="O113" s="96" t="str">
        <f t="shared" si="161"/>
        <v>E</v>
      </c>
      <c r="P113" s="8">
        <f t="shared" si="162"/>
        <v>7.1955270052986009</v>
      </c>
      <c r="Q113" s="96" t="str">
        <f t="shared" si="163"/>
        <v>7</v>
      </c>
      <c r="R113" s="8">
        <f t="shared" si="164"/>
        <v>2.3463240635832108</v>
      </c>
      <c r="S113" s="96" t="str">
        <f t="shared" si="165"/>
        <v>2</v>
      </c>
      <c r="T113" s="8">
        <f t="shared" si="166"/>
        <v>4.1558887629985293</v>
      </c>
      <c r="U113" s="96" t="str">
        <f t="shared" si="167"/>
        <v>4</v>
      </c>
      <c r="V113" s="8">
        <f t="shared" si="168"/>
        <v>1.8706651559823513</v>
      </c>
      <c r="W113" s="96" t="str">
        <f t="shared" si="169"/>
        <v>1</v>
      </c>
      <c r="X113" s="8">
        <f t="shared" si="170"/>
        <v>10.447981871788215</v>
      </c>
      <c r="Y113" s="96" t="str">
        <f t="shared" si="171"/>
        <v>X</v>
      </c>
      <c r="Z113" s="8">
        <f t="shared" si="172"/>
        <v>5.3757824614585843</v>
      </c>
      <c r="AA113" s="96" t="str">
        <f t="shared" si="173"/>
        <v>5</v>
      </c>
      <c r="AB113" s="8">
        <f t="shared" si="174"/>
        <v>4.5093895375030115</v>
      </c>
      <c r="AC113" s="96" t="str">
        <f t="shared" si="175"/>
        <v>4</v>
      </c>
      <c r="AD113" s="8">
        <f t="shared" si="176"/>
        <v>6.1126744500361383</v>
      </c>
      <c r="AE113" s="96" t="str">
        <f t="shared" si="177"/>
        <v>6</v>
      </c>
      <c r="AF113" s="8">
        <f t="shared" si="178"/>
        <v>1.3520934004336596</v>
      </c>
      <c r="AG113" s="96" t="str">
        <f t="shared" si="179"/>
        <v/>
      </c>
      <c r="AH113" s="8">
        <f t="shared" si="180"/>
        <v>4.2251208052039146</v>
      </c>
      <c r="AI113" s="96" t="str">
        <f t="shared" si="181"/>
        <v/>
      </c>
      <c r="AJ113" s="8">
        <f t="shared" si="182"/>
        <v>2.7014496624469757</v>
      </c>
      <c r="AK113" s="96" t="str">
        <f t="shared" si="183"/>
        <v/>
      </c>
    </row>
    <row r="114" spans="2:39" x14ac:dyDescent="0.25">
      <c r="B114" s="126"/>
      <c r="C114" s="9" t="s">
        <v>628</v>
      </c>
      <c r="D114" s="198">
        <v>-55</v>
      </c>
      <c r="E114" s="8">
        <v>9</v>
      </c>
      <c r="F114" s="127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285"/>
      <c r="J114" s="38">
        <v>1</v>
      </c>
      <c r="K114" s="128">
        <f t="shared" ref="K114:K133" si="185">F114/POWER(12,J114)+0.00000000000001</f>
        <v>0.68415925739241545</v>
      </c>
      <c r="L114" s="39" t="str">
        <f>INDEX(powers!$H$2:$H$75,33+J114)</f>
        <v>dozen</v>
      </c>
      <c r="M114" s="97" t="str">
        <f t="shared" si="159"/>
        <v>0</v>
      </c>
      <c r="N114" s="8">
        <f t="shared" si="160"/>
        <v>8.209911088708985</v>
      </c>
      <c r="O114" s="96" t="str">
        <f t="shared" si="161"/>
        <v>8</v>
      </c>
      <c r="P114" s="8">
        <f t="shared" si="162"/>
        <v>2.5189330645078201</v>
      </c>
      <c r="Q114" s="96" t="str">
        <f t="shared" si="163"/>
        <v>2</v>
      </c>
      <c r="R114" s="8">
        <f t="shared" si="164"/>
        <v>6.2271967740938408</v>
      </c>
      <c r="S114" s="96" t="str">
        <f t="shared" si="165"/>
        <v>6</v>
      </c>
      <c r="T114" s="8">
        <f t="shared" si="166"/>
        <v>2.7263612891260891</v>
      </c>
      <c r="U114" s="96" t="str">
        <f t="shared" si="167"/>
        <v>2</v>
      </c>
      <c r="V114" s="8">
        <f t="shared" si="168"/>
        <v>8.7163354695130693</v>
      </c>
      <c r="W114" s="96" t="str">
        <f t="shared" si="169"/>
        <v>8</v>
      </c>
      <c r="X114" s="8">
        <f t="shared" si="170"/>
        <v>8.5960256341568311</v>
      </c>
      <c r="Y114" s="96" t="str">
        <f t="shared" si="171"/>
        <v>8</v>
      </c>
      <c r="Z114" s="8">
        <f t="shared" si="172"/>
        <v>7.1523076098819729</v>
      </c>
      <c r="AA114" s="96" t="str">
        <f t="shared" si="173"/>
        <v>7</v>
      </c>
      <c r="AB114" s="8">
        <f t="shared" si="174"/>
        <v>1.8276913185836747</v>
      </c>
      <c r="AC114" s="96" t="str">
        <f t="shared" si="175"/>
        <v>1</v>
      </c>
      <c r="AD114" s="8">
        <f t="shared" si="176"/>
        <v>9.9322958230040967</v>
      </c>
      <c r="AE114" s="96" t="str">
        <f t="shared" si="177"/>
        <v>X</v>
      </c>
      <c r="AF114" s="8">
        <f t="shared" si="178"/>
        <v>11.187549876049161</v>
      </c>
      <c r="AG114" s="96" t="str">
        <f t="shared" si="179"/>
        <v/>
      </c>
      <c r="AH114" s="8">
        <f t="shared" si="180"/>
        <v>2.2505985125899315</v>
      </c>
      <c r="AI114" s="96" t="str">
        <f t="shared" si="181"/>
        <v/>
      </c>
      <c r="AJ114" s="8">
        <f t="shared" si="182"/>
        <v>3.0071821510791779</v>
      </c>
      <c r="AK114" s="96" t="str">
        <f t="shared" si="183"/>
        <v/>
      </c>
    </row>
    <row r="115" spans="2:39" x14ac:dyDescent="0.25">
      <c r="B115" s="126"/>
      <c r="C115" s="9" t="s">
        <v>629</v>
      </c>
      <c r="D115" s="198">
        <v>-32</v>
      </c>
      <c r="E115" s="8">
        <v>9</v>
      </c>
      <c r="F115" s="127">
        <f t="shared" si="158"/>
        <v>26.386457781621186</v>
      </c>
      <c r="G115" s="37" t="str">
        <f t="shared" si="184"/>
        <v>2;247797090</v>
      </c>
      <c r="H115" s="37"/>
      <c r="I115" s="285"/>
      <c r="J115" s="38">
        <v>1</v>
      </c>
      <c r="K115" s="128">
        <f t="shared" si="185"/>
        <v>2.1988714818017758</v>
      </c>
      <c r="L115" s="39" t="str">
        <f>INDEX(powers!$H$2:$H$75,33+J115)</f>
        <v>dozen</v>
      </c>
      <c r="M115" s="97" t="str">
        <f t="shared" si="159"/>
        <v>2</v>
      </c>
      <c r="N115" s="8">
        <f t="shared" si="160"/>
        <v>2.3864577816213099</v>
      </c>
      <c r="O115" s="96" t="str">
        <f t="shared" si="161"/>
        <v>2</v>
      </c>
      <c r="P115" s="8">
        <f t="shared" si="162"/>
        <v>4.6374933794557194</v>
      </c>
      <c r="Q115" s="96" t="str">
        <f t="shared" si="163"/>
        <v>4</v>
      </c>
      <c r="R115" s="8">
        <f t="shared" si="164"/>
        <v>7.6499205534686325</v>
      </c>
      <c r="S115" s="96" t="str">
        <f t="shared" si="165"/>
        <v>7</v>
      </c>
      <c r="T115" s="8">
        <f t="shared" si="166"/>
        <v>7.7990466416235904</v>
      </c>
      <c r="U115" s="96" t="str">
        <f t="shared" si="167"/>
        <v>7</v>
      </c>
      <c r="V115" s="8">
        <f t="shared" si="168"/>
        <v>9.5885596994830848</v>
      </c>
      <c r="W115" s="96" t="str">
        <f t="shared" si="169"/>
        <v>9</v>
      </c>
      <c r="X115" s="8">
        <f t="shared" si="170"/>
        <v>7.0627163937970181</v>
      </c>
      <c r="Y115" s="96" t="str">
        <f t="shared" si="171"/>
        <v>7</v>
      </c>
      <c r="Z115" s="8">
        <f t="shared" si="172"/>
        <v>0.75259672556421719</v>
      </c>
      <c r="AA115" s="96" t="str">
        <f t="shared" si="173"/>
        <v>0</v>
      </c>
      <c r="AB115" s="8">
        <f t="shared" si="174"/>
        <v>9.0311607067706063</v>
      </c>
      <c r="AC115" s="96" t="str">
        <f t="shared" si="175"/>
        <v>9</v>
      </c>
      <c r="AD115" s="8">
        <f t="shared" si="176"/>
        <v>0.37392848124727607</v>
      </c>
      <c r="AE115" s="96" t="str">
        <f t="shared" si="177"/>
        <v>0</v>
      </c>
      <c r="AF115" s="8">
        <f t="shared" si="178"/>
        <v>4.4871417749673128</v>
      </c>
      <c r="AG115" s="96" t="str">
        <f t="shared" si="179"/>
        <v/>
      </c>
      <c r="AH115" s="8">
        <f t="shared" si="180"/>
        <v>5.8457012996077538</v>
      </c>
      <c r="AI115" s="96" t="str">
        <f t="shared" si="181"/>
        <v/>
      </c>
      <c r="AJ115" s="8">
        <f t="shared" si="182"/>
        <v>10.148415595293045</v>
      </c>
      <c r="AK115" s="96" t="str">
        <f t="shared" si="183"/>
        <v/>
      </c>
    </row>
    <row r="116" spans="2:39" x14ac:dyDescent="0.25">
      <c r="B116" s="126"/>
      <c r="C116" s="9" t="s">
        <v>630</v>
      </c>
      <c r="D116" s="198">
        <v>-17.8</v>
      </c>
      <c r="E116" s="8">
        <v>9</v>
      </c>
      <c r="F116" s="127">
        <f t="shared" si="158"/>
        <v>37.608499652897493</v>
      </c>
      <c r="G116" s="37" t="str">
        <f t="shared" si="184"/>
        <v>3;17375X229</v>
      </c>
      <c r="H116" s="37"/>
      <c r="I116" s="285"/>
      <c r="J116" s="38">
        <v>1</v>
      </c>
      <c r="K116" s="128">
        <f t="shared" si="185"/>
        <v>3.1340416377414679</v>
      </c>
      <c r="L116" s="39" t="str">
        <f>INDEX(powers!$H$2:$H$75,33+J116)</f>
        <v>dozen</v>
      </c>
      <c r="M116" s="97" t="str">
        <f t="shared" si="159"/>
        <v>3</v>
      </c>
      <c r="N116" s="8">
        <f t="shared" si="160"/>
        <v>1.6084996528976152</v>
      </c>
      <c r="O116" s="96" t="str">
        <f t="shared" si="161"/>
        <v>1</v>
      </c>
      <c r="P116" s="8">
        <f t="shared" si="162"/>
        <v>7.3019958347713825</v>
      </c>
      <c r="Q116" s="96" t="str">
        <f t="shared" si="163"/>
        <v>7</v>
      </c>
      <c r="R116" s="8">
        <f t="shared" si="164"/>
        <v>3.6239500172565897</v>
      </c>
      <c r="S116" s="96" t="str">
        <f t="shared" si="165"/>
        <v>3</v>
      </c>
      <c r="T116" s="8">
        <f t="shared" si="166"/>
        <v>7.4874002070790766</v>
      </c>
      <c r="U116" s="96" t="str">
        <f t="shared" si="167"/>
        <v>7</v>
      </c>
      <c r="V116" s="8">
        <f t="shared" si="168"/>
        <v>5.8488024849489193</v>
      </c>
      <c r="W116" s="96" t="str">
        <f t="shared" si="169"/>
        <v>5</v>
      </c>
      <c r="X116" s="8">
        <f t="shared" si="170"/>
        <v>10.185629819387032</v>
      </c>
      <c r="Y116" s="96" t="str">
        <f t="shared" si="171"/>
        <v>X</v>
      </c>
      <c r="Z116" s="8">
        <f t="shared" si="172"/>
        <v>2.2275578326443792</v>
      </c>
      <c r="AA116" s="96" t="str">
        <f t="shared" si="173"/>
        <v>2</v>
      </c>
      <c r="AB116" s="8">
        <f t="shared" si="174"/>
        <v>2.7306939917325508</v>
      </c>
      <c r="AC116" s="96" t="str">
        <f t="shared" si="175"/>
        <v>2</v>
      </c>
      <c r="AD116" s="8">
        <f t="shared" si="176"/>
        <v>8.7683279007906094</v>
      </c>
      <c r="AE116" s="96" t="str">
        <f t="shared" si="177"/>
        <v>9</v>
      </c>
      <c r="AF116" s="8">
        <f t="shared" si="178"/>
        <v>9.219934809487313</v>
      </c>
      <c r="AG116" s="96" t="str">
        <f t="shared" si="179"/>
        <v/>
      </c>
      <c r="AH116" s="8">
        <f t="shared" si="180"/>
        <v>2.6392177138477564</v>
      </c>
      <c r="AI116" s="96" t="str">
        <f t="shared" si="181"/>
        <v/>
      </c>
      <c r="AJ116" s="8">
        <f t="shared" si="182"/>
        <v>7.6706125661730766</v>
      </c>
      <c r="AK116" s="96" t="str">
        <f t="shared" si="183"/>
        <v/>
      </c>
    </row>
    <row r="117" spans="2:39" x14ac:dyDescent="0.25">
      <c r="B117" s="126"/>
      <c r="C117" s="9" t="s">
        <v>631</v>
      </c>
      <c r="D117" s="198">
        <v>-9</v>
      </c>
      <c r="E117" s="8">
        <v>9</v>
      </c>
      <c r="F117" s="127">
        <f t="shared" si="158"/>
        <v>44.563004474533507</v>
      </c>
      <c r="G117" s="37" t="str">
        <f t="shared" si="184"/>
        <v>3;8690X5643</v>
      </c>
      <c r="H117" s="37"/>
      <c r="I117" s="285"/>
      <c r="J117" s="38">
        <v>1</v>
      </c>
      <c r="K117" s="128">
        <f t="shared" si="185"/>
        <v>3.7135837062111356</v>
      </c>
      <c r="L117" s="39" t="str">
        <f>INDEX(powers!$H$2:$H$75,33+J117)</f>
        <v>dozen</v>
      </c>
      <c r="M117" s="97" t="str">
        <f t="shared" si="159"/>
        <v>3</v>
      </c>
      <c r="N117" s="8">
        <f t="shared" si="160"/>
        <v>8.5630044745336278</v>
      </c>
      <c r="O117" s="96" t="str">
        <f t="shared" si="161"/>
        <v>8</v>
      </c>
      <c r="P117" s="8">
        <f t="shared" si="162"/>
        <v>6.7560536944035334</v>
      </c>
      <c r="Q117" s="96" t="str">
        <f t="shared" si="163"/>
        <v>6</v>
      </c>
      <c r="R117" s="8">
        <f t="shared" si="164"/>
        <v>9.0726443328424011</v>
      </c>
      <c r="S117" s="96" t="str">
        <f t="shared" si="165"/>
        <v>9</v>
      </c>
      <c r="T117" s="8">
        <f t="shared" si="166"/>
        <v>0.87173199410881352</v>
      </c>
      <c r="U117" s="96" t="str">
        <f t="shared" si="167"/>
        <v>0</v>
      </c>
      <c r="V117" s="8">
        <f t="shared" si="168"/>
        <v>10.460783929305762</v>
      </c>
      <c r="W117" s="96" t="str">
        <f t="shared" si="169"/>
        <v>X</v>
      </c>
      <c r="X117" s="8">
        <f t="shared" si="170"/>
        <v>5.5294071516691474</v>
      </c>
      <c r="Y117" s="96" t="str">
        <f t="shared" si="171"/>
        <v>5</v>
      </c>
      <c r="Z117" s="8">
        <f t="shared" si="172"/>
        <v>6.3528858200297691</v>
      </c>
      <c r="AA117" s="96" t="str">
        <f t="shared" si="173"/>
        <v>6</v>
      </c>
      <c r="AB117" s="8">
        <f t="shared" si="174"/>
        <v>4.2346298403572291</v>
      </c>
      <c r="AC117" s="96" t="str">
        <f t="shared" si="175"/>
        <v>4</v>
      </c>
      <c r="AD117" s="8">
        <f t="shared" si="176"/>
        <v>2.8155580842867494</v>
      </c>
      <c r="AE117" s="96" t="str">
        <f t="shared" si="177"/>
        <v>3</v>
      </c>
      <c r="AF117" s="8">
        <f t="shared" si="178"/>
        <v>9.7866970114409924</v>
      </c>
      <c r="AG117" s="96" t="str">
        <f t="shared" si="179"/>
        <v/>
      </c>
      <c r="AH117" s="8">
        <f t="shared" si="180"/>
        <v>9.4403641372919083</v>
      </c>
      <c r="AI117" s="96" t="str">
        <f t="shared" si="181"/>
        <v/>
      </c>
      <c r="AJ117" s="8">
        <f t="shared" si="182"/>
        <v>5.2843696475028992</v>
      </c>
      <c r="AK117" s="96" t="str">
        <f t="shared" si="183"/>
        <v/>
      </c>
    </row>
    <row r="118" spans="2:39" x14ac:dyDescent="0.25">
      <c r="B118" s="126" t="s">
        <v>647</v>
      </c>
      <c r="C118" s="9" t="s">
        <v>632</v>
      </c>
      <c r="D118" s="198">
        <v>0</v>
      </c>
      <c r="E118" s="8">
        <v>9</v>
      </c>
      <c r="F118" s="127">
        <f t="shared" si="158"/>
        <v>51.675566223933977</v>
      </c>
      <c r="G118" s="37" t="str">
        <f t="shared" si="184"/>
        <v>4;3813465E3</v>
      </c>
      <c r="H118" s="37"/>
      <c r="I118" s="285"/>
      <c r="J118" s="38">
        <v>1</v>
      </c>
      <c r="K118" s="128">
        <f t="shared" si="185"/>
        <v>4.3062971853278409</v>
      </c>
      <c r="L118" s="39" t="str">
        <f>INDEX(powers!$H$2:$H$75,33+J118)</f>
        <v>dozen</v>
      </c>
      <c r="M118" s="97" t="str">
        <f t="shared" si="159"/>
        <v>4</v>
      </c>
      <c r="N118" s="8">
        <f t="shared" si="160"/>
        <v>3.6755662239340907</v>
      </c>
      <c r="O118" s="96" t="str">
        <f t="shared" si="161"/>
        <v>3</v>
      </c>
      <c r="P118" s="8">
        <f t="shared" si="162"/>
        <v>8.1067946872090886</v>
      </c>
      <c r="Q118" s="96" t="str">
        <f t="shared" si="163"/>
        <v>8</v>
      </c>
      <c r="R118" s="8">
        <f t="shared" si="164"/>
        <v>1.2815362465090629</v>
      </c>
      <c r="S118" s="96" t="str">
        <f t="shared" si="165"/>
        <v>1</v>
      </c>
      <c r="T118" s="8">
        <f t="shared" si="166"/>
        <v>3.3784349581087554</v>
      </c>
      <c r="U118" s="96" t="str">
        <f t="shared" si="167"/>
        <v>3</v>
      </c>
      <c r="V118" s="8">
        <f t="shared" si="168"/>
        <v>4.5412194973050646</v>
      </c>
      <c r="W118" s="96" t="str">
        <f t="shared" si="169"/>
        <v>4</v>
      </c>
      <c r="X118" s="8">
        <f t="shared" si="170"/>
        <v>6.4946339676607749</v>
      </c>
      <c r="Y118" s="96" t="str">
        <f t="shared" si="171"/>
        <v>6</v>
      </c>
      <c r="Z118" s="8">
        <f t="shared" si="172"/>
        <v>5.9356076119292993</v>
      </c>
      <c r="AA118" s="96" t="str">
        <f t="shared" si="173"/>
        <v>5</v>
      </c>
      <c r="AB118" s="8">
        <f t="shared" si="174"/>
        <v>11.227291343151592</v>
      </c>
      <c r="AC118" s="96" t="str">
        <f t="shared" si="175"/>
        <v>E</v>
      </c>
      <c r="AD118" s="8">
        <f t="shared" si="176"/>
        <v>2.7274961178191006</v>
      </c>
      <c r="AE118" s="96" t="str">
        <f t="shared" si="177"/>
        <v>3</v>
      </c>
      <c r="AF118" s="8">
        <f t="shared" si="178"/>
        <v>8.7299534138292074</v>
      </c>
      <c r="AG118" s="96" t="str">
        <f t="shared" si="179"/>
        <v/>
      </c>
      <c r="AH118" s="8">
        <f t="shared" si="180"/>
        <v>8.759440965950489</v>
      </c>
      <c r="AI118" s="96" t="str">
        <f t="shared" si="181"/>
        <v/>
      </c>
      <c r="AJ118" s="8">
        <f t="shared" si="182"/>
        <v>9.1132915914058685</v>
      </c>
      <c r="AK118" s="96" t="str">
        <f t="shared" si="183"/>
        <v/>
      </c>
      <c r="AL118" s="238">
        <f>5*12+1+5/12</f>
        <v>61.416666666666664</v>
      </c>
      <c r="AM118" s="238">
        <f t="shared" ref="AM118:AM120" si="186">-AL118*F$6*20736+D118</f>
        <v>-77.71461527860788</v>
      </c>
    </row>
    <row r="119" spans="2:39" x14ac:dyDescent="0.25">
      <c r="B119" s="126" t="s">
        <v>656</v>
      </c>
      <c r="C119" s="9" t="s">
        <v>657</v>
      </c>
      <c r="D119" s="198">
        <v>8.8999999999999995E-5</v>
      </c>
      <c r="E119" s="8">
        <v>9</v>
      </c>
      <c r="F119" s="127">
        <f t="shared" si="158"/>
        <v>51.675636559266835</v>
      </c>
      <c r="G119" s="37" t="str">
        <f t="shared" si="184"/>
        <v>4;38135EEE6</v>
      </c>
      <c r="H119" s="37"/>
      <c r="I119" s="285"/>
      <c r="J119" s="38">
        <v>1</v>
      </c>
      <c r="K119" s="128">
        <f t="shared" si="185"/>
        <v>4.3063030466055796</v>
      </c>
      <c r="L119" s="39" t="str">
        <f>INDEX(powers!$H$2:$H$75,33+J119)</f>
        <v>dozen</v>
      </c>
      <c r="M119" s="97" t="str">
        <f t="shared" si="159"/>
        <v>4</v>
      </c>
      <c r="N119" s="8">
        <f t="shared" si="160"/>
        <v>3.6756365592669553</v>
      </c>
      <c r="O119" s="96" t="str">
        <f t="shared" si="161"/>
        <v>3</v>
      </c>
      <c r="P119" s="8">
        <f t="shared" si="162"/>
        <v>8.1076387112034638</v>
      </c>
      <c r="Q119" s="96" t="str">
        <f t="shared" si="163"/>
        <v>8</v>
      </c>
      <c r="R119" s="8">
        <f t="shared" si="164"/>
        <v>1.2916645344415656</v>
      </c>
      <c r="S119" s="96" t="str">
        <f t="shared" si="165"/>
        <v>1</v>
      </c>
      <c r="T119" s="8">
        <f t="shared" si="166"/>
        <v>3.4999744132987871</v>
      </c>
      <c r="U119" s="96" t="str">
        <f t="shared" si="167"/>
        <v>3</v>
      </c>
      <c r="V119" s="8">
        <f t="shared" si="168"/>
        <v>5.9996929595854454</v>
      </c>
      <c r="W119" s="96" t="str">
        <f t="shared" si="169"/>
        <v>5</v>
      </c>
      <c r="X119" s="8">
        <f t="shared" si="170"/>
        <v>11.996315515025344</v>
      </c>
      <c r="Y119" s="96" t="str">
        <f t="shared" si="171"/>
        <v>E</v>
      </c>
      <c r="Z119" s="8">
        <f t="shared" si="172"/>
        <v>11.955786180304131</v>
      </c>
      <c r="AA119" s="96" t="str">
        <f t="shared" si="173"/>
        <v>E</v>
      </c>
      <c r="AB119" s="8">
        <f t="shared" si="174"/>
        <v>11.469434163649566</v>
      </c>
      <c r="AC119" s="96" t="str">
        <f t="shared" si="175"/>
        <v>E</v>
      </c>
      <c r="AD119" s="8">
        <f t="shared" si="176"/>
        <v>5.6332099637947977</v>
      </c>
      <c r="AE119" s="96" t="str">
        <f t="shared" si="177"/>
        <v>6</v>
      </c>
      <c r="AF119" s="8">
        <f t="shared" si="178"/>
        <v>7.5985195655375719</v>
      </c>
      <c r="AG119" s="96" t="str">
        <f t="shared" si="179"/>
        <v/>
      </c>
      <c r="AH119" s="8">
        <f t="shared" si="180"/>
        <v>7.1822347864508629</v>
      </c>
      <c r="AI119" s="96" t="str">
        <f t="shared" si="181"/>
        <v/>
      </c>
      <c r="AJ119" s="8">
        <f t="shared" si="182"/>
        <v>2.1868174374103546</v>
      </c>
      <c r="AK119" s="96" t="str">
        <f t="shared" si="183"/>
        <v/>
      </c>
      <c r="AL119" s="238">
        <f>5*12+1+5/12</f>
        <v>61.416666666666664</v>
      </c>
      <c r="AM119" s="238">
        <f t="shared" si="186"/>
        <v>-77.714526278607877</v>
      </c>
    </row>
    <row r="120" spans="2:39" x14ac:dyDescent="0.25">
      <c r="B120" s="126" t="s">
        <v>648</v>
      </c>
      <c r="C120" s="9" t="s">
        <v>642</v>
      </c>
      <c r="D120" s="198">
        <v>0.01</v>
      </c>
      <c r="E120" s="8">
        <v>9</v>
      </c>
      <c r="F120" s="127">
        <f t="shared" si="158"/>
        <v>51.683469070322204</v>
      </c>
      <c r="G120" s="37" t="str">
        <f t="shared" si="184"/>
        <v>4;382504E86</v>
      </c>
      <c r="H120" s="37"/>
      <c r="I120" s="285"/>
      <c r="J120" s="38">
        <v>1</v>
      </c>
      <c r="K120" s="128">
        <f t="shared" si="185"/>
        <v>4.3069557558601934</v>
      </c>
      <c r="L120" s="39" t="str">
        <f>INDEX(powers!$H$2:$H$75,33+J120)</f>
        <v>dozen</v>
      </c>
      <c r="M120" s="97" t="str">
        <f t="shared" si="159"/>
        <v>4</v>
      </c>
      <c r="N120" s="8">
        <f t="shared" si="160"/>
        <v>3.683469070322321</v>
      </c>
      <c r="O120" s="96" t="str">
        <f t="shared" si="161"/>
        <v>3</v>
      </c>
      <c r="P120" s="8">
        <f t="shared" si="162"/>
        <v>8.2016288438678515</v>
      </c>
      <c r="Q120" s="96" t="str">
        <f t="shared" si="163"/>
        <v>8</v>
      </c>
      <c r="R120" s="8">
        <f t="shared" si="164"/>
        <v>2.4195461264142182</v>
      </c>
      <c r="S120" s="96" t="str">
        <f t="shared" si="165"/>
        <v>2</v>
      </c>
      <c r="T120" s="8">
        <f t="shared" si="166"/>
        <v>5.0345535169706181</v>
      </c>
      <c r="U120" s="96" t="str">
        <f t="shared" si="167"/>
        <v>5</v>
      </c>
      <c r="V120" s="8">
        <f t="shared" si="168"/>
        <v>0.41464220364741777</v>
      </c>
      <c r="W120" s="96" t="str">
        <f t="shared" si="169"/>
        <v>0</v>
      </c>
      <c r="X120" s="8">
        <f t="shared" si="170"/>
        <v>4.9757064437690133</v>
      </c>
      <c r="Y120" s="96" t="str">
        <f t="shared" si="171"/>
        <v>4</v>
      </c>
      <c r="Z120" s="8">
        <f t="shared" si="172"/>
        <v>11.708477325228159</v>
      </c>
      <c r="AA120" s="96" t="str">
        <f t="shared" si="173"/>
        <v>E</v>
      </c>
      <c r="AB120" s="8">
        <f t="shared" si="174"/>
        <v>8.5017279027379118</v>
      </c>
      <c r="AC120" s="96" t="str">
        <f t="shared" si="175"/>
        <v>8</v>
      </c>
      <c r="AD120" s="8">
        <f t="shared" si="176"/>
        <v>6.0207348328549415</v>
      </c>
      <c r="AE120" s="96" t="str">
        <f t="shared" si="177"/>
        <v>6</v>
      </c>
      <c r="AF120" s="8">
        <f t="shared" si="178"/>
        <v>0.24881799425929785</v>
      </c>
      <c r="AG120" s="96" t="str">
        <f t="shared" si="179"/>
        <v/>
      </c>
      <c r="AH120" s="8">
        <f t="shared" si="180"/>
        <v>2.9858159311115742</v>
      </c>
      <c r="AI120" s="96" t="str">
        <f t="shared" si="181"/>
        <v/>
      </c>
      <c r="AJ120" s="8">
        <f t="shared" si="182"/>
        <v>11.82979117333889</v>
      </c>
      <c r="AK120" s="96" t="str">
        <f t="shared" si="183"/>
        <v/>
      </c>
      <c r="AL120" s="238">
        <f>5*12+1+5/12</f>
        <v>61.416666666666664</v>
      </c>
      <c r="AM120" s="238">
        <f t="shared" si="186"/>
        <v>-77.704615278607875</v>
      </c>
    </row>
    <row r="121" spans="2:39" x14ac:dyDescent="0.25">
      <c r="B121" s="126" t="s">
        <v>650</v>
      </c>
      <c r="C121" s="9" t="s">
        <v>633</v>
      </c>
      <c r="D121" s="198">
        <v>3.98</v>
      </c>
      <c r="E121" s="8">
        <v>9</v>
      </c>
      <c r="F121" s="127">
        <f t="shared" si="158"/>
        <v>54.82089908644663</v>
      </c>
      <c r="G121" s="37" t="str">
        <f t="shared" si="184"/>
        <v>4;69X261E65</v>
      </c>
      <c r="H121" s="37"/>
      <c r="I121" s="285"/>
      <c r="J121" s="38">
        <v>1</v>
      </c>
      <c r="K121" s="128">
        <f t="shared" si="185"/>
        <v>4.5684082572038953</v>
      </c>
      <c r="L121" s="39" t="str">
        <f>INDEX(powers!$H$2:$H$75,33+J121)</f>
        <v>dozen</v>
      </c>
      <c r="M121" s="97" t="str">
        <f t="shared" si="159"/>
        <v>4</v>
      </c>
      <c r="N121" s="8">
        <f t="shared" si="160"/>
        <v>6.8208990864467438</v>
      </c>
      <c r="O121" s="96" t="str">
        <f t="shared" si="161"/>
        <v>6</v>
      </c>
      <c r="P121" s="8">
        <f t="shared" si="162"/>
        <v>9.8507890373609257</v>
      </c>
      <c r="Q121" s="96" t="str">
        <f t="shared" si="163"/>
        <v>9</v>
      </c>
      <c r="R121" s="8">
        <f t="shared" si="164"/>
        <v>10.209468448331108</v>
      </c>
      <c r="S121" s="96" t="str">
        <f t="shared" si="165"/>
        <v>X</v>
      </c>
      <c r="T121" s="8">
        <f t="shared" si="166"/>
        <v>2.5136213799733014</v>
      </c>
      <c r="U121" s="96" t="str">
        <f t="shared" si="167"/>
        <v>2</v>
      </c>
      <c r="V121" s="8">
        <f t="shared" si="168"/>
        <v>6.1634565596796165</v>
      </c>
      <c r="W121" s="96" t="str">
        <f t="shared" si="169"/>
        <v>6</v>
      </c>
      <c r="X121" s="8">
        <f t="shared" si="170"/>
        <v>1.9614787161553977</v>
      </c>
      <c r="Y121" s="96" t="str">
        <f t="shared" si="171"/>
        <v>1</v>
      </c>
      <c r="Z121" s="8">
        <f t="shared" si="172"/>
        <v>11.537744593864772</v>
      </c>
      <c r="AA121" s="96" t="str">
        <f t="shared" si="173"/>
        <v>E</v>
      </c>
      <c r="AB121" s="8">
        <f t="shared" si="174"/>
        <v>6.4529351263772696</v>
      </c>
      <c r="AC121" s="96" t="str">
        <f t="shared" si="175"/>
        <v>6</v>
      </c>
      <c r="AD121" s="8">
        <f t="shared" si="176"/>
        <v>5.4352215165272355</v>
      </c>
      <c r="AE121" s="96" t="str">
        <f t="shared" si="177"/>
        <v>5</v>
      </c>
      <c r="AF121" s="8">
        <f t="shared" si="178"/>
        <v>5.2226581983268261</v>
      </c>
      <c r="AG121" s="96" t="str">
        <f t="shared" si="179"/>
        <v/>
      </c>
      <c r="AH121" s="8">
        <f t="shared" si="180"/>
        <v>2.6718983799219131</v>
      </c>
      <c r="AI121" s="96" t="str">
        <f t="shared" si="181"/>
        <v/>
      </c>
      <c r="AJ121" s="8">
        <f t="shared" si="182"/>
        <v>8.0627805590629578</v>
      </c>
      <c r="AK121" s="96" t="str">
        <f t="shared" si="183"/>
        <v/>
      </c>
    </row>
    <row r="122" spans="2:39" x14ac:dyDescent="0.25">
      <c r="B122" s="126"/>
      <c r="C122" s="9" t="s">
        <v>634</v>
      </c>
      <c r="D122" s="198">
        <v>14</v>
      </c>
      <c r="E122" s="8">
        <v>9</v>
      </c>
      <c r="F122" s="127">
        <f t="shared" si="158"/>
        <v>62.739551167445825</v>
      </c>
      <c r="G122" s="37" t="str">
        <f t="shared" si="184"/>
        <v>5;28X5E3EE5</v>
      </c>
      <c r="H122" s="37"/>
      <c r="I122" s="285"/>
      <c r="J122" s="38">
        <v>1</v>
      </c>
      <c r="K122" s="128">
        <f t="shared" si="185"/>
        <v>5.2282959306204955</v>
      </c>
      <c r="L122" s="39" t="str">
        <f>INDEX(powers!$H$2:$H$75,33+J122)</f>
        <v>dozen</v>
      </c>
      <c r="M122" s="97" t="str">
        <f t="shared" si="159"/>
        <v>5</v>
      </c>
      <c r="N122" s="8">
        <f t="shared" si="160"/>
        <v>2.7395511674459456</v>
      </c>
      <c r="O122" s="96" t="str">
        <f t="shared" si="161"/>
        <v>2</v>
      </c>
      <c r="P122" s="8">
        <f t="shared" si="162"/>
        <v>8.8746140093513475</v>
      </c>
      <c r="Q122" s="96" t="str">
        <f t="shared" si="163"/>
        <v>8</v>
      </c>
      <c r="R122" s="8">
        <f t="shared" si="164"/>
        <v>10.49536811221617</v>
      </c>
      <c r="S122" s="96" t="str">
        <f t="shared" si="165"/>
        <v>X</v>
      </c>
      <c r="T122" s="8">
        <f t="shared" si="166"/>
        <v>5.9444173465940366</v>
      </c>
      <c r="U122" s="96" t="str">
        <f t="shared" si="167"/>
        <v>5</v>
      </c>
      <c r="V122" s="8">
        <f t="shared" si="168"/>
        <v>11.33300815912844</v>
      </c>
      <c r="W122" s="96" t="str">
        <f t="shared" si="169"/>
        <v>E</v>
      </c>
      <c r="X122" s="8">
        <f t="shared" si="170"/>
        <v>3.9960979095412767</v>
      </c>
      <c r="Y122" s="96" t="str">
        <f t="shared" si="171"/>
        <v>3</v>
      </c>
      <c r="Z122" s="8">
        <f t="shared" si="172"/>
        <v>11.953174914495321</v>
      </c>
      <c r="AA122" s="96" t="str">
        <f t="shared" si="173"/>
        <v>E</v>
      </c>
      <c r="AB122" s="8">
        <f t="shared" si="174"/>
        <v>11.438098973943852</v>
      </c>
      <c r="AC122" s="96" t="str">
        <f t="shared" si="175"/>
        <v>E</v>
      </c>
      <c r="AD122" s="8">
        <f t="shared" si="176"/>
        <v>5.2571876873262227</v>
      </c>
      <c r="AE122" s="96" t="str">
        <f t="shared" si="177"/>
        <v>5</v>
      </c>
      <c r="AF122" s="8">
        <f t="shared" si="178"/>
        <v>3.0862522479146719</v>
      </c>
      <c r="AG122" s="96" t="str">
        <f t="shared" si="179"/>
        <v/>
      </c>
      <c r="AH122" s="8">
        <f t="shared" si="180"/>
        <v>1.0350269749760628</v>
      </c>
      <c r="AI122" s="96" t="str">
        <f t="shared" si="181"/>
        <v/>
      </c>
      <c r="AJ122" s="8">
        <f t="shared" si="182"/>
        <v>0.4203236997127533</v>
      </c>
      <c r="AK122" s="96" t="str">
        <f t="shared" si="183"/>
        <v/>
      </c>
    </row>
    <row r="123" spans="2:39" x14ac:dyDescent="0.25">
      <c r="B123" s="126"/>
      <c r="C123" s="9" t="s">
        <v>654</v>
      </c>
      <c r="D123" s="198">
        <v>15</v>
      </c>
      <c r="E123" s="8">
        <v>9</v>
      </c>
      <c r="F123" s="127">
        <f t="shared" si="158"/>
        <v>63.529835806268103</v>
      </c>
      <c r="G123" s="37" t="str">
        <f t="shared" si="184"/>
        <v>5;36436812E</v>
      </c>
      <c r="H123" s="37"/>
      <c r="I123" s="285"/>
      <c r="J123" s="38">
        <v>1</v>
      </c>
      <c r="K123" s="128">
        <f t="shared" si="185"/>
        <v>5.2941529838556853</v>
      </c>
      <c r="L123" s="39" t="str">
        <f>INDEX(powers!$H$2:$H$75,33+J123)</f>
        <v>dozen</v>
      </c>
      <c r="M123" s="97" t="str">
        <f t="shared" si="159"/>
        <v>5</v>
      </c>
      <c r="N123" s="8">
        <f t="shared" si="160"/>
        <v>3.529835806268224</v>
      </c>
      <c r="O123" s="96" t="str">
        <f t="shared" si="161"/>
        <v>3</v>
      </c>
      <c r="P123" s="8">
        <f t="shared" si="162"/>
        <v>6.3580296752186882</v>
      </c>
      <c r="Q123" s="96" t="str">
        <f t="shared" si="163"/>
        <v>6</v>
      </c>
      <c r="R123" s="8">
        <f t="shared" si="164"/>
        <v>4.2963561026242587</v>
      </c>
      <c r="S123" s="96" t="str">
        <f t="shared" si="165"/>
        <v>4</v>
      </c>
      <c r="T123" s="8">
        <f t="shared" si="166"/>
        <v>3.5562732314911045</v>
      </c>
      <c r="U123" s="96" t="str">
        <f t="shared" si="167"/>
        <v>3</v>
      </c>
      <c r="V123" s="8">
        <f t="shared" si="168"/>
        <v>6.6752787778932543</v>
      </c>
      <c r="W123" s="96" t="str">
        <f t="shared" si="169"/>
        <v>6</v>
      </c>
      <c r="X123" s="8">
        <f t="shared" si="170"/>
        <v>8.1033453347190516</v>
      </c>
      <c r="Y123" s="96" t="str">
        <f t="shared" si="171"/>
        <v>8</v>
      </c>
      <c r="Z123" s="8">
        <f t="shared" si="172"/>
        <v>1.2401440166286193</v>
      </c>
      <c r="AA123" s="96" t="str">
        <f t="shared" si="173"/>
        <v>1</v>
      </c>
      <c r="AB123" s="8">
        <f t="shared" si="174"/>
        <v>2.8817281995434314</v>
      </c>
      <c r="AC123" s="96" t="str">
        <f t="shared" si="175"/>
        <v>2</v>
      </c>
      <c r="AD123" s="8">
        <f t="shared" si="176"/>
        <v>10.580738394521177</v>
      </c>
      <c r="AE123" s="96" t="str">
        <f t="shared" si="177"/>
        <v>E</v>
      </c>
      <c r="AF123" s="8">
        <f t="shared" si="178"/>
        <v>6.9688607342541218</v>
      </c>
      <c r="AG123" s="96" t="str">
        <f t="shared" si="179"/>
        <v/>
      </c>
      <c r="AH123" s="8">
        <f t="shared" si="180"/>
        <v>11.626328811049461</v>
      </c>
      <c r="AI123" s="96" t="str">
        <f t="shared" si="181"/>
        <v/>
      </c>
      <c r="AJ123" s="8">
        <f t="shared" si="182"/>
        <v>7.5159457325935364</v>
      </c>
      <c r="AK123" s="96" t="str">
        <f t="shared" si="183"/>
        <v/>
      </c>
      <c r="AL123" s="238">
        <f>6*12+1+9/12+8/144+3/1728</f>
        <v>73.807291666666671</v>
      </c>
      <c r="AM123" s="238">
        <f t="shared" ref="AM123" si="187">-AL123*F$6*20736+D123</f>
        <v>-78.393301654778867</v>
      </c>
    </row>
    <row r="124" spans="2:39" x14ac:dyDescent="0.25">
      <c r="B124" s="126"/>
      <c r="C124" s="9" t="s">
        <v>635</v>
      </c>
      <c r="D124" s="198">
        <v>20</v>
      </c>
      <c r="E124" s="8">
        <v>9</v>
      </c>
      <c r="F124" s="127">
        <f t="shared" si="158"/>
        <v>67.481259000379481</v>
      </c>
      <c r="G124" s="37" t="str">
        <f t="shared" si="184"/>
        <v>5;759374781</v>
      </c>
      <c r="H124" s="37"/>
      <c r="I124" s="285"/>
      <c r="J124" s="38">
        <v>1</v>
      </c>
      <c r="K124" s="128">
        <f t="shared" si="185"/>
        <v>5.6234382500316329</v>
      </c>
      <c r="L124" s="39" t="str">
        <f>INDEX(powers!$H$2:$H$75,33+J124)</f>
        <v>dozen</v>
      </c>
      <c r="M124" s="97" t="str">
        <f t="shared" si="159"/>
        <v>5</v>
      </c>
      <c r="N124" s="8">
        <f t="shared" si="160"/>
        <v>7.4812590003795947</v>
      </c>
      <c r="O124" s="96" t="str">
        <f t="shared" si="161"/>
        <v>7</v>
      </c>
      <c r="P124" s="8">
        <f t="shared" si="162"/>
        <v>5.7751080045551362</v>
      </c>
      <c r="Q124" s="96" t="str">
        <f t="shared" si="163"/>
        <v>5</v>
      </c>
      <c r="R124" s="8">
        <f t="shared" si="164"/>
        <v>9.3012960546616341</v>
      </c>
      <c r="S124" s="96" t="str">
        <f t="shared" si="165"/>
        <v>9</v>
      </c>
      <c r="T124" s="8">
        <f t="shared" si="166"/>
        <v>3.6155526559396094</v>
      </c>
      <c r="U124" s="96" t="str">
        <f t="shared" si="167"/>
        <v>3</v>
      </c>
      <c r="V124" s="8">
        <f t="shared" si="168"/>
        <v>7.3866318712753127</v>
      </c>
      <c r="W124" s="96" t="str">
        <f t="shared" si="169"/>
        <v>7</v>
      </c>
      <c r="X124" s="8">
        <f t="shared" si="170"/>
        <v>4.6395824553037528</v>
      </c>
      <c r="Y124" s="96" t="str">
        <f t="shared" si="171"/>
        <v>4</v>
      </c>
      <c r="Z124" s="8">
        <f t="shared" si="172"/>
        <v>7.6749894636450335</v>
      </c>
      <c r="AA124" s="96" t="str">
        <f t="shared" si="173"/>
        <v>7</v>
      </c>
      <c r="AB124" s="8">
        <f t="shared" si="174"/>
        <v>8.0998735637404025</v>
      </c>
      <c r="AC124" s="96" t="str">
        <f t="shared" si="175"/>
        <v>8</v>
      </c>
      <c r="AD124" s="8">
        <f t="shared" si="176"/>
        <v>1.1984827648848295</v>
      </c>
      <c r="AE124" s="96" t="str">
        <f t="shared" si="177"/>
        <v>1</v>
      </c>
      <c r="AF124" s="8">
        <f t="shared" si="178"/>
        <v>2.3817931786179543</v>
      </c>
      <c r="AG124" s="96" t="str">
        <f t="shared" si="179"/>
        <v/>
      </c>
      <c r="AH124" s="8">
        <f t="shared" si="180"/>
        <v>4.581518143415451</v>
      </c>
      <c r="AI124" s="96" t="str">
        <f t="shared" si="181"/>
        <v/>
      </c>
      <c r="AJ124" s="8">
        <f t="shared" si="182"/>
        <v>6.9782177209854126</v>
      </c>
      <c r="AK124" s="96" t="str">
        <f t="shared" si="183"/>
        <v/>
      </c>
    </row>
    <row r="125" spans="2:39" x14ac:dyDescent="0.25">
      <c r="B125" s="126"/>
      <c r="C125" s="9" t="s">
        <v>655</v>
      </c>
      <c r="D125" s="198">
        <v>25.5</v>
      </c>
      <c r="E125" s="8">
        <v>9</v>
      </c>
      <c r="F125" s="127">
        <f t="shared" si="158"/>
        <v>71.827824513901987</v>
      </c>
      <c r="G125" s="37" t="str">
        <f t="shared" si="184"/>
        <v>5;E9E259290</v>
      </c>
      <c r="H125" s="37"/>
      <c r="I125" s="285"/>
      <c r="J125" s="38">
        <v>1</v>
      </c>
      <c r="K125" s="128">
        <f t="shared" si="185"/>
        <v>5.9856520428251754</v>
      </c>
      <c r="L125" s="39" t="str">
        <f>INDEX(powers!$H$2:$H$75,33+J125)</f>
        <v>dozen</v>
      </c>
      <c r="M125" s="97" t="str">
        <f t="shared" si="159"/>
        <v>5</v>
      </c>
      <c r="N125" s="8">
        <f t="shared" si="160"/>
        <v>11.827824513902105</v>
      </c>
      <c r="O125" s="96" t="str">
        <f t="shared" si="161"/>
        <v>E</v>
      </c>
      <c r="P125" s="8">
        <f t="shared" si="162"/>
        <v>9.9338941668252545</v>
      </c>
      <c r="Q125" s="96" t="str">
        <f t="shared" si="163"/>
        <v>9</v>
      </c>
      <c r="R125" s="8">
        <f t="shared" si="164"/>
        <v>11.206730001903054</v>
      </c>
      <c r="S125" s="96" t="str">
        <f t="shared" si="165"/>
        <v>E</v>
      </c>
      <c r="T125" s="8">
        <f t="shared" si="166"/>
        <v>2.4807600228366482</v>
      </c>
      <c r="U125" s="96" t="str">
        <f t="shared" si="167"/>
        <v>2</v>
      </c>
      <c r="V125" s="8">
        <f t="shared" si="168"/>
        <v>5.7691202740397785</v>
      </c>
      <c r="W125" s="96" t="str">
        <f t="shared" si="169"/>
        <v>5</v>
      </c>
      <c r="X125" s="8">
        <f t="shared" si="170"/>
        <v>9.2294432884773414</v>
      </c>
      <c r="Y125" s="96" t="str">
        <f t="shared" si="171"/>
        <v>9</v>
      </c>
      <c r="Z125" s="8">
        <f t="shared" si="172"/>
        <v>2.7533194617280969</v>
      </c>
      <c r="AA125" s="96" t="str">
        <f t="shared" si="173"/>
        <v>2</v>
      </c>
      <c r="AB125" s="8">
        <f t="shared" si="174"/>
        <v>9.0398335407371633</v>
      </c>
      <c r="AC125" s="96" t="str">
        <f t="shared" si="175"/>
        <v>9</v>
      </c>
      <c r="AD125" s="8">
        <f t="shared" si="176"/>
        <v>0.47800248884595931</v>
      </c>
      <c r="AE125" s="96" t="str">
        <f t="shared" si="177"/>
        <v>0</v>
      </c>
      <c r="AF125" s="8">
        <f t="shared" si="178"/>
        <v>5.7360298661515117</v>
      </c>
      <c r="AG125" s="96" t="str">
        <f t="shared" si="179"/>
        <v/>
      </c>
      <c r="AH125" s="8">
        <f t="shared" si="180"/>
        <v>8.83235839381814</v>
      </c>
      <c r="AI125" s="96" t="str">
        <f t="shared" si="181"/>
        <v/>
      </c>
      <c r="AJ125" s="8">
        <f t="shared" si="182"/>
        <v>9.9883007258176804</v>
      </c>
      <c r="AK125" s="96" t="str">
        <f t="shared" si="183"/>
        <v/>
      </c>
      <c r="AL125" s="238">
        <f>6*12+10+6/12</f>
        <v>82.5</v>
      </c>
      <c r="AM125" s="238">
        <f t="shared" ref="AM125" si="188">-AL125*F$6*20736+D125</f>
        <v>-78.892766792159833</v>
      </c>
    </row>
    <row r="126" spans="2:39" x14ac:dyDescent="0.25">
      <c r="B126" s="91"/>
      <c r="C126" s="9" t="s">
        <v>636</v>
      </c>
      <c r="D126" s="198">
        <v>37</v>
      </c>
      <c r="E126" s="8">
        <v>9</v>
      </c>
      <c r="F126" s="127">
        <f t="shared" si="158"/>
        <v>80.91609786035815</v>
      </c>
      <c r="G126" s="37" t="str">
        <f t="shared" si="184"/>
        <v>6;8XEE02568</v>
      </c>
      <c r="H126" s="37"/>
      <c r="I126" s="285"/>
      <c r="J126" s="38">
        <v>1</v>
      </c>
      <c r="K126" s="128">
        <f t="shared" si="185"/>
        <v>6.7430081550298553</v>
      </c>
      <c r="L126" s="39" t="str">
        <f>INDEX(powers!$H$2:$H$75,33+J126)</f>
        <v>dozen</v>
      </c>
      <c r="M126" s="97" t="str">
        <f t="shared" si="159"/>
        <v>6</v>
      </c>
      <c r="N126" s="8">
        <f t="shared" si="160"/>
        <v>8.9160978603582635</v>
      </c>
      <c r="O126" s="96" t="str">
        <f t="shared" si="161"/>
        <v>8</v>
      </c>
      <c r="P126" s="8">
        <f t="shared" si="162"/>
        <v>10.993174324299162</v>
      </c>
      <c r="Q126" s="96" t="str">
        <f t="shared" si="163"/>
        <v>X</v>
      </c>
      <c r="R126" s="8">
        <f t="shared" si="164"/>
        <v>11.918091891589938</v>
      </c>
      <c r="S126" s="96" t="str">
        <f t="shared" si="165"/>
        <v>E</v>
      </c>
      <c r="T126" s="8">
        <f t="shared" si="166"/>
        <v>11.01710269907926</v>
      </c>
      <c r="U126" s="96" t="str">
        <f t="shared" si="167"/>
        <v>E</v>
      </c>
      <c r="V126" s="8">
        <f t="shared" si="168"/>
        <v>0.20523238895111717</v>
      </c>
      <c r="W126" s="96" t="str">
        <f t="shared" si="169"/>
        <v>0</v>
      </c>
      <c r="X126" s="8">
        <f t="shared" si="170"/>
        <v>2.4627886674134061</v>
      </c>
      <c r="Y126" s="96" t="str">
        <f t="shared" si="171"/>
        <v>2</v>
      </c>
      <c r="Z126" s="8">
        <f t="shared" si="172"/>
        <v>5.5534640089608729</v>
      </c>
      <c r="AA126" s="96" t="str">
        <f t="shared" si="173"/>
        <v>5</v>
      </c>
      <c r="AB126" s="8">
        <f t="shared" si="174"/>
        <v>6.6415681075304747</v>
      </c>
      <c r="AC126" s="96" t="str">
        <f t="shared" si="175"/>
        <v>6</v>
      </c>
      <c r="AD126" s="8">
        <f t="shared" si="176"/>
        <v>7.698817290365696</v>
      </c>
      <c r="AE126" s="96" t="str">
        <f t="shared" si="177"/>
        <v>8</v>
      </c>
      <c r="AF126" s="8">
        <f t="shared" si="178"/>
        <v>8.3858074843883514</v>
      </c>
      <c r="AG126" s="96" t="str">
        <f t="shared" si="179"/>
        <v/>
      </c>
      <c r="AH126" s="8">
        <f t="shared" si="180"/>
        <v>4.6296898126602173</v>
      </c>
      <c r="AI126" s="96" t="str">
        <f t="shared" si="181"/>
        <v/>
      </c>
      <c r="AJ126" s="8">
        <f t="shared" si="182"/>
        <v>7.5562777519226074</v>
      </c>
      <c r="AK126" s="96" t="str">
        <f t="shared" si="183"/>
        <v/>
      </c>
    </row>
    <row r="127" spans="2:39" x14ac:dyDescent="0.25">
      <c r="B127" s="126"/>
      <c r="C127" s="9" t="s">
        <v>637</v>
      </c>
      <c r="D127" s="198">
        <v>37.799999999999997</v>
      </c>
      <c r="E127" s="8">
        <v>9</v>
      </c>
      <c r="F127" s="127">
        <f t="shared" si="158"/>
        <v>81.548325571415958</v>
      </c>
      <c r="G127" s="37" t="str">
        <f t="shared" si="184"/>
        <v>6;966E60E47</v>
      </c>
      <c r="H127" s="37"/>
      <c r="I127" s="285"/>
      <c r="J127" s="38">
        <v>1</v>
      </c>
      <c r="K127" s="128">
        <f t="shared" si="185"/>
        <v>6.7956937976180063</v>
      </c>
      <c r="L127" s="39" t="str">
        <f>INDEX(powers!$H$2:$H$75,33+J127)</f>
        <v>dozen</v>
      </c>
      <c r="M127" s="97" t="str">
        <f t="shared" si="159"/>
        <v>6</v>
      </c>
      <c r="N127" s="8">
        <f t="shared" si="160"/>
        <v>9.5483255714160755</v>
      </c>
      <c r="O127" s="96" t="str">
        <f t="shared" si="161"/>
        <v>9</v>
      </c>
      <c r="P127" s="8">
        <f t="shared" si="162"/>
        <v>6.5799068569929062</v>
      </c>
      <c r="Q127" s="96" t="str">
        <f t="shared" si="163"/>
        <v>6</v>
      </c>
      <c r="R127" s="8">
        <f t="shared" si="164"/>
        <v>6.9588822839148747</v>
      </c>
      <c r="S127" s="96" t="str">
        <f t="shared" si="165"/>
        <v>6</v>
      </c>
      <c r="T127" s="8">
        <f t="shared" si="166"/>
        <v>11.506587406978497</v>
      </c>
      <c r="U127" s="96" t="str">
        <f t="shared" si="167"/>
        <v>E</v>
      </c>
      <c r="V127" s="8">
        <f t="shared" si="168"/>
        <v>6.0790488837419616</v>
      </c>
      <c r="W127" s="96" t="str">
        <f t="shared" si="169"/>
        <v>6</v>
      </c>
      <c r="X127" s="8">
        <f t="shared" si="170"/>
        <v>0.94858660490353941</v>
      </c>
      <c r="Y127" s="96" t="str">
        <f t="shared" si="171"/>
        <v>0</v>
      </c>
      <c r="Z127" s="8">
        <f t="shared" si="172"/>
        <v>11.383039258842473</v>
      </c>
      <c r="AA127" s="96" t="str">
        <f t="shared" si="173"/>
        <v>E</v>
      </c>
      <c r="AB127" s="8">
        <f t="shared" si="174"/>
        <v>4.596471106109675</v>
      </c>
      <c r="AC127" s="96" t="str">
        <f t="shared" si="175"/>
        <v>4</v>
      </c>
      <c r="AD127" s="8">
        <f t="shared" si="176"/>
        <v>7.1576532733161002</v>
      </c>
      <c r="AE127" s="96" t="str">
        <f t="shared" si="177"/>
        <v>7</v>
      </c>
      <c r="AF127" s="8">
        <f t="shared" si="178"/>
        <v>1.8918392797932029</v>
      </c>
      <c r="AG127" s="96" t="str">
        <f t="shared" si="179"/>
        <v/>
      </c>
      <c r="AH127" s="8">
        <f t="shared" si="180"/>
        <v>10.702071357518435</v>
      </c>
      <c r="AI127" s="96" t="str">
        <f t="shared" si="181"/>
        <v/>
      </c>
      <c r="AJ127" s="8">
        <f t="shared" si="182"/>
        <v>8.4248562902212143</v>
      </c>
      <c r="AK127" s="96" t="str">
        <f t="shared" si="183"/>
        <v/>
      </c>
    </row>
    <row r="128" spans="2:39" x14ac:dyDescent="0.25">
      <c r="B128" s="126" t="s">
        <v>649</v>
      </c>
      <c r="C128" s="9" t="s">
        <v>638</v>
      </c>
      <c r="D128" s="198">
        <v>58.8</v>
      </c>
      <c r="E128" s="8">
        <v>9</v>
      </c>
      <c r="F128" s="127">
        <f t="shared" si="158"/>
        <v>98.144302986683726</v>
      </c>
      <c r="G128" s="37" t="str">
        <f t="shared" si="184"/>
        <v>8;21894324E</v>
      </c>
      <c r="H128" s="37"/>
      <c r="I128" s="285"/>
      <c r="J128" s="38">
        <v>1</v>
      </c>
      <c r="K128" s="128">
        <f t="shared" si="185"/>
        <v>8.1786919155569873</v>
      </c>
      <c r="L128" s="39" t="str">
        <f>INDEX(powers!$H$2:$H$75,33+J128)</f>
        <v>dozen</v>
      </c>
      <c r="M128" s="97" t="str">
        <f t="shared" si="159"/>
        <v>8</v>
      </c>
      <c r="N128" s="8">
        <f t="shared" si="160"/>
        <v>2.1443029866838472</v>
      </c>
      <c r="O128" s="96" t="str">
        <f t="shared" si="161"/>
        <v>2</v>
      </c>
      <c r="P128" s="8">
        <f t="shared" si="162"/>
        <v>1.7316358402061667</v>
      </c>
      <c r="Q128" s="96" t="str">
        <f t="shared" si="163"/>
        <v>1</v>
      </c>
      <c r="R128" s="8">
        <f t="shared" si="164"/>
        <v>8.7796300824740001</v>
      </c>
      <c r="S128" s="96" t="str">
        <f t="shared" si="165"/>
        <v>8</v>
      </c>
      <c r="T128" s="8">
        <f t="shared" si="166"/>
        <v>9.3555609896880014</v>
      </c>
      <c r="U128" s="96" t="str">
        <f t="shared" si="167"/>
        <v>9</v>
      </c>
      <c r="V128" s="8">
        <f t="shared" si="168"/>
        <v>4.2667318762560171</v>
      </c>
      <c r="W128" s="96" t="str">
        <f t="shared" si="169"/>
        <v>4</v>
      </c>
      <c r="X128" s="8">
        <f t="shared" si="170"/>
        <v>3.2007825150722056</v>
      </c>
      <c r="Y128" s="96" t="str">
        <f t="shared" si="171"/>
        <v>3</v>
      </c>
      <c r="Z128" s="8">
        <f t="shared" si="172"/>
        <v>2.4093901808664668</v>
      </c>
      <c r="AA128" s="96" t="str">
        <f t="shared" si="173"/>
        <v>2</v>
      </c>
      <c r="AB128" s="8">
        <f t="shared" si="174"/>
        <v>4.912682170397602</v>
      </c>
      <c r="AC128" s="96" t="str">
        <f t="shared" si="175"/>
        <v>4</v>
      </c>
      <c r="AD128" s="8">
        <f t="shared" si="176"/>
        <v>10.952186044771224</v>
      </c>
      <c r="AE128" s="96" t="str">
        <f t="shared" si="177"/>
        <v>E</v>
      </c>
      <c r="AF128" s="8">
        <f t="shared" si="178"/>
        <v>11.426232537254691</v>
      </c>
      <c r="AG128" s="96" t="str">
        <f t="shared" si="179"/>
        <v/>
      </c>
      <c r="AH128" s="8">
        <f t="shared" si="180"/>
        <v>5.1147904470562935</v>
      </c>
      <c r="AI128" s="96" t="str">
        <f t="shared" si="181"/>
        <v/>
      </c>
      <c r="AJ128" s="8">
        <f t="shared" si="182"/>
        <v>1.3774853646755219</v>
      </c>
      <c r="AK128" s="96" t="str">
        <f t="shared" si="183"/>
        <v/>
      </c>
    </row>
    <row r="129" spans="2:39" x14ac:dyDescent="0.25">
      <c r="B129" s="126"/>
      <c r="C129" s="9" t="s">
        <v>639</v>
      </c>
      <c r="D129" s="198">
        <v>60</v>
      </c>
      <c r="E129" s="8">
        <v>9</v>
      </c>
      <c r="F129" s="127">
        <f t="shared" si="158"/>
        <v>99.092644553270461</v>
      </c>
      <c r="G129" s="37" t="str">
        <f t="shared" si="184"/>
        <v>8;311410E1X</v>
      </c>
      <c r="H129" s="37"/>
      <c r="I129" s="285"/>
      <c r="J129" s="38">
        <v>1</v>
      </c>
      <c r="K129" s="128">
        <f t="shared" si="185"/>
        <v>8.2577203794392151</v>
      </c>
      <c r="L129" s="39" t="str">
        <f>INDEX(powers!$H$2:$H$75,33+J129)</f>
        <v>dozen</v>
      </c>
      <c r="M129" s="97" t="str">
        <f t="shared" si="159"/>
        <v>8</v>
      </c>
      <c r="N129" s="8">
        <f t="shared" si="160"/>
        <v>3.0926445532705813</v>
      </c>
      <c r="O129" s="96" t="str">
        <f t="shared" si="161"/>
        <v>3</v>
      </c>
      <c r="P129" s="8">
        <f t="shared" si="162"/>
        <v>1.1117346392469756</v>
      </c>
      <c r="Q129" s="96" t="str">
        <f t="shared" si="163"/>
        <v>1</v>
      </c>
      <c r="R129" s="8">
        <f t="shared" si="164"/>
        <v>1.3408156709637069</v>
      </c>
      <c r="S129" s="96" t="str">
        <f t="shared" si="165"/>
        <v>1</v>
      </c>
      <c r="T129" s="8">
        <f t="shared" si="166"/>
        <v>4.0897880515644829</v>
      </c>
      <c r="U129" s="96" t="str">
        <f t="shared" si="167"/>
        <v>4</v>
      </c>
      <c r="V129" s="8">
        <f t="shared" si="168"/>
        <v>1.0774566187737946</v>
      </c>
      <c r="W129" s="96" t="str">
        <f t="shared" si="169"/>
        <v>1</v>
      </c>
      <c r="X129" s="8">
        <f t="shared" si="170"/>
        <v>0.9294794252855354</v>
      </c>
      <c r="Y129" s="96" t="str">
        <f t="shared" si="171"/>
        <v>0</v>
      </c>
      <c r="Z129" s="8">
        <f t="shared" si="172"/>
        <v>11.153753103426425</v>
      </c>
      <c r="AA129" s="96" t="str">
        <f t="shared" si="173"/>
        <v>E</v>
      </c>
      <c r="AB129" s="8">
        <f t="shared" si="174"/>
        <v>1.8450372411170974</v>
      </c>
      <c r="AC129" s="96" t="str">
        <f t="shared" si="175"/>
        <v>1</v>
      </c>
      <c r="AD129" s="8">
        <f t="shared" si="176"/>
        <v>10.140446893405169</v>
      </c>
      <c r="AE129" s="96" t="str">
        <f t="shared" si="177"/>
        <v>X</v>
      </c>
      <c r="AF129" s="8">
        <f t="shared" si="178"/>
        <v>1.685362720862031</v>
      </c>
      <c r="AG129" s="96" t="str">
        <f t="shared" si="179"/>
        <v/>
      </c>
      <c r="AH129" s="8">
        <f t="shared" si="180"/>
        <v>8.2243526503443718</v>
      </c>
      <c r="AI129" s="96" t="str">
        <f t="shared" si="181"/>
        <v/>
      </c>
      <c r="AJ129" s="8">
        <f t="shared" si="182"/>
        <v>2.6922318041324615</v>
      </c>
      <c r="AK129" s="96" t="str">
        <f t="shared" si="183"/>
        <v/>
      </c>
    </row>
    <row r="130" spans="2:39" x14ac:dyDescent="0.25">
      <c r="B130" s="126"/>
      <c r="C130" s="9" t="s">
        <v>640</v>
      </c>
      <c r="D130" s="198">
        <v>83</v>
      </c>
      <c r="E130" s="8">
        <v>9</v>
      </c>
      <c r="F130" s="127">
        <f t="shared" si="158"/>
        <v>117.26919124618279</v>
      </c>
      <c r="G130" s="37" t="str">
        <f t="shared" si="184"/>
        <v>9;93291E491</v>
      </c>
      <c r="H130" s="37"/>
      <c r="I130" s="285"/>
      <c r="J130" s="38">
        <v>1</v>
      </c>
      <c r="K130" s="128">
        <f t="shared" si="185"/>
        <v>9.7724326038485767</v>
      </c>
      <c r="L130" s="39" t="str">
        <f>INDEX(powers!$H$2:$H$75,33+J130)</f>
        <v>dozen</v>
      </c>
      <c r="M130" s="97" t="str">
        <f t="shared" si="159"/>
        <v>9</v>
      </c>
      <c r="N130" s="8">
        <f t="shared" si="160"/>
        <v>9.2691912461829205</v>
      </c>
      <c r="O130" s="96" t="str">
        <f t="shared" si="161"/>
        <v>9</v>
      </c>
      <c r="P130" s="8">
        <f t="shared" si="162"/>
        <v>3.2302949541950454</v>
      </c>
      <c r="Q130" s="96" t="str">
        <f t="shared" si="163"/>
        <v>3</v>
      </c>
      <c r="R130" s="8">
        <f t="shared" si="164"/>
        <v>2.763539450340545</v>
      </c>
      <c r="S130" s="96" t="str">
        <f t="shared" si="165"/>
        <v>2</v>
      </c>
      <c r="T130" s="8">
        <f t="shared" si="166"/>
        <v>9.1624734040865405</v>
      </c>
      <c r="U130" s="96" t="str">
        <f t="shared" si="167"/>
        <v>9</v>
      </c>
      <c r="V130" s="8">
        <f t="shared" si="168"/>
        <v>1.9496808490384865</v>
      </c>
      <c r="W130" s="96" t="str">
        <f t="shared" si="169"/>
        <v>1</v>
      </c>
      <c r="X130" s="8">
        <f t="shared" si="170"/>
        <v>11.396170188461838</v>
      </c>
      <c r="Y130" s="96" t="str">
        <f t="shared" si="171"/>
        <v>E</v>
      </c>
      <c r="Z130" s="8">
        <f t="shared" si="172"/>
        <v>4.7540422615420539</v>
      </c>
      <c r="AA130" s="96" t="str">
        <f t="shared" si="173"/>
        <v>4</v>
      </c>
      <c r="AB130" s="8">
        <f t="shared" si="174"/>
        <v>9.0485071385046467</v>
      </c>
      <c r="AC130" s="96" t="str">
        <f t="shared" si="175"/>
        <v>9</v>
      </c>
      <c r="AD130" s="8">
        <f t="shared" si="176"/>
        <v>0.58208566205576062</v>
      </c>
      <c r="AE130" s="96" t="str">
        <f t="shared" si="177"/>
        <v>1</v>
      </c>
      <c r="AF130" s="8">
        <f t="shared" si="178"/>
        <v>6.9850279446691275</v>
      </c>
      <c r="AG130" s="96" t="str">
        <f t="shared" si="179"/>
        <v/>
      </c>
      <c r="AH130" s="8">
        <f t="shared" si="180"/>
        <v>11.82033533602953</v>
      </c>
      <c r="AI130" s="96" t="str">
        <f t="shared" si="181"/>
        <v/>
      </c>
      <c r="AJ130" s="8">
        <f t="shared" si="182"/>
        <v>9.8440240323543549</v>
      </c>
      <c r="AK130" s="96" t="str">
        <f t="shared" si="183"/>
        <v/>
      </c>
    </row>
    <row r="131" spans="2:39" x14ac:dyDescent="0.25">
      <c r="B131" s="91" t="s">
        <v>652</v>
      </c>
      <c r="C131" s="9" t="s">
        <v>643</v>
      </c>
      <c r="D131" s="198">
        <v>99.974000000000004</v>
      </c>
      <c r="E131" s="8">
        <v>9</v>
      </c>
      <c r="F131" s="127">
        <f t="shared" si="158"/>
        <v>130.68348270555205</v>
      </c>
      <c r="G131" s="37" t="str">
        <f t="shared" si="184"/>
        <v>0;XX8250845</v>
      </c>
      <c r="H131" s="37"/>
      <c r="I131" s="285"/>
      <c r="J131" s="38">
        <v>2</v>
      </c>
      <c r="K131" s="128">
        <f t="shared" si="185"/>
        <v>0.90752418545523261</v>
      </c>
      <c r="L131" s="39" t="str">
        <f>INDEX(powers!$H$2:$H$75,33+J131)</f>
        <v>gross</v>
      </c>
      <c r="M131" s="97" t="str">
        <f t="shared" si="159"/>
        <v>0</v>
      </c>
      <c r="N131" s="8">
        <f t="shared" si="160"/>
        <v>10.890290225462792</v>
      </c>
      <c r="O131" s="96" t="str">
        <f t="shared" si="161"/>
        <v>X</v>
      </c>
      <c r="P131" s="8">
        <f t="shared" si="162"/>
        <v>10.683482705553502</v>
      </c>
      <c r="Q131" s="96" t="str">
        <f t="shared" si="163"/>
        <v>X</v>
      </c>
      <c r="R131" s="8">
        <f t="shared" si="164"/>
        <v>8.2017924666420186</v>
      </c>
      <c r="S131" s="96" t="str">
        <f t="shared" si="165"/>
        <v>8</v>
      </c>
      <c r="T131" s="8">
        <f t="shared" si="166"/>
        <v>2.4215095997042226</v>
      </c>
      <c r="U131" s="96" t="str">
        <f t="shared" si="167"/>
        <v>2</v>
      </c>
      <c r="V131" s="8">
        <f t="shared" si="168"/>
        <v>5.0581151964506716</v>
      </c>
      <c r="W131" s="96" t="str">
        <f t="shared" si="169"/>
        <v>5</v>
      </c>
      <c r="X131" s="8">
        <f t="shared" si="170"/>
        <v>0.69738235740805976</v>
      </c>
      <c r="Y131" s="96" t="str">
        <f t="shared" si="171"/>
        <v>0</v>
      </c>
      <c r="Z131" s="8">
        <f t="shared" si="172"/>
        <v>8.3685882888967171</v>
      </c>
      <c r="AA131" s="96" t="str">
        <f t="shared" si="173"/>
        <v>8</v>
      </c>
      <c r="AB131" s="8">
        <f t="shared" si="174"/>
        <v>4.4230594667606056</v>
      </c>
      <c r="AC131" s="96" t="str">
        <f t="shared" si="175"/>
        <v>4</v>
      </c>
      <c r="AD131" s="8">
        <f t="shared" si="176"/>
        <v>5.0767136011272669</v>
      </c>
      <c r="AE131" s="96" t="str">
        <f t="shared" si="177"/>
        <v>5</v>
      </c>
      <c r="AF131" s="8">
        <f t="shared" si="178"/>
        <v>0.92056321352720261</v>
      </c>
      <c r="AG131" s="96" t="str">
        <f t="shared" si="179"/>
        <v/>
      </c>
      <c r="AH131" s="8">
        <f t="shared" si="180"/>
        <v>11.046758562326431</v>
      </c>
      <c r="AI131" s="96" t="str">
        <f t="shared" si="181"/>
        <v/>
      </c>
      <c r="AJ131" s="8">
        <f t="shared" si="182"/>
        <v>0.56110274791717529</v>
      </c>
      <c r="AK131" s="96" t="str">
        <f t="shared" si="183"/>
        <v/>
      </c>
      <c r="AL131" s="238">
        <f>144</f>
        <v>144</v>
      </c>
      <c r="AM131" s="238">
        <f t="shared" ref="AM131:AM133" si="189">-AL131*F$6*20736+D131</f>
        <v>-82.238829309951754</v>
      </c>
    </row>
    <row r="132" spans="2:39" x14ac:dyDescent="0.25">
      <c r="B132" s="91" t="s">
        <v>653</v>
      </c>
      <c r="C132" s="9" t="s">
        <v>651</v>
      </c>
      <c r="D132" s="198">
        <v>99.983900000000006</v>
      </c>
      <c r="E132" s="8">
        <v>9</v>
      </c>
      <c r="F132" s="127">
        <f t="shared" si="158"/>
        <v>130.69130652347641</v>
      </c>
      <c r="G132" s="37" t="str">
        <f t="shared" si="184"/>
        <v>0;XX8366E23</v>
      </c>
      <c r="H132" s="37"/>
      <c r="I132" s="285"/>
      <c r="J132" s="38">
        <v>2</v>
      </c>
      <c r="K132" s="128">
        <f t="shared" si="185"/>
        <v>0.90757851752415175</v>
      </c>
      <c r="L132" s="39" t="str">
        <f>INDEX(powers!$H$2:$H$75,33+J132)</f>
        <v>gross</v>
      </c>
      <c r="M132" s="97" t="str">
        <f t="shared" si="159"/>
        <v>0</v>
      </c>
      <c r="N132" s="8">
        <f t="shared" si="160"/>
        <v>10.890942210289822</v>
      </c>
      <c r="O132" s="96" t="str">
        <f t="shared" si="161"/>
        <v>X</v>
      </c>
      <c r="P132" s="8">
        <f t="shared" si="162"/>
        <v>10.691306523477863</v>
      </c>
      <c r="Q132" s="96" t="str">
        <f t="shared" si="163"/>
        <v>X</v>
      </c>
      <c r="R132" s="8">
        <f t="shared" si="164"/>
        <v>8.2956782817343537</v>
      </c>
      <c r="S132" s="96" t="str">
        <f t="shared" si="165"/>
        <v>8</v>
      </c>
      <c r="T132" s="8">
        <f t="shared" si="166"/>
        <v>3.5481393808122448</v>
      </c>
      <c r="U132" s="96" t="str">
        <f t="shared" si="167"/>
        <v>3</v>
      </c>
      <c r="V132" s="8">
        <f t="shared" si="168"/>
        <v>6.5776725697469374</v>
      </c>
      <c r="W132" s="96" t="str">
        <f t="shared" si="169"/>
        <v>6</v>
      </c>
      <c r="X132" s="8">
        <f t="shared" si="170"/>
        <v>6.9320708369632484</v>
      </c>
      <c r="Y132" s="96" t="str">
        <f t="shared" si="171"/>
        <v>6</v>
      </c>
      <c r="Z132" s="8">
        <f t="shared" si="172"/>
        <v>11.184850043558981</v>
      </c>
      <c r="AA132" s="96" t="str">
        <f t="shared" si="173"/>
        <v>E</v>
      </c>
      <c r="AB132" s="8">
        <f t="shared" si="174"/>
        <v>2.2182005227077752</v>
      </c>
      <c r="AC132" s="96" t="str">
        <f t="shared" si="175"/>
        <v>2</v>
      </c>
      <c r="AD132" s="8">
        <f t="shared" si="176"/>
        <v>2.6184062724933028</v>
      </c>
      <c r="AE132" s="96" t="str">
        <f t="shared" si="177"/>
        <v>3</v>
      </c>
      <c r="AF132" s="8">
        <f t="shared" si="178"/>
        <v>7.4208752699196339</v>
      </c>
      <c r="AG132" s="96" t="str">
        <f t="shared" si="179"/>
        <v/>
      </c>
      <c r="AH132" s="8">
        <f t="shared" si="180"/>
        <v>5.0505032390356064</v>
      </c>
      <c r="AI132" s="96" t="str">
        <f t="shared" si="181"/>
        <v/>
      </c>
      <c r="AJ132" s="8">
        <f t="shared" si="182"/>
        <v>0.60603886842727661</v>
      </c>
      <c r="AK132" s="96" t="str">
        <f t="shared" si="183"/>
        <v/>
      </c>
      <c r="AL132" s="238">
        <f>144</f>
        <v>144</v>
      </c>
      <c r="AM132" s="238">
        <f t="shared" si="189"/>
        <v>-82.228929309951752</v>
      </c>
    </row>
    <row r="133" spans="2:39" ht="12" thickBot="1" x14ac:dyDescent="0.3">
      <c r="B133" s="129"/>
      <c r="C133" s="241" t="s">
        <v>641</v>
      </c>
      <c r="D133" s="199">
        <v>100</v>
      </c>
      <c r="E133" s="33">
        <v>9</v>
      </c>
      <c r="F133" s="130">
        <f t="shared" si="158"/>
        <v>130.70403010616144</v>
      </c>
      <c r="G133" s="47" t="str">
        <f t="shared" si="184"/>
        <v>0;XX8546928</v>
      </c>
      <c r="H133" s="47"/>
      <c r="I133" s="287"/>
      <c r="J133" s="48">
        <v>2</v>
      </c>
      <c r="K133" s="106">
        <f t="shared" si="185"/>
        <v>0.90766687573724225</v>
      </c>
      <c r="L133" s="49" t="str">
        <f>INDEX(powers!$H$2:$H$75,33+J133)</f>
        <v>gross</v>
      </c>
      <c r="M133" s="97" t="str">
        <f t="shared" si="159"/>
        <v>0</v>
      </c>
      <c r="N133" s="8">
        <f t="shared" si="160"/>
        <v>10.892002508846907</v>
      </c>
      <c r="O133" s="96" t="str">
        <f t="shared" si="161"/>
        <v>X</v>
      </c>
      <c r="P133" s="8">
        <f t="shared" si="162"/>
        <v>10.70403010616289</v>
      </c>
      <c r="Q133" s="96" t="str">
        <f t="shared" si="163"/>
        <v>X</v>
      </c>
      <c r="R133" s="8">
        <f t="shared" si="164"/>
        <v>8.4483612739546743</v>
      </c>
      <c r="S133" s="96" t="str">
        <f t="shared" si="165"/>
        <v>8</v>
      </c>
      <c r="T133" s="8">
        <f t="shared" si="166"/>
        <v>5.3803352874560915</v>
      </c>
      <c r="U133" s="96" t="str">
        <f t="shared" si="167"/>
        <v>5</v>
      </c>
      <c r="V133" s="8">
        <f t="shared" si="168"/>
        <v>4.5640234494730976</v>
      </c>
      <c r="W133" s="96" t="str">
        <f t="shared" si="169"/>
        <v>4</v>
      </c>
      <c r="X133" s="8">
        <f t="shared" si="170"/>
        <v>6.7682813936771709</v>
      </c>
      <c r="Y133" s="96" t="str">
        <f t="shared" si="171"/>
        <v>6</v>
      </c>
      <c r="Z133" s="8">
        <f t="shared" si="172"/>
        <v>9.2193767241260502</v>
      </c>
      <c r="AA133" s="96" t="str">
        <f t="shared" si="173"/>
        <v>9</v>
      </c>
      <c r="AB133" s="8">
        <f t="shared" si="174"/>
        <v>2.632520689512603</v>
      </c>
      <c r="AC133" s="96" t="str">
        <f t="shared" si="175"/>
        <v>2</v>
      </c>
      <c r="AD133" s="8">
        <f t="shared" si="176"/>
        <v>7.5902482741512358</v>
      </c>
      <c r="AE133" s="96" t="str">
        <f t="shared" si="177"/>
        <v>8</v>
      </c>
      <c r="AF133" s="8">
        <f t="shared" si="178"/>
        <v>7.0829792898148298</v>
      </c>
      <c r="AG133" s="96" t="str">
        <f t="shared" si="179"/>
        <v/>
      </c>
      <c r="AH133" s="8">
        <f t="shared" si="180"/>
        <v>0.99575147777795792</v>
      </c>
      <c r="AI133" s="96" t="str">
        <f t="shared" si="181"/>
        <v/>
      </c>
      <c r="AJ133" s="8">
        <f t="shared" si="182"/>
        <v>11.949017733335495</v>
      </c>
      <c r="AK133" s="96" t="str">
        <f t="shared" si="183"/>
        <v/>
      </c>
      <c r="AL133" s="238">
        <f>144</f>
        <v>144</v>
      </c>
      <c r="AM133" s="238">
        <f t="shared" si="189"/>
        <v>-82.212829309951758</v>
      </c>
    </row>
    <row r="134" spans="2:39" x14ac:dyDescent="0.25">
      <c r="B134" s="55"/>
      <c r="D134" s="243">
        <f>D110+144*F6*20736-D132</f>
        <v>16.840379810946274</v>
      </c>
      <c r="F134" s="233"/>
      <c r="G134" s="234"/>
      <c r="H134" s="234"/>
      <c r="I134" s="292"/>
      <c r="J134" s="235"/>
      <c r="K134" s="236"/>
      <c r="L134" s="236"/>
      <c r="M134" s="237"/>
      <c r="O134" s="237"/>
      <c r="Q134" s="237"/>
      <c r="S134" s="237"/>
      <c r="U134" s="237"/>
      <c r="W134" s="237"/>
      <c r="Y134" s="237"/>
      <c r="AA134" s="237"/>
      <c r="AC134" s="237"/>
      <c r="AE134" s="237"/>
      <c r="AG134" s="237"/>
      <c r="AI134" s="237"/>
      <c r="AK134" s="237"/>
    </row>
    <row r="135" spans="2:39" x14ac:dyDescent="0.25">
      <c r="B135" s="138" t="s">
        <v>669</v>
      </c>
      <c r="C135" s="54"/>
      <c r="D135" s="238">
        <f>D$110+F$6*F135*20736</f>
        <v>26.983232026178385</v>
      </c>
      <c r="F135" s="233">
        <f>12*6+1</f>
        <v>73</v>
      </c>
    </row>
    <row r="136" spans="2:39" x14ac:dyDescent="0.25">
      <c r="B136" s="138" t="s">
        <v>670</v>
      </c>
      <c r="C136" s="54"/>
      <c r="D136" s="238">
        <f>D$110+F$6*F136*20736</f>
        <v>51.025202560130353</v>
      </c>
      <c r="F136" s="233">
        <f>12*7+8</f>
        <v>92</v>
      </c>
    </row>
    <row r="137" spans="2:39" x14ac:dyDescent="0.25">
      <c r="B137" s="138" t="s">
        <v>671</v>
      </c>
      <c r="C137" s="54"/>
      <c r="D137" s="238">
        <f>D$110+F$6*F137*20736</f>
        <v>116.82427981094628</v>
      </c>
      <c r="F137" s="233">
        <v>144</v>
      </c>
    </row>
    <row r="138" spans="2:39" ht="13.3" x14ac:dyDescent="0.25">
      <c r="B138" s="138" t="s">
        <v>1238</v>
      </c>
      <c r="D138" s="444">
        <f>F6*POWER(12,7)*3-273.15</f>
        <v>6286.5118551582618</v>
      </c>
      <c r="E138" s="14" t="s">
        <v>1239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 x14ac:dyDescent="0.25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279"/>
      <c r="J3" s="305">
        <f>FLOOR(LOG10(F3)/3,1)*3</f>
        <v>-12</v>
      </c>
      <c r="K3" s="58">
        <f>F3/POWER(10,J3)</f>
        <v>633.40418549589242</v>
      </c>
      <c r="L3" s="118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5">
        <f>(F4*POWER(12,16)-Clock!F4)*(365+31/128)*128*12*12*12</f>
        <v>9.2995314347224927</v>
      </c>
      <c r="H4" s="253"/>
      <c r="I4" s="280"/>
      <c r="J4" s="8">
        <f t="shared" ref="J4:J30" si="1">FLOOR(LOG10(F4)/3,1)*3</f>
        <v>-18</v>
      </c>
      <c r="K4" s="58">
        <f t="shared" ref="K4:K30" si="2">F4/POWER(10,J4)</f>
        <v>2.1128089402965977</v>
      </c>
      <c r="L4" s="118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278"/>
      <c r="J5" s="8">
        <f t="shared" si="1"/>
        <v>-12</v>
      </c>
      <c r="K5" s="58">
        <f t="shared" si="2"/>
        <v>149.04019296743178</v>
      </c>
      <c r="L5" s="118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8</v>
      </c>
      <c r="F6" s="135">
        <f t="shared" si="0"/>
        <v>10794940986677.172</v>
      </c>
      <c r="G6" s="21"/>
      <c r="H6" s="21"/>
      <c r="I6" s="278"/>
      <c r="J6" s="132">
        <f t="shared" si="1"/>
        <v>12</v>
      </c>
      <c r="K6" s="136">
        <f t="shared" si="2"/>
        <v>10.794940986677172</v>
      </c>
      <c r="L6" s="133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278"/>
      <c r="J8" s="8">
        <f t="shared" si="1"/>
        <v>-27</v>
      </c>
      <c r="K8" s="58">
        <f t="shared" si="2"/>
        <v>1.6582957905945506</v>
      </c>
      <c r="L8" s="118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278"/>
      <c r="J9" s="8">
        <f t="shared" si="1"/>
        <v>6</v>
      </c>
      <c r="K9" s="58">
        <f t="shared" si="2"/>
        <v>70.541254405383839</v>
      </c>
      <c r="L9" s="118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f t="shared" si="1"/>
        <v>-3</v>
      </c>
      <c r="K10" s="58">
        <f t="shared" si="2"/>
        <v>235.30029699874513</v>
      </c>
      <c r="L10" s="118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278"/>
      <c r="J11" s="8">
        <f t="shared" si="1"/>
        <v>3</v>
      </c>
      <c r="K11" s="58">
        <f t="shared" si="2"/>
        <v>65.778757394109334</v>
      </c>
      <c r="L11" s="118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278"/>
      <c r="J12" s="8">
        <f t="shared" si="1"/>
        <v>-21</v>
      </c>
      <c r="K12" s="58">
        <f t="shared" si="2"/>
        <v>156.29550188320417</v>
      </c>
      <c r="L12" s="118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f t="shared" si="1"/>
        <v>-3</v>
      </c>
      <c r="K13" s="58">
        <f t="shared" si="2"/>
        <v>73.975217968011464</v>
      </c>
      <c r="L13" s="118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278"/>
      <c r="J14" s="8">
        <f t="shared" si="1"/>
        <v>6</v>
      </c>
      <c r="K14" s="58">
        <f t="shared" si="2"/>
        <v>116.78991023732536</v>
      </c>
      <c r="L14" s="118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278"/>
      <c r="J15" s="8">
        <f t="shared" si="1"/>
        <v>-3</v>
      </c>
      <c r="K15" s="58">
        <f t="shared" si="2"/>
        <v>389.56920736586812</v>
      </c>
      <c r="L15" s="118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f t="shared" si="1"/>
        <v>0</v>
      </c>
      <c r="K17" s="58">
        <f t="shared" si="2"/>
        <v>2.2177212425715922</v>
      </c>
      <c r="L17" s="118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278"/>
      <c r="J18" s="8">
        <f t="shared" si="1"/>
        <v>-21</v>
      </c>
      <c r="K18" s="58">
        <f t="shared" si="2"/>
        <v>70.475720249660128</v>
      </c>
      <c r="L18" s="118" t="str">
        <f>Rydberg!L18</f>
        <v>mF</v>
      </c>
      <c r="M18" s="115"/>
      <c r="N18" s="116">
        <f t="shared" si="3"/>
        <v>241.87495692477478</v>
      </c>
      <c r="O18" s="76"/>
      <c r="P18" s="117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278"/>
      <c r="J19" s="8">
        <f t="shared" si="1"/>
        <v>-18</v>
      </c>
      <c r="K19" s="58">
        <f t="shared" si="2"/>
        <v>4.6856212683909408</v>
      </c>
      <c r="L19" s="118" t="s">
        <v>786</v>
      </c>
      <c r="M19" s="115"/>
      <c r="N19" s="116">
        <f t="shared" si="3"/>
        <v>218.85526791605446</v>
      </c>
      <c r="O19" s="76"/>
      <c r="P19" s="117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f t="shared" si="1"/>
        <v>0</v>
      </c>
      <c r="K20" s="58">
        <f t="shared" si="2"/>
        <v>11.678991023732532</v>
      </c>
      <c r="L20" s="118" t="str">
        <f>Rydberg!L20</f>
        <v>T</v>
      </c>
      <c r="M20" s="115"/>
      <c r="N20" s="116">
        <f t="shared" si="3"/>
        <v>-13.480532044227107</v>
      </c>
      <c r="O20" s="76"/>
      <c r="P20" s="117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281"/>
      <c r="J21" s="30">
        <f t="shared" si="1"/>
        <v>-18</v>
      </c>
      <c r="K21" s="59">
        <f t="shared" si="2"/>
        <v>63.340418549589238</v>
      </c>
      <c r="L21" s="119" t="s">
        <v>787</v>
      </c>
      <c r="M21" s="115"/>
      <c r="N21" s="116">
        <f t="shared" si="3"/>
        <v>204.57267193573404</v>
      </c>
      <c r="O21" s="76"/>
      <c r="P21" s="117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278"/>
      <c r="J22" s="8">
        <f t="shared" si="1"/>
        <v>15</v>
      </c>
      <c r="K22" s="58">
        <f t="shared" si="2"/>
        <v>473.30356329314804</v>
      </c>
      <c r="L22" s="118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 x14ac:dyDescent="0.25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278"/>
      <c r="J23" s="8">
        <f t="shared" si="1"/>
        <v>9</v>
      </c>
      <c r="K23" s="58">
        <f t="shared" si="2"/>
        <v>49.734783085846992</v>
      </c>
      <c r="L23" s="118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58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278"/>
      <c r="J24" s="8">
        <f t="shared" si="1"/>
        <v>9</v>
      </c>
      <c r="K24" s="58">
        <f t="shared" si="2"/>
        <v>49.734783085846992</v>
      </c>
      <c r="L24" s="118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586" t="s">
        <v>1647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574"/>
      <c r="B25" s="260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278"/>
      <c r="J25" s="8">
        <f t="shared" si="1"/>
        <v>9</v>
      </c>
      <c r="K25" s="58">
        <f t="shared" si="2"/>
        <v>3.9577682858578682</v>
      </c>
      <c r="L25" s="118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278"/>
      <c r="J26" s="8">
        <f t="shared" si="1"/>
        <v>27</v>
      </c>
      <c r="K26" s="58">
        <f t="shared" si="2"/>
        <v>123.96479611899116</v>
      </c>
      <c r="L26" s="118" t="s">
        <v>694</v>
      </c>
      <c r="M26" s="23"/>
      <c r="N26" s="82">
        <f t="shared" si="3"/>
        <v>-367.42662969676536</v>
      </c>
      <c r="O26" s="24"/>
      <c r="P26" s="83"/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278"/>
      <c r="J27" s="8">
        <f t="shared" si="1"/>
        <v>-9</v>
      </c>
      <c r="K27" s="58">
        <f t="shared" si="2"/>
        <v>785.93904482156154</v>
      </c>
      <c r="L27" s="118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278"/>
      <c r="J28" s="8">
        <f t="shared" si="1"/>
        <v>15</v>
      </c>
      <c r="K28" s="58">
        <f t="shared" si="2"/>
        <v>473.30356329314804</v>
      </c>
      <c r="L28" s="118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111"/>
      <c r="N30" s="112">
        <f t="shared" si="3"/>
        <v>-214.11182890022724</v>
      </c>
      <c r="O30" s="113"/>
      <c r="P30" s="114">
        <f t="shared" si="4"/>
        <v>1.0000000000001164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 x14ac:dyDescent="0.25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 x14ac:dyDescent="0.25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275">
        <f t="shared" ref="H33:H49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 x14ac:dyDescent="0.25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275">
        <f t="shared" si="19"/>
        <v>9.1628086419759391E-4</v>
      </c>
      <c r="I34" s="278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 x14ac:dyDescent="0.25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275">
        <f t="shared" si="19"/>
        <v>0</v>
      </c>
      <c r="I35" s="278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 x14ac:dyDescent="0.25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275">
        <f t="shared" si="19"/>
        <v>1.000310945187266E-12</v>
      </c>
      <c r="I36" s="278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 x14ac:dyDescent="0.25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275">
        <f t="shared" si="19"/>
        <v>0</v>
      </c>
      <c r="I37" s="278"/>
      <c r="J37" s="131">
        <f t="shared" si="32"/>
        <v>0</v>
      </c>
      <c r="K37" s="61">
        <f t="shared" ref="K37:K69" si="33">F37/POWER(12,J37)</f>
        <v>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 x14ac:dyDescent="0.25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275">
        <f t="shared" si="19"/>
        <v>0</v>
      </c>
      <c r="I38" s="278"/>
      <c r="J38" s="131">
        <f t="shared" si="32"/>
        <v>0</v>
      </c>
      <c r="K38" s="61">
        <f t="shared" si="33"/>
        <v>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 x14ac:dyDescent="0.25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275">
        <f t="shared" si="19"/>
        <v>1.3527438338638564E-3</v>
      </c>
      <c r="I39" s="278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 x14ac:dyDescent="0.25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275">
        <f t="shared" si="19"/>
        <v>2.5394011358614854E-3</v>
      </c>
      <c r="I40" s="278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 x14ac:dyDescent="0.25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275">
        <f t="shared" si="19"/>
        <v>-5.0771588460924888E-2</v>
      </c>
      <c r="I42" s="278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 x14ac:dyDescent="0.25">
      <c r="A43" s="574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275">
        <f t="shared" si="19"/>
        <v>2.8687385892016248E-2</v>
      </c>
      <c r="I43" s="278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 x14ac:dyDescent="0.25">
      <c r="A44" s="574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276">
        <f t="shared" si="19"/>
        <v>-1.1272357586811221E-4</v>
      </c>
      <c r="I44" s="284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 x14ac:dyDescent="0.25">
      <c r="A45" s="574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275">
        <f t="shared" si="19"/>
        <v>5.6366553358389027E-5</v>
      </c>
      <c r="I45" s="278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 x14ac:dyDescent="0.25">
      <c r="A46" s="574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275">
        <f t="shared" si="19"/>
        <v>1.4242271793094341E-2</v>
      </c>
      <c r="I46" s="278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 x14ac:dyDescent="0.25">
      <c r="A47" s="574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275">
        <f t="shared" si="19"/>
        <v>-1.0586580459128081E-2</v>
      </c>
      <c r="I47" s="278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 x14ac:dyDescent="0.25">
      <c r="A48" s="574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275">
        <f t="shared" si="19"/>
        <v>-1.303955989106409E-2</v>
      </c>
      <c r="I48" s="278"/>
      <c r="J48" s="131">
        <f t="shared" si="32"/>
        <v>17</v>
      </c>
      <c r="K48" s="61">
        <f t="shared" si="33"/>
        <v>1.9739208802178718</v>
      </c>
      <c r="L48" s="134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 x14ac:dyDescent="0.25">
      <c r="A49" s="574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275">
        <f t="shared" si="19"/>
        <v>-8.8895246902125358E-3</v>
      </c>
      <c r="I49" s="278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 x14ac:dyDescent="0.25">
      <c r="A50" s="574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275"/>
      <c r="I50" s="278"/>
      <c r="J50" s="131">
        <f t="shared" si="32"/>
        <v>-10</v>
      </c>
      <c r="K50" s="61">
        <f t="shared" si="33"/>
        <v>1.5667845921808969</v>
      </c>
      <c r="L50" s="134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 x14ac:dyDescent="0.25">
      <c r="A51" s="574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275">
        <f>K51*POWER(12,I51)/ROUND(K51*POWER(12,I51),0)-1</f>
        <v>1.7097163914239655E-2</v>
      </c>
      <c r="I51" s="278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 x14ac:dyDescent="0.25">
      <c r="A52" s="574"/>
      <c r="B52" s="67" t="str">
        <f>Rydberg!B53</f>
        <v>-log(Sqrt([H+][OH-])/(mol/m^3))</v>
      </c>
      <c r="C52" s="3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275"/>
      <c r="I52" s="278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 x14ac:dyDescent="0.25">
      <c r="A53" s="574"/>
      <c r="B53" s="3" t="str">
        <f>Rydberg!B54</f>
        <v>Maximum density of water</v>
      </c>
      <c r="C53" s="3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294">
        <f t="shared" ref="H53:H61" si="34">K53*POWER(12,I53)/ROUND(K53*POWER(12,I53),0)-1</f>
        <v>6.4158052439553526E-2</v>
      </c>
      <c r="I53" s="295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 x14ac:dyDescent="0.25">
      <c r="A54" s="574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275">
        <f t="shared" si="34"/>
        <v>-2.4352579395640395E-2</v>
      </c>
      <c r="I54" s="278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 x14ac:dyDescent="0.25">
      <c r="A55" s="574"/>
      <c r="B55" s="3" t="str">
        <f>Rydberg!B56</f>
        <v>Specific heat of water</v>
      </c>
      <c r="C55" s="3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294">
        <f t="shared" si="34"/>
        <v>5.0797849473811496E-3</v>
      </c>
      <c r="I55" s="295"/>
      <c r="J55" s="131">
        <f t="shared" si="32"/>
        <v>-1</v>
      </c>
      <c r="K55" s="61">
        <f t="shared" si="33"/>
        <v>6.0304787096842869</v>
      </c>
      <c r="L55" s="134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 x14ac:dyDescent="0.25">
      <c r="A56" s="574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275">
        <f t="shared" si="34"/>
        <v>-3.6565133086108315E-4</v>
      </c>
      <c r="I56" s="278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 x14ac:dyDescent="0.25">
      <c r="A57" s="574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275">
        <f t="shared" si="34"/>
        <v>3.227722624111018E-2</v>
      </c>
      <c r="I57" s="278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 x14ac:dyDescent="0.25">
      <c r="A58" s="574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275">
        <f t="shared" si="34"/>
        <v>7.0068747220770611E-3</v>
      </c>
      <c r="I58" s="278"/>
      <c r="J58" s="38">
        <f t="shared" si="32"/>
        <v>0</v>
      </c>
      <c r="K58" s="61">
        <f t="shared" si="33"/>
        <v>1.0070068747220771</v>
      </c>
      <c r="L58" s="254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 x14ac:dyDescent="0.25">
      <c r="A59" s="574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275">
        <f t="shared" si="34"/>
        <v>-2.1507261266296984E-3</v>
      </c>
      <c r="I59" s="278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 x14ac:dyDescent="0.25">
      <c r="A60" s="574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276">
        <f t="shared" si="34"/>
        <v>1.3260606668799024E-3</v>
      </c>
      <c r="I60" s="284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 x14ac:dyDescent="0.25">
      <c r="A61" s="574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276">
        <f t="shared" si="34"/>
        <v>-8.2751745307174662E-4</v>
      </c>
      <c r="I61" s="284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 x14ac:dyDescent="0.25">
      <c r="A62" s="574"/>
      <c r="B62" s="3" t="str">
        <f>Rydberg!B63</f>
        <v>Standard gravitational acceleration</v>
      </c>
      <c r="C62" s="3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296">
        <f>K62*POWER(12,I62)/ROUND(K62*POWER(12,I62)+1,0)-1</f>
        <v>-8.4288109944726464E-2</v>
      </c>
      <c r="I62" s="297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 x14ac:dyDescent="0.25">
      <c r="A63" s="574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275"/>
      <c r="I63" s="278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 x14ac:dyDescent="0.25">
      <c r="A64" s="574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275"/>
      <c r="I64" s="278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 x14ac:dyDescent="0.25">
      <c r="A65" s="574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275"/>
      <c r="I65" s="278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 x14ac:dyDescent="0.25">
      <c r="A66" s="574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275"/>
      <c r="I66" s="278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 x14ac:dyDescent="0.25">
      <c r="A67" s="574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275"/>
      <c r="I67" s="281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 x14ac:dyDescent="0.25">
      <c r="A68" s="574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275"/>
      <c r="I68" s="281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 x14ac:dyDescent="0.3">
      <c r="A69" s="575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275"/>
      <c r="I69" s="281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 x14ac:dyDescent="0.25">
      <c r="A70" s="570" t="s">
        <v>49</v>
      </c>
      <c r="B70" s="17" t="s">
        <v>42</v>
      </c>
      <c r="C70" s="17"/>
      <c r="D70" s="17"/>
      <c r="E70" s="18" t="s">
        <v>54</v>
      </c>
      <c r="F70" s="17" t="s">
        <v>43</v>
      </c>
      <c r="G70" s="17" t="s">
        <v>92</v>
      </c>
      <c r="H70" s="17"/>
      <c r="I70" s="277"/>
      <c r="J70" s="18" t="s">
        <v>44</v>
      </c>
      <c r="K70" s="56" t="s">
        <v>46</v>
      </c>
      <c r="L70" s="20" t="str">
        <f>Rydberg!L71</f>
        <v>Power</v>
      </c>
    </row>
    <row r="71" spans="1:37" ht="11.25" customHeight="1" x14ac:dyDescent="0.25">
      <c r="A71" s="571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285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 x14ac:dyDescent="0.25">
      <c r="A72" s="571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285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 x14ac:dyDescent="0.25">
      <c r="A73" s="571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285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 x14ac:dyDescent="0.25">
      <c r="A74" s="571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285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 x14ac:dyDescent="0.25">
      <c r="A75" s="571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285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 x14ac:dyDescent="0.25">
      <c r="A76" s="571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285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 x14ac:dyDescent="0.25">
      <c r="A77" s="571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285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 x14ac:dyDescent="0.25">
      <c r="A78" s="571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285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 x14ac:dyDescent="0.25">
      <c r="A79" s="571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285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 x14ac:dyDescent="0.25">
      <c r="A80" s="571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285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 x14ac:dyDescent="0.25">
      <c r="A81" s="571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285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 x14ac:dyDescent="0.25">
      <c r="A82" s="571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08" t="str">
        <f t="shared" si="64"/>
        <v>1;07X1163X8</v>
      </c>
      <c r="H82" s="108"/>
      <c r="I82" s="286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 x14ac:dyDescent="0.25">
      <c r="A83" s="571"/>
      <c r="B83" s="30"/>
      <c r="C83" s="30"/>
      <c r="D83" s="29"/>
      <c r="E83" s="30"/>
      <c r="F83" s="29"/>
      <c r="G83" s="108"/>
      <c r="H83" s="108"/>
      <c r="I83" s="286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 x14ac:dyDescent="0.25">
      <c r="A84" s="571"/>
      <c r="B84" s="30"/>
      <c r="C84" s="30"/>
      <c r="D84" s="29"/>
      <c r="E84" s="30"/>
      <c r="F84" s="29"/>
      <c r="G84" s="108"/>
      <c r="H84" s="108"/>
      <c r="I84" s="286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 x14ac:dyDescent="0.25">
      <c r="A85" s="571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08" t="str">
        <f t="shared" si="64"/>
        <v>0;EX08X990X0X8</v>
      </c>
      <c r="H85" s="108"/>
      <c r="I85" s="286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 x14ac:dyDescent="0.25">
      <c r="A86" s="571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08" t="str">
        <f t="shared" si="64"/>
        <v>4;68X10E696900</v>
      </c>
      <c r="H86" s="108"/>
      <c r="I86" s="286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 x14ac:dyDescent="0.3">
      <c r="A87" s="572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287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 x14ac:dyDescent="0.25">
      <c r="K88" s="79"/>
      <c r="L88" s="79"/>
      <c r="M88" s="79"/>
    </row>
    <row r="89" spans="1:37" ht="15" customHeight="1" x14ac:dyDescent="0.25">
      <c r="B89" s="3" t="s">
        <v>267</v>
      </c>
      <c r="C89" s="3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37" t="str">
        <f t="shared" ref="G89" si="65">M89&amp;";"&amp;O89&amp;Q89&amp;S89&amp;U89&amp;W89&amp;Y89&amp;AA89&amp;AC89&amp;AE89&amp;AG89&amp;AI89&amp;AK89</f>
        <v>0;000000010008</v>
      </c>
      <c r="H89" s="37"/>
      <c r="I89" s="285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 x14ac:dyDescent="0.25">
      <c r="B90" s="137" t="s">
        <v>268</v>
      </c>
      <c r="D90" s="14">
        <f>1/(1+0.00054461702177)</f>
        <v>0.99945567942448077</v>
      </c>
    </row>
    <row r="91" spans="1:37" x14ac:dyDescent="0.25">
      <c r="B91" s="3" t="s">
        <v>733</v>
      </c>
      <c r="C91" s="3"/>
      <c r="D91" s="21">
        <f>R23</f>
        <v>0.96873201750401583</v>
      </c>
      <c r="E91" s="8">
        <v>7</v>
      </c>
      <c r="F91" s="21">
        <f>D91</f>
        <v>0.96873201750401583</v>
      </c>
      <c r="G91" s="37" t="str">
        <f t="shared" ref="G91:G92" si="91">M91&amp;";"&amp;O91&amp;Q91&amp;S91&amp;U91&amp;W91&amp;Y91&amp;AA91&amp;AC91&amp;AE91&amp;AG91&amp;AI91&amp;AK91</f>
        <v>0;E75E764</v>
      </c>
      <c r="H91" s="37"/>
      <c r="I91" s="285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 x14ac:dyDescent="0.25">
      <c r="B92" s="3" t="s">
        <v>761</v>
      </c>
      <c r="C92" s="3"/>
      <c r="D92" s="21">
        <v>540000000000000</v>
      </c>
      <c r="E92" s="8">
        <v>7</v>
      </c>
      <c r="F92" s="21">
        <f>D92/F22</f>
        <v>1.140916827760163E-3</v>
      </c>
      <c r="G92" s="37" t="str">
        <f t="shared" si="91"/>
        <v>0;0000000</v>
      </c>
      <c r="H92" s="37"/>
      <c r="I92" s="285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 x14ac:dyDescent="0.25">
      <c r="B93" s="14" t="s">
        <v>1210</v>
      </c>
      <c r="D93" s="193">
        <f>F22*F93</f>
        <v>1.0128053070814078E+32</v>
      </c>
      <c r="F93" s="193">
        <f>G93*POWER(12,J93)</f>
        <v>213986410758144</v>
      </c>
      <c r="G93" s="209">
        <v>2</v>
      </c>
      <c r="J93" s="14">
        <v>13</v>
      </c>
      <c r="K93" s="79"/>
      <c r="L93" s="79"/>
      <c r="M93" s="79"/>
    </row>
    <row r="94" spans="1:37" ht="12" thickBot="1" x14ac:dyDescent="0.3">
      <c r="K94" s="79"/>
      <c r="L94" s="79"/>
      <c r="M94" s="79"/>
    </row>
    <row r="95" spans="1:37" x14ac:dyDescent="0.25">
      <c r="B95" s="98" t="s">
        <v>115</v>
      </c>
      <c r="C95" s="99"/>
      <c r="D95" s="100"/>
      <c r="E95" s="99">
        <v>9</v>
      </c>
      <c r="F95" s="100">
        <f>Clock!F96</f>
        <v>1.0020361796982167</v>
      </c>
      <c r="G95" s="101" t="str">
        <f t="shared" ref="G95:G97" si="117">M95&amp;";"&amp;O95&amp;Q95&amp;S95&amp;U95&amp;W95&amp;Y95&amp;AA95&amp;AC95&amp;AE95&amp;AG95&amp;AI95&amp;AK95</f>
        <v>1;003628000</v>
      </c>
      <c r="H95" s="101"/>
      <c r="I95" s="289"/>
      <c r="J95" s="102">
        <v>0</v>
      </c>
      <c r="K95" s="103">
        <f>F95/POWER(12,J95)+0.00000000000001</f>
        <v>1.0020361796982267</v>
      </c>
      <c r="L95" s="104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 x14ac:dyDescent="0.25">
      <c r="B96" s="107" t="s">
        <v>204</v>
      </c>
      <c r="C96" s="30"/>
      <c r="D96" s="30"/>
      <c r="E96" s="30">
        <v>12</v>
      </c>
      <c r="F96" s="29">
        <f>F4/Clock!F4*POWER(12,16)</f>
        <v>1.0000002946906721</v>
      </c>
      <c r="G96" s="108" t="str">
        <f t="shared" si="117"/>
        <v>1;000000X68658</v>
      </c>
      <c r="H96" s="108"/>
      <c r="I96" s="286"/>
      <c r="J96" s="43">
        <v>0</v>
      </c>
      <c r="K96" s="109">
        <f>F96/POWER(12,J96)+0.00000000000001</f>
        <v>1.0000002946906821</v>
      </c>
      <c r="L96" s="44" t="str">
        <f>INDEX(powers!$H$2:$H$75,33+J96)</f>
        <v xml:space="preserve"> </v>
      </c>
      <c r="M96" s="97" t="str">
        <f t="shared" si="118"/>
        <v>1</v>
      </c>
      <c r="N96" s="8">
        <f>(K96-INT(K96))*12</f>
        <v>3.5362881849465566E-6</v>
      </c>
      <c r="O96" s="96" t="str">
        <f t="shared" si="119"/>
        <v>0</v>
      </c>
      <c r="P96" s="8">
        <f>(N96-INT(N96))*12</f>
        <v>4.2435458219358679E-5</v>
      </c>
      <c r="Q96" s="96" t="str">
        <f t="shared" si="120"/>
        <v>0</v>
      </c>
      <c r="R96" s="8">
        <f>(P96-INT(P96))*12</f>
        <v>5.0922549863230415E-4</v>
      </c>
      <c r="S96" s="96" t="str">
        <f t="shared" si="121"/>
        <v>0</v>
      </c>
      <c r="T96" s="8">
        <f>(R96-INT(R96))*12</f>
        <v>6.1107059835876498E-3</v>
      </c>
      <c r="U96" s="96" t="str">
        <f t="shared" si="122"/>
        <v>0</v>
      </c>
      <c r="V96" s="8">
        <f>(T96-INT(T96))*12</f>
        <v>7.3328471803051798E-2</v>
      </c>
      <c r="W96" s="96" t="str">
        <f t="shared" si="123"/>
        <v>0</v>
      </c>
      <c r="X96" s="8">
        <f>(V96-INT(V96))*12</f>
        <v>0.87994166163662157</v>
      </c>
      <c r="Y96" s="96" t="str">
        <f t="shared" si="124"/>
        <v>0</v>
      </c>
      <c r="Z96" s="8">
        <f>(X96-INT(X96))*12</f>
        <v>10.559299939639459</v>
      </c>
      <c r="AA96" s="96" t="str">
        <f t="shared" si="125"/>
        <v>X</v>
      </c>
      <c r="AB96" s="8">
        <f>(Z96-INT(Z96))*12</f>
        <v>6.7115992756735068</v>
      </c>
      <c r="AC96" s="96" t="str">
        <f t="shared" si="126"/>
        <v>6</v>
      </c>
      <c r="AD96" s="8">
        <f>(AB96-INT(AB96))*12</f>
        <v>8.5391913080820814</v>
      </c>
      <c r="AE96" s="96" t="str">
        <f t="shared" si="127"/>
        <v>8</v>
      </c>
      <c r="AF96" s="8">
        <f>(AD96-INT(AD96))*12</f>
        <v>6.4702956969849765</v>
      </c>
      <c r="AG96" s="96" t="str">
        <f t="shared" si="128"/>
        <v>6</v>
      </c>
      <c r="AH96" s="8">
        <f>(AF96-INT(AF96))*12</f>
        <v>5.6435483638197184</v>
      </c>
      <c r="AI96" s="96" t="str">
        <f t="shared" si="129"/>
        <v>5</v>
      </c>
      <c r="AJ96" s="8">
        <f>(AH96-INT(AH96))*12</f>
        <v>7.7225803658366203</v>
      </c>
      <c r="AK96" s="96" t="str">
        <f t="shared" si="130"/>
        <v>8</v>
      </c>
    </row>
    <row r="97" spans="2:39" ht="12" thickBot="1" x14ac:dyDescent="0.3">
      <c r="B97" s="105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287"/>
      <c r="J97" s="48">
        <v>0</v>
      </c>
      <c r="K97" s="106">
        <f>F97/POWER(12,J97)+0.00000000000001</f>
        <v>0.99999970530942484</v>
      </c>
      <c r="L97" s="49" t="str">
        <f>INDEX(powers!$H$2:$H$75,33+J97)</f>
        <v xml:space="preserve"> </v>
      </c>
      <c r="M97" s="97" t="str">
        <f t="shared" si="118"/>
        <v>0</v>
      </c>
      <c r="N97" s="8">
        <f>(K97-INT(K97))*12</f>
        <v>11.999996463713098</v>
      </c>
      <c r="O97" s="96" t="str">
        <f t="shared" si="119"/>
        <v>E</v>
      </c>
      <c r="P97" s="8">
        <f>(N97-INT(N97))*12</f>
        <v>11.999957564557171</v>
      </c>
      <c r="Q97" s="96" t="str">
        <f t="shared" si="120"/>
        <v>E</v>
      </c>
      <c r="R97" s="8">
        <f>(P97-INT(P97))*12</f>
        <v>11.999490774686052</v>
      </c>
      <c r="S97" s="96" t="str">
        <f t="shared" si="121"/>
        <v>E</v>
      </c>
      <c r="T97" s="8">
        <f>(R97-INT(R97))*12</f>
        <v>11.993889296232624</v>
      </c>
      <c r="U97" s="96" t="str">
        <f t="shared" si="122"/>
        <v>E</v>
      </c>
      <c r="V97" s="8">
        <f>(T97-INT(T97))*12</f>
        <v>11.926671554791483</v>
      </c>
      <c r="W97" s="96" t="str">
        <f t="shared" si="123"/>
        <v>E</v>
      </c>
      <c r="X97" s="8">
        <f>(V97-INT(V97))*12</f>
        <v>11.120058657497793</v>
      </c>
      <c r="Y97" s="96" t="str">
        <f t="shared" si="124"/>
        <v>E</v>
      </c>
      <c r="Z97" s="8">
        <f>(X97-INT(X97))*12</f>
        <v>1.4407038899735198</v>
      </c>
      <c r="AA97" s="96" t="str">
        <f t="shared" si="125"/>
        <v>1</v>
      </c>
      <c r="AB97" s="8">
        <f>(Z97-INT(Z97))*12</f>
        <v>5.288446679682238</v>
      </c>
      <c r="AC97" s="96" t="str">
        <f t="shared" si="126"/>
        <v>5</v>
      </c>
      <c r="AD97" s="8">
        <f>(AB97-INT(AB97))*12</f>
        <v>3.4613601561868563</v>
      </c>
      <c r="AE97" s="96" t="str">
        <f t="shared" si="127"/>
        <v>3</v>
      </c>
      <c r="AF97" s="8">
        <f>(AD97-INT(AD97))*12</f>
        <v>5.536321874242276</v>
      </c>
      <c r="AG97" s="96" t="str">
        <f t="shared" si="128"/>
        <v>5</v>
      </c>
      <c r="AH97" s="8">
        <f>(AF97-INT(AF97))*12</f>
        <v>6.4358624909073114</v>
      </c>
      <c r="AI97" s="96" t="str">
        <f t="shared" si="129"/>
        <v>6</v>
      </c>
      <c r="AJ97" s="8">
        <f>(AH97-INT(AH97))*12</f>
        <v>5.2303498908877373</v>
      </c>
      <c r="AK97" s="96" t="str">
        <f t="shared" si="130"/>
        <v>5</v>
      </c>
    </row>
    <row r="99" spans="2:39" ht="12" thickBot="1" x14ac:dyDescent="0.3">
      <c r="C99" s="54" t="s">
        <v>658</v>
      </c>
      <c r="D99" s="238">
        <f>AM100</f>
        <v>-74.360322558157833</v>
      </c>
      <c r="F99" s="232"/>
      <c r="G99" s="193"/>
      <c r="H99" s="193"/>
    </row>
    <row r="100" spans="2:39" x14ac:dyDescent="0.25">
      <c r="B100" s="98" t="s">
        <v>646</v>
      </c>
      <c r="C100" s="240" t="s">
        <v>626</v>
      </c>
      <c r="D100" s="242">
        <v>-273.14999999999998</v>
      </c>
      <c r="E100" s="99">
        <v>9</v>
      </c>
      <c r="F100" s="225">
        <f>(D100-D$99)/F$6/POWER(12,-12)</f>
        <v>-164.19068287037035</v>
      </c>
      <c r="G100" s="239" t="str">
        <f>"-"&amp;M100&amp;";"&amp;O100&amp;Q100&amp;S100&amp;U100&amp;W100&amp;Y100&amp;AA100&amp;AC100&amp;AE100&amp;AG100&amp;AI100&amp;AK100</f>
        <v>-1;182356000</v>
      </c>
      <c r="H100" s="239"/>
      <c r="I100" s="290"/>
      <c r="J100" s="226">
        <v>2</v>
      </c>
      <c r="K100" s="227">
        <f>-F100/POWER(12,J100)+0.00000000000001</f>
        <v>1.140213075488693</v>
      </c>
      <c r="L100" s="104" t="str">
        <f>INDEX(powers!$H$2:$H$75,33+J100)</f>
        <v>gross</v>
      </c>
      <c r="M100" s="97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96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96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96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96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96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96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96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96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96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96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96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96" t="str">
        <f t="shared" ref="AK100:AK122" si="155">IF($E100&gt;=AK$31,MID($J$31,IF($E100&gt;AK$31,INT(AJ100),ROUND(AJ100,0))+1,1),"")</f>
        <v/>
      </c>
      <c r="AL100" s="238">
        <f>-(144*1+1*12+8+2/12+3/144+5/1728+6/20736)</f>
        <v>-164.19068287037035</v>
      </c>
      <c r="AM100" s="238">
        <f>-AL100*F$6*POWER(12,-12)+D100</f>
        <v>-74.360322558157833</v>
      </c>
    </row>
    <row r="101" spans="2:39" x14ac:dyDescent="0.25">
      <c r="B101" s="126" t="s">
        <v>644</v>
      </c>
      <c r="C101" s="10" t="s">
        <v>645</v>
      </c>
      <c r="D101" s="198">
        <v>-89.4</v>
      </c>
      <c r="E101" s="8">
        <v>9</v>
      </c>
      <c r="F101" s="228">
        <f>(D101-D$99)/F$6/POWER(12,-12)</f>
        <v>-12.42204797102008</v>
      </c>
      <c r="G101" s="229" t="str">
        <f>"-"&amp;M101&amp;";"&amp;O101&amp;Q101&amp;S101&amp;U101&amp;W101&amp;Y101&amp;AA101&amp;AC101&amp;AE101&amp;AG101&amp;AI101&amp;AK101</f>
        <v>-1;05093705X</v>
      </c>
      <c r="H101" s="229"/>
      <c r="I101" s="291"/>
      <c r="J101" s="230">
        <v>1</v>
      </c>
      <c r="K101" s="231">
        <f>-F101/POWER(12,J101)+0.00000000000001</f>
        <v>1.0351706642516834</v>
      </c>
      <c r="L101" s="39" t="str">
        <f>INDEX(powers!$H$2:$H$75,33+J101)</f>
        <v>dozen</v>
      </c>
      <c r="M101" s="97" t="str">
        <f t="shared" si="131"/>
        <v>1</v>
      </c>
      <c r="N101" s="8">
        <f t="shared" si="132"/>
        <v>0.42204797102020031</v>
      </c>
      <c r="O101" s="96" t="str">
        <f t="shared" si="133"/>
        <v>0</v>
      </c>
      <c r="P101" s="8">
        <f t="shared" si="134"/>
        <v>5.0645756522424037</v>
      </c>
      <c r="Q101" s="96" t="str">
        <f t="shared" si="135"/>
        <v>5</v>
      </c>
      <c r="R101" s="8">
        <f t="shared" si="136"/>
        <v>0.7749078269088443</v>
      </c>
      <c r="S101" s="96" t="str">
        <f t="shared" si="137"/>
        <v>0</v>
      </c>
      <c r="T101" s="8">
        <f t="shared" si="138"/>
        <v>9.2988939229061316</v>
      </c>
      <c r="U101" s="96" t="str">
        <f t="shared" si="139"/>
        <v>9</v>
      </c>
      <c r="V101" s="8">
        <f t="shared" si="140"/>
        <v>3.5867270748735791</v>
      </c>
      <c r="W101" s="96" t="str">
        <f t="shared" si="141"/>
        <v>3</v>
      </c>
      <c r="X101" s="8">
        <f t="shared" si="142"/>
        <v>7.0407248984829494</v>
      </c>
      <c r="Y101" s="96" t="str">
        <f t="shared" si="143"/>
        <v>7</v>
      </c>
      <c r="Z101" s="8">
        <f t="shared" si="144"/>
        <v>0.48869878179539228</v>
      </c>
      <c r="AA101" s="96" t="str">
        <f t="shared" si="145"/>
        <v>0</v>
      </c>
      <c r="AB101" s="8">
        <f t="shared" si="146"/>
        <v>5.8643853815447073</v>
      </c>
      <c r="AC101" s="96" t="str">
        <f t="shared" si="147"/>
        <v>5</v>
      </c>
      <c r="AD101" s="8">
        <f t="shared" si="148"/>
        <v>10.372624578536488</v>
      </c>
      <c r="AE101" s="96" t="str">
        <f t="shared" si="149"/>
        <v>X</v>
      </c>
      <c r="AF101" s="8">
        <f t="shared" si="150"/>
        <v>4.4714949424378574</v>
      </c>
      <c r="AG101" s="96" t="str">
        <f t="shared" si="151"/>
        <v/>
      </c>
      <c r="AH101" s="8">
        <f t="shared" si="152"/>
        <v>5.6579393092542887</v>
      </c>
      <c r="AI101" s="96" t="str">
        <f t="shared" si="153"/>
        <v/>
      </c>
      <c r="AJ101" s="8">
        <f t="shared" si="154"/>
        <v>7.8952717110514641</v>
      </c>
      <c r="AK101" s="96" t="str">
        <f t="shared" si="155"/>
        <v/>
      </c>
    </row>
    <row r="102" spans="2:39" x14ac:dyDescent="0.25">
      <c r="B102" s="126"/>
      <c r="C102" s="9" t="s">
        <v>627</v>
      </c>
      <c r="D102" s="198">
        <v>-78</v>
      </c>
      <c r="E102" s="8">
        <v>9</v>
      </c>
      <c r="F102" s="228">
        <f t="shared" ref="F102:F122" si="156">(D102-D$99)/F$6/POWER(12,-12)</f>
        <v>-3.0061979691011982</v>
      </c>
      <c r="G102" s="229" t="str">
        <f>"-"&amp;M102&amp;";"&amp;O102&amp;Q102&amp;S102&amp;U102&amp;W102&amp;Y102&amp;AA102&amp;AC102&amp;AE102&amp;AG102&amp;AI102&amp;AK102</f>
        <v>-3;00X863053</v>
      </c>
      <c r="H102" s="229"/>
      <c r="I102" s="291"/>
      <c r="J102" s="230">
        <v>0</v>
      </c>
      <c r="K102" s="231">
        <f>-F102/POWER(12,J102)+0.00000000000001</f>
        <v>3.0061979691012084</v>
      </c>
      <c r="L102" s="39" t="str">
        <f>INDEX(powers!$H$2:$H$75,33+J102)</f>
        <v xml:space="preserve"> </v>
      </c>
      <c r="M102" s="97" t="str">
        <f t="shared" si="131"/>
        <v>3</v>
      </c>
      <c r="N102" s="8">
        <f t="shared" si="132"/>
        <v>7.4375629214500805E-2</v>
      </c>
      <c r="O102" s="96" t="str">
        <f t="shared" si="133"/>
        <v>0</v>
      </c>
      <c r="P102" s="8">
        <f t="shared" si="134"/>
        <v>0.89250755057400966</v>
      </c>
      <c r="Q102" s="96" t="str">
        <f t="shared" si="135"/>
        <v>0</v>
      </c>
      <c r="R102" s="8">
        <f t="shared" si="136"/>
        <v>10.710090606888116</v>
      </c>
      <c r="S102" s="96" t="str">
        <f t="shared" si="137"/>
        <v>X</v>
      </c>
      <c r="T102" s="8">
        <f t="shared" si="138"/>
        <v>8.5210872826573905</v>
      </c>
      <c r="U102" s="96" t="str">
        <f t="shared" si="139"/>
        <v>8</v>
      </c>
      <c r="V102" s="8">
        <f t="shared" si="140"/>
        <v>6.2530473918886855</v>
      </c>
      <c r="W102" s="96" t="str">
        <f t="shared" si="141"/>
        <v>6</v>
      </c>
      <c r="X102" s="8">
        <f t="shared" si="142"/>
        <v>3.0365687026642263</v>
      </c>
      <c r="Y102" s="96" t="str">
        <f t="shared" si="143"/>
        <v>3</v>
      </c>
      <c r="Z102" s="8">
        <f t="shared" si="144"/>
        <v>0.43882443197071552</v>
      </c>
      <c r="AA102" s="96" t="str">
        <f t="shared" si="145"/>
        <v>0</v>
      </c>
      <c r="AB102" s="8">
        <f t="shared" si="146"/>
        <v>5.2658931836485863</v>
      </c>
      <c r="AC102" s="96" t="str">
        <f t="shared" si="147"/>
        <v>5</v>
      </c>
      <c r="AD102" s="8">
        <f t="shared" si="148"/>
        <v>3.1907182037830353</v>
      </c>
      <c r="AE102" s="96" t="str">
        <f t="shared" si="149"/>
        <v>3</v>
      </c>
      <c r="AF102" s="8">
        <f t="shared" si="150"/>
        <v>2.2886184453964233</v>
      </c>
      <c r="AG102" s="96" t="str">
        <f t="shared" si="151"/>
        <v/>
      </c>
      <c r="AH102" s="8">
        <f t="shared" si="152"/>
        <v>3.4634213447570801</v>
      </c>
      <c r="AI102" s="96" t="str">
        <f t="shared" si="153"/>
        <v/>
      </c>
      <c r="AJ102" s="8">
        <f t="shared" si="154"/>
        <v>5.5610561370849609</v>
      </c>
      <c r="AK102" s="96" t="str">
        <f t="shared" si="155"/>
        <v/>
      </c>
    </row>
    <row r="103" spans="2:39" x14ac:dyDescent="0.25">
      <c r="B103" s="126"/>
      <c r="C103" s="9" t="s">
        <v>628</v>
      </c>
      <c r="D103" s="198">
        <v>-55</v>
      </c>
      <c r="E103" s="8">
        <v>9</v>
      </c>
      <c r="F103" s="127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285"/>
      <c r="J103" s="38">
        <v>1</v>
      </c>
      <c r="K103" s="128">
        <f t="shared" ref="K103:K122" si="158">F103/POWER(12,J103)+0.00000000000001</f>
        <v>1.3325576988039609</v>
      </c>
      <c r="L103" s="39" t="str">
        <f>INDEX(powers!$H$2:$H$75,33+J103)</f>
        <v>dozen</v>
      </c>
      <c r="M103" s="97" t="str">
        <f t="shared" si="131"/>
        <v>1</v>
      </c>
      <c r="N103" s="8">
        <f t="shared" si="132"/>
        <v>3.9906923856475309</v>
      </c>
      <c r="O103" s="96" t="str">
        <f t="shared" si="133"/>
        <v>3</v>
      </c>
      <c r="P103" s="8">
        <f t="shared" si="134"/>
        <v>11.888308627770371</v>
      </c>
      <c r="Q103" s="96" t="str">
        <f t="shared" si="135"/>
        <v>E</v>
      </c>
      <c r="R103" s="8">
        <f t="shared" si="136"/>
        <v>10.659703533244453</v>
      </c>
      <c r="S103" s="96" t="str">
        <f t="shared" si="137"/>
        <v>X</v>
      </c>
      <c r="T103" s="8">
        <f t="shared" si="138"/>
        <v>7.9164423989334409</v>
      </c>
      <c r="U103" s="96" t="str">
        <f t="shared" si="139"/>
        <v>7</v>
      </c>
      <c r="V103" s="8">
        <f t="shared" si="140"/>
        <v>10.997308787201291</v>
      </c>
      <c r="W103" s="96" t="str">
        <f t="shared" si="141"/>
        <v>X</v>
      </c>
      <c r="X103" s="8">
        <f t="shared" si="142"/>
        <v>11.967705446415493</v>
      </c>
      <c r="Y103" s="96" t="str">
        <f t="shared" si="143"/>
        <v>E</v>
      </c>
      <c r="Z103" s="8">
        <f t="shared" si="144"/>
        <v>11.612465356985922</v>
      </c>
      <c r="AA103" s="96" t="str">
        <f t="shared" si="145"/>
        <v>E</v>
      </c>
      <c r="AB103" s="8">
        <f t="shared" si="146"/>
        <v>7.3495842838310637</v>
      </c>
      <c r="AC103" s="96" t="str">
        <f t="shared" si="147"/>
        <v>7</v>
      </c>
      <c r="AD103" s="8">
        <f t="shared" si="148"/>
        <v>4.1950114059727639</v>
      </c>
      <c r="AE103" s="96" t="str">
        <f t="shared" si="149"/>
        <v>4</v>
      </c>
      <c r="AF103" s="8">
        <f t="shared" si="150"/>
        <v>2.3401368716731668</v>
      </c>
      <c r="AG103" s="96" t="str">
        <f t="shared" si="151"/>
        <v/>
      </c>
      <c r="AH103" s="8">
        <f t="shared" si="152"/>
        <v>4.081642460078001</v>
      </c>
      <c r="AI103" s="96" t="str">
        <f t="shared" si="153"/>
        <v/>
      </c>
      <c r="AJ103" s="8">
        <f t="shared" si="154"/>
        <v>0.97970952093601227</v>
      </c>
      <c r="AK103" s="96" t="str">
        <f t="shared" si="155"/>
        <v/>
      </c>
    </row>
    <row r="104" spans="2:39" x14ac:dyDescent="0.25">
      <c r="B104" s="126"/>
      <c r="C104" s="9" t="s">
        <v>629</v>
      </c>
      <c r="D104" s="198">
        <v>-32</v>
      </c>
      <c r="E104" s="8">
        <v>9</v>
      </c>
      <c r="F104" s="127">
        <f t="shared" si="156"/>
        <v>34.987582740396014</v>
      </c>
      <c r="G104" s="37" t="str">
        <f t="shared" si="157"/>
        <v>2;XEX266232</v>
      </c>
      <c r="H104" s="37"/>
      <c r="I104" s="285"/>
      <c r="J104" s="38">
        <v>1</v>
      </c>
      <c r="K104" s="128">
        <f t="shared" si="158"/>
        <v>2.9156318950330116</v>
      </c>
      <c r="L104" s="39" t="str">
        <f>INDEX(powers!$H$2:$H$75,33+J104)</f>
        <v>dozen</v>
      </c>
      <c r="M104" s="97" t="str">
        <f t="shared" si="131"/>
        <v>2</v>
      </c>
      <c r="N104" s="8">
        <f t="shared" si="132"/>
        <v>10.987582740396139</v>
      </c>
      <c r="O104" s="96" t="str">
        <f t="shared" si="133"/>
        <v>X</v>
      </c>
      <c r="P104" s="8">
        <f t="shared" si="134"/>
        <v>11.850992884753666</v>
      </c>
      <c r="Q104" s="96" t="str">
        <f t="shared" si="135"/>
        <v>E</v>
      </c>
      <c r="R104" s="8">
        <f t="shared" si="136"/>
        <v>10.211914617043988</v>
      </c>
      <c r="S104" s="96" t="str">
        <f t="shared" si="137"/>
        <v>X</v>
      </c>
      <c r="T104" s="8">
        <f t="shared" si="138"/>
        <v>2.5429754045278514</v>
      </c>
      <c r="U104" s="96" t="str">
        <f t="shared" si="139"/>
        <v>2</v>
      </c>
      <c r="V104" s="8">
        <f t="shared" si="140"/>
        <v>6.5157048543342171</v>
      </c>
      <c r="W104" s="96" t="str">
        <f t="shared" si="141"/>
        <v>6</v>
      </c>
      <c r="X104" s="8">
        <f t="shared" si="142"/>
        <v>6.1884582520106051</v>
      </c>
      <c r="Y104" s="96" t="str">
        <f t="shared" si="143"/>
        <v>6</v>
      </c>
      <c r="Z104" s="8">
        <f t="shared" si="144"/>
        <v>2.2614990241272608</v>
      </c>
      <c r="AA104" s="96" t="str">
        <f t="shared" si="145"/>
        <v>2</v>
      </c>
      <c r="AB104" s="8">
        <f t="shared" si="146"/>
        <v>3.1379882895271294</v>
      </c>
      <c r="AC104" s="96" t="str">
        <f t="shared" si="147"/>
        <v>3</v>
      </c>
      <c r="AD104" s="8">
        <f t="shared" si="148"/>
        <v>1.6558594743255526</v>
      </c>
      <c r="AE104" s="96" t="str">
        <f t="shared" si="149"/>
        <v>2</v>
      </c>
      <c r="AF104" s="8">
        <f t="shared" si="150"/>
        <v>7.870313691906631</v>
      </c>
      <c r="AG104" s="96" t="str">
        <f t="shared" si="151"/>
        <v/>
      </c>
      <c r="AH104" s="8">
        <f t="shared" si="152"/>
        <v>10.443764302879572</v>
      </c>
      <c r="AI104" s="96" t="str">
        <f t="shared" si="153"/>
        <v/>
      </c>
      <c r="AJ104" s="8">
        <f t="shared" si="154"/>
        <v>5.325171634554863</v>
      </c>
      <c r="AK104" s="96" t="str">
        <f t="shared" si="155"/>
        <v/>
      </c>
    </row>
    <row r="105" spans="2:39" x14ac:dyDescent="0.25">
      <c r="B105" s="126"/>
      <c r="C105" s="9" t="s">
        <v>630</v>
      </c>
      <c r="D105" s="198">
        <v>-17.8</v>
      </c>
      <c r="E105" s="8">
        <v>9</v>
      </c>
      <c r="F105" s="127">
        <f t="shared" si="156"/>
        <v>46.716097655066903</v>
      </c>
      <c r="G105" s="37" t="str">
        <f t="shared" si="157"/>
        <v>3;X87150018</v>
      </c>
      <c r="H105" s="37"/>
      <c r="I105" s="285"/>
      <c r="J105" s="38">
        <v>1</v>
      </c>
      <c r="K105" s="128">
        <f t="shared" si="158"/>
        <v>3.8930081379222523</v>
      </c>
      <c r="L105" s="39" t="str">
        <f>INDEX(powers!$H$2:$H$75,33+J105)</f>
        <v>dozen</v>
      </c>
      <c r="M105" s="97" t="str">
        <f t="shared" si="131"/>
        <v>3</v>
      </c>
      <c r="N105" s="8">
        <f t="shared" si="132"/>
        <v>10.716097655067028</v>
      </c>
      <c r="O105" s="96" t="str">
        <f t="shared" si="133"/>
        <v>X</v>
      </c>
      <c r="P105" s="8">
        <f t="shared" si="134"/>
        <v>8.5931718608043326</v>
      </c>
      <c r="Q105" s="96" t="str">
        <f t="shared" si="135"/>
        <v>8</v>
      </c>
      <c r="R105" s="8">
        <f t="shared" si="136"/>
        <v>7.1180623296519911</v>
      </c>
      <c r="S105" s="96" t="str">
        <f t="shared" si="137"/>
        <v>7</v>
      </c>
      <c r="T105" s="8">
        <f t="shared" si="138"/>
        <v>1.4167479558238938</v>
      </c>
      <c r="U105" s="96" t="str">
        <f t="shared" si="139"/>
        <v>1</v>
      </c>
      <c r="V105" s="8">
        <f t="shared" si="140"/>
        <v>5.0009754698867255</v>
      </c>
      <c r="W105" s="96" t="str">
        <f t="shared" si="141"/>
        <v>5</v>
      </c>
      <c r="X105" s="8">
        <f t="shared" si="142"/>
        <v>1.1705638640705729E-2</v>
      </c>
      <c r="Y105" s="96" t="str">
        <f t="shared" si="143"/>
        <v>0</v>
      </c>
      <c r="Z105" s="8">
        <f t="shared" si="144"/>
        <v>0.14046766368846875</v>
      </c>
      <c r="AA105" s="96" t="str">
        <f t="shared" si="145"/>
        <v>0</v>
      </c>
      <c r="AB105" s="8">
        <f t="shared" si="146"/>
        <v>1.685611964261625</v>
      </c>
      <c r="AC105" s="96" t="str">
        <f t="shared" si="147"/>
        <v>1</v>
      </c>
      <c r="AD105" s="8">
        <f t="shared" si="148"/>
        <v>8.2273435711394995</v>
      </c>
      <c r="AE105" s="96" t="str">
        <f t="shared" si="149"/>
        <v>8</v>
      </c>
      <c r="AF105" s="8">
        <f t="shared" si="150"/>
        <v>2.7281228536739945</v>
      </c>
      <c r="AG105" s="96" t="str">
        <f t="shared" si="151"/>
        <v/>
      </c>
      <c r="AH105" s="8">
        <f t="shared" si="152"/>
        <v>8.7374742440879345</v>
      </c>
      <c r="AI105" s="96" t="str">
        <f t="shared" si="153"/>
        <v/>
      </c>
      <c r="AJ105" s="8">
        <f t="shared" si="154"/>
        <v>8.8496909290552139</v>
      </c>
      <c r="AK105" s="96" t="str">
        <f t="shared" si="155"/>
        <v/>
      </c>
    </row>
    <row r="106" spans="2:39" x14ac:dyDescent="0.25">
      <c r="B106" s="126"/>
      <c r="C106" s="9" t="s">
        <v>631</v>
      </c>
      <c r="D106" s="198">
        <v>-9</v>
      </c>
      <c r="E106" s="8">
        <v>9</v>
      </c>
      <c r="F106" s="127">
        <f t="shared" si="156"/>
        <v>53.984473095144629</v>
      </c>
      <c r="G106" s="37" t="str">
        <f t="shared" si="157"/>
        <v>4;5E99204XE</v>
      </c>
      <c r="H106" s="37"/>
      <c r="I106" s="285"/>
      <c r="J106" s="38">
        <v>1</v>
      </c>
      <c r="K106" s="128">
        <f t="shared" si="158"/>
        <v>4.4987060912620622</v>
      </c>
      <c r="L106" s="39" t="str">
        <f>INDEX(powers!$H$2:$H$75,33+J106)</f>
        <v>dozen</v>
      </c>
      <c r="M106" s="97" t="str">
        <f t="shared" si="131"/>
        <v>4</v>
      </c>
      <c r="N106" s="8">
        <f t="shared" si="132"/>
        <v>5.9844730951447467</v>
      </c>
      <c r="O106" s="96" t="str">
        <f t="shared" si="133"/>
        <v>5</v>
      </c>
      <c r="P106" s="8">
        <f t="shared" si="134"/>
        <v>11.81367714173696</v>
      </c>
      <c r="Q106" s="96" t="str">
        <f t="shared" si="135"/>
        <v>E</v>
      </c>
      <c r="R106" s="8">
        <f t="shared" si="136"/>
        <v>9.7641257008435218</v>
      </c>
      <c r="S106" s="96" t="str">
        <f t="shared" si="137"/>
        <v>9</v>
      </c>
      <c r="T106" s="8">
        <f t="shared" si="138"/>
        <v>9.1695084101222619</v>
      </c>
      <c r="U106" s="96" t="str">
        <f t="shared" si="139"/>
        <v>9</v>
      </c>
      <c r="V106" s="8">
        <f t="shared" si="140"/>
        <v>2.0341009214671431</v>
      </c>
      <c r="W106" s="96" t="str">
        <f t="shared" si="141"/>
        <v>2</v>
      </c>
      <c r="X106" s="8">
        <f t="shared" si="142"/>
        <v>0.40921105760571663</v>
      </c>
      <c r="Y106" s="96" t="str">
        <f t="shared" si="143"/>
        <v>0</v>
      </c>
      <c r="Z106" s="8">
        <f t="shared" si="144"/>
        <v>4.9105326912685996</v>
      </c>
      <c r="AA106" s="96" t="str">
        <f t="shared" si="145"/>
        <v>4</v>
      </c>
      <c r="AB106" s="8">
        <f t="shared" si="146"/>
        <v>10.926392295223195</v>
      </c>
      <c r="AC106" s="96" t="str">
        <f t="shared" si="147"/>
        <v>X</v>
      </c>
      <c r="AD106" s="8">
        <f t="shared" si="148"/>
        <v>11.116707542678341</v>
      </c>
      <c r="AE106" s="96" t="str">
        <f t="shared" si="149"/>
        <v>E</v>
      </c>
      <c r="AF106" s="8">
        <f t="shared" si="150"/>
        <v>1.4004905121400952</v>
      </c>
      <c r="AG106" s="96" t="str">
        <f t="shared" si="151"/>
        <v/>
      </c>
      <c r="AH106" s="8">
        <f t="shared" si="152"/>
        <v>4.8058861456811428</v>
      </c>
      <c r="AI106" s="96" t="str">
        <f t="shared" si="153"/>
        <v/>
      </c>
      <c r="AJ106" s="8">
        <f t="shared" si="154"/>
        <v>9.6706337481737137</v>
      </c>
      <c r="AK106" s="96" t="str">
        <f t="shared" si="155"/>
        <v/>
      </c>
    </row>
    <row r="107" spans="2:39" x14ac:dyDescent="0.25">
      <c r="B107" s="126" t="s">
        <v>647</v>
      </c>
      <c r="C107" s="9" t="s">
        <v>632</v>
      </c>
      <c r="D107" s="198">
        <v>0</v>
      </c>
      <c r="E107" s="8">
        <v>9</v>
      </c>
      <c r="F107" s="127">
        <f t="shared" si="156"/>
        <v>61.418038886133218</v>
      </c>
      <c r="G107" s="37" t="str">
        <f t="shared" si="157"/>
        <v>5;150245551</v>
      </c>
      <c r="H107" s="37"/>
      <c r="I107" s="285"/>
      <c r="J107" s="38">
        <v>1</v>
      </c>
      <c r="K107" s="128">
        <f t="shared" si="158"/>
        <v>5.1181699071777782</v>
      </c>
      <c r="L107" s="39" t="str">
        <f>INDEX(powers!$H$2:$H$75,33+J107)</f>
        <v>dozen</v>
      </c>
      <c r="M107" s="97" t="str">
        <f t="shared" si="131"/>
        <v>5</v>
      </c>
      <c r="N107" s="8">
        <f t="shared" si="132"/>
        <v>1.4180388861333384</v>
      </c>
      <c r="O107" s="96" t="str">
        <f t="shared" si="133"/>
        <v>1</v>
      </c>
      <c r="P107" s="8">
        <f t="shared" si="134"/>
        <v>5.0164666336000607</v>
      </c>
      <c r="Q107" s="96" t="str">
        <f t="shared" si="135"/>
        <v>5</v>
      </c>
      <c r="R107" s="8">
        <f t="shared" si="136"/>
        <v>0.19759960320072878</v>
      </c>
      <c r="S107" s="96" t="str">
        <f t="shared" si="137"/>
        <v>0</v>
      </c>
      <c r="T107" s="8">
        <f t="shared" si="138"/>
        <v>2.3711952384087454</v>
      </c>
      <c r="U107" s="96" t="str">
        <f t="shared" si="139"/>
        <v>2</v>
      </c>
      <c r="V107" s="8">
        <f t="shared" si="140"/>
        <v>4.4543428609049442</v>
      </c>
      <c r="W107" s="96" t="str">
        <f t="shared" si="141"/>
        <v>4</v>
      </c>
      <c r="X107" s="8">
        <f t="shared" si="142"/>
        <v>5.4521143308593309</v>
      </c>
      <c r="Y107" s="96" t="str">
        <f t="shared" si="143"/>
        <v>5</v>
      </c>
      <c r="Z107" s="8">
        <f t="shared" si="144"/>
        <v>5.4253719703119714</v>
      </c>
      <c r="AA107" s="96" t="str">
        <f t="shared" si="145"/>
        <v>5</v>
      </c>
      <c r="AB107" s="8">
        <f t="shared" si="146"/>
        <v>5.1044636437436566</v>
      </c>
      <c r="AC107" s="96" t="str">
        <f t="shared" si="147"/>
        <v>5</v>
      </c>
      <c r="AD107" s="8">
        <f t="shared" si="148"/>
        <v>1.2535637249238789</v>
      </c>
      <c r="AE107" s="96" t="str">
        <f t="shared" si="149"/>
        <v>1</v>
      </c>
      <c r="AF107" s="8">
        <f t="shared" si="150"/>
        <v>3.0427646990865469</v>
      </c>
      <c r="AG107" s="96" t="str">
        <f t="shared" si="151"/>
        <v/>
      </c>
      <c r="AH107" s="8">
        <f t="shared" si="152"/>
        <v>0.51317638903856277</v>
      </c>
      <c r="AI107" s="96" t="str">
        <f t="shared" si="153"/>
        <v/>
      </c>
      <c r="AJ107" s="8">
        <f t="shared" si="154"/>
        <v>6.1581166684627533</v>
      </c>
      <c r="AK107" s="96" t="str">
        <f t="shared" si="155"/>
        <v/>
      </c>
      <c r="AL107" s="238">
        <f>5*12+1+5/12</f>
        <v>61.416666666666664</v>
      </c>
      <c r="AM107" s="238">
        <f t="shared" ref="AM107:AM109" si="159">-AL107*F$6*POWER(12,-12)+D107</f>
        <v>-74.358661178471934</v>
      </c>
    </row>
    <row r="108" spans="2:39" x14ac:dyDescent="0.25">
      <c r="B108" s="126" t="s">
        <v>656</v>
      </c>
      <c r="C108" s="9" t="s">
        <v>657</v>
      </c>
      <c r="D108" s="198">
        <v>8.8999999999999995E-5</v>
      </c>
      <c r="E108" s="8">
        <v>9</v>
      </c>
      <c r="F108" s="127">
        <f t="shared" si="156"/>
        <v>61.418112395839373</v>
      </c>
      <c r="G108" s="37" t="str">
        <f t="shared" si="157"/>
        <v>5;15025E8E1</v>
      </c>
      <c r="H108" s="37"/>
      <c r="I108" s="285"/>
      <c r="J108" s="38">
        <v>1</v>
      </c>
      <c r="K108" s="128">
        <f t="shared" si="158"/>
        <v>5.1181760329866242</v>
      </c>
      <c r="L108" s="39" t="str">
        <f>INDEX(powers!$H$2:$H$75,33+J108)</f>
        <v>dozen</v>
      </c>
      <c r="M108" s="97" t="str">
        <f t="shared" si="131"/>
        <v>5</v>
      </c>
      <c r="N108" s="8">
        <f t="shared" si="132"/>
        <v>1.4181123958394899</v>
      </c>
      <c r="O108" s="96" t="str">
        <f t="shared" si="133"/>
        <v>1</v>
      </c>
      <c r="P108" s="8">
        <f t="shared" si="134"/>
        <v>5.0173487500738787</v>
      </c>
      <c r="Q108" s="96" t="str">
        <f t="shared" si="135"/>
        <v>5</v>
      </c>
      <c r="R108" s="8">
        <f t="shared" si="136"/>
        <v>0.20818500088654446</v>
      </c>
      <c r="S108" s="96" t="str">
        <f t="shared" si="137"/>
        <v>0</v>
      </c>
      <c r="T108" s="8">
        <f t="shared" si="138"/>
        <v>2.4982200106385335</v>
      </c>
      <c r="U108" s="96" t="str">
        <f t="shared" si="139"/>
        <v>2</v>
      </c>
      <c r="V108" s="8">
        <f t="shared" si="140"/>
        <v>5.9786401276624019</v>
      </c>
      <c r="W108" s="96" t="str">
        <f t="shared" si="141"/>
        <v>5</v>
      </c>
      <c r="X108" s="8">
        <f t="shared" si="142"/>
        <v>11.743681531948823</v>
      </c>
      <c r="Y108" s="96" t="str">
        <f t="shared" si="143"/>
        <v>E</v>
      </c>
      <c r="Z108" s="8">
        <f t="shared" si="144"/>
        <v>8.924178383385879</v>
      </c>
      <c r="AA108" s="96" t="str">
        <f t="shared" si="145"/>
        <v>8</v>
      </c>
      <c r="AB108" s="8">
        <f t="shared" si="146"/>
        <v>11.090140600630548</v>
      </c>
      <c r="AC108" s="96" t="str">
        <f t="shared" si="147"/>
        <v>E</v>
      </c>
      <c r="AD108" s="8">
        <f t="shared" si="148"/>
        <v>1.0816872075665742</v>
      </c>
      <c r="AE108" s="96" t="str">
        <f t="shared" si="149"/>
        <v>1</v>
      </c>
      <c r="AF108" s="8">
        <f t="shared" si="150"/>
        <v>0.98024649079889059</v>
      </c>
      <c r="AG108" s="96" t="str">
        <f t="shared" si="151"/>
        <v/>
      </c>
      <c r="AH108" s="8">
        <f t="shared" si="152"/>
        <v>11.762957889586687</v>
      </c>
      <c r="AI108" s="96" t="str">
        <f t="shared" si="153"/>
        <v/>
      </c>
      <c r="AJ108" s="8">
        <f t="shared" si="154"/>
        <v>9.1554946750402451</v>
      </c>
      <c r="AK108" s="96" t="str">
        <f t="shared" si="155"/>
        <v/>
      </c>
      <c r="AL108" s="238">
        <f>5*12+1+5/12</f>
        <v>61.416666666666664</v>
      </c>
      <c r="AM108" s="238">
        <f t="shared" si="159"/>
        <v>-74.358572178471931</v>
      </c>
    </row>
    <row r="109" spans="2:39" x14ac:dyDescent="0.25">
      <c r="B109" s="126" t="s">
        <v>648</v>
      </c>
      <c r="C109" s="9" t="s">
        <v>642</v>
      </c>
      <c r="D109" s="198">
        <v>0.01</v>
      </c>
      <c r="E109" s="8">
        <v>9</v>
      </c>
      <c r="F109" s="127">
        <f t="shared" si="156"/>
        <v>61.426298403678764</v>
      </c>
      <c r="G109" s="37" t="str">
        <f t="shared" si="157"/>
        <v>5;151478827</v>
      </c>
      <c r="H109" s="37"/>
      <c r="I109" s="285"/>
      <c r="J109" s="38">
        <v>1</v>
      </c>
      <c r="K109" s="128">
        <f t="shared" si="158"/>
        <v>5.1188582003065735</v>
      </c>
      <c r="L109" s="39" t="str">
        <f>INDEX(powers!$H$2:$H$75,33+J109)</f>
        <v>dozen</v>
      </c>
      <c r="M109" s="97" t="str">
        <f t="shared" si="131"/>
        <v>5</v>
      </c>
      <c r="N109" s="8">
        <f t="shared" si="132"/>
        <v>1.4262984036788815</v>
      </c>
      <c r="O109" s="96" t="str">
        <f t="shared" si="133"/>
        <v>1</v>
      </c>
      <c r="P109" s="8">
        <f t="shared" si="134"/>
        <v>5.115580844146578</v>
      </c>
      <c r="Q109" s="96" t="str">
        <f t="shared" si="135"/>
        <v>5</v>
      </c>
      <c r="R109" s="8">
        <f t="shared" si="136"/>
        <v>1.3869701297589359</v>
      </c>
      <c r="S109" s="96" t="str">
        <f t="shared" si="137"/>
        <v>1</v>
      </c>
      <c r="T109" s="8">
        <f t="shared" si="138"/>
        <v>4.6436415571072303</v>
      </c>
      <c r="U109" s="96" t="str">
        <f t="shared" si="139"/>
        <v>4</v>
      </c>
      <c r="V109" s="8">
        <f t="shared" si="140"/>
        <v>7.7236986852867631</v>
      </c>
      <c r="W109" s="96" t="str">
        <f t="shared" si="141"/>
        <v>7</v>
      </c>
      <c r="X109" s="8">
        <f t="shared" si="142"/>
        <v>8.6843842234411568</v>
      </c>
      <c r="Y109" s="96" t="str">
        <f t="shared" si="143"/>
        <v>8</v>
      </c>
      <c r="Z109" s="8">
        <f t="shared" si="144"/>
        <v>8.2126106812938815</v>
      </c>
      <c r="AA109" s="96" t="str">
        <f t="shared" si="145"/>
        <v>8</v>
      </c>
      <c r="AB109" s="8">
        <f t="shared" si="146"/>
        <v>2.551328175526578</v>
      </c>
      <c r="AC109" s="96" t="str">
        <f t="shared" si="147"/>
        <v>2</v>
      </c>
      <c r="AD109" s="8">
        <f t="shared" si="148"/>
        <v>6.6159381063189358</v>
      </c>
      <c r="AE109" s="96" t="str">
        <f t="shared" si="149"/>
        <v>7</v>
      </c>
      <c r="AF109" s="8">
        <f t="shared" si="150"/>
        <v>7.391257275827229</v>
      </c>
      <c r="AG109" s="96" t="str">
        <f t="shared" si="151"/>
        <v/>
      </c>
      <c r="AH109" s="8">
        <f t="shared" si="152"/>
        <v>4.6950873099267483</v>
      </c>
      <c r="AI109" s="96" t="str">
        <f t="shared" si="153"/>
        <v/>
      </c>
      <c r="AJ109" s="8">
        <f t="shared" si="154"/>
        <v>8.3410477191209793</v>
      </c>
      <c r="AK109" s="96" t="str">
        <f t="shared" si="155"/>
        <v/>
      </c>
      <c r="AL109" s="238">
        <f>5*12+1+5/12</f>
        <v>61.416666666666664</v>
      </c>
      <c r="AM109" s="238">
        <f t="shared" si="159"/>
        <v>-74.348661178471929</v>
      </c>
    </row>
    <row r="110" spans="2:39" x14ac:dyDescent="0.25">
      <c r="B110" s="126" t="s">
        <v>650</v>
      </c>
      <c r="C110" s="9" t="s">
        <v>633</v>
      </c>
      <c r="D110" s="198">
        <v>3.98</v>
      </c>
      <c r="E110" s="8">
        <v>9</v>
      </c>
      <c r="F110" s="127">
        <f t="shared" si="156"/>
        <v>64.705326869259281</v>
      </c>
      <c r="G110" s="37" t="str">
        <f t="shared" si="157"/>
        <v>5;485697X8E</v>
      </c>
      <c r="H110" s="37"/>
      <c r="I110" s="285"/>
      <c r="J110" s="38">
        <v>1</v>
      </c>
      <c r="K110" s="128">
        <f t="shared" si="158"/>
        <v>5.3921105724382832</v>
      </c>
      <c r="L110" s="39" t="str">
        <f>INDEX(powers!$H$2:$H$75,33+J110)</f>
        <v>dozen</v>
      </c>
      <c r="M110" s="97" t="str">
        <f t="shared" si="131"/>
        <v>5</v>
      </c>
      <c r="N110" s="8">
        <f t="shared" si="132"/>
        <v>4.7053268692593981</v>
      </c>
      <c r="O110" s="96" t="str">
        <f t="shared" si="133"/>
        <v>4</v>
      </c>
      <c r="P110" s="8">
        <f t="shared" si="134"/>
        <v>8.4639224311127776</v>
      </c>
      <c r="Q110" s="96" t="str">
        <f t="shared" si="135"/>
        <v>8</v>
      </c>
      <c r="R110" s="8">
        <f t="shared" si="136"/>
        <v>5.5670691733533317</v>
      </c>
      <c r="S110" s="96" t="str">
        <f t="shared" si="137"/>
        <v>5</v>
      </c>
      <c r="T110" s="8">
        <f t="shared" si="138"/>
        <v>6.8048300802399808</v>
      </c>
      <c r="U110" s="96" t="str">
        <f t="shared" si="139"/>
        <v>6</v>
      </c>
      <c r="V110" s="8">
        <f t="shared" si="140"/>
        <v>9.6579609628797698</v>
      </c>
      <c r="W110" s="96" t="str">
        <f t="shared" si="141"/>
        <v>9</v>
      </c>
      <c r="X110" s="8">
        <f t="shared" si="142"/>
        <v>7.8955315545572375</v>
      </c>
      <c r="Y110" s="96" t="str">
        <f t="shared" si="143"/>
        <v>7</v>
      </c>
      <c r="Z110" s="8">
        <f t="shared" si="144"/>
        <v>10.74637865468685</v>
      </c>
      <c r="AA110" s="96" t="str">
        <f t="shared" si="145"/>
        <v>X</v>
      </c>
      <c r="AB110" s="8">
        <f t="shared" si="146"/>
        <v>8.9565438562422059</v>
      </c>
      <c r="AC110" s="96" t="str">
        <f t="shared" si="147"/>
        <v>8</v>
      </c>
      <c r="AD110" s="8">
        <f t="shared" si="148"/>
        <v>11.478526274906471</v>
      </c>
      <c r="AE110" s="96" t="str">
        <f t="shared" si="149"/>
        <v>E</v>
      </c>
      <c r="AF110" s="8">
        <f t="shared" si="150"/>
        <v>5.7423152988776565</v>
      </c>
      <c r="AG110" s="96" t="str">
        <f t="shared" si="151"/>
        <v/>
      </c>
      <c r="AH110" s="8">
        <f t="shared" si="152"/>
        <v>8.9077835865318775</v>
      </c>
      <c r="AI110" s="96" t="str">
        <f t="shared" si="153"/>
        <v/>
      </c>
      <c r="AJ110" s="8">
        <f t="shared" si="154"/>
        <v>10.89340303838253</v>
      </c>
      <c r="AK110" s="96" t="str">
        <f t="shared" si="155"/>
        <v/>
      </c>
    </row>
    <row r="111" spans="2:39" x14ac:dyDescent="0.25">
      <c r="B111" s="126"/>
      <c r="C111" s="9" t="s">
        <v>634</v>
      </c>
      <c r="D111" s="198">
        <v>14</v>
      </c>
      <c r="E111" s="8">
        <v>9</v>
      </c>
      <c r="F111" s="127">
        <f t="shared" si="156"/>
        <v>72.981363449893237</v>
      </c>
      <c r="G111" s="37" t="str">
        <f t="shared" si="157"/>
        <v>6;0E9396769</v>
      </c>
      <c r="H111" s="37"/>
      <c r="I111" s="285"/>
      <c r="J111" s="38">
        <v>1</v>
      </c>
      <c r="K111" s="128">
        <f t="shared" si="158"/>
        <v>6.0817802874911129</v>
      </c>
      <c r="L111" s="39" t="str">
        <f>INDEX(powers!$H$2:$H$75,33+J111)</f>
        <v>dozen</v>
      </c>
      <c r="M111" s="97" t="str">
        <f t="shared" si="131"/>
        <v>6</v>
      </c>
      <c r="N111" s="8">
        <f t="shared" si="132"/>
        <v>0.98136344989335456</v>
      </c>
      <c r="O111" s="96" t="str">
        <f t="shared" si="133"/>
        <v>0</v>
      </c>
      <c r="P111" s="8">
        <f t="shared" si="134"/>
        <v>11.776361398720255</v>
      </c>
      <c r="Q111" s="96" t="str">
        <f t="shared" si="135"/>
        <v>E</v>
      </c>
      <c r="R111" s="8">
        <f t="shared" si="136"/>
        <v>9.316336784643056</v>
      </c>
      <c r="S111" s="96" t="str">
        <f t="shared" si="137"/>
        <v>9</v>
      </c>
      <c r="T111" s="8">
        <f t="shared" si="138"/>
        <v>3.7960414157166724</v>
      </c>
      <c r="U111" s="96" t="str">
        <f t="shared" si="139"/>
        <v>3</v>
      </c>
      <c r="V111" s="8">
        <f t="shared" si="140"/>
        <v>9.552496988600069</v>
      </c>
      <c r="W111" s="96" t="str">
        <f t="shared" si="141"/>
        <v>9</v>
      </c>
      <c r="X111" s="8">
        <f t="shared" si="142"/>
        <v>6.6299638632008282</v>
      </c>
      <c r="Y111" s="96" t="str">
        <f t="shared" si="143"/>
        <v>6</v>
      </c>
      <c r="Z111" s="8">
        <f t="shared" si="144"/>
        <v>7.5595663584099384</v>
      </c>
      <c r="AA111" s="96" t="str">
        <f t="shared" si="145"/>
        <v>7</v>
      </c>
      <c r="AB111" s="8">
        <f t="shared" si="146"/>
        <v>6.7147963009192608</v>
      </c>
      <c r="AC111" s="96" t="str">
        <f t="shared" si="147"/>
        <v>6</v>
      </c>
      <c r="AD111" s="8">
        <f t="shared" si="148"/>
        <v>8.57755561103113</v>
      </c>
      <c r="AE111" s="96" t="str">
        <f t="shared" si="149"/>
        <v>9</v>
      </c>
      <c r="AF111" s="8">
        <f t="shared" si="150"/>
        <v>6.9306673323735595</v>
      </c>
      <c r="AG111" s="96" t="str">
        <f t="shared" si="151"/>
        <v/>
      </c>
      <c r="AH111" s="8">
        <f t="shared" si="152"/>
        <v>11.168007988482714</v>
      </c>
      <c r="AI111" s="96" t="str">
        <f t="shared" si="153"/>
        <v/>
      </c>
      <c r="AJ111" s="8">
        <f t="shared" si="154"/>
        <v>2.0160958617925644</v>
      </c>
      <c r="AK111" s="96" t="str">
        <f t="shared" si="155"/>
        <v/>
      </c>
    </row>
    <row r="112" spans="2:39" x14ac:dyDescent="0.25">
      <c r="B112" s="126"/>
      <c r="C112" s="9" t="s">
        <v>654</v>
      </c>
      <c r="D112" s="198">
        <v>15</v>
      </c>
      <c r="E112" s="8">
        <v>9</v>
      </c>
      <c r="F112" s="127">
        <f t="shared" si="156"/>
        <v>73.807315204447519</v>
      </c>
      <c r="G112" s="37" t="str">
        <f t="shared" si="157"/>
        <v>6;198305X35</v>
      </c>
      <c r="H112" s="37"/>
      <c r="I112" s="285"/>
      <c r="J112" s="38">
        <v>1</v>
      </c>
      <c r="K112" s="128">
        <f t="shared" si="158"/>
        <v>6.1506096003706361</v>
      </c>
      <c r="L112" s="39" t="str">
        <f>INDEX(powers!$H$2:$H$75,33+J112)</f>
        <v>dozen</v>
      </c>
      <c r="M112" s="97" t="str">
        <f t="shared" si="131"/>
        <v>6</v>
      </c>
      <c r="N112" s="8">
        <f t="shared" si="132"/>
        <v>1.8073152044476331</v>
      </c>
      <c r="O112" s="96" t="str">
        <f t="shared" si="133"/>
        <v>1</v>
      </c>
      <c r="P112" s="8">
        <f t="shared" si="134"/>
        <v>9.6877824533715966</v>
      </c>
      <c r="Q112" s="96" t="str">
        <f t="shared" si="135"/>
        <v>9</v>
      </c>
      <c r="R112" s="8">
        <f t="shared" si="136"/>
        <v>8.2533894404591592</v>
      </c>
      <c r="S112" s="96" t="str">
        <f t="shared" si="137"/>
        <v>8</v>
      </c>
      <c r="T112" s="8">
        <f t="shared" si="138"/>
        <v>3.0406732855099108</v>
      </c>
      <c r="U112" s="96" t="str">
        <f t="shared" si="139"/>
        <v>3</v>
      </c>
      <c r="V112" s="8">
        <f t="shared" si="140"/>
        <v>0.4880794261189294</v>
      </c>
      <c r="W112" s="96" t="str">
        <f t="shared" si="141"/>
        <v>0</v>
      </c>
      <c r="X112" s="8">
        <f t="shared" si="142"/>
        <v>5.8569531134271529</v>
      </c>
      <c r="Y112" s="96" t="str">
        <f t="shared" si="143"/>
        <v>5</v>
      </c>
      <c r="Z112" s="8">
        <f t="shared" si="144"/>
        <v>10.283437361125834</v>
      </c>
      <c r="AA112" s="96" t="str">
        <f t="shared" si="145"/>
        <v>X</v>
      </c>
      <c r="AB112" s="8">
        <f t="shared" si="146"/>
        <v>3.4012483335100114</v>
      </c>
      <c r="AC112" s="96" t="str">
        <f t="shared" si="147"/>
        <v>3</v>
      </c>
      <c r="AD112" s="8">
        <f t="shared" si="148"/>
        <v>4.8149800021201372</v>
      </c>
      <c r="AE112" s="96" t="str">
        <f t="shared" si="149"/>
        <v>5</v>
      </c>
      <c r="AF112" s="8">
        <f t="shared" si="150"/>
        <v>9.7797600254416466</v>
      </c>
      <c r="AG112" s="96" t="str">
        <f t="shared" si="151"/>
        <v/>
      </c>
      <c r="AH112" s="8">
        <f t="shared" si="152"/>
        <v>9.3571203052997589</v>
      </c>
      <c r="AI112" s="96" t="str">
        <f t="shared" si="153"/>
        <v/>
      </c>
      <c r="AJ112" s="8">
        <f t="shared" si="154"/>
        <v>4.2854436635971069</v>
      </c>
      <c r="AK112" s="96" t="str">
        <f t="shared" si="155"/>
        <v/>
      </c>
      <c r="AL112" s="238">
        <f>6*12+1+9/12+8/144+3/1728</f>
        <v>73.807291666666671</v>
      </c>
      <c r="AM112" s="238">
        <f>-AL112*F$6*POWER(12,-12)+D112</f>
        <v>-74.360294060390586</v>
      </c>
    </row>
    <row r="113" spans="2:39" x14ac:dyDescent="0.25">
      <c r="B113" s="126"/>
      <c r="C113" s="9" t="s">
        <v>635</v>
      </c>
      <c r="D113" s="198">
        <v>20</v>
      </c>
      <c r="E113" s="8">
        <v>9</v>
      </c>
      <c r="F113" s="127">
        <f t="shared" si="156"/>
        <v>77.937073977218958</v>
      </c>
      <c r="G113" s="37" t="str">
        <f t="shared" si="157"/>
        <v>6;5E2E31EXX</v>
      </c>
      <c r="H113" s="37"/>
      <c r="I113" s="285"/>
      <c r="J113" s="38">
        <v>1</v>
      </c>
      <c r="K113" s="128">
        <f t="shared" si="158"/>
        <v>6.4947561647682566</v>
      </c>
      <c r="L113" s="39" t="str">
        <f>INDEX(powers!$H$2:$H$75,33+J113)</f>
        <v>dozen</v>
      </c>
      <c r="M113" s="97" t="str">
        <f t="shared" si="131"/>
        <v>6</v>
      </c>
      <c r="N113" s="8">
        <f t="shared" si="132"/>
        <v>5.9370739772190788</v>
      </c>
      <c r="O113" s="96" t="str">
        <f t="shared" si="133"/>
        <v>5</v>
      </c>
      <c r="P113" s="8">
        <f t="shared" si="134"/>
        <v>11.244887726628946</v>
      </c>
      <c r="Q113" s="96" t="str">
        <f t="shared" si="135"/>
        <v>E</v>
      </c>
      <c r="R113" s="8">
        <f t="shared" si="136"/>
        <v>2.9386527195473491</v>
      </c>
      <c r="S113" s="96" t="str">
        <f t="shared" si="137"/>
        <v>2</v>
      </c>
      <c r="T113" s="8">
        <f t="shared" si="138"/>
        <v>11.263832634568189</v>
      </c>
      <c r="U113" s="96" t="str">
        <f t="shared" si="139"/>
        <v>E</v>
      </c>
      <c r="V113" s="8">
        <f t="shared" si="140"/>
        <v>3.1659916148182674</v>
      </c>
      <c r="W113" s="96" t="str">
        <f t="shared" si="141"/>
        <v>3</v>
      </c>
      <c r="X113" s="8">
        <f t="shared" si="142"/>
        <v>1.9918993778192089</v>
      </c>
      <c r="Y113" s="96" t="str">
        <f t="shared" si="143"/>
        <v>1</v>
      </c>
      <c r="Z113" s="8">
        <f t="shared" si="144"/>
        <v>11.902792533830507</v>
      </c>
      <c r="AA113" s="96" t="str">
        <f t="shared" si="145"/>
        <v>E</v>
      </c>
      <c r="AB113" s="8">
        <f t="shared" si="146"/>
        <v>10.833510405966081</v>
      </c>
      <c r="AC113" s="96" t="str">
        <f t="shared" si="147"/>
        <v>X</v>
      </c>
      <c r="AD113" s="8">
        <f t="shared" si="148"/>
        <v>10.002124871592969</v>
      </c>
      <c r="AE113" s="96" t="str">
        <f t="shared" si="149"/>
        <v>X</v>
      </c>
      <c r="AF113" s="8">
        <f t="shared" si="150"/>
        <v>2.5498459115624428E-2</v>
      </c>
      <c r="AG113" s="96" t="str">
        <f t="shared" si="151"/>
        <v/>
      </c>
      <c r="AH113" s="8">
        <f t="shared" si="152"/>
        <v>0.30598150938749313</v>
      </c>
      <c r="AI113" s="96" t="str">
        <f t="shared" si="153"/>
        <v/>
      </c>
      <c r="AJ113" s="8">
        <f t="shared" si="154"/>
        <v>3.6717781126499176</v>
      </c>
      <c r="AK113" s="96" t="str">
        <f t="shared" si="155"/>
        <v/>
      </c>
    </row>
    <row r="114" spans="2:39" x14ac:dyDescent="0.25">
      <c r="B114" s="126"/>
      <c r="C114" s="9" t="s">
        <v>655</v>
      </c>
      <c r="D114" s="198">
        <v>25.5</v>
      </c>
      <c r="E114" s="8">
        <v>9</v>
      </c>
      <c r="F114" s="127">
        <f t="shared" si="156"/>
        <v>82.479808627267545</v>
      </c>
      <c r="G114" s="37" t="str">
        <f t="shared" si="157"/>
        <v>6;X591138X7</v>
      </c>
      <c r="H114" s="37"/>
      <c r="I114" s="285"/>
      <c r="J114" s="38">
        <v>1</v>
      </c>
      <c r="K114" s="128">
        <f t="shared" si="158"/>
        <v>6.8733173856056382</v>
      </c>
      <c r="L114" s="39" t="str">
        <f>INDEX(powers!$H$2:$H$75,33+J114)</f>
        <v>dozen</v>
      </c>
      <c r="M114" s="97" t="str">
        <f t="shared" si="131"/>
        <v>6</v>
      </c>
      <c r="N114" s="8">
        <f t="shared" si="132"/>
        <v>10.479808627267658</v>
      </c>
      <c r="O114" s="96" t="str">
        <f t="shared" si="133"/>
        <v>X</v>
      </c>
      <c r="P114" s="8">
        <f t="shared" si="134"/>
        <v>5.7577035272119019</v>
      </c>
      <c r="Q114" s="96" t="str">
        <f t="shared" si="135"/>
        <v>5</v>
      </c>
      <c r="R114" s="8">
        <f t="shared" si="136"/>
        <v>9.0924423265428231</v>
      </c>
      <c r="S114" s="96" t="str">
        <f t="shared" si="137"/>
        <v>9</v>
      </c>
      <c r="T114" s="8">
        <f t="shared" si="138"/>
        <v>1.1093079185138777</v>
      </c>
      <c r="U114" s="96" t="str">
        <f t="shared" si="139"/>
        <v>1</v>
      </c>
      <c r="V114" s="8">
        <f t="shared" si="140"/>
        <v>1.311695022166532</v>
      </c>
      <c r="W114" s="96" t="str">
        <f t="shared" si="141"/>
        <v>1</v>
      </c>
      <c r="X114" s="8">
        <f t="shared" si="142"/>
        <v>3.740340265998384</v>
      </c>
      <c r="Y114" s="96" t="str">
        <f t="shared" si="143"/>
        <v>3</v>
      </c>
      <c r="Z114" s="8">
        <f t="shared" si="144"/>
        <v>8.8840831919806078</v>
      </c>
      <c r="AA114" s="96" t="str">
        <f t="shared" si="145"/>
        <v>8</v>
      </c>
      <c r="AB114" s="8">
        <f t="shared" si="146"/>
        <v>10.608998303767294</v>
      </c>
      <c r="AC114" s="96" t="str">
        <f t="shared" si="147"/>
        <v>X</v>
      </c>
      <c r="AD114" s="8">
        <f t="shared" si="148"/>
        <v>7.3079796452075243</v>
      </c>
      <c r="AE114" s="96" t="str">
        <f t="shared" si="149"/>
        <v>7</v>
      </c>
      <c r="AF114" s="8">
        <f t="shared" si="150"/>
        <v>3.6957557424902916</v>
      </c>
      <c r="AG114" s="96" t="str">
        <f t="shared" si="151"/>
        <v/>
      </c>
      <c r="AH114" s="8">
        <f t="shared" si="152"/>
        <v>8.3490689098834991</v>
      </c>
      <c r="AI114" s="96" t="str">
        <f t="shared" si="153"/>
        <v/>
      </c>
      <c r="AJ114" s="8">
        <f t="shared" si="154"/>
        <v>4.1888269186019897</v>
      </c>
      <c r="AK114" s="96" t="str">
        <f t="shared" si="155"/>
        <v/>
      </c>
      <c r="AL114" s="238">
        <f>6*12+10+6/12</f>
        <v>82.5</v>
      </c>
      <c r="AM114" s="238">
        <f>-AL114*F$6*POWER(12,-12)+D114</f>
        <v>-74.384768747201107</v>
      </c>
    </row>
    <row r="115" spans="2:39" x14ac:dyDescent="0.25">
      <c r="B115" s="91"/>
      <c r="C115" s="9" t="s">
        <v>636</v>
      </c>
      <c r="D115" s="198">
        <v>37</v>
      </c>
      <c r="E115" s="8">
        <v>9</v>
      </c>
      <c r="F115" s="127">
        <f t="shared" si="156"/>
        <v>91.978253804641852</v>
      </c>
      <c r="G115" s="37" t="str">
        <f t="shared" si="157"/>
        <v>7;7E8X50X26</v>
      </c>
      <c r="H115" s="37"/>
      <c r="I115" s="285"/>
      <c r="J115" s="38">
        <v>1</v>
      </c>
      <c r="K115" s="128">
        <f t="shared" si="158"/>
        <v>7.6648544837201644</v>
      </c>
      <c r="L115" s="39" t="str">
        <f>INDEX(powers!$H$2:$H$75,33+J115)</f>
        <v>dozen</v>
      </c>
      <c r="M115" s="97" t="str">
        <f t="shared" si="131"/>
        <v>7</v>
      </c>
      <c r="N115" s="8">
        <f t="shared" si="132"/>
        <v>7.9782538046419731</v>
      </c>
      <c r="O115" s="96" t="str">
        <f t="shared" si="133"/>
        <v>7</v>
      </c>
      <c r="P115" s="8">
        <f t="shared" si="134"/>
        <v>11.739045655703677</v>
      </c>
      <c r="Q115" s="96" t="str">
        <f t="shared" si="135"/>
        <v>E</v>
      </c>
      <c r="R115" s="8">
        <f t="shared" si="136"/>
        <v>8.868547868444125</v>
      </c>
      <c r="S115" s="96" t="str">
        <f t="shared" si="137"/>
        <v>8</v>
      </c>
      <c r="T115" s="8">
        <f t="shared" si="138"/>
        <v>10.4225744213295</v>
      </c>
      <c r="U115" s="96" t="str">
        <f t="shared" si="139"/>
        <v>X</v>
      </c>
      <c r="V115" s="8">
        <f t="shared" si="140"/>
        <v>5.0708930559540022</v>
      </c>
      <c r="W115" s="96" t="str">
        <f t="shared" si="141"/>
        <v>5</v>
      </c>
      <c r="X115" s="8">
        <f t="shared" si="142"/>
        <v>0.85071667144802632</v>
      </c>
      <c r="Y115" s="96" t="str">
        <f t="shared" si="143"/>
        <v>0</v>
      </c>
      <c r="Z115" s="8">
        <f t="shared" si="144"/>
        <v>10.208600057376316</v>
      </c>
      <c r="AA115" s="96" t="str">
        <f t="shared" si="145"/>
        <v>X</v>
      </c>
      <c r="AB115" s="8">
        <f t="shared" si="146"/>
        <v>2.5032006885157898</v>
      </c>
      <c r="AC115" s="96" t="str">
        <f t="shared" si="147"/>
        <v>2</v>
      </c>
      <c r="AD115" s="8">
        <f t="shared" si="148"/>
        <v>6.0384082621894777</v>
      </c>
      <c r="AE115" s="96" t="str">
        <f t="shared" si="149"/>
        <v>6</v>
      </c>
      <c r="AF115" s="8">
        <f t="shared" si="150"/>
        <v>0.46089914627373219</v>
      </c>
      <c r="AG115" s="96" t="str">
        <f t="shared" si="151"/>
        <v/>
      </c>
      <c r="AH115" s="8">
        <f t="shared" si="152"/>
        <v>5.5307897552847862</v>
      </c>
      <c r="AI115" s="96" t="str">
        <f t="shared" si="153"/>
        <v/>
      </c>
      <c r="AJ115" s="8">
        <f t="shared" si="154"/>
        <v>6.3694770634174347</v>
      </c>
      <c r="AK115" s="96" t="str">
        <f t="shared" si="155"/>
        <v/>
      </c>
    </row>
    <row r="116" spans="2:39" x14ac:dyDescent="0.25">
      <c r="B116" s="126"/>
      <c r="C116" s="9" t="s">
        <v>637</v>
      </c>
      <c r="D116" s="198">
        <v>37.799999999999997</v>
      </c>
      <c r="E116" s="8">
        <v>9</v>
      </c>
      <c r="F116" s="127">
        <f t="shared" si="156"/>
        <v>92.639015208285272</v>
      </c>
      <c r="G116" s="37" t="str">
        <f t="shared" si="157"/>
        <v>7;878027523</v>
      </c>
      <c r="H116" s="37"/>
      <c r="I116" s="285"/>
      <c r="J116" s="38">
        <v>1</v>
      </c>
      <c r="K116" s="128">
        <f t="shared" si="158"/>
        <v>7.7199179340237825</v>
      </c>
      <c r="L116" s="39" t="str">
        <f>INDEX(powers!$H$2:$H$75,33+J116)</f>
        <v>dozen</v>
      </c>
      <c r="M116" s="97" t="str">
        <f t="shared" si="131"/>
        <v>7</v>
      </c>
      <c r="N116" s="8">
        <f t="shared" si="132"/>
        <v>8.6390152082853895</v>
      </c>
      <c r="O116" s="96" t="str">
        <f t="shared" si="133"/>
        <v>8</v>
      </c>
      <c r="P116" s="8">
        <f t="shared" si="134"/>
        <v>7.6681824994246739</v>
      </c>
      <c r="Q116" s="96" t="str">
        <f t="shared" si="135"/>
        <v>7</v>
      </c>
      <c r="R116" s="8">
        <f t="shared" si="136"/>
        <v>8.0181899930960867</v>
      </c>
      <c r="S116" s="96" t="str">
        <f t="shared" si="137"/>
        <v>8</v>
      </c>
      <c r="T116" s="8">
        <f t="shared" si="138"/>
        <v>0.21827991715304051</v>
      </c>
      <c r="U116" s="96" t="str">
        <f t="shared" si="139"/>
        <v>0</v>
      </c>
      <c r="V116" s="8">
        <f t="shared" si="140"/>
        <v>2.6193590058364862</v>
      </c>
      <c r="W116" s="96" t="str">
        <f t="shared" si="141"/>
        <v>2</v>
      </c>
      <c r="X116" s="8">
        <f t="shared" si="142"/>
        <v>7.4323080700378341</v>
      </c>
      <c r="Y116" s="96" t="str">
        <f t="shared" si="143"/>
        <v>7</v>
      </c>
      <c r="Z116" s="8">
        <f t="shared" si="144"/>
        <v>5.1876968404540094</v>
      </c>
      <c r="AA116" s="96" t="str">
        <f t="shared" si="145"/>
        <v>5</v>
      </c>
      <c r="AB116" s="8">
        <f t="shared" si="146"/>
        <v>2.2523620854481123</v>
      </c>
      <c r="AC116" s="96" t="str">
        <f t="shared" si="147"/>
        <v>2</v>
      </c>
      <c r="AD116" s="8">
        <f t="shared" si="148"/>
        <v>3.0283450253773481</v>
      </c>
      <c r="AE116" s="96" t="str">
        <f t="shared" si="149"/>
        <v>3</v>
      </c>
      <c r="AF116" s="8">
        <f t="shared" si="150"/>
        <v>0.34014030452817678</v>
      </c>
      <c r="AG116" s="96" t="str">
        <f t="shared" si="151"/>
        <v/>
      </c>
      <c r="AH116" s="8">
        <f t="shared" si="152"/>
        <v>4.0816836543381214</v>
      </c>
      <c r="AI116" s="96" t="str">
        <f t="shared" si="153"/>
        <v/>
      </c>
      <c r="AJ116" s="8">
        <f t="shared" si="154"/>
        <v>0.98020385205745697</v>
      </c>
      <c r="AK116" s="96" t="str">
        <f t="shared" si="155"/>
        <v/>
      </c>
    </row>
    <row r="117" spans="2:39" x14ac:dyDescent="0.25">
      <c r="B117" s="126" t="s">
        <v>649</v>
      </c>
      <c r="C117" s="9" t="s">
        <v>638</v>
      </c>
      <c r="D117" s="198">
        <v>58.8</v>
      </c>
      <c r="E117" s="8">
        <v>9</v>
      </c>
      <c r="F117" s="127">
        <f t="shared" si="156"/>
        <v>109.98400205392529</v>
      </c>
      <c r="G117" s="37" t="str">
        <f t="shared" si="157"/>
        <v>9;1E9843248</v>
      </c>
      <c r="H117" s="37"/>
      <c r="I117" s="285"/>
      <c r="J117" s="38">
        <v>1</v>
      </c>
      <c r="K117" s="128">
        <f t="shared" si="158"/>
        <v>9.1653335044937858</v>
      </c>
      <c r="L117" s="39" t="str">
        <f>INDEX(powers!$H$2:$H$75,33+J117)</f>
        <v>dozen</v>
      </c>
      <c r="M117" s="97" t="str">
        <f t="shared" si="131"/>
        <v>9</v>
      </c>
      <c r="N117" s="8">
        <f t="shared" si="132"/>
        <v>1.9840020539254297</v>
      </c>
      <c r="O117" s="96" t="str">
        <f t="shared" si="133"/>
        <v>1</v>
      </c>
      <c r="P117" s="8">
        <f t="shared" si="134"/>
        <v>11.808024647105157</v>
      </c>
      <c r="Q117" s="96" t="str">
        <f t="shared" si="135"/>
        <v>E</v>
      </c>
      <c r="R117" s="8">
        <f t="shared" si="136"/>
        <v>9.6962957652618798</v>
      </c>
      <c r="S117" s="96" t="str">
        <f t="shared" si="137"/>
        <v>9</v>
      </c>
      <c r="T117" s="8">
        <f t="shared" si="138"/>
        <v>8.355549183142557</v>
      </c>
      <c r="U117" s="96" t="str">
        <f t="shared" si="139"/>
        <v>8</v>
      </c>
      <c r="V117" s="8">
        <f t="shared" si="140"/>
        <v>4.2665901977106842</v>
      </c>
      <c r="W117" s="96" t="str">
        <f t="shared" si="141"/>
        <v>4</v>
      </c>
      <c r="X117" s="8">
        <f t="shared" si="142"/>
        <v>3.1990823725282098</v>
      </c>
      <c r="Y117" s="96" t="str">
        <f t="shared" si="143"/>
        <v>3</v>
      </c>
      <c r="Z117" s="8">
        <f t="shared" si="144"/>
        <v>2.3889884703385178</v>
      </c>
      <c r="AA117" s="96" t="str">
        <f t="shared" si="145"/>
        <v>2</v>
      </c>
      <c r="AB117" s="8">
        <f t="shared" si="146"/>
        <v>4.6678616440622136</v>
      </c>
      <c r="AC117" s="96" t="str">
        <f t="shared" si="147"/>
        <v>4</v>
      </c>
      <c r="AD117" s="8">
        <f t="shared" si="148"/>
        <v>8.0143397287465632</v>
      </c>
      <c r="AE117" s="96" t="str">
        <f t="shared" si="149"/>
        <v>8</v>
      </c>
      <c r="AF117" s="8">
        <f t="shared" si="150"/>
        <v>0.17207674495875835</v>
      </c>
      <c r="AG117" s="96" t="str">
        <f t="shared" si="151"/>
        <v/>
      </c>
      <c r="AH117" s="8">
        <f t="shared" si="152"/>
        <v>2.0649209395051003</v>
      </c>
      <c r="AI117" s="96" t="str">
        <f t="shared" si="153"/>
        <v/>
      </c>
      <c r="AJ117" s="8">
        <f t="shared" si="154"/>
        <v>0.779051274061203</v>
      </c>
      <c r="AK117" s="96" t="str">
        <f t="shared" si="155"/>
        <v/>
      </c>
    </row>
    <row r="118" spans="2:39" x14ac:dyDescent="0.25">
      <c r="B118" s="126"/>
      <c r="C118" s="9" t="s">
        <v>639</v>
      </c>
      <c r="D118" s="198">
        <v>60</v>
      </c>
      <c r="E118" s="8">
        <v>9</v>
      </c>
      <c r="F118" s="127">
        <f t="shared" si="156"/>
        <v>110.97514415939045</v>
      </c>
      <c r="G118" s="37" t="str">
        <f t="shared" si="157"/>
        <v>9;2E85070X3</v>
      </c>
      <c r="H118" s="37"/>
      <c r="I118" s="285"/>
      <c r="J118" s="38">
        <v>1</v>
      </c>
      <c r="K118" s="128">
        <f t="shared" si="158"/>
        <v>9.2479286799492151</v>
      </c>
      <c r="L118" s="39" t="str">
        <f>INDEX(powers!$H$2:$H$75,33+J118)</f>
        <v>dozen</v>
      </c>
      <c r="M118" s="97" t="str">
        <f t="shared" si="131"/>
        <v>9</v>
      </c>
      <c r="N118" s="8">
        <f t="shared" si="132"/>
        <v>2.975144159390581</v>
      </c>
      <c r="O118" s="96" t="str">
        <f t="shared" si="133"/>
        <v>2</v>
      </c>
      <c r="P118" s="8">
        <f t="shared" si="134"/>
        <v>11.701729912686972</v>
      </c>
      <c r="Q118" s="96" t="str">
        <f t="shared" si="135"/>
        <v>E</v>
      </c>
      <c r="R118" s="8">
        <f t="shared" si="136"/>
        <v>8.4207589522436592</v>
      </c>
      <c r="S118" s="96" t="str">
        <f t="shared" si="137"/>
        <v>8</v>
      </c>
      <c r="T118" s="8">
        <f t="shared" si="138"/>
        <v>5.0491074269239107</v>
      </c>
      <c r="U118" s="96" t="str">
        <f t="shared" si="139"/>
        <v>5</v>
      </c>
      <c r="V118" s="8">
        <f t="shared" si="140"/>
        <v>0.58928912308692816</v>
      </c>
      <c r="W118" s="96" t="str">
        <f t="shared" si="141"/>
        <v>0</v>
      </c>
      <c r="X118" s="8">
        <f t="shared" si="142"/>
        <v>7.0714694770431379</v>
      </c>
      <c r="Y118" s="96" t="str">
        <f t="shared" si="143"/>
        <v>7</v>
      </c>
      <c r="Z118" s="8">
        <f t="shared" si="144"/>
        <v>0.85763372451765463</v>
      </c>
      <c r="AA118" s="96" t="str">
        <f t="shared" si="145"/>
        <v>0</v>
      </c>
      <c r="AB118" s="8">
        <f t="shared" si="146"/>
        <v>10.291604694211856</v>
      </c>
      <c r="AC118" s="96" t="str">
        <f t="shared" si="147"/>
        <v>X</v>
      </c>
      <c r="AD118" s="8">
        <f t="shared" si="148"/>
        <v>3.4992563305422664</v>
      </c>
      <c r="AE118" s="96" t="str">
        <f t="shared" si="149"/>
        <v>3</v>
      </c>
      <c r="AF118" s="8">
        <f t="shared" si="150"/>
        <v>5.9910759665071964</v>
      </c>
      <c r="AG118" s="96" t="str">
        <f t="shared" si="151"/>
        <v/>
      </c>
      <c r="AH118" s="8">
        <f t="shared" si="152"/>
        <v>11.892911598086357</v>
      </c>
      <c r="AI118" s="96" t="str">
        <f t="shared" si="153"/>
        <v/>
      </c>
      <c r="AJ118" s="8">
        <f t="shared" si="154"/>
        <v>10.714939177036285</v>
      </c>
      <c r="AK118" s="96" t="str">
        <f t="shared" si="155"/>
        <v/>
      </c>
    </row>
    <row r="119" spans="2:39" x14ac:dyDescent="0.25">
      <c r="B119" s="126"/>
      <c r="C119" s="9" t="s">
        <v>640</v>
      </c>
      <c r="D119" s="198">
        <v>83</v>
      </c>
      <c r="E119" s="8">
        <v>9</v>
      </c>
      <c r="F119" s="127">
        <f t="shared" si="156"/>
        <v>129.97203451413907</v>
      </c>
      <c r="G119" s="37" t="str">
        <f t="shared" si="157"/>
        <v>X;9E7E81361</v>
      </c>
      <c r="H119" s="37"/>
      <c r="I119" s="285"/>
      <c r="J119" s="38">
        <v>1</v>
      </c>
      <c r="K119" s="128">
        <f t="shared" si="158"/>
        <v>10.831002876178266</v>
      </c>
      <c r="L119" s="39" t="str">
        <f>INDEX(powers!$H$2:$H$75,33+J119)</f>
        <v>dozen</v>
      </c>
      <c r="M119" s="97" t="str">
        <f t="shared" si="131"/>
        <v>X</v>
      </c>
      <c r="N119" s="8">
        <f t="shared" si="132"/>
        <v>9.9720345141391888</v>
      </c>
      <c r="O119" s="96" t="str">
        <f t="shared" si="133"/>
        <v>9</v>
      </c>
      <c r="P119" s="8">
        <f t="shared" si="134"/>
        <v>11.664414169670266</v>
      </c>
      <c r="Q119" s="96" t="str">
        <f t="shared" si="135"/>
        <v>E</v>
      </c>
      <c r="R119" s="8">
        <f t="shared" si="136"/>
        <v>7.9729700360431934</v>
      </c>
      <c r="S119" s="96" t="str">
        <f t="shared" si="137"/>
        <v>7</v>
      </c>
      <c r="T119" s="8">
        <f t="shared" si="138"/>
        <v>11.675640432518321</v>
      </c>
      <c r="U119" s="96" t="str">
        <f t="shared" si="139"/>
        <v>E</v>
      </c>
      <c r="V119" s="8">
        <f t="shared" si="140"/>
        <v>8.1076851902198541</v>
      </c>
      <c r="W119" s="96" t="str">
        <f t="shared" si="141"/>
        <v>8</v>
      </c>
      <c r="X119" s="8">
        <f t="shared" si="142"/>
        <v>1.2922222826382495</v>
      </c>
      <c r="Y119" s="96" t="str">
        <f t="shared" si="143"/>
        <v>1</v>
      </c>
      <c r="Z119" s="8">
        <f t="shared" si="144"/>
        <v>3.5066673916589934</v>
      </c>
      <c r="AA119" s="96" t="str">
        <f t="shared" si="145"/>
        <v>3</v>
      </c>
      <c r="AB119" s="8">
        <f t="shared" si="146"/>
        <v>6.0800086999079213</v>
      </c>
      <c r="AC119" s="96" t="str">
        <f t="shared" si="147"/>
        <v>6</v>
      </c>
      <c r="AD119" s="8">
        <f t="shared" si="148"/>
        <v>0.96010439889505506</v>
      </c>
      <c r="AE119" s="96" t="str">
        <f t="shared" si="149"/>
        <v>1</v>
      </c>
      <c r="AF119" s="8">
        <f t="shared" si="150"/>
        <v>11.521252786740661</v>
      </c>
      <c r="AG119" s="96" t="str">
        <f t="shared" si="151"/>
        <v/>
      </c>
      <c r="AH119" s="8">
        <f t="shared" si="152"/>
        <v>6.255033440887928</v>
      </c>
      <c r="AI119" s="96" t="str">
        <f t="shared" si="153"/>
        <v/>
      </c>
      <c r="AJ119" s="8">
        <f t="shared" si="154"/>
        <v>3.0604012906551361</v>
      </c>
      <c r="AK119" s="96" t="str">
        <f t="shared" si="155"/>
        <v/>
      </c>
    </row>
    <row r="120" spans="2:39" x14ac:dyDescent="0.25">
      <c r="B120" s="91" t="s">
        <v>652</v>
      </c>
      <c r="C120" s="9" t="s">
        <v>643</v>
      </c>
      <c r="D120" s="198">
        <v>99.974000000000004</v>
      </c>
      <c r="E120" s="8">
        <v>9</v>
      </c>
      <c r="F120" s="127">
        <f t="shared" si="156"/>
        <v>143.99173959594356</v>
      </c>
      <c r="G120" s="37" t="str">
        <f t="shared" si="157"/>
        <v>0;EEEX98867</v>
      </c>
      <c r="H120" s="37"/>
      <c r="I120" s="285"/>
      <c r="J120" s="38">
        <v>2</v>
      </c>
      <c r="K120" s="128">
        <f t="shared" si="158"/>
        <v>0.99994263608295131</v>
      </c>
      <c r="L120" s="39" t="str">
        <f>INDEX(powers!$H$2:$H$75,33+J120)</f>
        <v>gross</v>
      </c>
      <c r="M120" s="97" t="str">
        <f t="shared" si="131"/>
        <v>0</v>
      </c>
      <c r="N120" s="8">
        <f t="shared" si="132"/>
        <v>11.999311632995415</v>
      </c>
      <c r="O120" s="96" t="str">
        <f t="shared" si="133"/>
        <v>E</v>
      </c>
      <c r="P120" s="8">
        <f t="shared" si="134"/>
        <v>11.991739595944978</v>
      </c>
      <c r="Q120" s="96" t="str">
        <f t="shared" si="135"/>
        <v>E</v>
      </c>
      <c r="R120" s="8">
        <f t="shared" si="136"/>
        <v>11.900875151339733</v>
      </c>
      <c r="S120" s="96" t="str">
        <f t="shared" si="137"/>
        <v>E</v>
      </c>
      <c r="T120" s="8">
        <f t="shared" si="138"/>
        <v>10.810501816076794</v>
      </c>
      <c r="U120" s="96" t="str">
        <f t="shared" si="139"/>
        <v>X</v>
      </c>
      <c r="V120" s="8">
        <f t="shared" si="140"/>
        <v>9.7260217929215287</v>
      </c>
      <c r="W120" s="96" t="str">
        <f t="shared" si="141"/>
        <v>9</v>
      </c>
      <c r="X120" s="8">
        <f t="shared" si="142"/>
        <v>8.7122615150583442</v>
      </c>
      <c r="Y120" s="96" t="str">
        <f t="shared" si="143"/>
        <v>8</v>
      </c>
      <c r="Z120" s="8">
        <f t="shared" si="144"/>
        <v>8.5471381807001308</v>
      </c>
      <c r="AA120" s="96" t="str">
        <f t="shared" si="145"/>
        <v>8</v>
      </c>
      <c r="AB120" s="8">
        <f t="shared" si="146"/>
        <v>6.5656581684015691</v>
      </c>
      <c r="AC120" s="96" t="str">
        <f t="shared" si="147"/>
        <v>6</v>
      </c>
      <c r="AD120" s="8">
        <f t="shared" si="148"/>
        <v>6.7878980208188295</v>
      </c>
      <c r="AE120" s="96" t="str">
        <f t="shared" si="149"/>
        <v>7</v>
      </c>
      <c r="AF120" s="8">
        <f t="shared" si="150"/>
        <v>9.4547762498259544</v>
      </c>
      <c r="AG120" s="96" t="str">
        <f t="shared" si="151"/>
        <v/>
      </c>
      <c r="AH120" s="8">
        <f t="shared" si="152"/>
        <v>5.4573149979114532</v>
      </c>
      <c r="AI120" s="96" t="str">
        <f t="shared" si="153"/>
        <v/>
      </c>
      <c r="AJ120" s="8">
        <f t="shared" si="154"/>
        <v>5.487779974937439</v>
      </c>
      <c r="AK120" s="96" t="str">
        <f t="shared" si="155"/>
        <v/>
      </c>
      <c r="AL120" s="238">
        <f>144</f>
        <v>144</v>
      </c>
      <c r="AM120" s="238">
        <f t="shared" ref="AM120:AM122" si="160">-AL120*F$6*POWER(12,-12)+D120</f>
        <v>-74.370323631478286</v>
      </c>
    </row>
    <row r="121" spans="2:39" x14ac:dyDescent="0.25">
      <c r="B121" s="91" t="s">
        <v>653</v>
      </c>
      <c r="C121" s="9" t="s">
        <v>651</v>
      </c>
      <c r="D121" s="198">
        <v>99.983900000000006</v>
      </c>
      <c r="E121" s="8">
        <v>9</v>
      </c>
      <c r="F121" s="127">
        <f t="shared" si="156"/>
        <v>143.99991651831363</v>
      </c>
      <c r="G121" s="37" t="str">
        <f t="shared" si="157"/>
        <v>0;EEEEEX329</v>
      </c>
      <c r="H121" s="37"/>
      <c r="I121" s="285"/>
      <c r="J121" s="38">
        <v>2</v>
      </c>
      <c r="K121" s="128">
        <f t="shared" si="158"/>
        <v>0.9999994202660768</v>
      </c>
      <c r="L121" s="39" t="str">
        <f>INDEX(powers!$H$2:$H$75,33+J121)</f>
        <v>gross</v>
      </c>
      <c r="M121" s="97" t="str">
        <f t="shared" si="131"/>
        <v>0</v>
      </c>
      <c r="N121" s="8">
        <f t="shared" si="132"/>
        <v>11.999993043192921</v>
      </c>
      <c r="O121" s="96" t="str">
        <f t="shared" si="133"/>
        <v>E</v>
      </c>
      <c r="P121" s="8">
        <f t="shared" si="134"/>
        <v>11.999916518315054</v>
      </c>
      <c r="Q121" s="96" t="str">
        <f t="shared" si="135"/>
        <v>E</v>
      </c>
      <c r="R121" s="8">
        <f t="shared" si="136"/>
        <v>11.998998219780646</v>
      </c>
      <c r="S121" s="96" t="str">
        <f t="shared" si="137"/>
        <v>E</v>
      </c>
      <c r="T121" s="8">
        <f t="shared" si="138"/>
        <v>11.987978637367746</v>
      </c>
      <c r="U121" s="96" t="str">
        <f t="shared" si="139"/>
        <v>E</v>
      </c>
      <c r="V121" s="8">
        <f t="shared" si="140"/>
        <v>11.855743648412954</v>
      </c>
      <c r="W121" s="96" t="str">
        <f t="shared" si="141"/>
        <v>E</v>
      </c>
      <c r="X121" s="8">
        <f t="shared" si="142"/>
        <v>10.268923780955447</v>
      </c>
      <c r="Y121" s="96" t="str">
        <f t="shared" si="143"/>
        <v>X</v>
      </c>
      <c r="Z121" s="8">
        <f t="shared" si="144"/>
        <v>3.227085371465364</v>
      </c>
      <c r="AA121" s="96" t="str">
        <f t="shared" si="145"/>
        <v>3</v>
      </c>
      <c r="AB121" s="8">
        <f t="shared" si="146"/>
        <v>2.7250244575843681</v>
      </c>
      <c r="AC121" s="96" t="str">
        <f t="shared" si="147"/>
        <v>2</v>
      </c>
      <c r="AD121" s="8">
        <f t="shared" si="148"/>
        <v>8.7002934910124168</v>
      </c>
      <c r="AE121" s="96" t="str">
        <f t="shared" si="149"/>
        <v>9</v>
      </c>
      <c r="AF121" s="8">
        <f t="shared" si="150"/>
        <v>8.4035218921490014</v>
      </c>
      <c r="AG121" s="96" t="str">
        <f t="shared" si="151"/>
        <v/>
      </c>
      <c r="AH121" s="8">
        <f t="shared" si="152"/>
        <v>4.8422627057880163</v>
      </c>
      <c r="AI121" s="96" t="str">
        <f t="shared" si="153"/>
        <v/>
      </c>
      <c r="AJ121" s="8">
        <f t="shared" si="154"/>
        <v>10.107152469456196</v>
      </c>
      <c r="AK121" s="96" t="str">
        <f t="shared" si="155"/>
        <v/>
      </c>
      <c r="AL121" s="238">
        <f>144</f>
        <v>144</v>
      </c>
      <c r="AM121" s="238">
        <f t="shared" si="160"/>
        <v>-74.360423631478284</v>
      </c>
    </row>
    <row r="122" spans="2:39" ht="12" thickBot="1" x14ac:dyDescent="0.3">
      <c r="B122" s="129"/>
      <c r="C122" s="241" t="s">
        <v>641</v>
      </c>
      <c r="D122" s="199">
        <v>100</v>
      </c>
      <c r="E122" s="33">
        <v>9</v>
      </c>
      <c r="F122" s="130">
        <f t="shared" si="156"/>
        <v>144.01321434156193</v>
      </c>
      <c r="G122" s="47" t="str">
        <f t="shared" si="157"/>
        <v>1;0001XX01X</v>
      </c>
      <c r="H122" s="47"/>
      <c r="I122" s="287"/>
      <c r="J122" s="48">
        <v>2</v>
      </c>
      <c r="K122" s="106">
        <f t="shared" si="158"/>
        <v>1.0000917662608568</v>
      </c>
      <c r="L122" s="49" t="str">
        <f>INDEX(powers!$H$2:$H$75,33+J122)</f>
        <v>gross</v>
      </c>
      <c r="M122" s="97" t="str">
        <f t="shared" si="131"/>
        <v>1</v>
      </c>
      <c r="N122" s="8">
        <f t="shared" si="132"/>
        <v>1.1011951302819512E-3</v>
      </c>
      <c r="O122" s="96" t="str">
        <f t="shared" si="133"/>
        <v>0</v>
      </c>
      <c r="P122" s="8">
        <f t="shared" si="134"/>
        <v>1.3214341563383414E-2</v>
      </c>
      <c r="Q122" s="96" t="str">
        <f t="shared" si="135"/>
        <v>0</v>
      </c>
      <c r="R122" s="8">
        <f t="shared" si="136"/>
        <v>0.15857209876060097</v>
      </c>
      <c r="S122" s="96" t="str">
        <f t="shared" si="137"/>
        <v>0</v>
      </c>
      <c r="T122" s="8">
        <f t="shared" si="138"/>
        <v>1.9028651851272116</v>
      </c>
      <c r="U122" s="96" t="str">
        <f t="shared" si="139"/>
        <v>1</v>
      </c>
      <c r="V122" s="8">
        <f t="shared" si="140"/>
        <v>10.834382221526539</v>
      </c>
      <c r="W122" s="96" t="str">
        <f t="shared" si="141"/>
        <v>X</v>
      </c>
      <c r="X122" s="8">
        <f t="shared" si="142"/>
        <v>10.012586658318469</v>
      </c>
      <c r="Y122" s="96" t="str">
        <f t="shared" si="143"/>
        <v>X</v>
      </c>
      <c r="Z122" s="8">
        <f t="shared" si="144"/>
        <v>0.15103989982162602</v>
      </c>
      <c r="AA122" s="96" t="str">
        <f t="shared" si="145"/>
        <v>0</v>
      </c>
      <c r="AB122" s="8">
        <f t="shared" si="146"/>
        <v>1.8124787978595123</v>
      </c>
      <c r="AC122" s="96" t="str">
        <f t="shared" si="147"/>
        <v>1</v>
      </c>
      <c r="AD122" s="8">
        <f t="shared" si="148"/>
        <v>9.7497455743141472</v>
      </c>
      <c r="AE122" s="96" t="str">
        <f t="shared" si="149"/>
        <v>X</v>
      </c>
      <c r="AF122" s="8">
        <f t="shared" si="150"/>
        <v>8.9969468917697668</v>
      </c>
      <c r="AG122" s="96" t="str">
        <f t="shared" si="151"/>
        <v/>
      </c>
      <c r="AH122" s="8">
        <f t="shared" si="152"/>
        <v>11.963362701237202</v>
      </c>
      <c r="AI122" s="96" t="str">
        <f t="shared" si="153"/>
        <v/>
      </c>
      <c r="AJ122" s="8">
        <f t="shared" si="154"/>
        <v>11.56035241484642</v>
      </c>
      <c r="AK122" s="96" t="str">
        <f t="shared" si="155"/>
        <v/>
      </c>
      <c r="AL122" s="238">
        <f>144</f>
        <v>144</v>
      </c>
      <c r="AM122" s="238">
        <f t="shared" si="160"/>
        <v>-74.344323631478289</v>
      </c>
    </row>
    <row r="123" spans="2:39" x14ac:dyDescent="0.25">
      <c r="B123" s="55"/>
      <c r="D123" s="243">
        <f>D99+144*F6*20736-D121</f>
        <v>3.2233521067162247E+19</v>
      </c>
      <c r="F123" s="233"/>
      <c r="G123" s="234"/>
      <c r="H123" s="234"/>
      <c r="I123" s="292"/>
      <c r="J123" s="235"/>
      <c r="K123" s="236"/>
      <c r="L123" s="236"/>
      <c r="M123" s="237"/>
      <c r="O123" s="237"/>
      <c r="Q123" s="237"/>
      <c r="S123" s="237"/>
      <c r="U123" s="237"/>
      <c r="W123" s="237"/>
      <c r="Y123" s="237"/>
      <c r="AA123" s="237"/>
      <c r="AC123" s="237"/>
      <c r="AE123" s="237"/>
      <c r="AG123" s="237"/>
      <c r="AI123" s="237"/>
      <c r="AK123" s="237"/>
    </row>
    <row r="124" spans="2:39" x14ac:dyDescent="0.25">
      <c r="B124" s="138" t="s">
        <v>669</v>
      </c>
      <c r="C124" s="54"/>
      <c r="D124" s="238">
        <f>D$99+F$6*F124*POWER(12,-12)</f>
        <v>14.022563727244361</v>
      </c>
      <c r="F124" s="233">
        <f>12*6+1</f>
        <v>73</v>
      </c>
    </row>
    <row r="125" spans="2:39" x14ac:dyDescent="0.25">
      <c r="B125" s="138" t="s">
        <v>670</v>
      </c>
      <c r="C125" s="54"/>
      <c r="D125" s="238">
        <f>D$99+F$6*F125*POWER(12,-12)</f>
        <v>37.026328650842188</v>
      </c>
      <c r="F125" s="233">
        <f>12*7+8</f>
        <v>92</v>
      </c>
    </row>
    <row r="126" spans="2:39" x14ac:dyDescent="0.25">
      <c r="B126" s="138" t="s">
        <v>671</v>
      </c>
      <c r="C126" s="54"/>
      <c r="D126" s="238">
        <f>D$99+F$6*F126*POWER(12,-12)</f>
        <v>99.984001073320456</v>
      </c>
      <c r="F126" s="233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 x14ac:dyDescent="0.25"/>
  <cols>
    <col min="1" max="1" width="2.765625" style="14" customWidth="1"/>
    <col min="2" max="2" width="6.4609375" style="14" customWidth="1"/>
    <col min="3" max="3" width="12.23046875" style="14" customWidth="1"/>
    <col min="4" max="4" width="5.84375" style="209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 x14ac:dyDescent="0.25">
      <c r="A1" s="600" t="s">
        <v>202</v>
      </c>
      <c r="B1" s="606" t="s">
        <v>42</v>
      </c>
      <c r="C1" s="606"/>
      <c r="D1" s="204" t="s">
        <v>95</v>
      </c>
      <c r="E1" s="17" t="s">
        <v>43</v>
      </c>
      <c r="F1" s="18" t="s">
        <v>44</v>
      </c>
      <c r="G1" s="17" t="s">
        <v>55</v>
      </c>
      <c r="H1" s="164" t="s">
        <v>95</v>
      </c>
      <c r="I1" s="155" t="s">
        <v>264</v>
      </c>
    </row>
    <row r="2" spans="1:41" ht="13.5" customHeight="1" x14ac:dyDescent="0.25">
      <c r="A2" s="601"/>
      <c r="B2" s="599" t="str">
        <f>Rydberg!B2</f>
        <v>Local Time</v>
      </c>
      <c r="C2" s="599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 x14ac:dyDescent="0.25">
      <c r="A3" s="601"/>
      <c r="B3" s="599" t="str">
        <f>Rydberg!B3</f>
        <v>Length</v>
      </c>
      <c r="C3" s="599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198">
        <f t="shared" ref="G3:G21" si="0">E3/POWER(10,F3)</f>
        <v>272.35220593302245</v>
      </c>
      <c r="H3" s="118" t="str">
        <f>Rydberg!L3</f>
        <v>mm</v>
      </c>
      <c r="I3" s="603" t="s">
        <v>1120</v>
      </c>
      <c r="J3" s="604"/>
      <c r="K3" s="371">
        <v>9</v>
      </c>
      <c r="L3" s="372">
        <f>(E3*POWER(12,4)/7200)/(E3/E4)</f>
        <v>1.1250003315270061</v>
      </c>
      <c r="M3" s="373" t="str">
        <f t="shared" ref="M3" si="1">Q3&amp;";"&amp;S3&amp;U3&amp;W3&amp;Y3&amp;AA3&amp;AC3&amp;AE3&amp;AG3&amp;AI3&amp;AK3&amp;AM3&amp;AO3</f>
        <v>1;160000EX7</v>
      </c>
      <c r="N3" s="374">
        <v>0</v>
      </c>
      <c r="O3" s="375">
        <f t="shared" ref="O3" si="2">L3/POWER(12,N3)</f>
        <v>1.1250003315270061</v>
      </c>
      <c r="P3" s="375" t="s">
        <v>1121</v>
      </c>
      <c r="Q3" s="376" t="str">
        <f t="shared" ref="Q3" si="3">IF($K3&gt;=Q$23,MID($N$23,IF($K3&gt;Q$23,INT(O3),ROUND(O3,0))+1,1),"")</f>
        <v>1</v>
      </c>
      <c r="R3" s="371">
        <f t="shared" ref="R3" si="4">(O3-INT(O3))*12</f>
        <v>1.5000039783240728</v>
      </c>
      <c r="S3" s="376" t="str">
        <f t="shared" ref="S3" si="5">IF($K3&gt;=S$23,MID($N$23,IF($K3&gt;S$23,INT(R3),ROUND(R3,0))+1,1),"")</f>
        <v>1</v>
      </c>
      <c r="T3" s="371">
        <f t="shared" ref="T3" si="6">(R3-INT(R3))*12</f>
        <v>6.0000477398888741</v>
      </c>
      <c r="U3" s="376" t="str">
        <f t="shared" ref="U3" si="7">IF($K3&gt;=U$23,MID($N$23,IF($K3&gt;U$23,INT(T3),ROUND(T3,0))+1,1),"")</f>
        <v>6</v>
      </c>
      <c r="V3" s="371">
        <f t="shared" ref="V3" si="8">(T3-INT(T3))*12</f>
        <v>5.728786664889185E-4</v>
      </c>
      <c r="W3" s="376" t="str">
        <f t="shared" ref="W3" si="9">IF($K3&gt;=W$23,MID($N$23,IF($K3&gt;W$23,INT(V3),ROUND(V3,0))+1,1),"")</f>
        <v>0</v>
      </c>
      <c r="X3" s="371">
        <f t="shared" ref="X3" si="10">(V3-INT(V3))*12</f>
        <v>6.874543997867022E-3</v>
      </c>
      <c r="Y3" s="376" t="str">
        <f t="shared" ref="Y3" si="11">IF($K3&gt;=Y$23,MID($N$23,IF($K3&gt;Y$23,INT(X3),ROUND(X3,0))+1,1),"")</f>
        <v>0</v>
      </c>
      <c r="Z3" s="371">
        <f t="shared" ref="Z3" si="12">(X3-INT(X3))*12</f>
        <v>8.2494527974404264E-2</v>
      </c>
      <c r="AA3" s="376" t="str">
        <f t="shared" ref="AA3" si="13">IF($K3&gt;=AA$23,MID($N$23,IF($K3&gt;AA$23,INT(Z3),ROUND(Z3,0))+1,1),"")</f>
        <v>0</v>
      </c>
      <c r="AB3" s="371">
        <f t="shared" ref="AB3" si="14">(Z3-INT(Z3))*12</f>
        <v>0.98993433569285116</v>
      </c>
      <c r="AC3" s="376" t="str">
        <f t="shared" ref="AC3" si="15">IF($K3&gt;=AC$23,MID($N$23,IF($K3&gt;AC$23,INT(AB3),ROUND(AB3,0))+1,1),"")</f>
        <v>0</v>
      </c>
      <c r="AD3" s="371">
        <f t="shared" ref="AD3" si="16">(AB3-INT(AB3))*12</f>
        <v>11.879212028314214</v>
      </c>
      <c r="AE3" s="376" t="str">
        <f t="shared" ref="AE3" si="17">IF($K3&gt;=AE$23,MID($N$23,IF($K3&gt;AE$23,INT(AD3),ROUND(AD3,0))+1,1),"")</f>
        <v>E</v>
      </c>
      <c r="AF3" s="371">
        <f t="shared" ref="AF3" si="18">(AD3-INT(AD3))*12</f>
        <v>10.550544339770568</v>
      </c>
      <c r="AG3" s="376" t="str">
        <f t="shared" ref="AG3" si="19">IF($K3&gt;=AG$23,MID($N$23,IF($K3&gt;AG$23,INT(AF3),ROUND(AF3,0))+1,1),"")</f>
        <v>X</v>
      </c>
      <c r="AH3" s="371">
        <f t="shared" ref="AH3" si="20">(AF3-INT(AF3))*12</f>
        <v>6.6065320772468112</v>
      </c>
      <c r="AI3" s="376" t="str">
        <f t="shared" ref="AI3" si="21">IF($K3&gt;=AI$23,MID($N$23,IF($K3&gt;AI$23,INT(AH3),ROUND(AH3,0))+1,1),"")</f>
        <v>7</v>
      </c>
      <c r="AJ3" s="371">
        <f t="shared" ref="AJ3" si="22">(AH3-INT(AH3))*12</f>
        <v>7.2783849269617349</v>
      </c>
      <c r="AK3" s="376" t="str">
        <f t="shared" ref="AK3" si="23">IF($K3&gt;=AK$23,MID($N$23,IF($K3&gt;AK$23,INT(AJ3),ROUND(AJ3,0))+1,1),"")</f>
        <v/>
      </c>
      <c r="AL3" s="371">
        <f t="shared" ref="AL3" si="24">(AJ3-INT(AJ3))*12</f>
        <v>3.3406191235408187</v>
      </c>
      <c r="AM3" s="376" t="str">
        <f t="shared" ref="AM3" si="25">IF($K3&gt;=AM$23,MID($N$23,IF($K3&gt;AM$23,INT(AL3),ROUND(AL3,0))+1,1),"")</f>
        <v/>
      </c>
      <c r="AN3" s="371">
        <f t="shared" ref="AN3" si="26">(AL3-INT(AL3))*12</f>
        <v>4.0874294824898243</v>
      </c>
      <c r="AO3" s="377" t="str">
        <f t="shared" ref="AO3" si="27">IF($K3&gt;=AO$23,MID($N$23,IF($K3&gt;AO$23,INT(AN3),ROUND(AN3,0))+1,1),"")</f>
        <v/>
      </c>
    </row>
    <row r="4" spans="1:41" ht="13.5" customHeight="1" x14ac:dyDescent="0.25">
      <c r="A4" s="601"/>
      <c r="B4" s="599" t="str">
        <f>Rydberg!B4</f>
        <v>Time</v>
      </c>
      <c r="C4" s="599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198">
        <f t="shared" si="0"/>
        <v>390.62511511354381</v>
      </c>
      <c r="H4" s="118" t="str">
        <f>Rydberg!L4</f>
        <v>ms</v>
      </c>
      <c r="I4" s="1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 x14ac:dyDescent="0.25">
      <c r="A5" s="601"/>
      <c r="B5" s="599" t="str">
        <f>Rydberg!B5</f>
        <v>Energy</v>
      </c>
      <c r="C5" s="599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198">
        <f t="shared" si="0"/>
        <v>64.084554944303576</v>
      </c>
      <c r="H5" s="118" t="str">
        <f>Rydberg!L5</f>
        <v>mJ</v>
      </c>
      <c r="I5" s="1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 x14ac:dyDescent="0.25">
      <c r="A6" s="601"/>
      <c r="B6" s="599" t="str">
        <f>Rydberg!B6</f>
        <v>Temperature</v>
      </c>
      <c r="C6" s="599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198">
        <f t="shared" si="0"/>
        <v>58.387561229892164</v>
      </c>
      <c r="H6" s="118" t="str">
        <f>Rydberg!L6</f>
        <v>μK</v>
      </c>
      <c r="I6" s="1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 x14ac:dyDescent="0.25">
      <c r="A7" s="601"/>
      <c r="B7" s="599" t="str">
        <f>Rydberg!B7</f>
        <v>Amount of substance</v>
      </c>
      <c r="C7" s="599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198">
        <f t="shared" si="0"/>
        <v>132.00761837210354</v>
      </c>
      <c r="H7" s="118" t="str">
        <f>Rydberg!L7</f>
        <v>mol</v>
      </c>
      <c r="I7" s="1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 x14ac:dyDescent="0.25">
      <c r="A8" s="601"/>
      <c r="B8" s="599" t="str">
        <f>Rydberg!B8</f>
        <v>Mass</v>
      </c>
      <c r="C8" s="599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198">
        <f t="shared" si="0"/>
        <v>131.82928708292121</v>
      </c>
      <c r="H8" s="118" t="str">
        <f>Rydberg!L8</f>
        <v>g</v>
      </c>
      <c r="I8" s="19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 x14ac:dyDescent="0.25">
      <c r="A9" s="601"/>
      <c r="B9" s="599" t="str">
        <f>Rydberg!B9</f>
        <v>Power</v>
      </c>
      <c r="C9" s="599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198">
        <f t="shared" si="0"/>
        <v>164.05641231152276</v>
      </c>
      <c r="H9" s="118" t="str">
        <f>Rydberg!L9</f>
        <v>mW</v>
      </c>
      <c r="I9" s="19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 x14ac:dyDescent="0.25">
      <c r="A10" s="601"/>
      <c r="B10" s="599" t="str">
        <f>Rydberg!B10</f>
        <v>Force</v>
      </c>
      <c r="C10" s="599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198">
        <f t="shared" si="0"/>
        <v>235.30029699874513</v>
      </c>
      <c r="H10" s="118" t="str">
        <f>Rydberg!L10</f>
        <v>mN</v>
      </c>
      <c r="I10" s="19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 x14ac:dyDescent="0.25">
      <c r="A11" s="601"/>
      <c r="B11" s="599" t="str">
        <f>Rydberg!B11</f>
        <v>Pressure</v>
      </c>
      <c r="C11" s="599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198">
        <f t="shared" si="0"/>
        <v>3.1722008774165378</v>
      </c>
      <c r="H11" s="118" t="str">
        <f>Rydberg!L11</f>
        <v>Pa</v>
      </c>
      <c r="I11" s="19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 x14ac:dyDescent="0.25">
      <c r="A12" s="601"/>
      <c r="B12" s="599" t="str">
        <f>Rydberg!B12</f>
        <v>Charge</v>
      </c>
      <c r="C12" s="599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198">
        <f t="shared" si="0"/>
        <v>28.896578034303968</v>
      </c>
      <c r="H12" s="118" t="str">
        <f>Rydberg!L12</f>
        <v>mC</v>
      </c>
      <c r="I12" s="19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 x14ac:dyDescent="0.25">
      <c r="A13" s="601"/>
      <c r="B13" s="599" t="str">
        <f>Rydberg!B13</f>
        <v>Electric current</v>
      </c>
      <c r="C13" s="599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198">
        <f t="shared" si="0"/>
        <v>73.975217968011464</v>
      </c>
      <c r="H13" s="118" t="str">
        <f>Rydberg!L13</f>
        <v>mA</v>
      </c>
      <c r="I13" s="19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 x14ac:dyDescent="0.25">
      <c r="A14" s="601"/>
      <c r="B14" s="599" t="str">
        <f>Rydberg!B14</f>
        <v>Field Strength</v>
      </c>
      <c r="C14" s="599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198">
        <f t="shared" si="0"/>
        <v>271.61600441086068</v>
      </c>
      <c r="H14" s="118" t="str">
        <f>Rydberg!L14</f>
        <v>mA/m</v>
      </c>
      <c r="I14" s="19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 x14ac:dyDescent="0.25">
      <c r="A15" s="601"/>
      <c r="B15" s="599" t="str">
        <f>Rydberg!B15</f>
        <v>Flux density</v>
      </c>
      <c r="C15" s="599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198">
        <f t="shared" si="0"/>
        <v>389.56920736586812</v>
      </c>
      <c r="H15" s="118" t="str">
        <f>Rydberg!L15</f>
        <v>mC/m^2</v>
      </c>
      <c r="I15" s="19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 x14ac:dyDescent="0.25">
      <c r="A16" s="601"/>
      <c r="B16" s="599" t="str">
        <f>Rydberg!B16</f>
        <v>Impedance</v>
      </c>
      <c r="C16" s="599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198">
        <f t="shared" si="0"/>
        <v>29.979245800000001</v>
      </c>
      <c r="H16" s="118" t="str">
        <f>Rydberg!L16</f>
        <v>Ω</v>
      </c>
      <c r="I16" s="19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 x14ac:dyDescent="0.25">
      <c r="A17" s="601"/>
      <c r="B17" s="607" t="str">
        <f>Rydberg!B17</f>
        <v>Electric potential difference</v>
      </c>
      <c r="C17" s="607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198">
        <f t="shared" si="0"/>
        <v>2.2177212425715922</v>
      </c>
      <c r="H17" s="118" t="str">
        <f>Rydberg!L17</f>
        <v>V</v>
      </c>
      <c r="I17" s="1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 x14ac:dyDescent="0.25">
      <c r="A18" s="601"/>
      <c r="B18" s="599" t="str">
        <f>Rydberg!B18</f>
        <v>Electric capacitance</v>
      </c>
      <c r="C18" s="599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198">
        <f t="shared" si="0"/>
        <v>1.3029851308452323E-2</v>
      </c>
      <c r="H18" s="118" t="str">
        <f>Rydberg!L18</f>
        <v>mF</v>
      </c>
      <c r="I18" s="19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 x14ac:dyDescent="0.25">
      <c r="A19" s="601"/>
      <c r="B19" s="599" t="str">
        <f>Rydberg!B19</f>
        <v>Magnetic flux</v>
      </c>
      <c r="C19" s="599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198">
        <f t="shared" si="0"/>
        <v>0.86629761566927965</v>
      </c>
      <c r="H19" s="118" t="str">
        <f>Rydberg!L19</f>
        <v>Wb</v>
      </c>
      <c r="I19" s="19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 x14ac:dyDescent="0.25">
      <c r="A20" s="601"/>
      <c r="B20" s="599" t="str">
        <f>Rydberg!B20</f>
        <v>Magnetic flux density</v>
      </c>
      <c r="C20" s="599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198">
        <f t="shared" si="0"/>
        <v>11.678991023732532</v>
      </c>
      <c r="H20" s="118" t="str">
        <f>Rydberg!L20</f>
        <v>T</v>
      </c>
      <c r="I20" s="19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 x14ac:dyDescent="0.3">
      <c r="A21" s="602"/>
      <c r="B21" s="605" t="str">
        <f>Rydberg!B21</f>
        <v>Inductance</v>
      </c>
      <c r="C21" s="605"/>
      <c r="D21" s="89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199">
        <f t="shared" si="0"/>
        <v>11.710646341642224</v>
      </c>
      <c r="H21" s="124" t="str">
        <f>Rydberg!L21</f>
        <v>H</v>
      </c>
      <c r="I21" s="197"/>
      <c r="J21" s="113"/>
      <c r="K21" s="113"/>
      <c r="L21" s="113"/>
      <c r="M21" s="113"/>
      <c r="N21" s="113"/>
      <c r="O21" s="113"/>
      <c r="P21" s="113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 x14ac:dyDescent="0.3">
      <c r="A22" s="596"/>
      <c r="B22" s="597"/>
      <c r="C22" s="598" t="s">
        <v>580</v>
      </c>
      <c r="D22" s="598"/>
      <c r="E22" s="598"/>
      <c r="F22" s="598"/>
      <c r="G22" s="598"/>
      <c r="H22" s="598"/>
      <c r="I22" s="595" t="s">
        <v>581</v>
      </c>
      <c r="J22" s="595"/>
      <c r="K22" s="595"/>
      <c r="L22" s="595"/>
      <c r="M22" s="595"/>
      <c r="N22" s="595"/>
      <c r="O22" s="595"/>
      <c r="P22" s="595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 x14ac:dyDescent="0.25">
      <c r="A23" s="608" t="s">
        <v>600</v>
      </c>
      <c r="B23" s="200" t="s">
        <v>582</v>
      </c>
      <c r="C23" s="90" t="s">
        <v>42</v>
      </c>
      <c r="D23" s="204" t="s">
        <v>95</v>
      </c>
      <c r="E23" s="17" t="s">
        <v>43</v>
      </c>
      <c r="F23" s="18" t="s">
        <v>54</v>
      </c>
      <c r="G23" s="17" t="s">
        <v>47</v>
      </c>
      <c r="H23" s="164" t="s">
        <v>95</v>
      </c>
      <c r="I23" s="155" t="s">
        <v>42</v>
      </c>
      <c r="J23" s="18" t="s">
        <v>95</v>
      </c>
      <c r="K23" s="18" t="s">
        <v>54</v>
      </c>
      <c r="L23" s="17" t="s">
        <v>47</v>
      </c>
      <c r="M23" s="17" t="s">
        <v>45</v>
      </c>
      <c r="N23" s="568" t="s">
        <v>80</v>
      </c>
      <c r="O23" s="569"/>
      <c r="P23" s="2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 x14ac:dyDescent="0.25">
      <c r="A24" s="608"/>
      <c r="B24" s="610" t="s">
        <v>596</v>
      </c>
      <c r="C24" s="165" t="s">
        <v>564</v>
      </c>
      <c r="D24" s="3" t="s">
        <v>561</v>
      </c>
      <c r="E24" s="151">
        <f t="shared" ref="E24:E28" si="28">E25/12</f>
        <v>9.1210202711408506E-8</v>
      </c>
      <c r="F24" s="15">
        <v>-9</v>
      </c>
      <c r="G24" s="166">
        <f t="shared" ref="G24:G94" si="29">E24*POWER(10,-F24)</f>
        <v>91.210202711408499</v>
      </c>
      <c r="H24" s="167" t="s">
        <v>563</v>
      </c>
      <c r="I24" s="15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 x14ac:dyDescent="0.25">
      <c r="A25" s="608"/>
      <c r="B25" s="610"/>
      <c r="C25" s="168" t="s">
        <v>565</v>
      </c>
      <c r="D25" s="3" t="str">
        <f>D24</f>
        <v>m</v>
      </c>
      <c r="E25" s="151">
        <f t="shared" si="28"/>
        <v>1.0945224325369021E-6</v>
      </c>
      <c r="F25" s="15">
        <v>-6</v>
      </c>
      <c r="G25" s="166">
        <f t="shared" si="29"/>
        <v>1.0945224325369021</v>
      </c>
      <c r="H25" s="167" t="s">
        <v>589</v>
      </c>
      <c r="I25" s="15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 x14ac:dyDescent="0.25">
      <c r="A26" s="608"/>
      <c r="B26" s="610"/>
      <c r="C26" s="169" t="s">
        <v>566</v>
      </c>
      <c r="D26" s="3" t="str">
        <f t="shared" ref="D26:D35" si="60">D25</f>
        <v>m</v>
      </c>
      <c r="E26" s="151">
        <f t="shared" si="28"/>
        <v>1.3134269190442825E-5</v>
      </c>
      <c r="F26" s="15">
        <v>-6</v>
      </c>
      <c r="G26" s="166">
        <f t="shared" si="29"/>
        <v>13.134269190442824</v>
      </c>
      <c r="H26" s="167" t="s">
        <v>589</v>
      </c>
      <c r="I26" s="15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 x14ac:dyDescent="0.25">
      <c r="A27" s="608"/>
      <c r="B27" s="610"/>
      <c r="C27" s="170" t="s">
        <v>567</v>
      </c>
      <c r="D27" s="3" t="str">
        <f t="shared" si="60"/>
        <v>m</v>
      </c>
      <c r="E27" s="151">
        <f t="shared" si="28"/>
        <v>1.576112302853139E-4</v>
      </c>
      <c r="F27" s="15">
        <v>-6</v>
      </c>
      <c r="G27" s="166">
        <f t="shared" si="29"/>
        <v>157.61123028531389</v>
      </c>
      <c r="H27" s="167" t="s">
        <v>589</v>
      </c>
      <c r="I27" s="15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 x14ac:dyDescent="0.25">
      <c r="A28" s="608"/>
      <c r="B28" s="610"/>
      <c r="C28" s="171" t="s">
        <v>568</v>
      </c>
      <c r="D28" s="3" t="str">
        <f t="shared" si="60"/>
        <v>m</v>
      </c>
      <c r="E28" s="151">
        <f t="shared" si="28"/>
        <v>1.8913347634237669E-3</v>
      </c>
      <c r="F28" s="15">
        <v>-3</v>
      </c>
      <c r="G28" s="166">
        <f t="shared" si="29"/>
        <v>1.8913347634237669</v>
      </c>
      <c r="H28" s="167" t="s">
        <v>226</v>
      </c>
      <c r="I28" s="16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 x14ac:dyDescent="0.25">
      <c r="A29" s="608"/>
      <c r="B29" s="610"/>
      <c r="C29" s="172" t="s">
        <v>569</v>
      </c>
      <c r="D29" s="3" t="str">
        <f t="shared" si="60"/>
        <v>m</v>
      </c>
      <c r="E29" s="151">
        <f>E30/12</f>
        <v>2.2696017161085203E-2</v>
      </c>
      <c r="F29" s="15">
        <v>-3</v>
      </c>
      <c r="G29" s="166">
        <f t="shared" si="29"/>
        <v>22.696017161085202</v>
      </c>
      <c r="H29" s="167" t="s">
        <v>226</v>
      </c>
      <c r="I29" s="16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 x14ac:dyDescent="0.25">
      <c r="A30" s="608"/>
      <c r="B30" s="610"/>
      <c r="C30" s="173" t="s">
        <v>612</v>
      </c>
      <c r="D30" s="3" t="str">
        <f t="shared" si="60"/>
        <v>m</v>
      </c>
      <c r="E30" s="151">
        <f>E3</f>
        <v>0.27235220593302245</v>
      </c>
      <c r="F30" s="15">
        <v>-3</v>
      </c>
      <c r="G30" s="166">
        <f t="shared" si="29"/>
        <v>272.35220593302245</v>
      </c>
      <c r="H30" s="167" t="s">
        <v>226</v>
      </c>
      <c r="I30" s="16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 x14ac:dyDescent="0.25">
      <c r="A31" s="608"/>
      <c r="B31" s="610"/>
      <c r="C31" s="173" t="s">
        <v>613</v>
      </c>
      <c r="D31" s="3" t="str">
        <f t="shared" si="60"/>
        <v>m</v>
      </c>
      <c r="E31" s="151">
        <f>E30*12</f>
        <v>3.2682264711962694</v>
      </c>
      <c r="F31" s="15">
        <v>0</v>
      </c>
      <c r="G31" s="166">
        <f t="shared" si="29"/>
        <v>3.2682264711962694</v>
      </c>
      <c r="H31" s="167" t="s">
        <v>57</v>
      </c>
      <c r="I31" s="16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 x14ac:dyDescent="0.25">
      <c r="A32" s="608"/>
      <c r="B32" s="610"/>
      <c r="C32" s="173" t="s">
        <v>614</v>
      </c>
      <c r="D32" s="3" t="str">
        <f t="shared" si="60"/>
        <v>m</v>
      </c>
      <c r="E32" s="151">
        <f t="shared" ref="E32:E34" si="64">E31*12</f>
        <v>39.218717654355231</v>
      </c>
      <c r="F32" s="15">
        <v>0</v>
      </c>
      <c r="G32" s="166">
        <f t="shared" si="29"/>
        <v>39.218717654355231</v>
      </c>
      <c r="H32" s="167" t="s">
        <v>561</v>
      </c>
      <c r="I32" s="16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 x14ac:dyDescent="0.25">
      <c r="A33" s="608"/>
      <c r="B33" s="610"/>
      <c r="C33" s="190" t="s">
        <v>615</v>
      </c>
      <c r="D33" s="3" t="str">
        <f t="shared" si="60"/>
        <v>m</v>
      </c>
      <c r="E33" s="151">
        <f t="shared" si="64"/>
        <v>470.62461185226277</v>
      </c>
      <c r="F33" s="15">
        <v>0</v>
      </c>
      <c r="G33" s="166">
        <f t="shared" si="29"/>
        <v>470.62461185226277</v>
      </c>
      <c r="H33" s="167" t="s">
        <v>57</v>
      </c>
      <c r="I33" s="16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 x14ac:dyDescent="0.25">
      <c r="A34" s="608"/>
      <c r="B34" s="610"/>
      <c r="C34" s="188" t="s">
        <v>371</v>
      </c>
      <c r="D34" s="3" t="str">
        <f t="shared" si="60"/>
        <v>m</v>
      </c>
      <c r="E34" s="151">
        <f t="shared" si="64"/>
        <v>5647.4953422271537</v>
      </c>
      <c r="F34" s="15">
        <v>3</v>
      </c>
      <c r="G34" s="166">
        <f t="shared" si="29"/>
        <v>5.6474953422271534</v>
      </c>
      <c r="H34" s="167" t="s">
        <v>562</v>
      </c>
      <c r="I34" s="16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 x14ac:dyDescent="0.25">
      <c r="A35" s="608"/>
      <c r="B35" s="610"/>
      <c r="C35" s="188" t="s">
        <v>371</v>
      </c>
      <c r="D35" s="3" t="str">
        <f t="shared" si="60"/>
        <v>m</v>
      </c>
      <c r="E35" s="151">
        <f>E34</f>
        <v>5647.4953422271537</v>
      </c>
      <c r="F35" s="15">
        <v>0</v>
      </c>
      <c r="G35" s="166">
        <f>E35*POWER(10,-F35)/1852</f>
        <v>3.0494035325200612</v>
      </c>
      <c r="H35" s="167" t="s">
        <v>1119</v>
      </c>
      <c r="I35" s="16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 x14ac:dyDescent="0.25">
      <c r="A36" s="608"/>
      <c r="B36" s="610"/>
      <c r="C36" s="188" t="s">
        <v>372</v>
      </c>
      <c r="D36" s="3" t="str">
        <f>D34</f>
        <v>m</v>
      </c>
      <c r="E36" s="151">
        <f>E34*12</f>
        <v>67769.944106725845</v>
      </c>
      <c r="F36" s="15">
        <v>3</v>
      </c>
      <c r="G36" s="166">
        <f t="shared" si="29"/>
        <v>67.769944106725845</v>
      </c>
      <c r="H36" s="167" t="s">
        <v>562</v>
      </c>
      <c r="I36" s="16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 x14ac:dyDescent="0.25">
      <c r="A37" s="608"/>
      <c r="B37" s="610"/>
      <c r="C37" s="212" t="s">
        <v>373</v>
      </c>
      <c r="D37" s="5" t="str">
        <f>D34</f>
        <v>m</v>
      </c>
      <c r="E37" s="249">
        <f>E36*12</f>
        <v>813239.32928071008</v>
      </c>
      <c r="F37" s="250">
        <v>3</v>
      </c>
      <c r="G37" s="251">
        <f t="shared" ref="G37" si="110">E37*POWER(10,-F37)</f>
        <v>813.23932928071008</v>
      </c>
      <c r="H37" s="252" t="s">
        <v>562</v>
      </c>
      <c r="I37" s="16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08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 x14ac:dyDescent="0.3">
      <c r="A38" s="608"/>
      <c r="B38" s="611"/>
      <c r="C38" s="189" t="s">
        <v>374</v>
      </c>
      <c r="D38" s="89" t="str">
        <f>D36</f>
        <v>m</v>
      </c>
      <c r="E38" s="175">
        <f>E37*12</f>
        <v>9758871.9513685219</v>
      </c>
      <c r="F38" s="176">
        <v>3</v>
      </c>
      <c r="G38" s="177">
        <f t="shared" si="29"/>
        <v>9758.8719513685228</v>
      </c>
      <c r="H38" s="178" t="s">
        <v>562</v>
      </c>
      <c r="I38" s="16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08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 x14ac:dyDescent="0.25">
      <c r="A39" s="608"/>
      <c r="B39" s="610" t="s">
        <v>774</v>
      </c>
      <c r="C39" s="165" t="s">
        <v>564</v>
      </c>
      <c r="D39" s="3" t="str">
        <f t="shared" ref="D39:D43" si="138">D40</f>
        <v>m^2</v>
      </c>
      <c r="E39" s="151">
        <f t="shared" ref="E39:E43" si="139">E40/12</f>
        <v>2.4841299912050257E-8</v>
      </c>
      <c r="F39" s="15">
        <v>-6</v>
      </c>
      <c r="G39" s="166">
        <f t="shared" ref="G39:G52" si="140">E39*POWER(10,-F39)</f>
        <v>2.4841299912050255E-2</v>
      </c>
      <c r="H39" s="167" t="s">
        <v>775</v>
      </c>
      <c r="I39" s="266">
        <f t="shared" ref="I39:I43" si="141">I40/10</f>
        <v>1.0000000000000002E-6</v>
      </c>
      <c r="J39" s="205" t="str">
        <f t="shared" ref="J39:J43" si="142">J40</f>
        <v>m^2</v>
      </c>
      <c r="K39" s="143">
        <v>9</v>
      </c>
      <c r="L39" s="142">
        <f t="shared" ref="L39:L43" si="143">L40/10</f>
        <v>1.348149967457736E-5</v>
      </c>
      <c r="M39" s="145" t="str">
        <f t="shared" si="68"/>
        <v>3;43096E136</v>
      </c>
      <c r="N39" s="146">
        <v>-5</v>
      </c>
      <c r="O39" s="154">
        <f t="shared" si="70"/>
        <v>3.3546285270244334</v>
      </c>
      <c r="P39" s="14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 x14ac:dyDescent="0.25">
      <c r="A40" s="608"/>
      <c r="B40" s="610"/>
      <c r="C40" s="168" t="s">
        <v>565</v>
      </c>
      <c r="D40" s="3" t="str">
        <f t="shared" si="138"/>
        <v>m^2</v>
      </c>
      <c r="E40" s="151">
        <f t="shared" si="139"/>
        <v>2.9809559894460307E-7</v>
      </c>
      <c r="F40" s="15">
        <v>-6</v>
      </c>
      <c r="G40" s="166">
        <f t="shared" si="140"/>
        <v>0.29809559894460308</v>
      </c>
      <c r="H40" s="167" t="s">
        <v>775</v>
      </c>
      <c r="I40" s="157">
        <f t="shared" si="141"/>
        <v>1.0000000000000001E-5</v>
      </c>
      <c r="J40" s="3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 x14ac:dyDescent="0.25">
      <c r="A41" s="608"/>
      <c r="B41" s="610"/>
      <c r="C41" s="169" t="s">
        <v>566</v>
      </c>
      <c r="D41" s="3" t="str">
        <f t="shared" si="138"/>
        <v>m^2</v>
      </c>
      <c r="E41" s="151">
        <f t="shared" si="139"/>
        <v>3.5771471873352368E-6</v>
      </c>
      <c r="F41" s="15">
        <v>-6</v>
      </c>
      <c r="G41" s="166">
        <f t="shared" si="140"/>
        <v>3.5771471873352367</v>
      </c>
      <c r="H41" s="167" t="s">
        <v>775</v>
      </c>
      <c r="I41" s="158">
        <f t="shared" si="141"/>
        <v>1E-4</v>
      </c>
      <c r="J41" s="3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 x14ac:dyDescent="0.25">
      <c r="A42" s="608"/>
      <c r="B42" s="610"/>
      <c r="C42" s="170" t="s">
        <v>567</v>
      </c>
      <c r="D42" s="3" t="str">
        <f t="shared" si="138"/>
        <v>m^2</v>
      </c>
      <c r="E42" s="151">
        <f t="shared" si="139"/>
        <v>4.2925766248022843E-5</v>
      </c>
      <c r="F42" s="15">
        <v>-6</v>
      </c>
      <c r="G42" s="166">
        <f t="shared" si="140"/>
        <v>42.925766248022846</v>
      </c>
      <c r="H42" s="167" t="s">
        <v>775</v>
      </c>
      <c r="I42" s="159">
        <f t="shared" si="141"/>
        <v>1E-3</v>
      </c>
      <c r="J42" s="3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 x14ac:dyDescent="0.25">
      <c r="A43" s="608"/>
      <c r="B43" s="610"/>
      <c r="C43" s="171" t="s">
        <v>568</v>
      </c>
      <c r="D43" s="3" t="str">
        <f t="shared" si="138"/>
        <v>m^2</v>
      </c>
      <c r="E43" s="151">
        <f t="shared" si="139"/>
        <v>5.1510919497627409E-4</v>
      </c>
      <c r="F43" s="15">
        <v>-4</v>
      </c>
      <c r="G43" s="166">
        <f t="shared" si="140"/>
        <v>5.1510919497627405</v>
      </c>
      <c r="H43" s="167" t="s">
        <v>776</v>
      </c>
      <c r="I43" s="160">
        <f t="shared" si="141"/>
        <v>0.01</v>
      </c>
      <c r="J43" s="3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 x14ac:dyDescent="0.25">
      <c r="A44" s="608"/>
      <c r="B44" s="610"/>
      <c r="C44" s="172" t="s">
        <v>569</v>
      </c>
      <c r="D44" s="3" t="str">
        <f>D45</f>
        <v>m^2</v>
      </c>
      <c r="E44" s="151">
        <f>E45/12</f>
        <v>6.1813103397152895E-3</v>
      </c>
      <c r="F44" s="15">
        <v>-4</v>
      </c>
      <c r="G44" s="166">
        <f t="shared" si="140"/>
        <v>61.813103397152894</v>
      </c>
      <c r="H44" s="167" t="s">
        <v>776</v>
      </c>
      <c r="I44" s="161">
        <f>I45/10</f>
        <v>0.1</v>
      </c>
      <c r="J44" s="3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 x14ac:dyDescent="0.25">
      <c r="A45" s="608"/>
      <c r="B45" s="610"/>
      <c r="C45" s="173" t="s">
        <v>612</v>
      </c>
      <c r="D45" s="3" t="s">
        <v>621</v>
      </c>
      <c r="E45" s="151">
        <f>E3*E3</f>
        <v>7.4175724076583474E-2</v>
      </c>
      <c r="F45" s="15">
        <v>-2</v>
      </c>
      <c r="G45" s="166">
        <f t="shared" si="140"/>
        <v>7.4175724076583478</v>
      </c>
      <c r="H45" s="167" t="s">
        <v>777</v>
      </c>
      <c r="I45" s="162">
        <v>1</v>
      </c>
      <c r="J45" s="3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 x14ac:dyDescent="0.25">
      <c r="A46" s="608"/>
      <c r="B46" s="610"/>
      <c r="C46" s="173" t="s">
        <v>368</v>
      </c>
      <c r="D46" s="3" t="str">
        <f t="shared" ref="D46:D50" si="158">D45</f>
        <v>m^2</v>
      </c>
      <c r="E46" s="151">
        <f>E45*12</f>
        <v>0.89010868891900174</v>
      </c>
      <c r="F46" s="15">
        <v>-2</v>
      </c>
      <c r="G46" s="166">
        <f t="shared" si="140"/>
        <v>89.010868891900174</v>
      </c>
      <c r="H46" s="167" t="s">
        <v>777</v>
      </c>
      <c r="I46" s="162">
        <f>I45*10</f>
        <v>10</v>
      </c>
      <c r="J46" s="3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 x14ac:dyDescent="0.25">
      <c r="A47" s="608"/>
      <c r="B47" s="610"/>
      <c r="C47" s="173" t="s">
        <v>369</v>
      </c>
      <c r="D47" s="3" t="str">
        <f t="shared" si="158"/>
        <v>m^2</v>
      </c>
      <c r="E47" s="151">
        <f t="shared" ref="E47:E50" si="160">E46*12</f>
        <v>10.681304267028022</v>
      </c>
      <c r="F47" s="15">
        <v>0</v>
      </c>
      <c r="G47" s="166">
        <f t="shared" si="140"/>
        <v>10.681304267028022</v>
      </c>
      <c r="H47" s="167" t="s">
        <v>621</v>
      </c>
      <c r="I47" s="162">
        <f>I46*10</f>
        <v>100</v>
      </c>
      <c r="J47" s="3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 x14ac:dyDescent="0.25">
      <c r="A48" s="608"/>
      <c r="B48" s="610"/>
      <c r="C48" s="190" t="s">
        <v>370</v>
      </c>
      <c r="D48" s="3" t="str">
        <f t="shared" si="158"/>
        <v>m^2</v>
      </c>
      <c r="E48" s="151">
        <f t="shared" si="160"/>
        <v>128.17565120433625</v>
      </c>
      <c r="F48" s="15">
        <v>2</v>
      </c>
      <c r="G48" s="166">
        <f t="shared" si="140"/>
        <v>1.2817565120433625</v>
      </c>
      <c r="H48" s="167" t="s">
        <v>778</v>
      </c>
      <c r="I48" s="162">
        <f t="shared" ref="I48:I50" si="161">I47*10</f>
        <v>1000</v>
      </c>
      <c r="J48" s="3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 x14ac:dyDescent="0.25">
      <c r="A49" s="608"/>
      <c r="B49" s="610"/>
      <c r="C49" s="188" t="s">
        <v>371</v>
      </c>
      <c r="D49" s="3" t="str">
        <f t="shared" si="158"/>
        <v>m^2</v>
      </c>
      <c r="E49" s="151">
        <f t="shared" si="160"/>
        <v>1538.107814452035</v>
      </c>
      <c r="F49" s="15">
        <v>2</v>
      </c>
      <c r="G49" s="166">
        <f t="shared" si="140"/>
        <v>15.38107814452035</v>
      </c>
      <c r="H49" s="167" t="s">
        <v>778</v>
      </c>
      <c r="I49" s="162">
        <f t="shared" si="161"/>
        <v>10000</v>
      </c>
      <c r="J49" s="3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 x14ac:dyDescent="0.25">
      <c r="A50" s="608"/>
      <c r="B50" s="610"/>
      <c r="C50" s="188" t="s">
        <v>372</v>
      </c>
      <c r="D50" s="3" t="str">
        <f t="shared" si="158"/>
        <v>m^2</v>
      </c>
      <c r="E50" s="151">
        <f t="shared" si="160"/>
        <v>18457.293773424419</v>
      </c>
      <c r="F50" s="15">
        <v>4</v>
      </c>
      <c r="G50" s="166">
        <f t="shared" si="140"/>
        <v>1.8457293773424419</v>
      </c>
      <c r="H50" s="167" t="s">
        <v>779</v>
      </c>
      <c r="I50" s="162">
        <f t="shared" si="161"/>
        <v>100000</v>
      </c>
      <c r="J50" s="3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 x14ac:dyDescent="0.25">
      <c r="A51" s="608"/>
      <c r="B51" s="610"/>
      <c r="C51" s="212" t="s">
        <v>373</v>
      </c>
      <c r="D51" s="5" t="str">
        <f>D49</f>
        <v>m^2</v>
      </c>
      <c r="E51" s="249">
        <f>E50*12</f>
        <v>221487.52528109303</v>
      </c>
      <c r="F51" s="250">
        <v>4</v>
      </c>
      <c r="G51" s="251">
        <f t="shared" si="140"/>
        <v>22.148752528109302</v>
      </c>
      <c r="H51" s="252" t="s">
        <v>779</v>
      </c>
      <c r="I51" s="16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08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 x14ac:dyDescent="0.3">
      <c r="A52" s="608"/>
      <c r="B52" s="611"/>
      <c r="C52" s="189" t="s">
        <v>374</v>
      </c>
      <c r="D52" s="89" t="str">
        <f>D50</f>
        <v>m^2</v>
      </c>
      <c r="E52" s="175">
        <f>E51*12</f>
        <v>2657850.3033731161</v>
      </c>
      <c r="F52" s="176">
        <v>6</v>
      </c>
      <c r="G52" s="177">
        <f t="shared" si="140"/>
        <v>2.6578503033731158</v>
      </c>
      <c r="H52" s="178" t="s">
        <v>780</v>
      </c>
      <c r="I52" s="163">
        <f>I51*10</f>
        <v>10000000</v>
      </c>
      <c r="J52" s="89" t="str">
        <f>J50</f>
        <v>m^2</v>
      </c>
      <c r="K52" s="30">
        <v>9</v>
      </c>
      <c r="L52" s="29">
        <f>L51*10</f>
        <v>134814996.74577358</v>
      </c>
      <c r="M52" s="108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 x14ac:dyDescent="0.25">
      <c r="A53" s="608"/>
      <c r="B53" s="610" t="s">
        <v>740</v>
      </c>
      <c r="C53" s="165" t="s">
        <v>564</v>
      </c>
      <c r="D53" s="3" t="str">
        <f t="shared" ref="D53:D57" si="178">D54</f>
        <v>m^3</v>
      </c>
      <c r="E53" s="151">
        <f t="shared" ref="E53:E57" si="179">E54/12</f>
        <v>6.7655828292906832E-9</v>
      </c>
      <c r="F53" s="15">
        <v>-9</v>
      </c>
      <c r="G53" s="166">
        <f t="shared" ref="G53:G66" si="180">E53*POWER(10,-F53)</f>
        <v>6.7655828292906834</v>
      </c>
      <c r="H53" s="167" t="s">
        <v>744</v>
      </c>
      <c r="I53" s="266">
        <f t="shared" ref="I53:I57" si="181">I54/10</f>
        <v>1.0000000000000002E-6</v>
      </c>
      <c r="J53" s="205" t="str">
        <f t="shared" ref="J53:J57" si="182">J54</f>
        <v>m^3</v>
      </c>
      <c r="K53" s="143">
        <v>9</v>
      </c>
      <c r="L53" s="142">
        <f t="shared" ref="L53:L57" si="183">L54/10</f>
        <v>4.9500240427253082E-5</v>
      </c>
      <c r="M53" s="145" t="str">
        <f t="shared" si="163"/>
        <v>1;0398244EX</v>
      </c>
      <c r="N53" s="146">
        <f>N54</f>
        <v>-4</v>
      </c>
      <c r="O53" s="154">
        <f t="shared" si="165"/>
        <v>1.0264369854995199</v>
      </c>
      <c r="P53" s="14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 x14ac:dyDescent="0.25">
      <c r="A54" s="608"/>
      <c r="B54" s="610"/>
      <c r="C54" s="168" t="s">
        <v>565</v>
      </c>
      <c r="D54" s="3" t="str">
        <f t="shared" si="178"/>
        <v>m^3</v>
      </c>
      <c r="E54" s="151">
        <f t="shared" si="179"/>
        <v>8.1186993951488202E-8</v>
      </c>
      <c r="F54" s="15">
        <v>-9</v>
      </c>
      <c r="G54" s="166">
        <f t="shared" si="180"/>
        <v>81.186993951488205</v>
      </c>
      <c r="H54" s="167" t="s">
        <v>744</v>
      </c>
      <c r="I54" s="157">
        <f t="shared" si="181"/>
        <v>1.0000000000000001E-5</v>
      </c>
      <c r="J54" s="3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 x14ac:dyDescent="0.25">
      <c r="A55" s="608"/>
      <c r="B55" s="610"/>
      <c r="C55" s="169" t="s">
        <v>566</v>
      </c>
      <c r="D55" s="3" t="str">
        <f t="shared" si="178"/>
        <v>m^3</v>
      </c>
      <c r="E55" s="151">
        <f t="shared" si="179"/>
        <v>9.7424392741785842E-7</v>
      </c>
      <c r="F55" s="15">
        <v>-6</v>
      </c>
      <c r="G55" s="166">
        <f t="shared" si="180"/>
        <v>0.97424392741785848</v>
      </c>
      <c r="H55" s="167" t="s">
        <v>743</v>
      </c>
      <c r="I55" s="158">
        <f t="shared" si="181"/>
        <v>1E-4</v>
      </c>
      <c r="J55" s="3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 x14ac:dyDescent="0.25">
      <c r="A56" s="608"/>
      <c r="B56" s="610"/>
      <c r="C56" s="170" t="s">
        <v>567</v>
      </c>
      <c r="D56" s="3" t="str">
        <f t="shared" si="178"/>
        <v>m^3</v>
      </c>
      <c r="E56" s="151">
        <f t="shared" si="179"/>
        <v>1.1690927129014301E-5</v>
      </c>
      <c r="F56" s="15">
        <v>-6</v>
      </c>
      <c r="G56" s="166">
        <f t="shared" si="180"/>
        <v>11.690927129014302</v>
      </c>
      <c r="H56" s="167" t="s">
        <v>743</v>
      </c>
      <c r="I56" s="159">
        <f t="shared" si="181"/>
        <v>1E-3</v>
      </c>
      <c r="J56" s="3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 x14ac:dyDescent="0.25">
      <c r="A57" s="608"/>
      <c r="B57" s="610"/>
      <c r="C57" s="171" t="s">
        <v>568</v>
      </c>
      <c r="D57" s="3" t="str">
        <f t="shared" si="178"/>
        <v>m^3</v>
      </c>
      <c r="E57" s="151">
        <f t="shared" si="179"/>
        <v>1.4029112554817162E-4</v>
      </c>
      <c r="F57" s="15">
        <v>-6</v>
      </c>
      <c r="G57" s="166">
        <f t="shared" si="180"/>
        <v>140.29112554817161</v>
      </c>
      <c r="H57" s="167" t="s">
        <v>743</v>
      </c>
      <c r="I57" s="160">
        <f t="shared" si="181"/>
        <v>0.01</v>
      </c>
      <c r="J57" s="3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 x14ac:dyDescent="0.25">
      <c r="A58" s="608"/>
      <c r="B58" s="610"/>
      <c r="C58" s="172" t="s">
        <v>569</v>
      </c>
      <c r="D58" s="3" t="str">
        <f>D59</f>
        <v>m^3</v>
      </c>
      <c r="E58" s="151">
        <f>E59/12</f>
        <v>1.6834935065780595E-3</v>
      </c>
      <c r="F58" s="15">
        <v>-3</v>
      </c>
      <c r="G58" s="166">
        <f t="shared" si="180"/>
        <v>1.6834935065780596</v>
      </c>
      <c r="H58" s="167" t="s">
        <v>742</v>
      </c>
      <c r="I58" s="161">
        <f>I59/10</f>
        <v>0.1</v>
      </c>
      <c r="J58" s="3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 x14ac:dyDescent="0.25">
      <c r="A59" s="608"/>
      <c r="B59" s="610"/>
      <c r="C59" s="173" t="s">
        <v>612</v>
      </c>
      <c r="D59" s="3" t="s">
        <v>622</v>
      </c>
      <c r="E59" s="151">
        <f>E3*E3*E3</f>
        <v>2.0201922078936715E-2</v>
      </c>
      <c r="F59" s="15">
        <v>-3</v>
      </c>
      <c r="G59" s="166">
        <f t="shared" si="180"/>
        <v>20.201922078936715</v>
      </c>
      <c r="H59" s="167" t="s">
        <v>742</v>
      </c>
      <c r="I59" s="162">
        <v>1</v>
      </c>
      <c r="J59" s="3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 x14ac:dyDescent="0.25">
      <c r="A60" s="608"/>
      <c r="B60" s="610"/>
      <c r="C60" s="173" t="s">
        <v>368</v>
      </c>
      <c r="D60" s="3" t="str">
        <f t="shared" ref="D60:D64" si="198">D59</f>
        <v>m^3</v>
      </c>
      <c r="E60" s="151">
        <f>E59*12</f>
        <v>0.24242306494724059</v>
      </c>
      <c r="F60" s="15">
        <v>-3</v>
      </c>
      <c r="G60" s="166">
        <f t="shared" si="180"/>
        <v>242.42306494724059</v>
      </c>
      <c r="H60" s="167" t="s">
        <v>742</v>
      </c>
      <c r="I60" s="162">
        <f>I59*10</f>
        <v>10</v>
      </c>
      <c r="J60" s="3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 x14ac:dyDescent="0.25">
      <c r="A61" s="608"/>
      <c r="B61" s="610"/>
      <c r="C61" s="173" t="s">
        <v>369</v>
      </c>
      <c r="D61" s="3" t="str">
        <f t="shared" si="198"/>
        <v>m^3</v>
      </c>
      <c r="E61" s="151">
        <f t="shared" ref="E61:E64" si="200">E60*12</f>
        <v>2.9090767793668872</v>
      </c>
      <c r="F61" s="15">
        <v>0</v>
      </c>
      <c r="G61" s="166">
        <f t="shared" si="180"/>
        <v>2.9090767793668872</v>
      </c>
      <c r="H61" s="167" t="s">
        <v>622</v>
      </c>
      <c r="I61" s="162">
        <f>I60*10</f>
        <v>100</v>
      </c>
      <c r="J61" s="3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 x14ac:dyDescent="0.25">
      <c r="A62" s="608"/>
      <c r="B62" s="610"/>
      <c r="C62" s="190" t="s">
        <v>370</v>
      </c>
      <c r="D62" s="3" t="str">
        <f t="shared" si="198"/>
        <v>m^3</v>
      </c>
      <c r="E62" s="151">
        <f t="shared" si="200"/>
        <v>34.908921352402643</v>
      </c>
      <c r="F62" s="15">
        <v>0</v>
      </c>
      <c r="G62" s="166">
        <f t="shared" si="180"/>
        <v>34.908921352402643</v>
      </c>
      <c r="H62" s="167" t="s">
        <v>622</v>
      </c>
      <c r="I62" s="162">
        <f t="shared" ref="I62:I64" si="201">I61*10</f>
        <v>1000</v>
      </c>
      <c r="J62" s="3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 x14ac:dyDescent="0.25">
      <c r="A63" s="608"/>
      <c r="B63" s="610"/>
      <c r="C63" s="188" t="s">
        <v>371</v>
      </c>
      <c r="D63" s="3" t="str">
        <f t="shared" si="198"/>
        <v>m^3</v>
      </c>
      <c r="E63" s="151">
        <f t="shared" si="200"/>
        <v>418.90705622883172</v>
      </c>
      <c r="F63" s="15">
        <v>0</v>
      </c>
      <c r="G63" s="166">
        <f t="shared" si="180"/>
        <v>418.90705622883172</v>
      </c>
      <c r="H63" s="167" t="s">
        <v>622</v>
      </c>
      <c r="I63" s="162">
        <f t="shared" si="201"/>
        <v>10000</v>
      </c>
      <c r="J63" s="3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 x14ac:dyDescent="0.25">
      <c r="A64" s="608"/>
      <c r="B64" s="610"/>
      <c r="C64" s="188" t="s">
        <v>372</v>
      </c>
      <c r="D64" s="3" t="str">
        <f t="shared" si="198"/>
        <v>m^3</v>
      </c>
      <c r="E64" s="151">
        <f t="shared" si="200"/>
        <v>5026.8846747459811</v>
      </c>
      <c r="F64" s="15">
        <v>3</v>
      </c>
      <c r="G64" s="166">
        <f t="shared" si="180"/>
        <v>5.0268846747459808</v>
      </c>
      <c r="H64" s="167" t="s">
        <v>741</v>
      </c>
      <c r="I64" s="162">
        <f t="shared" si="201"/>
        <v>100000</v>
      </c>
      <c r="J64" s="3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 x14ac:dyDescent="0.25">
      <c r="A65" s="608"/>
      <c r="B65" s="610"/>
      <c r="C65" s="212" t="s">
        <v>373</v>
      </c>
      <c r="D65" s="5" t="str">
        <f>D63</f>
        <v>m^3</v>
      </c>
      <c r="E65" s="249">
        <f>E64*12</f>
        <v>60322.616096951773</v>
      </c>
      <c r="F65" s="250">
        <v>3</v>
      </c>
      <c r="G65" s="251">
        <f t="shared" si="180"/>
        <v>60.322616096951776</v>
      </c>
      <c r="H65" s="252" t="s">
        <v>741</v>
      </c>
      <c r="I65" s="16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08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 x14ac:dyDescent="0.3">
      <c r="A66" s="608"/>
      <c r="B66" s="611"/>
      <c r="C66" s="189" t="s">
        <v>374</v>
      </c>
      <c r="D66" s="89" t="str">
        <f>D64</f>
        <v>m^3</v>
      </c>
      <c r="E66" s="175">
        <f>E65*12</f>
        <v>723871.39316342131</v>
      </c>
      <c r="F66" s="176">
        <v>3</v>
      </c>
      <c r="G66" s="177">
        <f t="shared" si="180"/>
        <v>723.87139316342132</v>
      </c>
      <c r="H66" s="178" t="s">
        <v>741</v>
      </c>
      <c r="I66" s="163">
        <f>I65*10</f>
        <v>10000000</v>
      </c>
      <c r="J66" s="89" t="str">
        <f>J64</f>
        <v>m^3</v>
      </c>
      <c r="K66" s="30">
        <v>9</v>
      </c>
      <c r="L66" s="29">
        <f>L65*10</f>
        <v>495002404.27253097</v>
      </c>
      <c r="M66" s="108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 x14ac:dyDescent="0.25">
      <c r="A67" s="608"/>
      <c r="B67" s="612" t="s">
        <v>597</v>
      </c>
      <c r="C67" s="165" t="s">
        <v>564</v>
      </c>
      <c r="D67" s="205" t="s">
        <v>570</v>
      </c>
      <c r="E67" s="148">
        <f t="shared" ref="E67:E71" si="218">E68/12</f>
        <v>1.3081956069206795E-7</v>
      </c>
      <c r="F67" s="149">
        <v>-9</v>
      </c>
      <c r="G67" s="150">
        <f t="shared" si="29"/>
        <v>130.81956069206794</v>
      </c>
      <c r="H67" s="180" t="s">
        <v>573</v>
      </c>
      <c r="I67" s="179">
        <f t="shared" ref="I67:I71" si="219">I68/10</f>
        <v>1.0000000000000002E-6</v>
      </c>
      <c r="J67" s="144" t="s">
        <v>570</v>
      </c>
      <c r="K67" s="143">
        <v>9</v>
      </c>
      <c r="L67" s="142">
        <f t="shared" ref="L67:L71" si="220">L68/10</f>
        <v>2.5599992455921012E-6</v>
      </c>
      <c r="M67" s="145" t="str">
        <f t="shared" si="68"/>
        <v>7;78904X508</v>
      </c>
      <c r="N67" s="146">
        <f t="shared" ref="N67:N71" si="221">N68-1</f>
        <v>-6</v>
      </c>
      <c r="O67" s="154">
        <f t="shared" si="70"/>
        <v>7.644116787350085</v>
      </c>
      <c r="P67" s="14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 x14ac:dyDescent="0.25">
      <c r="A68" s="608"/>
      <c r="B68" s="610"/>
      <c r="C68" s="168" t="s">
        <v>565</v>
      </c>
      <c r="D68" s="3" t="str">
        <f>D67</f>
        <v>s</v>
      </c>
      <c r="E68" s="151">
        <f t="shared" si="218"/>
        <v>1.5698347283048154E-6</v>
      </c>
      <c r="F68" s="152">
        <v>-6</v>
      </c>
      <c r="G68" s="153">
        <f t="shared" si="29"/>
        <v>1.5698347283048153</v>
      </c>
      <c r="H68" s="181" t="s">
        <v>574</v>
      </c>
      <c r="I68" s="15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 x14ac:dyDescent="0.25">
      <c r="A69" s="608"/>
      <c r="B69" s="610"/>
      <c r="C69" s="169" t="s">
        <v>566</v>
      </c>
      <c r="D69" s="3" t="str">
        <f t="shared" ref="D69:D81" si="222">D68</f>
        <v>s</v>
      </c>
      <c r="E69" s="151">
        <f t="shared" si="218"/>
        <v>1.8838016739657784E-5</v>
      </c>
      <c r="F69" s="152">
        <v>-6</v>
      </c>
      <c r="G69" s="153">
        <f t="shared" si="29"/>
        <v>18.838016739657785</v>
      </c>
      <c r="H69" s="181" t="s">
        <v>574</v>
      </c>
      <c r="I69" s="15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 x14ac:dyDescent="0.25">
      <c r="A70" s="608"/>
      <c r="B70" s="610"/>
      <c r="C70" s="170" t="s">
        <v>567</v>
      </c>
      <c r="D70" s="3" t="str">
        <f t="shared" si="222"/>
        <v>s</v>
      </c>
      <c r="E70" s="151">
        <f t="shared" si="218"/>
        <v>2.260562008758934E-4</v>
      </c>
      <c r="F70" s="152">
        <v>-6</v>
      </c>
      <c r="G70" s="153">
        <f t="shared" si="29"/>
        <v>226.05620087589341</v>
      </c>
      <c r="H70" s="181" t="s">
        <v>574</v>
      </c>
      <c r="I70" s="15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 x14ac:dyDescent="0.25">
      <c r="A71" s="608"/>
      <c r="B71" s="610"/>
      <c r="C71" s="171" t="s">
        <v>568</v>
      </c>
      <c r="D71" s="3" t="str">
        <f t="shared" si="222"/>
        <v>s</v>
      </c>
      <c r="E71" s="151">
        <f t="shared" si="218"/>
        <v>2.7126744105107209E-3</v>
      </c>
      <c r="F71" s="152">
        <v>-3</v>
      </c>
      <c r="G71" s="153">
        <f t="shared" si="29"/>
        <v>2.7126744105107208</v>
      </c>
      <c r="H71" s="181" t="s">
        <v>227</v>
      </c>
      <c r="I71" s="16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 x14ac:dyDescent="0.25">
      <c r="A72" s="608"/>
      <c r="B72" s="610"/>
      <c r="C72" s="172" t="s">
        <v>569</v>
      </c>
      <c r="D72" s="3" t="str">
        <f t="shared" si="222"/>
        <v>s</v>
      </c>
      <c r="E72" s="151">
        <f>E73/12</f>
        <v>3.2552092926128651E-2</v>
      </c>
      <c r="F72" s="152">
        <v>-3</v>
      </c>
      <c r="G72" s="153">
        <f t="shared" si="29"/>
        <v>32.552092926128651</v>
      </c>
      <c r="H72" s="181" t="s">
        <v>227</v>
      </c>
      <c r="I72" s="16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 x14ac:dyDescent="0.25">
      <c r="A73" s="608"/>
      <c r="B73" s="610"/>
      <c r="C73" s="173" t="s">
        <v>612</v>
      </c>
      <c r="D73" s="3" t="str">
        <f t="shared" si="222"/>
        <v>s</v>
      </c>
      <c r="E73" s="151">
        <f>E4</f>
        <v>0.39062511511354381</v>
      </c>
      <c r="F73" s="152">
        <v>-3</v>
      </c>
      <c r="G73" s="153">
        <f t="shared" si="29"/>
        <v>390.62511511354381</v>
      </c>
      <c r="H73" s="181" t="s">
        <v>227</v>
      </c>
      <c r="I73" s="16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 x14ac:dyDescent="0.25">
      <c r="A74" s="608"/>
      <c r="B74" s="610"/>
      <c r="C74" s="173" t="s">
        <v>613</v>
      </c>
      <c r="D74" s="3" t="str">
        <f t="shared" si="222"/>
        <v>s</v>
      </c>
      <c r="E74" s="151">
        <f>E73*12</f>
        <v>4.6875013813625257</v>
      </c>
      <c r="F74" s="152">
        <v>0</v>
      </c>
      <c r="G74" s="153">
        <f t="shared" si="29"/>
        <v>4.6875013813625257</v>
      </c>
      <c r="H74" s="181" t="s">
        <v>570</v>
      </c>
      <c r="I74" s="16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 x14ac:dyDescent="0.25">
      <c r="A75" s="608"/>
      <c r="B75" s="610"/>
      <c r="C75" s="173" t="s">
        <v>614</v>
      </c>
      <c r="D75" s="3" t="str">
        <f t="shared" si="222"/>
        <v>s</v>
      </c>
      <c r="E75" s="151">
        <f t="shared" ref="E75:E81" si="223">E74*12</f>
        <v>56.250016576350305</v>
      </c>
      <c r="F75" s="152">
        <v>0</v>
      </c>
      <c r="G75" s="153">
        <f t="shared" si="29"/>
        <v>56.250016576350305</v>
      </c>
      <c r="H75" s="181" t="s">
        <v>570</v>
      </c>
      <c r="I75" s="16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 x14ac:dyDescent="0.25">
      <c r="A76" s="608"/>
      <c r="B76" s="610"/>
      <c r="C76" s="190" t="s">
        <v>615</v>
      </c>
      <c r="D76" s="3" t="str">
        <f t="shared" si="222"/>
        <v>s</v>
      </c>
      <c r="E76" s="151">
        <f t="shared" si="223"/>
        <v>675.00019891620366</v>
      </c>
      <c r="F76" s="152">
        <v>0</v>
      </c>
      <c r="G76" s="153">
        <f t="shared" si="29"/>
        <v>675.00019891620366</v>
      </c>
      <c r="H76" s="181" t="s">
        <v>570</v>
      </c>
      <c r="I76" s="16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 x14ac:dyDescent="0.25">
      <c r="A77" s="608"/>
      <c r="B77" s="610"/>
      <c r="C77" s="190" t="s">
        <v>615</v>
      </c>
      <c r="D77" s="3" t="str">
        <f t="shared" si="222"/>
        <v>s</v>
      </c>
      <c r="E77" s="151">
        <f t="shared" si="223"/>
        <v>8100.0023869944434</v>
      </c>
      <c r="F77" s="152">
        <v>0</v>
      </c>
      <c r="G77" s="153">
        <f>G76/3600</f>
        <v>0.187500055254501</v>
      </c>
      <c r="H77" s="181" t="s">
        <v>623</v>
      </c>
      <c r="I77" s="16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 x14ac:dyDescent="0.25">
      <c r="A78" s="608"/>
      <c r="B78" s="610"/>
      <c r="C78" s="188" t="s">
        <v>371</v>
      </c>
      <c r="D78" s="3" t="str">
        <f>D76</f>
        <v>s</v>
      </c>
      <c r="E78" s="151">
        <f>E76*12</f>
        <v>8100.0023869944434</v>
      </c>
      <c r="F78" s="152">
        <v>3</v>
      </c>
      <c r="G78" s="153">
        <f t="shared" si="29"/>
        <v>8.1000023869944435</v>
      </c>
      <c r="H78" s="181" t="s">
        <v>571</v>
      </c>
      <c r="I78" s="16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 x14ac:dyDescent="0.25">
      <c r="A79" s="608"/>
      <c r="B79" s="610"/>
      <c r="C79" s="188" t="s">
        <v>372</v>
      </c>
      <c r="D79" s="3" t="str">
        <f>D77</f>
        <v>s</v>
      </c>
      <c r="E79" s="151">
        <f>E80/86400</f>
        <v>1.1250003315270061</v>
      </c>
      <c r="F79" s="152">
        <v>0</v>
      </c>
      <c r="G79" s="153">
        <f t="shared" ref="G79" si="256">E79*POWER(10,-F79)</f>
        <v>1.1250003315270061</v>
      </c>
      <c r="H79" s="181" t="s">
        <v>624</v>
      </c>
      <c r="I79" s="16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 x14ac:dyDescent="0.25">
      <c r="A80" s="608"/>
      <c r="B80" s="610"/>
      <c r="C80" s="188" t="s">
        <v>372</v>
      </c>
      <c r="D80" s="3" t="str">
        <f>D78</f>
        <v>s</v>
      </c>
      <c r="E80" s="151">
        <f>E78*12</f>
        <v>97200.028643933329</v>
      </c>
      <c r="F80" s="152">
        <v>3</v>
      </c>
      <c r="G80" s="153">
        <f t="shared" si="29"/>
        <v>97.200028643933337</v>
      </c>
      <c r="H80" s="181" t="s">
        <v>571</v>
      </c>
      <c r="I80" s="16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 x14ac:dyDescent="0.3">
      <c r="A81" s="608"/>
      <c r="B81" s="611"/>
      <c r="C81" s="189" t="s">
        <v>373</v>
      </c>
      <c r="D81" s="3" t="str">
        <f t="shared" si="222"/>
        <v>s</v>
      </c>
      <c r="E81" s="175">
        <f t="shared" si="223"/>
        <v>1166400.3437271998</v>
      </c>
      <c r="F81" s="182">
        <v>6</v>
      </c>
      <c r="G81" s="183">
        <f t="shared" si="29"/>
        <v>1.1664003437271997</v>
      </c>
      <c r="H81" s="184" t="s">
        <v>572</v>
      </c>
      <c r="I81" s="16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 x14ac:dyDescent="0.25">
      <c r="A82" s="608"/>
      <c r="B82" s="612" t="s">
        <v>598</v>
      </c>
      <c r="C82" s="165" t="s">
        <v>564</v>
      </c>
      <c r="D82" s="205" t="s">
        <v>575</v>
      </c>
      <c r="E82" s="148">
        <f t="shared" ref="E82:E86" si="272">E83/12</f>
        <v>4.4149361511287814E-8</v>
      </c>
      <c r="F82" s="185">
        <v>-9</v>
      </c>
      <c r="G82" s="186">
        <f t="shared" si="29"/>
        <v>44.149361511287815</v>
      </c>
      <c r="H82" s="187" t="s">
        <v>576</v>
      </c>
      <c r="I82" s="179">
        <f t="shared" ref="I82:I86" si="273">I83/10</f>
        <v>1.0000000000000002E-6</v>
      </c>
      <c r="J82" s="144" t="s">
        <v>61</v>
      </c>
      <c r="K82" s="143">
        <v>9</v>
      </c>
      <c r="L82" s="142">
        <f t="shared" ref="L82:L86" si="274">L83/10</f>
        <v>7.5855678364625889E-6</v>
      </c>
      <c r="M82" s="145" t="str">
        <f t="shared" si="226"/>
        <v>1;X797X4495</v>
      </c>
      <c r="N82" s="146">
        <f t="shared" ref="N82:N86" si="275">N83-1</f>
        <v>-5</v>
      </c>
      <c r="O82" s="154">
        <f t="shared" si="228"/>
        <v>1.8875320158826587</v>
      </c>
      <c r="P82" s="14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 x14ac:dyDescent="0.25">
      <c r="A83" s="608"/>
      <c r="B83" s="610"/>
      <c r="C83" s="168" t="s">
        <v>565</v>
      </c>
      <c r="D83" s="3" t="str">
        <f>D82</f>
        <v>g</v>
      </c>
      <c r="E83" s="151">
        <f t="shared" si="272"/>
        <v>5.2979233813545374E-7</v>
      </c>
      <c r="F83" s="15">
        <v>-9</v>
      </c>
      <c r="G83" s="166">
        <f t="shared" si="29"/>
        <v>529.79233813545375</v>
      </c>
      <c r="H83" s="167" t="s">
        <v>576</v>
      </c>
      <c r="I83" s="15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 x14ac:dyDescent="0.25">
      <c r="A84" s="608"/>
      <c r="B84" s="610"/>
      <c r="C84" s="169" t="s">
        <v>566</v>
      </c>
      <c r="D84" s="3" t="str">
        <f t="shared" ref="D84:D94" si="276">D83</f>
        <v>g</v>
      </c>
      <c r="E84" s="151">
        <f t="shared" si="272"/>
        <v>6.3575080576254445E-6</v>
      </c>
      <c r="F84" s="15">
        <v>-6</v>
      </c>
      <c r="G84" s="166">
        <f t="shared" si="29"/>
        <v>6.3575080576254441</v>
      </c>
      <c r="H84" s="167" t="s">
        <v>577</v>
      </c>
      <c r="I84" s="15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 x14ac:dyDescent="0.25">
      <c r="A85" s="608"/>
      <c r="B85" s="610"/>
      <c r="C85" s="170" t="s">
        <v>567</v>
      </c>
      <c r="D85" s="3" t="str">
        <f t="shared" si="276"/>
        <v>g</v>
      </c>
      <c r="E85" s="151">
        <f t="shared" si="272"/>
        <v>7.6290096691505337E-5</v>
      </c>
      <c r="F85" s="15">
        <v>-6</v>
      </c>
      <c r="G85" s="166">
        <f t="shared" si="29"/>
        <v>76.29009669150534</v>
      </c>
      <c r="H85" s="167" t="s">
        <v>577</v>
      </c>
      <c r="I85" s="15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 x14ac:dyDescent="0.25">
      <c r="A86" s="608"/>
      <c r="B86" s="610"/>
      <c r="C86" s="171" t="s">
        <v>568</v>
      </c>
      <c r="D86" s="3" t="str">
        <f t="shared" si="276"/>
        <v>g</v>
      </c>
      <c r="E86" s="151">
        <f t="shared" si="272"/>
        <v>9.1548116029806399E-4</v>
      </c>
      <c r="F86" s="15">
        <v>-6</v>
      </c>
      <c r="G86" s="166">
        <f t="shared" si="29"/>
        <v>915.48116029806397</v>
      </c>
      <c r="H86" s="167" t="s">
        <v>577</v>
      </c>
      <c r="I86" s="16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 x14ac:dyDescent="0.25">
      <c r="A87" s="608"/>
      <c r="B87" s="610"/>
      <c r="C87" s="172" t="s">
        <v>569</v>
      </c>
      <c r="D87" s="3" t="str">
        <f t="shared" si="276"/>
        <v>g</v>
      </c>
      <c r="E87" s="151">
        <f>E88/12</f>
        <v>1.0985773923576768E-2</v>
      </c>
      <c r="F87" s="15">
        <v>-3</v>
      </c>
      <c r="G87" s="166">
        <f t="shared" si="29"/>
        <v>10.985773923576767</v>
      </c>
      <c r="H87" s="167" t="s">
        <v>575</v>
      </c>
      <c r="I87" s="16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 x14ac:dyDescent="0.25">
      <c r="A88" s="608"/>
      <c r="B88" s="610"/>
      <c r="C88" s="173" t="s">
        <v>612</v>
      </c>
      <c r="D88" s="3" t="str">
        <f t="shared" si="276"/>
        <v>g</v>
      </c>
      <c r="E88" s="151">
        <f>E8</f>
        <v>0.13182928708292121</v>
      </c>
      <c r="F88" s="15">
        <v>-3</v>
      </c>
      <c r="G88" s="166">
        <f t="shared" si="29"/>
        <v>131.82928708292121</v>
      </c>
      <c r="H88" s="167" t="s">
        <v>575</v>
      </c>
      <c r="I88" s="16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 x14ac:dyDescent="0.25">
      <c r="A89" s="608"/>
      <c r="B89" s="610"/>
      <c r="C89" s="173" t="s">
        <v>613</v>
      </c>
      <c r="D89" s="3" t="str">
        <f t="shared" si="276"/>
        <v>g</v>
      </c>
      <c r="E89" s="151">
        <f>E88*12</f>
        <v>1.5819514449950547</v>
      </c>
      <c r="F89" s="15">
        <v>0</v>
      </c>
      <c r="G89" s="166">
        <f t="shared" si="29"/>
        <v>1.5819514449950547</v>
      </c>
      <c r="H89" s="167" t="s">
        <v>578</v>
      </c>
      <c r="I89" s="16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 x14ac:dyDescent="0.25">
      <c r="A90" s="608"/>
      <c r="B90" s="610"/>
      <c r="C90" s="173" t="s">
        <v>614</v>
      </c>
      <c r="D90" s="3" t="str">
        <f t="shared" si="276"/>
        <v>g</v>
      </c>
      <c r="E90" s="151">
        <f t="shared" ref="E90:E94" si="289">E89*12</f>
        <v>18.983417339940658</v>
      </c>
      <c r="F90" s="15">
        <v>0</v>
      </c>
      <c r="G90" s="166">
        <f t="shared" si="29"/>
        <v>18.983417339940658</v>
      </c>
      <c r="H90" s="167" t="s">
        <v>61</v>
      </c>
      <c r="I90" s="16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 x14ac:dyDescent="0.25">
      <c r="A91" s="608"/>
      <c r="B91" s="610"/>
      <c r="C91" s="190" t="s">
        <v>615</v>
      </c>
      <c r="D91" s="3" t="str">
        <f t="shared" si="276"/>
        <v>g</v>
      </c>
      <c r="E91" s="151">
        <f t="shared" si="289"/>
        <v>227.8010080792879</v>
      </c>
      <c r="F91" s="15">
        <v>0</v>
      </c>
      <c r="G91" s="166">
        <f t="shared" si="29"/>
        <v>227.8010080792879</v>
      </c>
      <c r="H91" s="167" t="s">
        <v>61</v>
      </c>
      <c r="I91" s="16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 x14ac:dyDescent="0.25">
      <c r="A92" s="608"/>
      <c r="B92" s="610"/>
      <c r="C92" s="188" t="s">
        <v>371</v>
      </c>
      <c r="D92" s="3" t="str">
        <f t="shared" si="276"/>
        <v>g</v>
      </c>
      <c r="E92" s="151">
        <f t="shared" si="289"/>
        <v>2733.612096951455</v>
      </c>
      <c r="F92" s="15">
        <v>3</v>
      </c>
      <c r="G92" s="166">
        <f t="shared" si="29"/>
        <v>2.7336120969514552</v>
      </c>
      <c r="H92" s="167" t="s">
        <v>579</v>
      </c>
      <c r="I92" s="16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 x14ac:dyDescent="0.25">
      <c r="A93" s="608"/>
      <c r="B93" s="610"/>
      <c r="C93" s="188" t="s">
        <v>372</v>
      </c>
      <c r="D93" s="3" t="str">
        <f t="shared" si="276"/>
        <v>g</v>
      </c>
      <c r="E93" s="151">
        <f t="shared" si="289"/>
        <v>32803.345163417456</v>
      </c>
      <c r="F93" s="15">
        <v>3</v>
      </c>
      <c r="G93" s="166">
        <f t="shared" si="29"/>
        <v>32.803345163417454</v>
      </c>
      <c r="H93" s="167" t="s">
        <v>579</v>
      </c>
      <c r="I93" s="16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 x14ac:dyDescent="0.3">
      <c r="A94" s="608"/>
      <c r="B94" s="611"/>
      <c r="C94" s="189" t="s">
        <v>373</v>
      </c>
      <c r="D94" s="3" t="str">
        <f t="shared" si="276"/>
        <v>g</v>
      </c>
      <c r="E94" s="175">
        <f t="shared" si="289"/>
        <v>393640.14196100947</v>
      </c>
      <c r="F94" s="176">
        <v>3</v>
      </c>
      <c r="G94" s="177">
        <f t="shared" si="29"/>
        <v>393.64014196100948</v>
      </c>
      <c r="H94" s="178" t="s">
        <v>579</v>
      </c>
      <c r="I94" s="16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 x14ac:dyDescent="0.25">
      <c r="A95" s="608"/>
      <c r="B95" s="612" t="s">
        <v>599</v>
      </c>
      <c r="C95" s="191" t="s">
        <v>568</v>
      </c>
      <c r="D95" s="205" t="s">
        <v>584</v>
      </c>
      <c r="E95" s="148">
        <f t="shared" ref="E95:E96" si="307">E96/12</f>
        <v>4.0546917520758439E-7</v>
      </c>
      <c r="F95" s="185">
        <v>-9</v>
      </c>
      <c r="G95" s="186">
        <f t="shared" ref="G95:G121" si="308">E95*POWER(10,-F95)</f>
        <v>405.46917520758439</v>
      </c>
      <c r="H95" s="187" t="s">
        <v>590</v>
      </c>
      <c r="I95" s="179">
        <f t="shared" ref="I95:I99" si="309">I96/10</f>
        <v>1.0000000000000002E-6</v>
      </c>
      <c r="J95" s="144" t="s">
        <v>59</v>
      </c>
      <c r="K95" s="143">
        <v>9</v>
      </c>
      <c r="L95" s="142">
        <f t="shared" ref="L95:L100" si="310">L96/10</f>
        <v>1.7126935582437702E-2</v>
      </c>
      <c r="M95" s="145" t="str">
        <f t="shared" si="292"/>
        <v>2;571890986</v>
      </c>
      <c r="N95" s="146">
        <f t="shared" ref="N95:N98" si="311">N96-1</f>
        <v>-2</v>
      </c>
      <c r="O95" s="154">
        <f t="shared" si="294"/>
        <v>2.4662787238710293</v>
      </c>
      <c r="P95" s="14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 x14ac:dyDescent="0.25">
      <c r="A96" s="608"/>
      <c r="B96" s="610"/>
      <c r="C96" s="172" t="s">
        <v>569</v>
      </c>
      <c r="D96" s="3" t="str">
        <f>D95</f>
        <v>K</v>
      </c>
      <c r="E96" s="151">
        <f t="shared" si="307"/>
        <v>4.8656301024910129E-6</v>
      </c>
      <c r="F96" s="15">
        <v>-6</v>
      </c>
      <c r="G96" s="166">
        <f t="shared" si="308"/>
        <v>4.8656301024910125</v>
      </c>
      <c r="H96" s="167" t="s">
        <v>588</v>
      </c>
      <c r="I96" s="15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 x14ac:dyDescent="0.25">
      <c r="A97" s="608"/>
      <c r="B97" s="610"/>
      <c r="C97" s="173" t="s">
        <v>612</v>
      </c>
      <c r="D97" s="3" t="str">
        <f t="shared" ref="D97:D107" si="313">D96</f>
        <v>K</v>
      </c>
      <c r="E97" s="151">
        <f>E6</f>
        <v>5.8387561229892158E-5</v>
      </c>
      <c r="F97" s="15">
        <v>-6</v>
      </c>
      <c r="G97" s="166">
        <f t="shared" si="308"/>
        <v>58.387561229892157</v>
      </c>
      <c r="H97" s="167" t="s">
        <v>588</v>
      </c>
      <c r="I97" s="15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 x14ac:dyDescent="0.25">
      <c r="A98" s="608"/>
      <c r="B98" s="610"/>
      <c r="C98" s="173" t="s">
        <v>613</v>
      </c>
      <c r="D98" s="3" t="str">
        <f t="shared" si="313"/>
        <v>K</v>
      </c>
      <c r="E98" s="151">
        <f t="shared" ref="E98:E101" si="314">E97*12</f>
        <v>7.0065073475870585E-4</v>
      </c>
      <c r="F98" s="15">
        <v>-6</v>
      </c>
      <c r="G98" s="166">
        <f t="shared" si="308"/>
        <v>700.65073475870588</v>
      </c>
      <c r="H98" s="167" t="s">
        <v>588</v>
      </c>
      <c r="I98" s="15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 x14ac:dyDescent="0.25">
      <c r="A99" s="608"/>
      <c r="B99" s="610"/>
      <c r="C99" s="173" t="s">
        <v>614</v>
      </c>
      <c r="D99" s="3" t="str">
        <f t="shared" si="313"/>
        <v>K</v>
      </c>
      <c r="E99" s="151">
        <f t="shared" si="314"/>
        <v>8.4078088171044701E-3</v>
      </c>
      <c r="F99" s="15">
        <v>-3</v>
      </c>
      <c r="G99" s="166">
        <f t="shared" si="308"/>
        <v>8.4078088171044705</v>
      </c>
      <c r="H99" s="167" t="s">
        <v>585</v>
      </c>
      <c r="I99" s="16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 x14ac:dyDescent="0.25">
      <c r="A100" s="608"/>
      <c r="B100" s="610"/>
      <c r="C100" s="190" t="s">
        <v>615</v>
      </c>
      <c r="D100" s="3" t="str">
        <f t="shared" si="313"/>
        <v>K</v>
      </c>
      <c r="E100" s="151">
        <f t="shared" si="314"/>
        <v>0.10089370580525364</v>
      </c>
      <c r="F100" s="15">
        <v>-3</v>
      </c>
      <c r="G100" s="166">
        <f t="shared" si="308"/>
        <v>100.89370580525365</v>
      </c>
      <c r="H100" s="167" t="s">
        <v>585</v>
      </c>
      <c r="I100" s="16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 x14ac:dyDescent="0.25">
      <c r="A101" s="608"/>
      <c r="B101" s="610"/>
      <c r="C101" s="188" t="s">
        <v>371</v>
      </c>
      <c r="D101" s="3" t="str">
        <f t="shared" si="313"/>
        <v>K</v>
      </c>
      <c r="E101" s="151">
        <f t="shared" si="314"/>
        <v>1.2107244696630437</v>
      </c>
      <c r="F101" s="15">
        <v>0</v>
      </c>
      <c r="G101" s="166">
        <f t="shared" si="308"/>
        <v>1.2107244696630437</v>
      </c>
      <c r="H101" s="167" t="s">
        <v>584</v>
      </c>
      <c r="I101" s="16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 x14ac:dyDescent="0.25">
      <c r="A102" s="608"/>
      <c r="B102" s="610"/>
      <c r="C102" s="188" t="s">
        <v>372</v>
      </c>
      <c r="D102" s="3" t="str">
        <f t="shared" si="313"/>
        <v>K</v>
      </c>
      <c r="E102" s="151">
        <f>E101*12</f>
        <v>14.528693635956525</v>
      </c>
      <c r="F102" s="15">
        <v>0</v>
      </c>
      <c r="G102" s="166">
        <f t="shared" si="308"/>
        <v>14.528693635956525</v>
      </c>
      <c r="H102" s="167" t="s">
        <v>584</v>
      </c>
      <c r="I102" s="16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 x14ac:dyDescent="0.25">
      <c r="A103" s="608"/>
      <c r="B103" s="610"/>
      <c r="C103" s="212" t="s">
        <v>373</v>
      </c>
      <c r="D103" s="5" t="str">
        <f t="shared" si="313"/>
        <v>K</v>
      </c>
      <c r="E103" s="151">
        <f t="shared" ref="E103:E107" si="316">E102*12</f>
        <v>174.34432363147829</v>
      </c>
      <c r="F103" s="15">
        <v>0</v>
      </c>
      <c r="G103" s="166">
        <f t="shared" si="308"/>
        <v>174.34432363147829</v>
      </c>
      <c r="H103" s="167" t="s">
        <v>584</v>
      </c>
      <c r="I103" s="16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 x14ac:dyDescent="0.25">
      <c r="A104" s="608"/>
      <c r="B104" s="610"/>
      <c r="C104" s="188" t="s">
        <v>374</v>
      </c>
      <c r="D104" s="3" t="str">
        <f t="shared" si="313"/>
        <v>K</v>
      </c>
      <c r="E104" s="151">
        <f t="shared" si="316"/>
        <v>2092.1318835777392</v>
      </c>
      <c r="F104" s="15">
        <v>3</v>
      </c>
      <c r="G104" s="166">
        <f t="shared" si="308"/>
        <v>2.0921318835777392</v>
      </c>
      <c r="H104" s="167" t="s">
        <v>586</v>
      </c>
      <c r="I104" s="16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 x14ac:dyDescent="0.25">
      <c r="A105" s="608"/>
      <c r="B105" s="610"/>
      <c r="C105" s="188" t="s">
        <v>375</v>
      </c>
      <c r="D105" s="3" t="str">
        <f t="shared" si="313"/>
        <v>K</v>
      </c>
      <c r="E105" s="151">
        <f t="shared" si="316"/>
        <v>25105.582602932871</v>
      </c>
      <c r="F105" s="15">
        <v>3</v>
      </c>
      <c r="G105" s="166">
        <f t="shared" si="308"/>
        <v>25.10558260293287</v>
      </c>
      <c r="H105" s="167" t="s">
        <v>586</v>
      </c>
      <c r="I105" s="16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 x14ac:dyDescent="0.25">
      <c r="A106" s="608"/>
      <c r="B106" s="610"/>
      <c r="C106" s="188" t="s">
        <v>617</v>
      </c>
      <c r="D106" s="3" t="str">
        <f t="shared" si="313"/>
        <v>K</v>
      </c>
      <c r="E106" s="151">
        <f t="shared" si="316"/>
        <v>301266.99123519444</v>
      </c>
      <c r="F106" s="15">
        <v>3</v>
      </c>
      <c r="G106" s="166">
        <f t="shared" si="308"/>
        <v>301.26699123519444</v>
      </c>
      <c r="H106" s="167" t="s">
        <v>586</v>
      </c>
      <c r="I106" s="16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 x14ac:dyDescent="0.3">
      <c r="A107" s="608"/>
      <c r="B107" s="611"/>
      <c r="C107" s="189" t="s">
        <v>618</v>
      </c>
      <c r="D107" s="89" t="str">
        <f t="shared" si="313"/>
        <v>K</v>
      </c>
      <c r="E107" s="175">
        <f t="shared" si="316"/>
        <v>3615203.894822333</v>
      </c>
      <c r="F107" s="176">
        <v>6</v>
      </c>
      <c r="G107" s="177">
        <f t="shared" si="308"/>
        <v>3.6152038948223328</v>
      </c>
      <c r="H107" s="178" t="s">
        <v>587</v>
      </c>
      <c r="I107" s="16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08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 x14ac:dyDescent="0.25">
      <c r="A108" s="608"/>
      <c r="B108" s="612" t="s">
        <v>595</v>
      </c>
      <c r="C108" s="223" t="s">
        <v>569</v>
      </c>
      <c r="D108" s="224" t="s">
        <v>593</v>
      </c>
      <c r="E108" s="151">
        <f>E109/12</f>
        <v>0.89354398271989</v>
      </c>
      <c r="F108" s="15">
        <v>0</v>
      </c>
      <c r="G108" s="166">
        <f t="shared" si="308"/>
        <v>0.89354398271989</v>
      </c>
      <c r="H108" s="167" t="s">
        <v>136</v>
      </c>
      <c r="I108" s="192">
        <v>1</v>
      </c>
      <c r="J108" s="144" t="s">
        <v>136</v>
      </c>
      <c r="K108" s="143">
        <v>9</v>
      </c>
      <c r="L108" s="142">
        <f>L110/12</f>
        <v>9.3261590861674293E-2</v>
      </c>
      <c r="M108" s="145" t="str">
        <f t="shared" ref="M108:M113" si="334">Q108&amp;";"&amp;S108&amp;U108&amp;W108&amp;Y108&amp;AA108&amp;AC108&amp;AE108&amp;AG108&amp;AI108&amp;AK108&amp;AM108&amp;AO108</f>
        <v>1;151X57501</v>
      </c>
      <c r="N108" s="146">
        <v>-1</v>
      </c>
      <c r="O108" s="154">
        <f t="shared" si="321"/>
        <v>1.1191390903400915</v>
      </c>
      <c r="P108" s="14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 x14ac:dyDescent="0.25">
      <c r="A109" s="608"/>
      <c r="B109" s="610"/>
      <c r="C109" s="173" t="s">
        <v>612</v>
      </c>
      <c r="D109" s="3" t="s">
        <v>57</v>
      </c>
      <c r="E109" s="151">
        <f>E110*12</f>
        <v>10.72252779263868</v>
      </c>
      <c r="F109" s="15">
        <v>0</v>
      </c>
      <c r="G109" s="166">
        <f t="shared" si="308"/>
        <v>10.72252779263868</v>
      </c>
      <c r="H109" s="167" t="s">
        <v>136</v>
      </c>
      <c r="I109" s="173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 x14ac:dyDescent="0.25">
      <c r="A110" s="608"/>
      <c r="B110" s="610"/>
      <c r="C110" s="173" t="s">
        <v>612</v>
      </c>
      <c r="D110" s="3" t="s">
        <v>57</v>
      </c>
      <c r="E110" s="151">
        <f>E3/0.3048</f>
        <v>0.89354398271988988</v>
      </c>
      <c r="F110" s="15">
        <v>0</v>
      </c>
      <c r="G110" s="166">
        <f t="shared" si="308"/>
        <v>0.89354398271988988</v>
      </c>
      <c r="H110" s="167" t="s">
        <v>119</v>
      </c>
      <c r="I110" s="173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 x14ac:dyDescent="0.25">
      <c r="A111" s="608"/>
      <c r="B111" s="610"/>
      <c r="C111" s="173" t="s">
        <v>612</v>
      </c>
      <c r="D111" s="3" t="s">
        <v>57</v>
      </c>
      <c r="E111" s="151">
        <f>E110/3</f>
        <v>0.29784799423996328</v>
      </c>
      <c r="F111" s="15">
        <v>0</v>
      </c>
      <c r="G111" s="166">
        <f t="shared" ref="G111" si="347">E111*POWER(10,-F111)</f>
        <v>0.29784799423996328</v>
      </c>
      <c r="H111" s="167" t="s">
        <v>147</v>
      </c>
      <c r="I111" s="173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 x14ac:dyDescent="0.25">
      <c r="A112" s="608"/>
      <c r="B112" s="610"/>
      <c r="C112" s="190" t="s">
        <v>616</v>
      </c>
      <c r="D112" s="3" t="s">
        <v>57</v>
      </c>
      <c r="E112" s="151">
        <f>E111*12</f>
        <v>3.5741759308795595</v>
      </c>
      <c r="F112" s="15">
        <v>0</v>
      </c>
      <c r="G112" s="166">
        <f t="shared" si="308"/>
        <v>3.5741759308795595</v>
      </c>
      <c r="H112" s="167" t="s">
        <v>147</v>
      </c>
      <c r="I112" s="173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 x14ac:dyDescent="0.25">
      <c r="A113" s="608"/>
      <c r="B113" s="610"/>
      <c r="C113" s="190" t="s">
        <v>614</v>
      </c>
      <c r="D113" s="3" t="s">
        <v>57</v>
      </c>
      <c r="E113" s="151">
        <f t="shared" ref="E113:E118" si="350">E112*12</f>
        <v>42.890111170554718</v>
      </c>
      <c r="F113" s="15">
        <v>0</v>
      </c>
      <c r="G113" s="166">
        <f t="shared" si="308"/>
        <v>42.890111170554718</v>
      </c>
      <c r="H113" s="167" t="s">
        <v>147</v>
      </c>
      <c r="I113" s="173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 x14ac:dyDescent="0.25">
      <c r="A114" s="608"/>
      <c r="B114" s="610"/>
      <c r="C114" s="190" t="s">
        <v>615</v>
      </c>
      <c r="D114" s="3" t="s">
        <v>57</v>
      </c>
      <c r="E114" s="151">
        <f t="shared" si="350"/>
        <v>514.68133404665662</v>
      </c>
      <c r="F114" s="15">
        <v>0</v>
      </c>
      <c r="G114" s="166">
        <f t="shared" si="308"/>
        <v>514.68133404665662</v>
      </c>
      <c r="H114" s="167" t="s">
        <v>147</v>
      </c>
      <c r="I114" s="173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 x14ac:dyDescent="0.25">
      <c r="A115" s="608"/>
      <c r="B115" s="610"/>
      <c r="C115" s="190" t="s">
        <v>615</v>
      </c>
      <c r="D115" s="3" t="s">
        <v>57</v>
      </c>
      <c r="E115" s="151">
        <f>E114/1760</f>
        <v>0.2924325761628731</v>
      </c>
      <c r="F115" s="15">
        <v>0</v>
      </c>
      <c r="G115" s="166">
        <f t="shared" ref="G115" si="367">E115*POWER(10,-F115)</f>
        <v>0.2924325761628731</v>
      </c>
      <c r="H115" s="167" t="s">
        <v>592</v>
      </c>
      <c r="I115" s="173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 x14ac:dyDescent="0.25">
      <c r="A116" s="608"/>
      <c r="B116" s="610"/>
      <c r="C116" s="188" t="s">
        <v>371</v>
      </c>
      <c r="D116" s="3" t="s">
        <v>57</v>
      </c>
      <c r="E116" s="151">
        <f>E115*12</f>
        <v>3.5091909139544772</v>
      </c>
      <c r="F116" s="15">
        <v>0</v>
      </c>
      <c r="G116" s="166">
        <f t="shared" si="308"/>
        <v>3.5091909139544772</v>
      </c>
      <c r="H116" s="167" t="s">
        <v>153</v>
      </c>
      <c r="I116" s="173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 x14ac:dyDescent="0.25">
      <c r="A117" s="608"/>
      <c r="B117" s="610"/>
      <c r="C117" s="188" t="s">
        <v>372</v>
      </c>
      <c r="D117" s="3" t="s">
        <v>57</v>
      </c>
      <c r="E117" s="151">
        <f t="shared" si="350"/>
        <v>42.110290967453729</v>
      </c>
      <c r="F117" s="15">
        <v>0</v>
      </c>
      <c r="G117" s="166">
        <f t="shared" si="308"/>
        <v>42.110290967453729</v>
      </c>
      <c r="H117" s="167" t="s">
        <v>591</v>
      </c>
      <c r="I117" s="173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 x14ac:dyDescent="0.3">
      <c r="A118" s="608"/>
      <c r="B118" s="610"/>
      <c r="C118" s="189" t="s">
        <v>373</v>
      </c>
      <c r="D118" s="5" t="s">
        <v>57</v>
      </c>
      <c r="E118" s="175">
        <f t="shared" si="350"/>
        <v>505.32349160944477</v>
      </c>
      <c r="F118" s="176">
        <v>0</v>
      </c>
      <c r="G118" s="177">
        <f t="shared" si="308"/>
        <v>505.32349160944477</v>
      </c>
      <c r="H118" s="178" t="s">
        <v>591</v>
      </c>
      <c r="I118" s="174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 x14ac:dyDescent="0.25">
      <c r="A119" s="608"/>
      <c r="B119" s="610"/>
      <c r="C119" s="212" t="s">
        <v>606</v>
      </c>
      <c r="D119" s="205" t="s">
        <v>607</v>
      </c>
      <c r="E119" s="151">
        <f>E120/12</f>
        <v>0.38751177136693959</v>
      </c>
      <c r="F119" s="15">
        <v>0</v>
      </c>
      <c r="G119" s="166">
        <f t="shared" si="308"/>
        <v>0.38751177136693959</v>
      </c>
      <c r="H119" s="118" t="s">
        <v>176</v>
      </c>
      <c r="I119" s="211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28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 x14ac:dyDescent="0.25">
      <c r="A120" s="608"/>
      <c r="B120" s="610"/>
      <c r="C120" s="202" t="s">
        <v>612</v>
      </c>
      <c r="D120" s="5" t="s">
        <v>215</v>
      </c>
      <c r="E120" s="151">
        <f t="shared" ref="E120" si="422">1/L120</f>
        <v>4.6501412564032751</v>
      </c>
      <c r="F120" s="15">
        <v>0</v>
      </c>
      <c r="G120" s="166">
        <f t="shared" ref="G120" si="423">E120*POWER(10,-F120)</f>
        <v>4.6501412564032751</v>
      </c>
      <c r="H120" s="118" t="s">
        <v>176</v>
      </c>
      <c r="I120" s="211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28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 x14ac:dyDescent="0.25">
      <c r="A121" s="608"/>
      <c r="B121" s="610"/>
      <c r="C121" s="202" t="s">
        <v>612</v>
      </c>
      <c r="D121" s="5" t="s">
        <v>215</v>
      </c>
      <c r="E121" s="151">
        <f t="shared" ref="E121" si="425">1/L121</f>
        <v>0.2906338285252047</v>
      </c>
      <c r="F121" s="15">
        <v>0</v>
      </c>
      <c r="G121" s="166">
        <f t="shared" si="308"/>
        <v>0.2906338285252047</v>
      </c>
      <c r="H121" s="118" t="s">
        <v>172</v>
      </c>
      <c r="I121" s="211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28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 x14ac:dyDescent="0.25">
      <c r="A122" s="608"/>
      <c r="B122" s="610"/>
      <c r="C122" s="202" t="s">
        <v>616</v>
      </c>
      <c r="D122" s="5" t="s">
        <v>215</v>
      </c>
      <c r="E122" s="151">
        <f>E121*12</f>
        <v>3.4876059423024564</v>
      </c>
      <c r="F122" s="15">
        <v>0</v>
      </c>
      <c r="G122" s="166">
        <f t="shared" ref="G122" si="426">E122*POWER(10,-F122)</f>
        <v>3.4876059423024564</v>
      </c>
      <c r="H122" s="118" t="s">
        <v>172</v>
      </c>
      <c r="I122" s="211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28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 x14ac:dyDescent="0.25">
      <c r="A123" s="608"/>
      <c r="B123" s="610"/>
      <c r="C123" s="202" t="s">
        <v>614</v>
      </c>
      <c r="D123" s="5" t="s">
        <v>215</v>
      </c>
      <c r="E123" s="151">
        <f>E122*12</f>
        <v>41.851271307629474</v>
      </c>
      <c r="F123" s="15">
        <v>0</v>
      </c>
      <c r="G123" s="166">
        <f t="shared" ref="G123" si="428">E123*POWER(10,-F123)</f>
        <v>41.851271307629474</v>
      </c>
      <c r="H123" s="118" t="s">
        <v>172</v>
      </c>
      <c r="I123" s="211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28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 x14ac:dyDescent="0.3">
      <c r="A124" s="608"/>
      <c r="B124" s="610"/>
      <c r="C124" s="202" t="s">
        <v>619</v>
      </c>
      <c r="D124" s="5" t="s">
        <v>215</v>
      </c>
      <c r="E124" s="151">
        <f>E123*12</f>
        <v>502.21525569155369</v>
      </c>
      <c r="F124" s="15">
        <v>0</v>
      </c>
      <c r="G124" s="166">
        <f t="shared" ref="G124" si="430">E124*POWER(10,-F124)</f>
        <v>502.21525569155369</v>
      </c>
      <c r="H124" s="118" t="s">
        <v>172</v>
      </c>
      <c r="I124" s="16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28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 x14ac:dyDescent="0.25">
      <c r="A125" s="608"/>
      <c r="B125" s="610"/>
      <c r="C125" s="201" t="s">
        <v>620</v>
      </c>
      <c r="D125" s="206" t="s">
        <v>621</v>
      </c>
      <c r="E125" s="148">
        <f>POWER(12,4)/L125</f>
        <v>0.38007471822779798</v>
      </c>
      <c r="F125" s="185">
        <v>0</v>
      </c>
      <c r="G125" s="186">
        <f t="shared" ref="G125" si="432">E125*POWER(10,-F125)</f>
        <v>0.38007471822779798</v>
      </c>
      <c r="H125" s="187" t="s">
        <v>601</v>
      </c>
      <c r="I125" s="210">
        <v>1</v>
      </c>
      <c r="J125" s="144" t="s">
        <v>162</v>
      </c>
      <c r="K125" s="143">
        <v>9</v>
      </c>
      <c r="L125" s="142">
        <f>L111*L111*4840</f>
        <v>54557.693541646899</v>
      </c>
      <c r="M125" s="145" t="str">
        <f t="shared" si="397"/>
        <v>2;76X583X53</v>
      </c>
      <c r="N125" s="146">
        <v>4</v>
      </c>
      <c r="O125" s="194">
        <f t="shared" ref="O125:O133" si="433">L125/POWER(12,N125)</f>
        <v>2.6310616098402249</v>
      </c>
      <c r="P125" s="14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 x14ac:dyDescent="0.25">
      <c r="A126" s="608"/>
      <c r="B126" s="610"/>
      <c r="C126" s="202" t="s">
        <v>612</v>
      </c>
      <c r="D126" s="207" t="s">
        <v>622</v>
      </c>
      <c r="E126" s="151">
        <f>1/L126</f>
        <v>4.4438016139004546</v>
      </c>
      <c r="F126" s="15">
        <v>0</v>
      </c>
      <c r="G126" s="166">
        <f t="shared" ref="G126:G133" si="434">E126*POWER(10,-F126)</f>
        <v>4.4438016139004546</v>
      </c>
      <c r="H126" s="118" t="s">
        <v>168</v>
      </c>
      <c r="I126" s="211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28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 x14ac:dyDescent="0.25">
      <c r="A127" s="608"/>
      <c r="B127" s="610"/>
      <c r="C127" s="202" t="s">
        <v>612</v>
      </c>
      <c r="D127" s="207" t="s">
        <v>622</v>
      </c>
      <c r="E127" s="151">
        <f t="shared" ref="E127:E132" si="435">1/L127</f>
        <v>5.3367832171721039</v>
      </c>
      <c r="F127" s="15">
        <v>0</v>
      </c>
      <c r="G127" s="166">
        <f t="shared" si="434"/>
        <v>5.3367832171721039</v>
      </c>
      <c r="H127" s="118" t="s">
        <v>170</v>
      </c>
      <c r="I127" s="211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28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 x14ac:dyDescent="0.25">
      <c r="A128" s="608"/>
      <c r="B128" s="610"/>
      <c r="C128" s="202" t="s">
        <v>612</v>
      </c>
      <c r="D128" s="207" t="s">
        <v>68</v>
      </c>
      <c r="E128" s="151">
        <f>E$3/E$4*3.6</f>
        <v>2.5099971902059761</v>
      </c>
      <c r="F128" s="15">
        <v>0</v>
      </c>
      <c r="G128" s="166">
        <f t="shared" ref="G128" si="436">E128*POWER(10,-F128)</f>
        <v>2.5099971902059761</v>
      </c>
      <c r="H128" s="118" t="s">
        <v>660</v>
      </c>
      <c r="I128" s="211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28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 x14ac:dyDescent="0.25">
      <c r="A129" s="608"/>
      <c r="B129" s="610"/>
      <c r="C129" s="202" t="s">
        <v>612</v>
      </c>
      <c r="D129" s="207" t="s">
        <v>68</v>
      </c>
      <c r="E129" s="151">
        <f>E128/1.609344</f>
        <v>1.5596399465906456</v>
      </c>
      <c r="F129" s="15">
        <v>0</v>
      </c>
      <c r="G129" s="166">
        <f t="shared" ref="G129:G130" si="464">E129*POWER(10,-F129)</f>
        <v>1.5596399465906456</v>
      </c>
      <c r="H129" s="118" t="s">
        <v>188</v>
      </c>
      <c r="I129" s="211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28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 x14ac:dyDescent="0.25">
      <c r="A130" s="608"/>
      <c r="B130" s="610"/>
      <c r="C130" s="202" t="s">
        <v>1122</v>
      </c>
      <c r="D130" s="207" t="s">
        <v>1123</v>
      </c>
      <c r="E130" s="151">
        <f>POWER(12,5)*E$3/86400/(1000/3600)</f>
        <v>2.8237476711135767</v>
      </c>
      <c r="F130" s="15">
        <v>0</v>
      </c>
      <c r="G130" s="166">
        <f t="shared" si="464"/>
        <v>2.8237476711135767</v>
      </c>
      <c r="H130" s="118" t="s">
        <v>660</v>
      </c>
      <c r="I130" s="378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28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 x14ac:dyDescent="0.25">
      <c r="A131" s="608"/>
      <c r="B131" s="610"/>
      <c r="C131" s="202" t="s">
        <v>1122</v>
      </c>
      <c r="D131" s="207" t="s">
        <v>1123</v>
      </c>
      <c r="E131" s="151">
        <f>E130/1.609344</f>
        <v>1.7545954569772382</v>
      </c>
      <c r="F131" s="15">
        <v>0</v>
      </c>
      <c r="G131" s="166">
        <f t="shared" ref="G131" si="492">E131*POWER(10,-F131)</f>
        <v>1.7545954569772382</v>
      </c>
      <c r="H131" s="118" t="s">
        <v>188</v>
      </c>
      <c r="I131" s="378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28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 x14ac:dyDescent="0.25">
      <c r="A132" s="608"/>
      <c r="B132" s="610"/>
      <c r="C132" s="202" t="s">
        <v>612</v>
      </c>
      <c r="D132" s="207" t="s">
        <v>602</v>
      </c>
      <c r="E132" s="151">
        <f t="shared" si="435"/>
        <v>4.2384099993259019</v>
      </c>
      <c r="F132" s="15">
        <v>0</v>
      </c>
      <c r="G132" s="166">
        <f t="shared" si="434"/>
        <v>4.2384099993259019</v>
      </c>
      <c r="H132" s="118" t="s">
        <v>206</v>
      </c>
      <c r="I132" s="211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28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 x14ac:dyDescent="0.25">
      <c r="A133" s="608"/>
      <c r="B133" s="610"/>
      <c r="C133" s="202" t="s">
        <v>614</v>
      </c>
      <c r="D133" s="207" t="s">
        <v>63</v>
      </c>
      <c r="E133" s="151">
        <f>POWER(12,2)/L133</f>
        <v>7.6172559954243662</v>
      </c>
      <c r="F133" s="15">
        <v>0</v>
      </c>
      <c r="G133" s="166">
        <f t="shared" si="434"/>
        <v>7.6172559954243662</v>
      </c>
      <c r="H133" s="118" t="s">
        <v>180</v>
      </c>
      <c r="I133" s="211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28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 x14ac:dyDescent="0.3">
      <c r="A134" s="609"/>
      <c r="B134" s="611"/>
      <c r="C134" s="203" t="s">
        <v>605</v>
      </c>
      <c r="D134" s="208" t="s">
        <v>604</v>
      </c>
      <c r="E134" s="175">
        <f>3*POWER(12,3)*L132</f>
        <v>1223.1001721929897</v>
      </c>
      <c r="F134" s="176">
        <v>0</v>
      </c>
      <c r="G134" s="177">
        <f t="shared" ref="G134" si="520">E134*POWER(10,-F134)</f>
        <v>1223.1001721929897</v>
      </c>
      <c r="H134" s="222" t="s">
        <v>208</v>
      </c>
      <c r="I134" s="221">
        <v>1000</v>
      </c>
      <c r="J134" s="195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06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 x14ac:dyDescent="0.25">
      <c r="L135" s="193"/>
    </row>
  </sheetData>
  <mergeCells count="35">
    <mergeCell ref="A23:A134"/>
    <mergeCell ref="B24:B38"/>
    <mergeCell ref="B67:B81"/>
    <mergeCell ref="B82:B94"/>
    <mergeCell ref="B95:B107"/>
    <mergeCell ref="B53:B66"/>
    <mergeCell ref="B39:B52"/>
    <mergeCell ref="B108:B134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2019-02-15T22:47:53Z</cp:lastPrinted>
  <dcterms:created xsi:type="dcterms:W3CDTF">2010-05-16T05:35:37Z</dcterms:created>
  <dcterms:modified xsi:type="dcterms:W3CDTF">2019-02-24T13:25:26Z</dcterms:modified>
</cp:coreProperties>
</file>