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25" yWindow="-30" windowWidth="13995" windowHeight="9810" tabRatio="711" firstSheet="1" activeTab="5"/>
  </bookViews>
  <sheets>
    <sheet name="Units" sheetId="14" r:id="rId1"/>
    <sheet name="Rydberg" sheetId="1" r:id="rId2"/>
    <sheet name="Bohr" sheetId="7" r:id="rId3"/>
    <sheet name="Gravitic" sheetId="24" r:id="rId4"/>
    <sheet name="Clock" sheetId="8" r:id="rId5"/>
    <sheet name="Clock_by_Rydberg" sheetId="9" r:id="rId6"/>
    <sheet name="Metric" sheetId="26" r:id="rId7"/>
    <sheet name="Atomic" sheetId="21" r:id="rId8"/>
    <sheet name="Conversion" sheetId="17" r:id="rId9"/>
    <sheet name="Natural Time Scale" sheetId="25" r:id="rId10"/>
    <sheet name="Ages" sheetId="16" r:id="rId11"/>
    <sheet name="Atoms" sheetId="22" r:id="rId12"/>
    <sheet name="powers" sheetId="11" r:id="rId13"/>
    <sheet name="comparison" sheetId="13" r:id="rId14"/>
    <sheet name="gravitation" sheetId="10" r:id="rId15"/>
    <sheet name="yard-pound" sheetId="12" r:id="rId16"/>
    <sheet name="TGM" sheetId="18" r:id="rId17"/>
    <sheet name="IDUS" sheetId="27" r:id="rId18"/>
    <sheet name="decimal IDUS" sheetId="28" r:id="rId19"/>
    <sheet name="fathom system" sheetId="19" r:id="rId20"/>
    <sheet name="deci fathom system" sheetId="20" r:id="rId21"/>
    <sheet name="solar_luminosity" sheetId="23" r:id="rId22"/>
  </sheets>
  <definedNames>
    <definedName name="c_0" localSheetId="10">Ages!#REF!</definedName>
    <definedName name="c_0" localSheetId="11">Atoms!#REF!</definedName>
    <definedName name="c_0" localSheetId="8">Conversion!#REF!</definedName>
    <definedName name="c_0" localSheetId="15">'yard-pound'!$D$20</definedName>
    <definedName name="c_0">Rydberg!$D$35</definedName>
    <definedName name="h_bar" localSheetId="10">Ages!#REF!</definedName>
    <definedName name="h_bar" localSheetId="11">Atoms!#REF!</definedName>
    <definedName name="h_bar" localSheetId="8">Conversion!#REF!</definedName>
    <definedName name="h_bar" localSheetId="15">'yard-pound'!#REF!</definedName>
    <definedName name="h_bar">Rydberg!$D$36</definedName>
    <definedName name="k_B" localSheetId="10">Ages!#REF!</definedName>
    <definedName name="k_B" localSheetId="11">Atoms!#REF!</definedName>
    <definedName name="k_B" localSheetId="8">Conversion!#REF!</definedName>
    <definedName name="k_B" localSheetId="15">'yard-pound'!#REF!</definedName>
    <definedName name="k_B">Rydberg!$D$37</definedName>
    <definedName name="N_A" localSheetId="10">Ages!#REF!</definedName>
    <definedName name="N_A" localSheetId="11">Atoms!#REF!</definedName>
    <definedName name="N_A" localSheetId="8">Conversion!#REF!</definedName>
    <definedName name="N_A" localSheetId="15">'yard-pound'!$D$18</definedName>
    <definedName name="N_A">Rydberg!$D$33</definedName>
    <definedName name="_xlnm.Print_Area" localSheetId="10">Ages!$A$17:$L$132</definedName>
    <definedName name="_xlnm.Print_Area" localSheetId="7">Atomic!$B$1:$L$124</definedName>
    <definedName name="_xlnm.Print_Area" localSheetId="11">Atoms!$A$7:$K$237</definedName>
    <definedName name="_xlnm.Print_Area" localSheetId="2">Bohr!$A$1:$L$94</definedName>
    <definedName name="_xlnm.Print_Area" localSheetId="4">Clock!$A$1:$L$97</definedName>
    <definedName name="_xlnm.Print_Area" localSheetId="5">Clock_by_Rydberg!$A$1:$L$145</definedName>
    <definedName name="_xlnm.Print_Area" localSheetId="8">Conversion!$A$22:$P$134</definedName>
    <definedName name="_xlnm.Print_Area" localSheetId="20">'deci fathom system'!$A$1:$J$69</definedName>
    <definedName name="_xlnm.Print_Area" localSheetId="18">'decimal IDUS'!$A$1:$J$65</definedName>
    <definedName name="_xlnm.Print_Area" localSheetId="19">'fathom system'!$A$1:$J$69</definedName>
    <definedName name="_xlnm.Print_Area" localSheetId="14">gravitation!$A$1:$H$39</definedName>
    <definedName name="_xlnm.Print_Area" localSheetId="3">Gravitic!$A$1:$L$94</definedName>
    <definedName name="_xlnm.Print_Area" localSheetId="17">IDUS!$B$1:$J$82</definedName>
    <definedName name="_xlnm.Print_Area" localSheetId="6">Metric!$A$1:$L$138</definedName>
    <definedName name="_xlnm.Print_Area" localSheetId="9">'Natural Time Scale'!$A$1:$J$49</definedName>
    <definedName name="_xlnm.Print_Area" localSheetId="12">powers!$A$1:$O$75</definedName>
    <definedName name="_xlnm.Print_Area" localSheetId="1">Rydberg!$B$1:$L$98</definedName>
    <definedName name="_xlnm.Print_Area" localSheetId="21">solar_luminosity!$A$1:$H$16</definedName>
    <definedName name="_xlnm.Print_Area" localSheetId="16">TGM!$B$1:$J$82</definedName>
    <definedName name="_xlnm.Print_Area" localSheetId="15">'yard-pound'!$A$1:$I$66</definedName>
    <definedName name="_xlnm.Print_Titles" localSheetId="0">Units!$1:$1</definedName>
    <definedName name="R_infinity" localSheetId="10">Ages!#REF!</definedName>
    <definedName name="R_infinity" localSheetId="11">Atoms!#REF!</definedName>
    <definedName name="R_infinity" localSheetId="8">Conversion!#REF!</definedName>
    <definedName name="R_infinity" localSheetId="15">'yard-pound'!$D$19</definedName>
    <definedName name="R_infinity">Rydberg!$D$34</definedName>
    <definedName name="solver_adj" localSheetId="7" hidden="1">Atomic!$D$99</definedName>
    <definedName name="solver_adj" localSheetId="4" hidden="1">Clock!$P$2</definedName>
    <definedName name="solver_adj" localSheetId="5" hidden="1">Clock_by_Rydberg!$D$117</definedName>
    <definedName name="solver_adj" localSheetId="20" hidden="1">'deci fathom system'!#REF!</definedName>
    <definedName name="solver_adj" localSheetId="18" hidden="1">'decimal IDUS'!#REF!</definedName>
    <definedName name="solver_adj" localSheetId="19" hidden="1">'fathom system'!#REF!</definedName>
    <definedName name="solver_adj" localSheetId="17" hidden="1">IDUS!$R$3</definedName>
    <definedName name="solver_adj" localSheetId="6" hidden="1">Metric!$D$110</definedName>
    <definedName name="solver_adj" localSheetId="21" hidden="1">solar_luminosity!$B$16</definedName>
    <definedName name="solver_adj" localSheetId="16" hidden="1">TGM!$R$3</definedName>
    <definedName name="solver_cvg" localSheetId="7" hidden="1">0.0001</definedName>
    <definedName name="solver_cvg" localSheetId="4" hidden="1">0.00000001</definedName>
    <definedName name="solver_cvg" localSheetId="5" hidden="1">0.0001</definedName>
    <definedName name="solver_cvg" localSheetId="20" hidden="1">0.00000001</definedName>
    <definedName name="solver_cvg" localSheetId="18" hidden="1">0.00000001</definedName>
    <definedName name="solver_cvg" localSheetId="19" hidden="1">0.00000001</definedName>
    <definedName name="solver_cvg" localSheetId="17" hidden="1">0.0001</definedName>
    <definedName name="solver_cvg" localSheetId="6" hidden="1">0.0001</definedName>
    <definedName name="solver_cvg" localSheetId="21" hidden="1">0.0001</definedName>
    <definedName name="solver_cvg" localSheetId="16" hidden="1">0.0001</definedName>
    <definedName name="solver_drv" localSheetId="7" hidden="1">1</definedName>
    <definedName name="solver_drv" localSheetId="4" hidden="1">1</definedName>
    <definedName name="solver_drv" localSheetId="5" hidden="1">1</definedName>
    <definedName name="solver_drv" localSheetId="20" hidden="1">1</definedName>
    <definedName name="solver_drv" localSheetId="18" hidden="1">1</definedName>
    <definedName name="solver_drv" localSheetId="19" hidden="1">1</definedName>
    <definedName name="solver_drv" localSheetId="17" hidden="1">1</definedName>
    <definedName name="solver_drv" localSheetId="6" hidden="1">1</definedName>
    <definedName name="solver_drv" localSheetId="21" hidden="1">1</definedName>
    <definedName name="solver_drv" localSheetId="16" hidden="1">1</definedName>
    <definedName name="solver_eng" localSheetId="7" hidden="1">1</definedName>
    <definedName name="solver_eng" localSheetId="5" hidden="1">1</definedName>
    <definedName name="solver_eng" localSheetId="17" hidden="1">1</definedName>
    <definedName name="solver_eng" localSheetId="6" hidden="1">1</definedName>
    <definedName name="solver_eng" localSheetId="21" hidden="1">1</definedName>
    <definedName name="solver_eng" localSheetId="16" hidden="1">1</definedName>
    <definedName name="solver_est" localSheetId="7" hidden="1">1</definedName>
    <definedName name="solver_est" localSheetId="4" hidden="1">2</definedName>
    <definedName name="solver_est" localSheetId="5" hidden="1">1</definedName>
    <definedName name="solver_est" localSheetId="20" hidden="1">2</definedName>
    <definedName name="solver_est" localSheetId="18" hidden="1">2</definedName>
    <definedName name="solver_est" localSheetId="19" hidden="1">2</definedName>
    <definedName name="solver_est" localSheetId="17" hidden="1">1</definedName>
    <definedName name="solver_est" localSheetId="6" hidden="1">1</definedName>
    <definedName name="solver_est" localSheetId="21" hidden="1">1</definedName>
    <definedName name="solver_est" localSheetId="16" hidden="1">1</definedName>
    <definedName name="solver_itr" localSheetId="7" hidden="1">100</definedName>
    <definedName name="solver_itr" localSheetId="4" hidden="1">100</definedName>
    <definedName name="solver_itr" localSheetId="5" hidden="1">100</definedName>
    <definedName name="solver_itr" localSheetId="20" hidden="1">100</definedName>
    <definedName name="solver_itr" localSheetId="18" hidden="1">100</definedName>
    <definedName name="solver_itr" localSheetId="19" hidden="1">100</definedName>
    <definedName name="solver_itr" localSheetId="17" hidden="1">100</definedName>
    <definedName name="solver_itr" localSheetId="6" hidden="1">100</definedName>
    <definedName name="solver_itr" localSheetId="21" hidden="1">2147483647</definedName>
    <definedName name="solver_itr" localSheetId="16" hidden="1">100</definedName>
    <definedName name="solver_lin" localSheetId="7" hidden="1">2</definedName>
    <definedName name="solver_lin" localSheetId="4" hidden="1">2</definedName>
    <definedName name="solver_lin" localSheetId="5" hidden="1">2</definedName>
    <definedName name="solver_lin" localSheetId="20" hidden="1">2</definedName>
    <definedName name="solver_lin" localSheetId="18" hidden="1">2</definedName>
    <definedName name="solver_lin" localSheetId="19" hidden="1">2</definedName>
    <definedName name="solver_lin" localSheetId="17" hidden="1">2</definedName>
    <definedName name="solver_lin" localSheetId="6" hidden="1">2</definedName>
    <definedName name="solver_lin" localSheetId="16" hidden="1">2</definedName>
    <definedName name="solver_mip" localSheetId="7" hidden="1">2147483647</definedName>
    <definedName name="solver_mip" localSheetId="5" hidden="1">2147483647</definedName>
    <definedName name="solver_mip" localSheetId="17" hidden="1">2147483647</definedName>
    <definedName name="solver_mip" localSheetId="6" hidden="1">2147483647</definedName>
    <definedName name="solver_mip" localSheetId="21" hidden="1">2147483647</definedName>
    <definedName name="solver_mip" localSheetId="16" hidden="1">2147483647</definedName>
    <definedName name="solver_mni" localSheetId="7" hidden="1">30</definedName>
    <definedName name="solver_mni" localSheetId="5" hidden="1">30</definedName>
    <definedName name="solver_mni" localSheetId="17" hidden="1">30</definedName>
    <definedName name="solver_mni" localSheetId="6" hidden="1">30</definedName>
    <definedName name="solver_mni" localSheetId="21" hidden="1">30</definedName>
    <definedName name="solver_mni" localSheetId="16" hidden="1">30</definedName>
    <definedName name="solver_mrt" localSheetId="7" hidden="1">0.075</definedName>
    <definedName name="solver_mrt" localSheetId="5" hidden="1">0.075</definedName>
    <definedName name="solver_mrt" localSheetId="17" hidden="1">0.075</definedName>
    <definedName name="solver_mrt" localSheetId="6" hidden="1">0.075</definedName>
    <definedName name="solver_mrt" localSheetId="21" hidden="1">0.075</definedName>
    <definedName name="solver_mrt" localSheetId="16" hidden="1">0.075</definedName>
    <definedName name="solver_msl" localSheetId="7" hidden="1">2</definedName>
    <definedName name="solver_msl" localSheetId="5" hidden="1">2</definedName>
    <definedName name="solver_msl" localSheetId="17" hidden="1">2</definedName>
    <definedName name="solver_msl" localSheetId="6" hidden="1">2</definedName>
    <definedName name="solver_msl" localSheetId="21" hidden="1">2</definedName>
    <definedName name="solver_msl" localSheetId="16" hidden="1">2</definedName>
    <definedName name="solver_neg" localSheetId="7" hidden="1">2</definedName>
    <definedName name="solver_neg" localSheetId="4" hidden="1">2</definedName>
    <definedName name="solver_neg" localSheetId="5" hidden="1">2</definedName>
    <definedName name="solver_neg" localSheetId="20" hidden="1">2</definedName>
    <definedName name="solver_neg" localSheetId="18" hidden="1">2</definedName>
    <definedName name="solver_neg" localSheetId="19" hidden="1">2</definedName>
    <definedName name="solver_neg" localSheetId="17" hidden="1">2</definedName>
    <definedName name="solver_neg" localSheetId="6" hidden="1">2</definedName>
    <definedName name="solver_neg" localSheetId="21" hidden="1">1</definedName>
    <definedName name="solver_neg" localSheetId="16" hidden="1">2</definedName>
    <definedName name="solver_nod" localSheetId="7" hidden="1">2147483647</definedName>
    <definedName name="solver_nod" localSheetId="5" hidden="1">2147483647</definedName>
    <definedName name="solver_nod" localSheetId="17" hidden="1">2147483647</definedName>
    <definedName name="solver_nod" localSheetId="6" hidden="1">2147483647</definedName>
    <definedName name="solver_nod" localSheetId="21" hidden="1">2147483647</definedName>
    <definedName name="solver_nod" localSheetId="16" hidden="1">2147483647</definedName>
    <definedName name="solver_num" localSheetId="7" hidden="1">0</definedName>
    <definedName name="solver_num" localSheetId="4" hidden="1">0</definedName>
    <definedName name="solver_num" localSheetId="5" hidden="1">0</definedName>
    <definedName name="solver_num" localSheetId="20" hidden="1">0</definedName>
    <definedName name="solver_num" localSheetId="18" hidden="1">0</definedName>
    <definedName name="solver_num" localSheetId="19" hidden="1">0</definedName>
    <definedName name="solver_num" localSheetId="17" hidden="1">0</definedName>
    <definedName name="solver_num" localSheetId="6" hidden="1">0</definedName>
    <definedName name="solver_num" localSheetId="21" hidden="1">0</definedName>
    <definedName name="solver_num" localSheetId="16" hidden="1">0</definedName>
    <definedName name="solver_nwt" localSheetId="7" hidden="1">1</definedName>
    <definedName name="solver_nwt" localSheetId="4" hidden="1">1</definedName>
    <definedName name="solver_nwt" localSheetId="5" hidden="1">1</definedName>
    <definedName name="solver_nwt" localSheetId="20" hidden="1">1</definedName>
    <definedName name="solver_nwt" localSheetId="18" hidden="1">1</definedName>
    <definedName name="solver_nwt" localSheetId="19" hidden="1">1</definedName>
    <definedName name="solver_nwt" localSheetId="17" hidden="1">1</definedName>
    <definedName name="solver_nwt" localSheetId="6" hidden="1">1</definedName>
    <definedName name="solver_nwt" localSheetId="21" hidden="1">1</definedName>
    <definedName name="solver_nwt" localSheetId="16" hidden="1">1</definedName>
    <definedName name="solver_opt" localSheetId="7" hidden="1">Atomic!$F$121</definedName>
    <definedName name="solver_opt" localSheetId="4" hidden="1">Clock!$M$2</definedName>
    <definedName name="solver_opt" localSheetId="5" hidden="1">Clock_by_Rydberg!$F$139</definedName>
    <definedName name="solver_opt" localSheetId="20" hidden="1">'deci fathom system'!#REF!</definedName>
    <definedName name="solver_opt" localSheetId="18" hidden="1">'decimal IDUS'!#REF!</definedName>
    <definedName name="solver_opt" localSheetId="19" hidden="1">'fathom system'!#REF!</definedName>
    <definedName name="solver_opt" localSheetId="17" hidden="1">IDUS!$F$17</definedName>
    <definedName name="solver_opt" localSheetId="6" hidden="1">Metric!$F$132</definedName>
    <definedName name="solver_opt" localSheetId="21" hidden="1">solar_luminosity!$F$16</definedName>
    <definedName name="solver_opt" localSheetId="16" hidden="1">TGM!$F$17</definedName>
    <definedName name="solver_pre" localSheetId="7" hidden="1">0.000000000001</definedName>
    <definedName name="solver_pre" localSheetId="4" hidden="1">0.0000000001</definedName>
    <definedName name="solver_pre" localSheetId="5" hidden="1">0.000000000001</definedName>
    <definedName name="solver_pre" localSheetId="20" hidden="1">0.0000000001</definedName>
    <definedName name="solver_pre" localSheetId="18" hidden="1">0.0000000001</definedName>
    <definedName name="solver_pre" localSheetId="19" hidden="1">0.0000000001</definedName>
    <definedName name="solver_pre" localSheetId="17" hidden="1">0.000000000001</definedName>
    <definedName name="solver_pre" localSheetId="6" hidden="1">0.000000000001</definedName>
    <definedName name="solver_pre" localSheetId="21" hidden="1">0.000001</definedName>
    <definedName name="solver_pre" localSheetId="16" hidden="1">0.000000000001</definedName>
    <definedName name="solver_rbv" localSheetId="7" hidden="1">1</definedName>
    <definedName name="solver_rbv" localSheetId="5" hidden="1">1</definedName>
    <definedName name="solver_rbv" localSheetId="17" hidden="1">1</definedName>
    <definedName name="solver_rbv" localSheetId="6" hidden="1">1</definedName>
    <definedName name="solver_rbv" localSheetId="21" hidden="1">1</definedName>
    <definedName name="solver_rbv" localSheetId="16" hidden="1">1</definedName>
    <definedName name="solver_rlx" localSheetId="7" hidden="1">1</definedName>
    <definedName name="solver_rlx" localSheetId="5" hidden="1">1</definedName>
    <definedName name="solver_rlx" localSheetId="17" hidden="1">1</definedName>
    <definedName name="solver_rlx" localSheetId="6" hidden="1">1</definedName>
    <definedName name="solver_rlx" localSheetId="21" hidden="1">2</definedName>
    <definedName name="solver_rlx" localSheetId="16" hidden="1">1</definedName>
    <definedName name="solver_rsd" localSheetId="7" hidden="1">0</definedName>
    <definedName name="solver_rsd" localSheetId="5" hidden="1">0</definedName>
    <definedName name="solver_rsd" localSheetId="17" hidden="1">0</definedName>
    <definedName name="solver_rsd" localSheetId="6" hidden="1">0</definedName>
    <definedName name="solver_rsd" localSheetId="21" hidden="1">0</definedName>
    <definedName name="solver_rsd" localSheetId="16" hidden="1">0</definedName>
    <definedName name="solver_scl" localSheetId="7" hidden="1">2</definedName>
    <definedName name="solver_scl" localSheetId="4" hidden="1">2</definedName>
    <definedName name="solver_scl" localSheetId="5" hidden="1">2</definedName>
    <definedName name="solver_scl" localSheetId="20" hidden="1">2</definedName>
    <definedName name="solver_scl" localSheetId="18" hidden="1">2</definedName>
    <definedName name="solver_scl" localSheetId="19" hidden="1">2</definedName>
    <definedName name="solver_scl" localSheetId="17" hidden="1">2</definedName>
    <definedName name="solver_scl" localSheetId="6" hidden="1">2</definedName>
    <definedName name="solver_scl" localSheetId="21" hidden="1">1</definedName>
    <definedName name="solver_scl" localSheetId="16" hidden="1">2</definedName>
    <definedName name="solver_sho" localSheetId="7" hidden="1">2</definedName>
    <definedName name="solver_sho" localSheetId="4" hidden="1">2</definedName>
    <definedName name="solver_sho" localSheetId="5" hidden="1">2</definedName>
    <definedName name="solver_sho" localSheetId="20" hidden="1">2</definedName>
    <definedName name="solver_sho" localSheetId="18" hidden="1">2</definedName>
    <definedName name="solver_sho" localSheetId="19" hidden="1">2</definedName>
    <definedName name="solver_sho" localSheetId="17" hidden="1">2</definedName>
    <definedName name="solver_sho" localSheetId="6" hidden="1">2</definedName>
    <definedName name="solver_sho" localSheetId="21" hidden="1">2</definedName>
    <definedName name="solver_sho" localSheetId="16" hidden="1">2</definedName>
    <definedName name="solver_ssz" localSheetId="7" hidden="1">100</definedName>
    <definedName name="solver_ssz" localSheetId="5" hidden="1">100</definedName>
    <definedName name="solver_ssz" localSheetId="17" hidden="1">100</definedName>
    <definedName name="solver_ssz" localSheetId="6" hidden="1">100</definedName>
    <definedName name="solver_ssz" localSheetId="21" hidden="1">100</definedName>
    <definedName name="solver_ssz" localSheetId="16" hidden="1">100</definedName>
    <definedName name="solver_tim" localSheetId="7" hidden="1">100</definedName>
    <definedName name="solver_tim" localSheetId="4" hidden="1">100</definedName>
    <definedName name="solver_tim" localSheetId="5" hidden="1">100</definedName>
    <definedName name="solver_tim" localSheetId="20" hidden="1">100</definedName>
    <definedName name="solver_tim" localSheetId="18" hidden="1">100</definedName>
    <definedName name="solver_tim" localSheetId="19" hidden="1">100</definedName>
    <definedName name="solver_tim" localSheetId="17" hidden="1">100</definedName>
    <definedName name="solver_tim" localSheetId="6" hidden="1">100</definedName>
    <definedName name="solver_tim" localSheetId="21" hidden="1">2147483647</definedName>
    <definedName name="solver_tim" localSheetId="16" hidden="1">100</definedName>
    <definedName name="solver_tol" localSheetId="7" hidden="1">0.05</definedName>
    <definedName name="solver_tol" localSheetId="4" hidden="1">0.05</definedName>
    <definedName name="solver_tol" localSheetId="5" hidden="1">0.05</definedName>
    <definedName name="solver_tol" localSheetId="20" hidden="1">0.05</definedName>
    <definedName name="solver_tol" localSheetId="18" hidden="1">0.05</definedName>
    <definedName name="solver_tol" localSheetId="19" hidden="1">0.05</definedName>
    <definedName name="solver_tol" localSheetId="17" hidden="1">0.05</definedName>
    <definedName name="solver_tol" localSheetId="6" hidden="1">0.05</definedName>
    <definedName name="solver_tol" localSheetId="21" hidden="1">0.01</definedName>
    <definedName name="solver_tol" localSheetId="16" hidden="1">0.05</definedName>
    <definedName name="solver_typ" localSheetId="7" hidden="1">3</definedName>
    <definedName name="solver_typ" localSheetId="4" hidden="1">3</definedName>
    <definedName name="solver_typ" localSheetId="5" hidden="1">3</definedName>
    <definedName name="solver_typ" localSheetId="20" hidden="1">3</definedName>
    <definedName name="solver_typ" localSheetId="18" hidden="1">3</definedName>
    <definedName name="solver_typ" localSheetId="19" hidden="1">3</definedName>
    <definedName name="solver_typ" localSheetId="17" hidden="1">3</definedName>
    <definedName name="solver_typ" localSheetId="6" hidden="1">3</definedName>
    <definedName name="solver_typ" localSheetId="21" hidden="1">3</definedName>
    <definedName name="solver_typ" localSheetId="16" hidden="1">3</definedName>
    <definedName name="solver_val" localSheetId="7" hidden="1">144</definedName>
    <definedName name="solver_val" localSheetId="4" hidden="1">365.2421875</definedName>
    <definedName name="solver_val" localSheetId="5" hidden="1">144</definedName>
    <definedName name="solver_val" localSheetId="20" hidden="1">365.2421875</definedName>
    <definedName name="solver_val" localSheetId="18" hidden="1">365.2421875</definedName>
    <definedName name="solver_val" localSheetId="19" hidden="1">365.2421875</definedName>
    <definedName name="solver_val" localSheetId="17" hidden="1">871.2607996978</definedName>
    <definedName name="solver_val" localSheetId="6" hidden="1">144</definedName>
    <definedName name="solver_val" localSheetId="21" hidden="1">1</definedName>
    <definedName name="solver_val" localSheetId="16" hidden="1">871.2607996978</definedName>
    <definedName name="solver_ver" localSheetId="7" hidden="1">3</definedName>
    <definedName name="solver_ver" localSheetId="5" hidden="1">3</definedName>
    <definedName name="solver_ver" localSheetId="17" hidden="1">3</definedName>
    <definedName name="solver_ver" localSheetId="6" hidden="1">3</definedName>
    <definedName name="solver_ver" localSheetId="21" hidden="1">3</definedName>
    <definedName name="solver_ver" localSheetId="16" hidden="1">3</definedName>
    <definedName name="α" localSheetId="10">Ages!#REF!</definedName>
    <definedName name="α" localSheetId="11">Atoms!#REF!</definedName>
    <definedName name="α" localSheetId="8">Conversion!#REF!</definedName>
    <definedName name="α" localSheetId="15">'yard-pound'!$D$17</definedName>
    <definedName name="α">Rydberg!$D$32</definedName>
  </definedNames>
  <calcPr calcId="145621"/>
</workbook>
</file>

<file path=xl/calcChain.xml><?xml version="1.0" encoding="utf-8"?>
<calcChain xmlns="http://schemas.openxmlformats.org/spreadsheetml/2006/main">
  <c r="D68" i="9" l="1"/>
  <c r="D67" i="9" l="1"/>
  <c r="B67" i="9"/>
  <c r="AK67" i="9"/>
  <c r="AI67" i="9"/>
  <c r="AG67" i="9"/>
  <c r="AE67" i="9"/>
  <c r="L67" i="9"/>
  <c r="C67" i="9"/>
  <c r="AL118" i="9" l="1"/>
  <c r="D69" i="21" l="1"/>
  <c r="D71" i="9"/>
  <c r="K34" i="1" l="1"/>
  <c r="D31" i="10"/>
  <c r="D43" i="1"/>
  <c r="F6" i="28" l="1"/>
  <c r="F5" i="28"/>
  <c r="F8" i="28"/>
  <c r="F3" i="28"/>
  <c r="F4" i="28"/>
  <c r="B22" i="28"/>
  <c r="J21" i="28"/>
  <c r="B21" i="28"/>
  <c r="B20" i="28"/>
  <c r="J19" i="28"/>
  <c r="B19" i="28"/>
  <c r="J18" i="28"/>
  <c r="B18" i="28"/>
  <c r="J17" i="28"/>
  <c r="B17" i="28"/>
  <c r="F16" i="28"/>
  <c r="I16" i="28" s="1"/>
  <c r="B16" i="28"/>
  <c r="B15" i="28"/>
  <c r="B14" i="28"/>
  <c r="J13" i="28"/>
  <c r="B13" i="28"/>
  <c r="J12" i="28"/>
  <c r="B12" i="28"/>
  <c r="B11" i="28"/>
  <c r="B10" i="28"/>
  <c r="B9" i="28"/>
  <c r="B8" i="28"/>
  <c r="B7" i="28"/>
  <c r="B6" i="28"/>
  <c r="B5" i="28"/>
  <c r="J4" i="28"/>
  <c r="F18" i="28"/>
  <c r="I18" i="28" s="1"/>
  <c r="B4" i="28"/>
  <c r="J3" i="28"/>
  <c r="B3" i="28"/>
  <c r="B22" i="27"/>
  <c r="D64" i="28"/>
  <c r="C64" i="28"/>
  <c r="B64" i="28"/>
  <c r="D63" i="28"/>
  <c r="C63" i="28"/>
  <c r="B63" i="28"/>
  <c r="D62" i="28"/>
  <c r="C62" i="28"/>
  <c r="B62" i="28"/>
  <c r="D61" i="28"/>
  <c r="C61" i="28"/>
  <c r="B61" i="28"/>
  <c r="D60" i="28"/>
  <c r="C60" i="28"/>
  <c r="B60" i="28"/>
  <c r="D59" i="28"/>
  <c r="C59" i="28"/>
  <c r="B59" i="28"/>
  <c r="D58" i="28"/>
  <c r="C58" i="28"/>
  <c r="B58" i="28"/>
  <c r="D57" i="28"/>
  <c r="C57" i="28"/>
  <c r="B57" i="28"/>
  <c r="C56" i="28"/>
  <c r="B56" i="28"/>
  <c r="C55" i="28"/>
  <c r="B55" i="28"/>
  <c r="C54" i="28"/>
  <c r="B54" i="28"/>
  <c r="C53" i="28"/>
  <c r="B53" i="28"/>
  <c r="D52" i="28"/>
  <c r="C52" i="28"/>
  <c r="B52" i="28"/>
  <c r="D51" i="28"/>
  <c r="C51" i="28"/>
  <c r="B51" i="28"/>
  <c r="D50" i="28"/>
  <c r="C50" i="28"/>
  <c r="B50" i="28"/>
  <c r="D49" i="28"/>
  <c r="C49" i="28"/>
  <c r="B49" i="28"/>
  <c r="D48" i="28"/>
  <c r="B48" i="28"/>
  <c r="D47" i="28"/>
  <c r="C47" i="28"/>
  <c r="B47" i="28"/>
  <c r="D46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D38" i="28"/>
  <c r="C38" i="28"/>
  <c r="B38" i="28"/>
  <c r="C37" i="28"/>
  <c r="B37" i="28"/>
  <c r="D36" i="28"/>
  <c r="C36" i="28"/>
  <c r="B36" i="28"/>
  <c r="D35" i="28"/>
  <c r="C35" i="28"/>
  <c r="B35" i="28"/>
  <c r="C34" i="28"/>
  <c r="B34" i="28"/>
  <c r="D33" i="28"/>
  <c r="C33" i="28"/>
  <c r="B33" i="28"/>
  <c r="D32" i="28"/>
  <c r="D53" i="28" s="1"/>
  <c r="C32" i="28"/>
  <c r="B32" i="28"/>
  <c r="D31" i="28"/>
  <c r="C31" i="28"/>
  <c r="B31" i="28"/>
  <c r="D30" i="28"/>
  <c r="C30" i="28"/>
  <c r="B30" i="28"/>
  <c r="D29" i="28"/>
  <c r="C29" i="28"/>
  <c r="B29" i="28"/>
  <c r="D28" i="28"/>
  <c r="F28" i="28" s="1"/>
  <c r="H28" i="28" s="1"/>
  <c r="I28" i="28" s="1"/>
  <c r="C28" i="28"/>
  <c r="B28" i="28"/>
  <c r="J27" i="28"/>
  <c r="C27" i="28"/>
  <c r="C2" i="28"/>
  <c r="B2" i="28"/>
  <c r="C1" i="28"/>
  <c r="F26" i="28" l="1"/>
  <c r="I26" i="28" s="1"/>
  <c r="F23" i="28"/>
  <c r="I23" i="28" s="1"/>
  <c r="I3" i="28"/>
  <c r="I4" i="28"/>
  <c r="F21" i="28"/>
  <c r="I21" i="28" s="1"/>
  <c r="F22" i="28"/>
  <c r="I22" i="28" s="1"/>
  <c r="F36" i="28"/>
  <c r="F59" i="28"/>
  <c r="F60" i="28"/>
  <c r="F61" i="28"/>
  <c r="F62" i="28"/>
  <c r="F31" i="28"/>
  <c r="F30" i="28"/>
  <c r="F63" i="28"/>
  <c r="D55" i="28"/>
  <c r="I31" i="27"/>
  <c r="F23" i="27"/>
  <c r="F16" i="27"/>
  <c r="F4" i="27"/>
  <c r="F3" i="27"/>
  <c r="L4" i="27"/>
  <c r="N4" i="27" s="1"/>
  <c r="D88" i="27"/>
  <c r="D87" i="27"/>
  <c r="D86" i="27"/>
  <c r="D85" i="27"/>
  <c r="D82" i="27"/>
  <c r="D81" i="27" s="1"/>
  <c r="C81" i="27"/>
  <c r="AH79" i="27"/>
  <c r="I79" i="27"/>
  <c r="L79" i="27" s="1"/>
  <c r="N79" i="27" s="1"/>
  <c r="P79" i="27" s="1"/>
  <c r="R79" i="27" s="1"/>
  <c r="T79" i="27" s="1"/>
  <c r="V79" i="27" s="1"/>
  <c r="X79" i="27" s="1"/>
  <c r="Z79" i="27" s="1"/>
  <c r="AB79" i="27" s="1"/>
  <c r="AD79" i="27" s="1"/>
  <c r="AF79" i="27" s="1"/>
  <c r="F79" i="27"/>
  <c r="F78" i="27"/>
  <c r="I78" i="27" s="1"/>
  <c r="L78" i="27" s="1"/>
  <c r="N78" i="27" s="1"/>
  <c r="P78" i="27" s="1"/>
  <c r="R78" i="27" s="1"/>
  <c r="T78" i="27" s="1"/>
  <c r="V78" i="27" s="1"/>
  <c r="X78" i="27" s="1"/>
  <c r="Z78" i="27" s="1"/>
  <c r="AB78" i="27" s="1"/>
  <c r="AD78" i="27" s="1"/>
  <c r="AF78" i="27" s="1"/>
  <c r="AH78" i="27" s="1"/>
  <c r="I77" i="27"/>
  <c r="L77" i="27" s="1"/>
  <c r="N77" i="27" s="1"/>
  <c r="P77" i="27" s="1"/>
  <c r="R77" i="27" s="1"/>
  <c r="T77" i="27" s="1"/>
  <c r="V77" i="27" s="1"/>
  <c r="X77" i="27" s="1"/>
  <c r="Z77" i="27" s="1"/>
  <c r="AB77" i="27" s="1"/>
  <c r="AD77" i="27" s="1"/>
  <c r="AF77" i="27" s="1"/>
  <c r="AH77" i="27" s="1"/>
  <c r="F77" i="27"/>
  <c r="F70" i="27"/>
  <c r="I70" i="27" s="1"/>
  <c r="L70" i="27" s="1"/>
  <c r="N70" i="27" s="1"/>
  <c r="P70" i="27" s="1"/>
  <c r="R70" i="27" s="1"/>
  <c r="T70" i="27" s="1"/>
  <c r="V70" i="27" s="1"/>
  <c r="X70" i="27" s="1"/>
  <c r="Z70" i="27" s="1"/>
  <c r="AB70" i="27" s="1"/>
  <c r="AD70" i="27" s="1"/>
  <c r="AF70" i="27" s="1"/>
  <c r="AH70" i="27" s="1"/>
  <c r="F69" i="27"/>
  <c r="I69" i="27" s="1"/>
  <c r="L69" i="27" s="1"/>
  <c r="N69" i="27" s="1"/>
  <c r="P69" i="27" s="1"/>
  <c r="R69" i="27" s="1"/>
  <c r="T69" i="27" s="1"/>
  <c r="V69" i="27" s="1"/>
  <c r="X69" i="27" s="1"/>
  <c r="Z69" i="27" s="1"/>
  <c r="AB69" i="27" s="1"/>
  <c r="AD69" i="27" s="1"/>
  <c r="AF69" i="27" s="1"/>
  <c r="AH69" i="27" s="1"/>
  <c r="F68" i="27"/>
  <c r="I68" i="27" s="1"/>
  <c r="L68" i="27" s="1"/>
  <c r="N68" i="27" s="1"/>
  <c r="P68" i="27" s="1"/>
  <c r="R68" i="27" s="1"/>
  <c r="T68" i="27" s="1"/>
  <c r="V68" i="27" s="1"/>
  <c r="X68" i="27" s="1"/>
  <c r="Z68" i="27" s="1"/>
  <c r="AB68" i="27" s="1"/>
  <c r="AD68" i="27" s="1"/>
  <c r="AF68" i="27" s="1"/>
  <c r="AH68" i="27" s="1"/>
  <c r="C61" i="27"/>
  <c r="D60" i="27"/>
  <c r="C60" i="27"/>
  <c r="B60" i="27"/>
  <c r="D59" i="27"/>
  <c r="C59" i="27"/>
  <c r="B59" i="27"/>
  <c r="D58" i="27"/>
  <c r="C58" i="27"/>
  <c r="B58" i="27"/>
  <c r="D57" i="27"/>
  <c r="C57" i="27"/>
  <c r="B57" i="27"/>
  <c r="D56" i="27"/>
  <c r="C56" i="27"/>
  <c r="B56" i="27"/>
  <c r="D55" i="27"/>
  <c r="C55" i="27"/>
  <c r="B55" i="27"/>
  <c r="D54" i="27"/>
  <c r="C54" i="27"/>
  <c r="B54" i="27"/>
  <c r="D53" i="27"/>
  <c r="C53" i="27"/>
  <c r="B53" i="27"/>
  <c r="D52" i="27"/>
  <c r="C52" i="27"/>
  <c r="B52" i="27"/>
  <c r="D51" i="27"/>
  <c r="C51" i="27"/>
  <c r="B51" i="27"/>
  <c r="D50" i="27"/>
  <c r="C50" i="27"/>
  <c r="B50" i="27"/>
  <c r="D49" i="27"/>
  <c r="C49" i="27"/>
  <c r="B49" i="27"/>
  <c r="D48" i="27"/>
  <c r="C48" i="27"/>
  <c r="B48" i="27"/>
  <c r="D47" i="27"/>
  <c r="C47" i="27"/>
  <c r="B47" i="27"/>
  <c r="D46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D38" i="27"/>
  <c r="C38" i="27"/>
  <c r="B38" i="27"/>
  <c r="C37" i="27"/>
  <c r="B37" i="27"/>
  <c r="D36" i="27"/>
  <c r="C36" i="27"/>
  <c r="B36" i="27"/>
  <c r="D35" i="27"/>
  <c r="C35" i="27"/>
  <c r="B35" i="27"/>
  <c r="C34" i="27"/>
  <c r="B34" i="27"/>
  <c r="D33" i="27"/>
  <c r="C33" i="27"/>
  <c r="B33" i="27"/>
  <c r="D32" i="27"/>
  <c r="F5" i="27" s="1"/>
  <c r="C32" i="27"/>
  <c r="B32" i="27"/>
  <c r="D31" i="27"/>
  <c r="C31" i="27"/>
  <c r="B31" i="27"/>
  <c r="D30" i="27"/>
  <c r="C30" i="27"/>
  <c r="B30" i="27"/>
  <c r="D29" i="27"/>
  <c r="C29" i="27"/>
  <c r="B29" i="27"/>
  <c r="D28" i="27"/>
  <c r="F28" i="27" s="1"/>
  <c r="I28" i="27" s="1"/>
  <c r="L28" i="27" s="1"/>
  <c r="N28" i="27" s="1"/>
  <c r="P28" i="27" s="1"/>
  <c r="R28" i="27" s="1"/>
  <c r="T28" i="27" s="1"/>
  <c r="V28" i="27" s="1"/>
  <c r="X28" i="27" s="1"/>
  <c r="Z28" i="27" s="1"/>
  <c r="AB28" i="27" s="1"/>
  <c r="AD28" i="27" s="1"/>
  <c r="AF28" i="27" s="1"/>
  <c r="AH28" i="27" s="1"/>
  <c r="C28" i="27"/>
  <c r="B28" i="27"/>
  <c r="O27" i="27"/>
  <c r="M27" i="27"/>
  <c r="J27" i="27"/>
  <c r="I27" i="27"/>
  <c r="H27" i="27"/>
  <c r="C27" i="27"/>
  <c r="J21" i="27"/>
  <c r="B21" i="27"/>
  <c r="B20" i="27"/>
  <c r="J19" i="27"/>
  <c r="B19" i="27"/>
  <c r="B18" i="27"/>
  <c r="J17" i="27"/>
  <c r="B17" i="27"/>
  <c r="B16" i="27"/>
  <c r="R15" i="27"/>
  <c r="B15" i="27"/>
  <c r="B14" i="27"/>
  <c r="J13" i="27"/>
  <c r="B13" i="27"/>
  <c r="J12" i="27"/>
  <c r="B12" i="27"/>
  <c r="B11" i="27"/>
  <c r="B10" i="27"/>
  <c r="B9" i="27"/>
  <c r="B8" i="27"/>
  <c r="B7" i="27"/>
  <c r="B6" i="27"/>
  <c r="B5" i="27"/>
  <c r="J4" i="27"/>
  <c r="I4" i="27"/>
  <c r="B4" i="27"/>
  <c r="J3" i="27"/>
  <c r="B3" i="27"/>
  <c r="B2" i="27"/>
  <c r="C1" i="27"/>
  <c r="F6" i="27" l="1"/>
  <c r="F46" i="27" s="1"/>
  <c r="I46" i="27" s="1"/>
  <c r="L46" i="27" s="1"/>
  <c r="N46" i="27" s="1"/>
  <c r="P46" i="27" s="1"/>
  <c r="R46" i="27" s="1"/>
  <c r="T46" i="27" s="1"/>
  <c r="V46" i="27" s="1"/>
  <c r="X46" i="27" s="1"/>
  <c r="Z46" i="27" s="1"/>
  <c r="AB46" i="27" s="1"/>
  <c r="AD46" i="27" s="1"/>
  <c r="AF46" i="27" s="1"/>
  <c r="AH46" i="27" s="1"/>
  <c r="F11" i="28"/>
  <c r="I11" i="28" s="1"/>
  <c r="F24" i="28"/>
  <c r="I24" i="28" s="1"/>
  <c r="I5" i="28"/>
  <c r="F9" i="28"/>
  <c r="F10" i="28"/>
  <c r="I10" i="28" s="1"/>
  <c r="I6" i="28"/>
  <c r="H31" i="28"/>
  <c r="I31" i="28" s="1"/>
  <c r="H62" i="28"/>
  <c r="I62" i="28" s="1"/>
  <c r="H60" i="28"/>
  <c r="I60" i="28" s="1"/>
  <c r="H36" i="28"/>
  <c r="I36" i="28" s="1"/>
  <c r="H63" i="28"/>
  <c r="I63" i="28" s="1"/>
  <c r="D56" i="28"/>
  <c r="F56" i="28" s="1"/>
  <c r="H61" i="28"/>
  <c r="I61" i="28" s="1"/>
  <c r="H59" i="28"/>
  <c r="I59" i="28" s="1"/>
  <c r="F64" i="28"/>
  <c r="H30" i="28"/>
  <c r="I30" i="28" s="1"/>
  <c r="F58" i="28"/>
  <c r="K79" i="27"/>
  <c r="K78" i="27"/>
  <c r="K77" i="27"/>
  <c r="K70" i="27"/>
  <c r="K69" i="27"/>
  <c r="K68" i="27"/>
  <c r="K46" i="27"/>
  <c r="K28" i="27"/>
  <c r="F58" i="27"/>
  <c r="I58" i="27" s="1"/>
  <c r="L58" i="27" s="1"/>
  <c r="N58" i="27" s="1"/>
  <c r="P58" i="27" s="1"/>
  <c r="R58" i="27" s="1"/>
  <c r="T58" i="27" s="1"/>
  <c r="V58" i="27" s="1"/>
  <c r="X58" i="27" s="1"/>
  <c r="Z58" i="27" s="1"/>
  <c r="AB58" i="27" s="1"/>
  <c r="AD58" i="27" s="1"/>
  <c r="AF58" i="27" s="1"/>
  <c r="AH58" i="27" s="1"/>
  <c r="O79" i="27"/>
  <c r="O78" i="27"/>
  <c r="O77" i="27"/>
  <c r="O70" i="27"/>
  <c r="O69" i="27"/>
  <c r="O68" i="27"/>
  <c r="O28" i="27"/>
  <c r="Q27" i="27"/>
  <c r="D61" i="27"/>
  <c r="F61" i="27" s="1"/>
  <c r="I61" i="27" s="1"/>
  <c r="L61" i="27" s="1"/>
  <c r="N61" i="27" s="1"/>
  <c r="P61" i="27" s="1"/>
  <c r="R61" i="27" s="1"/>
  <c r="T61" i="27" s="1"/>
  <c r="V61" i="27" s="1"/>
  <c r="X61" i="27" s="1"/>
  <c r="Z61" i="27" s="1"/>
  <c r="AB61" i="27" s="1"/>
  <c r="AD61" i="27" s="1"/>
  <c r="AF61" i="27" s="1"/>
  <c r="AH61" i="27" s="1"/>
  <c r="F22" i="27"/>
  <c r="M46" i="27"/>
  <c r="F74" i="27"/>
  <c r="I74" i="27" s="1"/>
  <c r="L74" i="27" s="1"/>
  <c r="N74" i="27" s="1"/>
  <c r="P74" i="27" s="1"/>
  <c r="R74" i="27" s="1"/>
  <c r="T74" i="27" s="1"/>
  <c r="V74" i="27" s="1"/>
  <c r="X74" i="27" s="1"/>
  <c r="Z74" i="27" s="1"/>
  <c r="AB74" i="27" s="1"/>
  <c r="AD74" i="27" s="1"/>
  <c r="AF74" i="27" s="1"/>
  <c r="AH74" i="27" s="1"/>
  <c r="F73" i="27"/>
  <c r="I73" i="27" s="1"/>
  <c r="L73" i="27" s="1"/>
  <c r="N73" i="27" s="1"/>
  <c r="P73" i="27" s="1"/>
  <c r="R73" i="27" s="1"/>
  <c r="T73" i="27" s="1"/>
  <c r="V73" i="27" s="1"/>
  <c r="X73" i="27" s="1"/>
  <c r="Z73" i="27" s="1"/>
  <c r="AB73" i="27" s="1"/>
  <c r="AD73" i="27" s="1"/>
  <c r="AF73" i="27" s="1"/>
  <c r="AH73" i="27" s="1"/>
  <c r="F72" i="27"/>
  <c r="I72" i="27" s="1"/>
  <c r="L72" i="27" s="1"/>
  <c r="N72" i="27" s="1"/>
  <c r="P72" i="27" s="1"/>
  <c r="R72" i="27" s="1"/>
  <c r="T72" i="27" s="1"/>
  <c r="V72" i="27" s="1"/>
  <c r="X72" i="27" s="1"/>
  <c r="Z72" i="27" s="1"/>
  <c r="AB72" i="27" s="1"/>
  <c r="AD72" i="27" s="1"/>
  <c r="AF72" i="27" s="1"/>
  <c r="AH72" i="27" s="1"/>
  <c r="F71" i="27"/>
  <c r="I71" i="27" s="1"/>
  <c r="L71" i="27" s="1"/>
  <c r="N71" i="27" s="1"/>
  <c r="P71" i="27" s="1"/>
  <c r="R71" i="27" s="1"/>
  <c r="T71" i="27" s="1"/>
  <c r="V71" i="27" s="1"/>
  <c r="X71" i="27" s="1"/>
  <c r="Z71" i="27" s="1"/>
  <c r="AB71" i="27" s="1"/>
  <c r="AD71" i="27" s="1"/>
  <c r="AF71" i="27" s="1"/>
  <c r="AH71" i="27" s="1"/>
  <c r="F67" i="27"/>
  <c r="I67" i="27" s="1"/>
  <c r="L67" i="27" s="1"/>
  <c r="N67" i="27" s="1"/>
  <c r="P67" i="27" s="1"/>
  <c r="R67" i="27" s="1"/>
  <c r="T67" i="27" s="1"/>
  <c r="V67" i="27" s="1"/>
  <c r="X67" i="27" s="1"/>
  <c r="Z67" i="27" s="1"/>
  <c r="AB67" i="27" s="1"/>
  <c r="AD67" i="27" s="1"/>
  <c r="AF67" i="27" s="1"/>
  <c r="AH67" i="27" s="1"/>
  <c r="F63" i="27"/>
  <c r="I63" i="27" s="1"/>
  <c r="L63" i="27" s="1"/>
  <c r="N63" i="27" s="1"/>
  <c r="P63" i="27" s="1"/>
  <c r="R63" i="27" s="1"/>
  <c r="T63" i="27" s="1"/>
  <c r="V63" i="27" s="1"/>
  <c r="X63" i="27" s="1"/>
  <c r="Z63" i="27" s="1"/>
  <c r="AB63" i="27" s="1"/>
  <c r="AD63" i="27" s="1"/>
  <c r="AF63" i="27" s="1"/>
  <c r="AH63" i="27" s="1"/>
  <c r="F65" i="27"/>
  <c r="I65" i="27" s="1"/>
  <c r="L65" i="27" s="1"/>
  <c r="N65" i="27" s="1"/>
  <c r="P65" i="27" s="1"/>
  <c r="R65" i="27" s="1"/>
  <c r="T65" i="27" s="1"/>
  <c r="V65" i="27" s="1"/>
  <c r="X65" i="27" s="1"/>
  <c r="Z65" i="27" s="1"/>
  <c r="AB65" i="27" s="1"/>
  <c r="AD65" i="27" s="1"/>
  <c r="AF65" i="27" s="1"/>
  <c r="AH65" i="27" s="1"/>
  <c r="F66" i="27"/>
  <c r="I66" i="27" s="1"/>
  <c r="L66" i="27" s="1"/>
  <c r="N66" i="27" s="1"/>
  <c r="P66" i="27" s="1"/>
  <c r="R66" i="27" s="1"/>
  <c r="T66" i="27" s="1"/>
  <c r="V66" i="27" s="1"/>
  <c r="X66" i="27" s="1"/>
  <c r="Z66" i="27" s="1"/>
  <c r="AB66" i="27" s="1"/>
  <c r="AD66" i="27" s="1"/>
  <c r="AF66" i="27" s="1"/>
  <c r="AH66" i="27" s="1"/>
  <c r="F64" i="27"/>
  <c r="I64" i="27" s="1"/>
  <c r="L64" i="27" s="1"/>
  <c r="N64" i="27" s="1"/>
  <c r="P64" i="27" s="1"/>
  <c r="R64" i="27" s="1"/>
  <c r="T64" i="27" s="1"/>
  <c r="V64" i="27" s="1"/>
  <c r="X64" i="27" s="1"/>
  <c r="Z64" i="27" s="1"/>
  <c r="AB64" i="27" s="1"/>
  <c r="AD64" i="27" s="1"/>
  <c r="AF64" i="27" s="1"/>
  <c r="AH64" i="27" s="1"/>
  <c r="M79" i="27"/>
  <c r="M78" i="27"/>
  <c r="M77" i="27"/>
  <c r="M73" i="27"/>
  <c r="M70" i="27"/>
  <c r="M69" i="27"/>
  <c r="M68" i="27"/>
  <c r="M63" i="27"/>
  <c r="M65" i="27"/>
  <c r="M28" i="27"/>
  <c r="F60" i="27"/>
  <c r="I60" i="27" s="1"/>
  <c r="L60" i="27" s="1"/>
  <c r="N60" i="27" s="1"/>
  <c r="P60" i="27" s="1"/>
  <c r="R60" i="27" s="1"/>
  <c r="T60" i="27" s="1"/>
  <c r="V60" i="27" s="1"/>
  <c r="X60" i="27" s="1"/>
  <c r="Z60" i="27" s="1"/>
  <c r="AB60" i="27" s="1"/>
  <c r="AD60" i="27" s="1"/>
  <c r="AF60" i="27" s="1"/>
  <c r="AH60" i="27" s="1"/>
  <c r="H1" i="9"/>
  <c r="H31" i="1"/>
  <c r="H31" i="21"/>
  <c r="H1" i="21"/>
  <c r="H31" i="26"/>
  <c r="H1" i="26"/>
  <c r="H31" i="9"/>
  <c r="H31" i="8"/>
  <c r="H1" i="8"/>
  <c r="H31" i="24"/>
  <c r="H1" i="24"/>
  <c r="H31" i="7"/>
  <c r="H1" i="7"/>
  <c r="L6" i="27" l="1"/>
  <c r="N6" i="27" s="1"/>
  <c r="O46" i="27"/>
  <c r="I6" i="27"/>
  <c r="M72" i="27"/>
  <c r="K72" i="27"/>
  <c r="M71" i="27"/>
  <c r="O65" i="27"/>
  <c r="O73" i="27"/>
  <c r="K66" i="27"/>
  <c r="F25" i="28"/>
  <c r="I25" i="28" s="1"/>
  <c r="I8" i="28"/>
  <c r="F7" i="28"/>
  <c r="I7" i="28" s="1"/>
  <c r="F13" i="28"/>
  <c r="I9" i="28"/>
  <c r="H58" i="28"/>
  <c r="I58" i="28" s="1"/>
  <c r="F38" i="28"/>
  <c r="F35" i="28"/>
  <c r="F49" i="28"/>
  <c r="F50" i="28"/>
  <c r="H56" i="28"/>
  <c r="I56" i="28" s="1"/>
  <c r="H64" i="28"/>
  <c r="I64" i="28" s="1"/>
  <c r="M60" i="27"/>
  <c r="K60" i="27"/>
  <c r="M61" i="27"/>
  <c r="K61" i="27"/>
  <c r="F57" i="27"/>
  <c r="I57" i="27" s="1"/>
  <c r="F55" i="27"/>
  <c r="I55" i="27" s="1"/>
  <c r="F59" i="27"/>
  <c r="I59" i="27" s="1"/>
  <c r="F26" i="27"/>
  <c r="F30" i="27"/>
  <c r="I30" i="27" s="1"/>
  <c r="I3" i="27"/>
  <c r="L3" i="27"/>
  <c r="N3" i="27" s="1"/>
  <c r="F36" i="27"/>
  <c r="I36" i="27" s="1"/>
  <c r="F56" i="27"/>
  <c r="I56" i="27" s="1"/>
  <c r="O74" i="27"/>
  <c r="F31" i="27"/>
  <c r="K67" i="27"/>
  <c r="K71" i="27"/>
  <c r="F81" i="27"/>
  <c r="I81" i="27" s="1"/>
  <c r="F54" i="27"/>
  <c r="I54" i="27" s="1"/>
  <c r="M66" i="27"/>
  <c r="O63" i="27"/>
  <c r="O60" i="27"/>
  <c r="O66" i="27"/>
  <c r="K64" i="27"/>
  <c r="K73" i="27"/>
  <c r="L22" i="27"/>
  <c r="N22" i="27" s="1"/>
  <c r="I22" i="27"/>
  <c r="O64" i="27"/>
  <c r="M64" i="27"/>
  <c r="M74" i="27"/>
  <c r="M58" i="27"/>
  <c r="M67" i="27"/>
  <c r="Q79" i="27"/>
  <c r="Q78" i="27"/>
  <c r="Q77" i="27"/>
  <c r="Q74" i="27"/>
  <c r="Q73" i="27"/>
  <c r="Q72" i="27"/>
  <c r="Q71" i="27"/>
  <c r="Q65" i="27"/>
  <c r="Q58" i="27"/>
  <c r="Q63" i="27"/>
  <c r="Q70" i="27"/>
  <c r="Q69" i="27"/>
  <c r="Q68" i="27"/>
  <c r="Q67" i="27"/>
  <c r="Q64" i="27"/>
  <c r="Q66" i="27"/>
  <c r="Q61" i="27"/>
  <c r="Q28" i="27"/>
  <c r="Q46" i="27"/>
  <c r="Q60" i="27"/>
  <c r="S27" i="27"/>
  <c r="O72" i="27"/>
  <c r="O58" i="27"/>
  <c r="O61" i="27"/>
  <c r="O67" i="27"/>
  <c r="O71" i="27"/>
  <c r="K63" i="27"/>
  <c r="K58" i="27"/>
  <c r="K65" i="27"/>
  <c r="K74" i="27"/>
  <c r="F17" i="28" l="1"/>
  <c r="I13" i="28"/>
  <c r="F14" i="28"/>
  <c r="I14" i="28" s="1"/>
  <c r="F12" i="28"/>
  <c r="F29" i="28"/>
  <c r="F48" i="28"/>
  <c r="F47" i="28"/>
  <c r="F57" i="28"/>
  <c r="F55" i="28"/>
  <c r="H49" i="28"/>
  <c r="I49" i="28" s="1"/>
  <c r="H38" i="28"/>
  <c r="I38" i="28" s="1"/>
  <c r="F46" i="28"/>
  <c r="H50" i="28"/>
  <c r="I50" i="28" s="1"/>
  <c r="F33" i="28"/>
  <c r="F32" i="28"/>
  <c r="F51" i="28"/>
  <c r="F53" i="28"/>
  <c r="F52" i="28"/>
  <c r="H35" i="28"/>
  <c r="I35" i="28" s="1"/>
  <c r="L81" i="27"/>
  <c r="K81" i="27"/>
  <c r="I16" i="27"/>
  <c r="F21" i="27"/>
  <c r="L16" i="27"/>
  <c r="N16" i="27" s="1"/>
  <c r="F18" i="27"/>
  <c r="L26" i="27"/>
  <c r="N26" i="27" s="1"/>
  <c r="I26" i="27"/>
  <c r="S79" i="27"/>
  <c r="S78" i="27"/>
  <c r="S77" i="27"/>
  <c r="S74" i="27"/>
  <c r="S73" i="27"/>
  <c r="S71" i="27"/>
  <c r="S70" i="27"/>
  <c r="S69" i="27"/>
  <c r="S68" i="27"/>
  <c r="S67" i="27"/>
  <c r="S66" i="27"/>
  <c r="S65" i="27"/>
  <c r="S64" i="27"/>
  <c r="S72" i="27"/>
  <c r="S63" i="27"/>
  <c r="S60" i="27"/>
  <c r="S61" i="27"/>
  <c r="S46" i="27"/>
  <c r="U27" i="27"/>
  <c r="S58" i="27"/>
  <c r="S28" i="27"/>
  <c r="L31" i="27"/>
  <c r="K31" i="27"/>
  <c r="L36" i="27"/>
  <c r="K36" i="27"/>
  <c r="L59" i="27"/>
  <c r="K59" i="27"/>
  <c r="L30" i="27"/>
  <c r="K30" i="27"/>
  <c r="L55" i="27"/>
  <c r="K55" i="27"/>
  <c r="L54" i="27"/>
  <c r="K54" i="27"/>
  <c r="L56" i="27"/>
  <c r="K56" i="27"/>
  <c r="L57" i="27"/>
  <c r="K57" i="27"/>
  <c r="AK115" i="9"/>
  <c r="AI115" i="9"/>
  <c r="AG115" i="9"/>
  <c r="AK114" i="9"/>
  <c r="AI114" i="9"/>
  <c r="AG114" i="9"/>
  <c r="D113" i="9"/>
  <c r="AK113" i="9"/>
  <c r="AI113" i="9"/>
  <c r="AG113" i="9"/>
  <c r="D112" i="9"/>
  <c r="AK112" i="9"/>
  <c r="AI112" i="9"/>
  <c r="AG112" i="9"/>
  <c r="I12" i="28" l="1"/>
  <c r="F15" i="28"/>
  <c r="I15" i="28" s="1"/>
  <c r="F19" i="28"/>
  <c r="I17" i="28"/>
  <c r="H33" i="28"/>
  <c r="I33" i="28" s="1"/>
  <c r="H53" i="28"/>
  <c r="I53" i="28" s="1"/>
  <c r="H57" i="28"/>
  <c r="I57" i="28" s="1"/>
  <c r="H55" i="28"/>
  <c r="I55" i="28" s="1"/>
  <c r="H48" i="28"/>
  <c r="I48" i="28" s="1"/>
  <c r="H52" i="28"/>
  <c r="I52" i="28" s="1"/>
  <c r="H51" i="28"/>
  <c r="I51" i="28" s="1"/>
  <c r="H29" i="28"/>
  <c r="I29" i="28" s="1"/>
  <c r="H32" i="28"/>
  <c r="I32" i="28" s="1"/>
  <c r="H46" i="28"/>
  <c r="I46" i="28" s="1"/>
  <c r="H47" i="28"/>
  <c r="I47" i="28" s="1"/>
  <c r="N57" i="27"/>
  <c r="M57" i="27"/>
  <c r="N30" i="27"/>
  <c r="M30" i="27"/>
  <c r="N59" i="27"/>
  <c r="M59" i="27"/>
  <c r="N31" i="27"/>
  <c r="M31" i="27"/>
  <c r="I21" i="27"/>
  <c r="L21" i="27"/>
  <c r="N21" i="27" s="1"/>
  <c r="N56" i="27"/>
  <c r="M56" i="27"/>
  <c r="N55" i="27"/>
  <c r="M55" i="27"/>
  <c r="N36" i="27"/>
  <c r="M36" i="27"/>
  <c r="L18" i="27"/>
  <c r="N18" i="27" s="1"/>
  <c r="I18" i="27"/>
  <c r="N54" i="27"/>
  <c r="M54" i="27"/>
  <c r="U79" i="27"/>
  <c r="U78" i="27"/>
  <c r="U77" i="27"/>
  <c r="U74" i="27"/>
  <c r="U73" i="27"/>
  <c r="U72" i="27"/>
  <c r="U64" i="27"/>
  <c r="U58" i="27"/>
  <c r="U66" i="27"/>
  <c r="U71" i="27"/>
  <c r="U61" i="27"/>
  <c r="U69" i="27"/>
  <c r="U67" i="27"/>
  <c r="U51" i="27"/>
  <c r="U65" i="27"/>
  <c r="U63" i="27"/>
  <c r="U52" i="27"/>
  <c r="U48" i="27"/>
  <c r="U40" i="27"/>
  <c r="U70" i="27"/>
  <c r="U68" i="27"/>
  <c r="U60" i="27"/>
  <c r="U43" i="27"/>
  <c r="U28" i="27"/>
  <c r="U42" i="27"/>
  <c r="U41" i="27"/>
  <c r="U39" i="27"/>
  <c r="U50" i="27"/>
  <c r="U46" i="27"/>
  <c r="W27" i="27"/>
  <c r="N81" i="27"/>
  <c r="M81" i="27"/>
  <c r="F20" i="28" l="1"/>
  <c r="I20" i="28" s="1"/>
  <c r="I19" i="28"/>
  <c r="W79" i="27"/>
  <c r="W78" i="27"/>
  <c r="W77" i="27"/>
  <c r="W74" i="27"/>
  <c r="W73" i="27"/>
  <c r="W72" i="27"/>
  <c r="W71" i="27"/>
  <c r="W70" i="27"/>
  <c r="W69" i="27"/>
  <c r="W68" i="27"/>
  <c r="W67" i="27"/>
  <c r="W66" i="27"/>
  <c r="W65" i="27"/>
  <c r="W64" i="27"/>
  <c r="W60" i="27"/>
  <c r="W63" i="27"/>
  <c r="W50" i="27"/>
  <c r="W46" i="27"/>
  <c r="W42" i="27"/>
  <c r="W61" i="27"/>
  <c r="W58" i="27"/>
  <c r="W51" i="27"/>
  <c r="W52" i="27"/>
  <c r="W43" i="27"/>
  <c r="W41" i="27"/>
  <c r="W40" i="27"/>
  <c r="W28" i="27"/>
  <c r="Y27" i="27"/>
  <c r="W48" i="27"/>
  <c r="W39" i="27"/>
  <c r="P54" i="27"/>
  <c r="O54" i="27"/>
  <c r="P59" i="27"/>
  <c r="O59" i="27"/>
  <c r="P55" i="27"/>
  <c r="O55" i="27"/>
  <c r="P57" i="27"/>
  <c r="O57" i="27"/>
  <c r="P31" i="27"/>
  <c r="O31" i="27"/>
  <c r="P30" i="27"/>
  <c r="O30" i="27"/>
  <c r="P81" i="27"/>
  <c r="O81" i="27"/>
  <c r="P36" i="27"/>
  <c r="O36" i="27"/>
  <c r="P56" i="27"/>
  <c r="O56" i="27"/>
  <c r="R36" i="27" l="1"/>
  <c r="Q36" i="27"/>
  <c r="R54" i="27"/>
  <c r="Q54" i="27"/>
  <c r="R30" i="27"/>
  <c r="Q30" i="27"/>
  <c r="Y85" i="27"/>
  <c r="Y79" i="27"/>
  <c r="Y78" i="27"/>
  <c r="Y77" i="27"/>
  <c r="Y74" i="27"/>
  <c r="Y73" i="27"/>
  <c r="Y72" i="27"/>
  <c r="Y89" i="27"/>
  <c r="Y88" i="27"/>
  <c r="Y87" i="27"/>
  <c r="Y86" i="27"/>
  <c r="Y66" i="27"/>
  <c r="Y65" i="27"/>
  <c r="Y61" i="27"/>
  <c r="Y58" i="27"/>
  <c r="Y70" i="27"/>
  <c r="Y69" i="27"/>
  <c r="Y68" i="27"/>
  <c r="Y67" i="27"/>
  <c r="Y63" i="27"/>
  <c r="Y71" i="27"/>
  <c r="Y64" i="27"/>
  <c r="Y51" i="27"/>
  <c r="Y47" i="27"/>
  <c r="Y60" i="27"/>
  <c r="Y53" i="27"/>
  <c r="Y52" i="27"/>
  <c r="Y48" i="27"/>
  <c r="Y44" i="27"/>
  <c r="Y40" i="27"/>
  <c r="Y49" i="27"/>
  <c r="Y45" i="27"/>
  <c r="Y50" i="27"/>
  <c r="Y46" i="27"/>
  <c r="Y42" i="27"/>
  <c r="Y41" i="27"/>
  <c r="Y28" i="27"/>
  <c r="Y34" i="27"/>
  <c r="Y39" i="27"/>
  <c r="Y43" i="27"/>
  <c r="Y33" i="27"/>
  <c r="AA27" i="27"/>
  <c r="R56" i="27"/>
  <c r="Q56" i="27"/>
  <c r="R59" i="27"/>
  <c r="Q59" i="27"/>
  <c r="R81" i="27"/>
  <c r="Q81" i="27"/>
  <c r="R31" i="27"/>
  <c r="Q31" i="27"/>
  <c r="R57" i="27"/>
  <c r="Q57" i="27"/>
  <c r="R55" i="27"/>
  <c r="Q55" i="27"/>
  <c r="F9" i="27"/>
  <c r="F13" i="27" s="1"/>
  <c r="F12" i="27" s="1"/>
  <c r="F11" i="27"/>
  <c r="F10" i="27"/>
  <c r="F8" i="27"/>
  <c r="I5" i="27"/>
  <c r="F32" i="27"/>
  <c r="I32" i="27" s="1"/>
  <c r="L5" i="27"/>
  <c r="N5" i="27" s="1"/>
  <c r="F33" i="27"/>
  <c r="I33" i="27" s="1"/>
  <c r="F51" i="27" l="1"/>
  <c r="I51" i="27" s="1"/>
  <c r="F24" i="27"/>
  <c r="F25" i="27"/>
  <c r="L51" i="27"/>
  <c r="K51" i="27"/>
  <c r="L33" i="27"/>
  <c r="K33" i="27"/>
  <c r="L32" i="27"/>
  <c r="K32" i="27"/>
  <c r="F53" i="27"/>
  <c r="I53" i="27" s="1"/>
  <c r="L11" i="27"/>
  <c r="N11" i="27" s="1"/>
  <c r="I11" i="27"/>
  <c r="T55" i="27"/>
  <c r="S55" i="27"/>
  <c r="T31" i="27"/>
  <c r="S31" i="27"/>
  <c r="T56" i="27"/>
  <c r="S56" i="27"/>
  <c r="T54" i="27"/>
  <c r="S54" i="27"/>
  <c r="T30" i="27"/>
  <c r="S30" i="27"/>
  <c r="F50" i="27"/>
  <c r="I50" i="27" s="1"/>
  <c r="I8" i="27"/>
  <c r="F49" i="27"/>
  <c r="I49" i="27" s="1"/>
  <c r="F38" i="27"/>
  <c r="I38" i="27" s="1"/>
  <c r="L8" i="27"/>
  <c r="N8" i="27" s="1"/>
  <c r="F7" i="27"/>
  <c r="F35" i="27"/>
  <c r="I35" i="27" s="1"/>
  <c r="I9" i="27"/>
  <c r="L9" i="27"/>
  <c r="N9" i="27" s="1"/>
  <c r="T57" i="27"/>
  <c r="S57" i="27"/>
  <c r="T81" i="27"/>
  <c r="S81" i="27"/>
  <c r="AA89" i="27"/>
  <c r="AA88" i="27"/>
  <c r="AA87" i="27"/>
  <c r="AA86" i="27"/>
  <c r="AA85" i="27"/>
  <c r="AA79" i="27"/>
  <c r="AA78" i="27"/>
  <c r="AA77" i="27"/>
  <c r="AA74" i="27"/>
  <c r="AA73" i="27"/>
  <c r="AA71" i="27"/>
  <c r="AA70" i="27"/>
  <c r="AA69" i="27"/>
  <c r="AA68" i="27"/>
  <c r="AA67" i="27"/>
  <c r="AA66" i="27"/>
  <c r="AA65" i="27"/>
  <c r="AA64" i="27"/>
  <c r="AA72" i="27"/>
  <c r="AA60" i="27"/>
  <c r="AA57" i="27"/>
  <c r="AA53" i="27"/>
  <c r="AA61" i="27"/>
  <c r="AA55" i="27"/>
  <c r="AA63" i="27"/>
  <c r="AA54" i="27"/>
  <c r="AA52" i="27"/>
  <c r="AA49" i="27"/>
  <c r="AA58" i="27"/>
  <c r="AA50" i="27"/>
  <c r="AA46" i="27"/>
  <c r="AA42" i="27"/>
  <c r="AA51" i="27"/>
  <c r="AA47" i="27"/>
  <c r="AA48" i="27"/>
  <c r="AA38" i="27"/>
  <c r="AA34" i="27"/>
  <c r="AC27" i="27"/>
  <c r="AA45" i="27"/>
  <c r="AA32" i="27"/>
  <c r="AA28" i="27"/>
  <c r="AA44" i="27"/>
  <c r="AA43" i="27"/>
  <c r="AA41" i="27"/>
  <c r="AA40" i="27"/>
  <c r="AA33" i="27"/>
  <c r="AA29" i="27"/>
  <c r="AA39" i="27"/>
  <c r="AA35" i="27"/>
  <c r="L10" i="27"/>
  <c r="N10" i="27" s="1"/>
  <c r="I10" i="27"/>
  <c r="F52" i="27"/>
  <c r="I52" i="27" s="1"/>
  <c r="T59" i="27"/>
  <c r="S59" i="27"/>
  <c r="T36" i="27"/>
  <c r="S36" i="27"/>
  <c r="C2" i="16"/>
  <c r="B2" i="16"/>
  <c r="C6" i="16"/>
  <c r="B6" i="16"/>
  <c r="L35" i="27" l="1"/>
  <c r="K35" i="27"/>
  <c r="L49" i="27"/>
  <c r="K49" i="27"/>
  <c r="N33" i="27"/>
  <c r="M33" i="27"/>
  <c r="L52" i="27"/>
  <c r="K52" i="27"/>
  <c r="V57" i="27"/>
  <c r="U57" i="27"/>
  <c r="L50" i="27"/>
  <c r="K50" i="27"/>
  <c r="V30" i="27"/>
  <c r="U30" i="27"/>
  <c r="N32" i="27"/>
  <c r="M32" i="27"/>
  <c r="AC85" i="27"/>
  <c r="AC79" i="27"/>
  <c r="AC78" i="27"/>
  <c r="AC77" i="27"/>
  <c r="AC74" i="27"/>
  <c r="AC73" i="27"/>
  <c r="AC72" i="27"/>
  <c r="AC89" i="27"/>
  <c r="AC88" i="27"/>
  <c r="AC87" i="27"/>
  <c r="AC86" i="27"/>
  <c r="AC70" i="27"/>
  <c r="AC69" i="27"/>
  <c r="AC68" i="27"/>
  <c r="AC67" i="27"/>
  <c r="AC64" i="27"/>
  <c r="AC63" i="27"/>
  <c r="AC58" i="27"/>
  <c r="AC71" i="27"/>
  <c r="AC61" i="27"/>
  <c r="AC55" i="27"/>
  <c r="AC66" i="27"/>
  <c r="AC57" i="27"/>
  <c r="AC65" i="27"/>
  <c r="AC60" i="27"/>
  <c r="AC51" i="27"/>
  <c r="AC47" i="27"/>
  <c r="AC48" i="27"/>
  <c r="AC44" i="27"/>
  <c r="AC40" i="27"/>
  <c r="AC53" i="27"/>
  <c r="AC52" i="27"/>
  <c r="AC49" i="27"/>
  <c r="AC45" i="27"/>
  <c r="AC32" i="27"/>
  <c r="AC28" i="27"/>
  <c r="AC54" i="27"/>
  <c r="AC43" i="27"/>
  <c r="AC38" i="27"/>
  <c r="AC34" i="27"/>
  <c r="AC50" i="27"/>
  <c r="AC46" i="27"/>
  <c r="AC39" i="27"/>
  <c r="AC35" i="27"/>
  <c r="AC33" i="27"/>
  <c r="AC29" i="27"/>
  <c r="AC42" i="27"/>
  <c r="AC41" i="27"/>
  <c r="AE27" i="27"/>
  <c r="L23" i="27"/>
  <c r="N23" i="27" s="1"/>
  <c r="I23" i="27"/>
  <c r="V31" i="27"/>
  <c r="U31" i="27"/>
  <c r="V59" i="27"/>
  <c r="U59" i="27"/>
  <c r="L38" i="27"/>
  <c r="K38" i="27"/>
  <c r="V54" i="27"/>
  <c r="U54" i="27"/>
  <c r="V81" i="27"/>
  <c r="U81" i="27"/>
  <c r="L53" i="27"/>
  <c r="K53" i="27"/>
  <c r="V36" i="27"/>
  <c r="U36" i="27"/>
  <c r="L7" i="27"/>
  <c r="N7" i="27" s="1"/>
  <c r="I7" i="27"/>
  <c r="F48" i="27"/>
  <c r="I48" i="27" s="1"/>
  <c r="F29" i="27"/>
  <c r="I29" i="27" s="1"/>
  <c r="F47" i="27"/>
  <c r="I47" i="27" s="1"/>
  <c r="V56" i="27"/>
  <c r="U56" i="27"/>
  <c r="V55" i="27"/>
  <c r="U55" i="27"/>
  <c r="N51" i="27"/>
  <c r="M51" i="27"/>
  <c r="H66" i="26"/>
  <c r="H66" i="8"/>
  <c r="P51" i="27" l="1"/>
  <c r="O51" i="27"/>
  <c r="L29" i="27"/>
  <c r="K29" i="27"/>
  <c r="N53" i="27"/>
  <c r="M53" i="27"/>
  <c r="N50" i="27"/>
  <c r="M50" i="27"/>
  <c r="X57" i="27"/>
  <c r="W57" i="27"/>
  <c r="N52" i="27"/>
  <c r="M52" i="27"/>
  <c r="N49" i="27"/>
  <c r="M49" i="27"/>
  <c r="X56" i="27"/>
  <c r="W56" i="27"/>
  <c r="L48" i="27"/>
  <c r="K48" i="27"/>
  <c r="X36" i="27"/>
  <c r="W36" i="27"/>
  <c r="X54" i="27"/>
  <c r="W54" i="27"/>
  <c r="L24" i="27"/>
  <c r="N24" i="27" s="1"/>
  <c r="I24" i="27"/>
  <c r="AE89" i="27"/>
  <c r="AE88" i="27"/>
  <c r="AE87" i="27"/>
  <c r="AE86" i="27"/>
  <c r="AE85" i="27"/>
  <c r="AE79" i="27"/>
  <c r="AE78" i="27"/>
  <c r="AE77" i="27"/>
  <c r="AE74" i="27"/>
  <c r="AE73" i="27"/>
  <c r="AE71" i="27"/>
  <c r="AE70" i="27"/>
  <c r="AE69" i="27"/>
  <c r="AE68" i="27"/>
  <c r="AE67" i="27"/>
  <c r="AE66" i="27"/>
  <c r="AE65" i="27"/>
  <c r="AE64" i="27"/>
  <c r="AE61" i="27"/>
  <c r="AE60" i="27"/>
  <c r="AE57" i="27"/>
  <c r="AE53" i="27"/>
  <c r="AE72" i="27"/>
  <c r="AE63" i="27"/>
  <c r="AE59" i="27"/>
  <c r="AE55" i="27"/>
  <c r="AE58" i="27"/>
  <c r="AE49" i="27"/>
  <c r="AE52" i="27"/>
  <c r="AE50" i="27"/>
  <c r="AE46" i="27"/>
  <c r="AE42" i="27"/>
  <c r="AE54" i="27"/>
  <c r="AE51" i="27"/>
  <c r="AE47" i="27"/>
  <c r="AE45" i="27"/>
  <c r="AE44" i="27"/>
  <c r="AE43" i="27"/>
  <c r="AE41" i="27"/>
  <c r="AE40" i="27"/>
  <c r="AE38" i="27"/>
  <c r="AE34" i="27"/>
  <c r="AE36" i="27"/>
  <c r="AE32" i="27"/>
  <c r="AE28" i="27"/>
  <c r="AG27" i="27"/>
  <c r="AE48" i="27"/>
  <c r="AE37" i="27"/>
  <c r="AE33" i="27"/>
  <c r="AE29" i="27"/>
  <c r="AE39" i="27"/>
  <c r="AE35" i="27"/>
  <c r="X81" i="27"/>
  <c r="W81" i="27"/>
  <c r="X59" i="27"/>
  <c r="W59" i="27"/>
  <c r="X31" i="27"/>
  <c r="W31" i="27"/>
  <c r="F85" i="27"/>
  <c r="F87" i="27"/>
  <c r="I87" i="27" s="1"/>
  <c r="I25" i="27"/>
  <c r="L25" i="27"/>
  <c r="N25" i="27" s="1"/>
  <c r="F88" i="27"/>
  <c r="I88" i="27" s="1"/>
  <c r="F86" i="27"/>
  <c r="I86" i="27" s="1"/>
  <c r="P32" i="27"/>
  <c r="O32" i="27"/>
  <c r="X30" i="27"/>
  <c r="W30" i="27"/>
  <c r="P33" i="27"/>
  <c r="O33" i="27"/>
  <c r="N35" i="27"/>
  <c r="M35" i="27"/>
  <c r="X55" i="27"/>
  <c r="W55" i="27"/>
  <c r="L47" i="27"/>
  <c r="K47" i="27"/>
  <c r="N38" i="27"/>
  <c r="M38" i="27"/>
  <c r="D4" i="26"/>
  <c r="D7" i="26"/>
  <c r="D8" i="26"/>
  <c r="D3" i="26"/>
  <c r="F136" i="26"/>
  <c r="F135" i="26"/>
  <c r="AL133" i="26"/>
  <c r="AL132" i="26"/>
  <c r="AL131" i="26"/>
  <c r="AL125" i="26"/>
  <c r="AL123" i="26"/>
  <c r="AL120" i="26"/>
  <c r="AL119" i="26"/>
  <c r="AL118" i="26"/>
  <c r="AL111" i="26"/>
  <c r="AB106" i="26"/>
  <c r="AD106" i="26" s="1"/>
  <c r="AF106" i="26" s="1"/>
  <c r="AH106" i="26" s="1"/>
  <c r="AJ106" i="26" s="1"/>
  <c r="P106" i="26"/>
  <c r="R106" i="26" s="1"/>
  <c r="T106" i="26" s="1"/>
  <c r="V106" i="26" s="1"/>
  <c r="X106" i="26" s="1"/>
  <c r="Z106" i="26" s="1"/>
  <c r="K106" i="26"/>
  <c r="N106" i="26" s="1"/>
  <c r="F106" i="26"/>
  <c r="D100" i="26"/>
  <c r="D99" i="26"/>
  <c r="D98" i="26"/>
  <c r="D97" i="26"/>
  <c r="F94" i="26"/>
  <c r="D91" i="26"/>
  <c r="D90" i="26" s="1"/>
  <c r="C90" i="26"/>
  <c r="AB88" i="26"/>
  <c r="AD88" i="26" s="1"/>
  <c r="AF88" i="26" s="1"/>
  <c r="AH88" i="26" s="1"/>
  <c r="AJ88" i="26" s="1"/>
  <c r="P88" i="26"/>
  <c r="R88" i="26" s="1"/>
  <c r="T88" i="26" s="1"/>
  <c r="V88" i="26" s="1"/>
  <c r="X88" i="26" s="1"/>
  <c r="Z88" i="26" s="1"/>
  <c r="F88" i="26"/>
  <c r="K88" i="26" s="1"/>
  <c r="N88" i="26" s="1"/>
  <c r="F87" i="26"/>
  <c r="K87" i="26" s="1"/>
  <c r="N87" i="26" s="1"/>
  <c r="P87" i="26" s="1"/>
  <c r="R87" i="26" s="1"/>
  <c r="T87" i="26" s="1"/>
  <c r="V87" i="26" s="1"/>
  <c r="X87" i="26" s="1"/>
  <c r="Z87" i="26" s="1"/>
  <c r="AB87" i="26" s="1"/>
  <c r="AD87" i="26" s="1"/>
  <c r="AF87" i="26" s="1"/>
  <c r="AH87" i="26" s="1"/>
  <c r="AJ87" i="26" s="1"/>
  <c r="AB86" i="26"/>
  <c r="AD86" i="26" s="1"/>
  <c r="AF86" i="26" s="1"/>
  <c r="AH86" i="26" s="1"/>
  <c r="AJ86" i="26" s="1"/>
  <c r="P86" i="26"/>
  <c r="R86" i="26" s="1"/>
  <c r="T86" i="26" s="1"/>
  <c r="V86" i="26" s="1"/>
  <c r="X86" i="26" s="1"/>
  <c r="Z86" i="26" s="1"/>
  <c r="K86" i="26"/>
  <c r="N86" i="26" s="1"/>
  <c r="F86" i="26"/>
  <c r="L85" i="26"/>
  <c r="N84" i="26"/>
  <c r="P84" i="26" s="1"/>
  <c r="R84" i="26" s="1"/>
  <c r="T84" i="26" s="1"/>
  <c r="V84" i="26" s="1"/>
  <c r="X84" i="26" s="1"/>
  <c r="Z84" i="26" s="1"/>
  <c r="AB84" i="26" s="1"/>
  <c r="AD84" i="26" s="1"/>
  <c r="AF84" i="26" s="1"/>
  <c r="AH84" i="26" s="1"/>
  <c r="AJ84" i="26" s="1"/>
  <c r="K84" i="26"/>
  <c r="AF79" i="26"/>
  <c r="AH79" i="26" s="1"/>
  <c r="AJ79" i="26" s="1"/>
  <c r="P79" i="26"/>
  <c r="R79" i="26" s="1"/>
  <c r="T79" i="26" s="1"/>
  <c r="V79" i="26" s="1"/>
  <c r="X79" i="26" s="1"/>
  <c r="Z79" i="26" s="1"/>
  <c r="AB79" i="26" s="1"/>
  <c r="AD79" i="26" s="1"/>
  <c r="F79" i="26"/>
  <c r="K79" i="26" s="1"/>
  <c r="N79" i="26" s="1"/>
  <c r="M78" i="26"/>
  <c r="F78" i="26"/>
  <c r="K78" i="26" s="1"/>
  <c r="N78" i="26" s="1"/>
  <c r="P78" i="26" s="1"/>
  <c r="R78" i="26" s="1"/>
  <c r="T78" i="26" s="1"/>
  <c r="V78" i="26" s="1"/>
  <c r="X78" i="26" s="1"/>
  <c r="Z78" i="26" s="1"/>
  <c r="AB78" i="26" s="1"/>
  <c r="AD78" i="26" s="1"/>
  <c r="AF78" i="26" s="1"/>
  <c r="AH78" i="26" s="1"/>
  <c r="AJ78" i="26" s="1"/>
  <c r="T77" i="26"/>
  <c r="V77" i="26" s="1"/>
  <c r="X77" i="26" s="1"/>
  <c r="Z77" i="26" s="1"/>
  <c r="AB77" i="26" s="1"/>
  <c r="AD77" i="26" s="1"/>
  <c r="AF77" i="26" s="1"/>
  <c r="AH77" i="26" s="1"/>
  <c r="AJ77" i="26" s="1"/>
  <c r="K77" i="26"/>
  <c r="N77" i="26" s="1"/>
  <c r="P77" i="26" s="1"/>
  <c r="R77" i="26" s="1"/>
  <c r="F77" i="26"/>
  <c r="F74" i="26"/>
  <c r="K74" i="26" s="1"/>
  <c r="N74" i="26" s="1"/>
  <c r="P74" i="26" s="1"/>
  <c r="R74" i="26" s="1"/>
  <c r="T74" i="26" s="1"/>
  <c r="V74" i="26" s="1"/>
  <c r="X74" i="26" s="1"/>
  <c r="Z74" i="26" s="1"/>
  <c r="AB74" i="26" s="1"/>
  <c r="AD74" i="26" s="1"/>
  <c r="AF74" i="26" s="1"/>
  <c r="AH74" i="26" s="1"/>
  <c r="AJ74" i="26" s="1"/>
  <c r="F72" i="26"/>
  <c r="C70" i="26"/>
  <c r="D69" i="26"/>
  <c r="C69" i="26"/>
  <c r="B69" i="26"/>
  <c r="D68" i="26"/>
  <c r="C68" i="26"/>
  <c r="B68" i="26"/>
  <c r="F67" i="26"/>
  <c r="K67" i="26" s="1"/>
  <c r="N67" i="26" s="1"/>
  <c r="P67" i="26" s="1"/>
  <c r="R67" i="26" s="1"/>
  <c r="T67" i="26" s="1"/>
  <c r="V67" i="26" s="1"/>
  <c r="X67" i="26" s="1"/>
  <c r="Z67" i="26" s="1"/>
  <c r="AB67" i="26" s="1"/>
  <c r="AD67" i="26" s="1"/>
  <c r="AF67" i="26" s="1"/>
  <c r="AH67" i="26" s="1"/>
  <c r="AJ67" i="26" s="1"/>
  <c r="D67" i="26"/>
  <c r="C67" i="26"/>
  <c r="B67" i="26"/>
  <c r="D66" i="26"/>
  <c r="C66" i="26"/>
  <c r="B66" i="26"/>
  <c r="D65" i="26"/>
  <c r="C65" i="26"/>
  <c r="B65" i="26"/>
  <c r="D64" i="26"/>
  <c r="C64" i="26"/>
  <c r="B64" i="26"/>
  <c r="D63" i="26"/>
  <c r="C63" i="26"/>
  <c r="B63" i="26"/>
  <c r="D62" i="26"/>
  <c r="C62" i="26"/>
  <c r="B62" i="26"/>
  <c r="C61" i="26"/>
  <c r="B61" i="26"/>
  <c r="D60" i="26"/>
  <c r="C60" i="26"/>
  <c r="B60" i="26"/>
  <c r="C59" i="26"/>
  <c r="B59" i="26"/>
  <c r="C58" i="26"/>
  <c r="B58" i="26"/>
  <c r="D57" i="26"/>
  <c r="C57" i="26"/>
  <c r="B57" i="26"/>
  <c r="D56" i="26"/>
  <c r="C56" i="26"/>
  <c r="B56" i="26"/>
  <c r="D55" i="26"/>
  <c r="C55" i="26"/>
  <c r="B55" i="26"/>
  <c r="D54" i="26"/>
  <c r="C54" i="26"/>
  <c r="B54" i="26"/>
  <c r="D53" i="26"/>
  <c r="C53" i="26"/>
  <c r="B53" i="26"/>
  <c r="D52" i="26"/>
  <c r="C52" i="26"/>
  <c r="B52" i="26"/>
  <c r="D51" i="26"/>
  <c r="C51" i="26"/>
  <c r="B51" i="26"/>
  <c r="C50" i="26"/>
  <c r="B50" i="26"/>
  <c r="C49" i="26"/>
  <c r="B49" i="26"/>
  <c r="C48" i="26"/>
  <c r="B48" i="26"/>
  <c r="C47" i="26"/>
  <c r="B47" i="26"/>
  <c r="C46" i="26"/>
  <c r="B46" i="26"/>
  <c r="C45" i="26"/>
  <c r="B45" i="26"/>
  <c r="C44" i="26"/>
  <c r="B44" i="26"/>
  <c r="C43" i="26"/>
  <c r="B43" i="26"/>
  <c r="D42" i="26"/>
  <c r="C42" i="26"/>
  <c r="B42" i="26"/>
  <c r="C41" i="26"/>
  <c r="B41" i="26"/>
  <c r="D40" i="26"/>
  <c r="C40" i="26"/>
  <c r="B40" i="26"/>
  <c r="D39" i="26"/>
  <c r="C39" i="26"/>
  <c r="B39" i="26"/>
  <c r="C38" i="26"/>
  <c r="B38" i="26"/>
  <c r="D37" i="26"/>
  <c r="C37" i="26"/>
  <c r="B37" i="26"/>
  <c r="D36" i="26"/>
  <c r="C36" i="26"/>
  <c r="B36" i="26"/>
  <c r="D35" i="26"/>
  <c r="C35" i="26"/>
  <c r="B35" i="26"/>
  <c r="D34" i="26"/>
  <c r="C34" i="26"/>
  <c r="B34" i="26"/>
  <c r="D33" i="26"/>
  <c r="C33" i="26"/>
  <c r="B33" i="26"/>
  <c r="D32" i="26"/>
  <c r="F76" i="26" s="1"/>
  <c r="K76" i="26" s="1"/>
  <c r="N76" i="26" s="1"/>
  <c r="P76" i="26" s="1"/>
  <c r="R76" i="26" s="1"/>
  <c r="T76" i="26" s="1"/>
  <c r="V76" i="26" s="1"/>
  <c r="X76" i="26" s="1"/>
  <c r="Z76" i="26" s="1"/>
  <c r="AB76" i="26" s="1"/>
  <c r="AD76" i="26" s="1"/>
  <c r="AF76" i="26" s="1"/>
  <c r="AH76" i="26" s="1"/>
  <c r="AJ76" i="26" s="1"/>
  <c r="C32" i="26"/>
  <c r="B32" i="26"/>
  <c r="O31" i="26"/>
  <c r="L31" i="26"/>
  <c r="K31" i="26"/>
  <c r="J31" i="26"/>
  <c r="C31" i="26"/>
  <c r="E30" i="26"/>
  <c r="C30" i="26"/>
  <c r="B30" i="26"/>
  <c r="E29" i="26"/>
  <c r="C29" i="26"/>
  <c r="B29" i="26"/>
  <c r="E28" i="26"/>
  <c r="C28" i="26"/>
  <c r="B28" i="26"/>
  <c r="E27" i="26"/>
  <c r="C27" i="26"/>
  <c r="B27" i="26"/>
  <c r="E26" i="26"/>
  <c r="C26" i="26"/>
  <c r="B26" i="26"/>
  <c r="E25" i="26"/>
  <c r="C25" i="26"/>
  <c r="E24" i="26"/>
  <c r="C24" i="26"/>
  <c r="B24" i="26"/>
  <c r="E23" i="26"/>
  <c r="C23" i="26"/>
  <c r="B23" i="26"/>
  <c r="E22" i="26"/>
  <c r="C22" i="26"/>
  <c r="B22" i="26"/>
  <c r="L21" i="26"/>
  <c r="C21" i="26"/>
  <c r="B21" i="26"/>
  <c r="L20" i="26"/>
  <c r="C20" i="26"/>
  <c r="B20" i="26"/>
  <c r="L19" i="26"/>
  <c r="C19" i="26"/>
  <c r="B19" i="26"/>
  <c r="L18" i="26"/>
  <c r="C18" i="26"/>
  <c r="B18" i="26"/>
  <c r="L17" i="26"/>
  <c r="C17" i="26"/>
  <c r="B17" i="26"/>
  <c r="L16" i="26"/>
  <c r="B16" i="26"/>
  <c r="L15" i="26"/>
  <c r="C15" i="26"/>
  <c r="B15" i="26"/>
  <c r="L14" i="26"/>
  <c r="C14" i="26"/>
  <c r="B14" i="26"/>
  <c r="L13" i="26"/>
  <c r="C13" i="26"/>
  <c r="B13" i="26"/>
  <c r="L12" i="26"/>
  <c r="C12" i="26"/>
  <c r="B12" i="26"/>
  <c r="L11" i="26"/>
  <c r="C11" i="26"/>
  <c r="B11" i="26"/>
  <c r="L10" i="26"/>
  <c r="C10" i="26"/>
  <c r="B10" i="26"/>
  <c r="L9" i="26"/>
  <c r="C9" i="26"/>
  <c r="B9" i="26"/>
  <c r="L8" i="26"/>
  <c r="C8" i="26"/>
  <c r="B8" i="26"/>
  <c r="L7" i="26"/>
  <c r="K7" i="26"/>
  <c r="F7" i="26"/>
  <c r="N7" i="26" s="1"/>
  <c r="P7" i="26" s="1"/>
  <c r="C7" i="26"/>
  <c r="B7" i="26"/>
  <c r="L6" i="26"/>
  <c r="C6" i="26"/>
  <c r="B6" i="26"/>
  <c r="L5" i="26"/>
  <c r="C5" i="26"/>
  <c r="B5" i="26"/>
  <c r="L4" i="26"/>
  <c r="C4" i="26"/>
  <c r="B4" i="26"/>
  <c r="N3" i="26"/>
  <c r="P3" i="26" s="1"/>
  <c r="L3" i="26"/>
  <c r="F3" i="26"/>
  <c r="F34" i="26" s="1"/>
  <c r="K34" i="26" s="1"/>
  <c r="C3" i="26"/>
  <c r="B3" i="26"/>
  <c r="R2" i="26"/>
  <c r="M2" i="26"/>
  <c r="C2" i="26"/>
  <c r="B2" i="26"/>
  <c r="C1" i="26"/>
  <c r="R33" i="27" l="1"/>
  <c r="Q33" i="27"/>
  <c r="P38" i="27"/>
  <c r="O38" i="27"/>
  <c r="Z31" i="27"/>
  <c r="Y31" i="27"/>
  <c r="Z81" i="27"/>
  <c r="Y81" i="27"/>
  <c r="P53" i="27"/>
  <c r="O53" i="27"/>
  <c r="R51" i="27"/>
  <c r="Q51" i="27"/>
  <c r="Z30" i="27"/>
  <c r="Y30" i="27"/>
  <c r="Z36" i="27"/>
  <c r="Y36" i="27"/>
  <c r="P49" i="27"/>
  <c r="O49" i="27"/>
  <c r="N47" i="27"/>
  <c r="M47" i="27"/>
  <c r="P35" i="27"/>
  <c r="O35" i="27"/>
  <c r="R32" i="27"/>
  <c r="Q32" i="27"/>
  <c r="L86" i="27"/>
  <c r="K86" i="27"/>
  <c r="L87" i="27"/>
  <c r="K87" i="27"/>
  <c r="AG85" i="27"/>
  <c r="AG79" i="27"/>
  <c r="AG78" i="27"/>
  <c r="AG77" i="27"/>
  <c r="AG74" i="27"/>
  <c r="AG73" i="27"/>
  <c r="AG72" i="27"/>
  <c r="AG89" i="27"/>
  <c r="AG88" i="27"/>
  <c r="AG87" i="27"/>
  <c r="AG86" i="27"/>
  <c r="AG71" i="27"/>
  <c r="AG65" i="27"/>
  <c r="AG58" i="27"/>
  <c r="AG63" i="27"/>
  <c r="AG59" i="27"/>
  <c r="AG55" i="27"/>
  <c r="AG70" i="27"/>
  <c r="AG69" i="27"/>
  <c r="AG68" i="27"/>
  <c r="AG67" i="27"/>
  <c r="AG57" i="27"/>
  <c r="AG61" i="27"/>
  <c r="AG51" i="27"/>
  <c r="AG47" i="27"/>
  <c r="AG66" i="27"/>
  <c r="AG54" i="27"/>
  <c r="AG48" i="27"/>
  <c r="AG44" i="27"/>
  <c r="AG40" i="27"/>
  <c r="AG49" i="27"/>
  <c r="AG45" i="27"/>
  <c r="AG36" i="27"/>
  <c r="AG32" i="27"/>
  <c r="AG28" i="27"/>
  <c r="AG64" i="27"/>
  <c r="AG60" i="27"/>
  <c r="AG56" i="27"/>
  <c r="AG50" i="27"/>
  <c r="AG46" i="27"/>
  <c r="AG42" i="27"/>
  <c r="AG41" i="27"/>
  <c r="AG38" i="27"/>
  <c r="AG34" i="27"/>
  <c r="AG53" i="27"/>
  <c r="AG52" i="27"/>
  <c r="AG43" i="27"/>
  <c r="AG39" i="27"/>
  <c r="AG35" i="27"/>
  <c r="AI27" i="27"/>
  <c r="AG37" i="27"/>
  <c r="AG33" i="27"/>
  <c r="AG29" i="27"/>
  <c r="Z54" i="27"/>
  <c r="AB54" i="27" s="1"/>
  <c r="AD54" i="27" s="1"/>
  <c r="AF54" i="27" s="1"/>
  <c r="AH54" i="27" s="1"/>
  <c r="Y54" i="27"/>
  <c r="N48" i="27"/>
  <c r="M48" i="27"/>
  <c r="P52" i="27"/>
  <c r="O52" i="27"/>
  <c r="P50" i="27"/>
  <c r="O50" i="27"/>
  <c r="Z55" i="27"/>
  <c r="AB55" i="27" s="1"/>
  <c r="AD55" i="27" s="1"/>
  <c r="AF55" i="27" s="1"/>
  <c r="AH55" i="27" s="1"/>
  <c r="Y55" i="27"/>
  <c r="Z56" i="27"/>
  <c r="Y56" i="27"/>
  <c r="Z57" i="27"/>
  <c r="AB57" i="27" s="1"/>
  <c r="AD57" i="27" s="1"/>
  <c r="AF57" i="27" s="1"/>
  <c r="AH57" i="27" s="1"/>
  <c r="Y57" i="27"/>
  <c r="L88" i="27"/>
  <c r="K88" i="27"/>
  <c r="F89" i="27"/>
  <c r="I89" i="27" s="1"/>
  <c r="I85" i="27"/>
  <c r="Z59" i="27"/>
  <c r="Y59" i="27"/>
  <c r="N29" i="27"/>
  <c r="M29" i="27"/>
  <c r="F33" i="26"/>
  <c r="K33" i="26" s="1"/>
  <c r="F65" i="26"/>
  <c r="K65" i="26" s="1"/>
  <c r="N65" i="26" s="1"/>
  <c r="P65" i="26" s="1"/>
  <c r="R65" i="26" s="1"/>
  <c r="T65" i="26" s="1"/>
  <c r="V65" i="26" s="1"/>
  <c r="X65" i="26" s="1"/>
  <c r="Z65" i="26" s="1"/>
  <c r="AB65" i="26" s="1"/>
  <c r="AD65" i="26" s="1"/>
  <c r="AF65" i="26" s="1"/>
  <c r="AH65" i="26" s="1"/>
  <c r="AJ65" i="26" s="1"/>
  <c r="N34" i="26"/>
  <c r="P34" i="26" s="1"/>
  <c r="R34" i="26" s="1"/>
  <c r="T34" i="26" s="1"/>
  <c r="V34" i="26" s="1"/>
  <c r="X34" i="26" s="1"/>
  <c r="Z34" i="26" s="1"/>
  <c r="AB34" i="26" s="1"/>
  <c r="AD34" i="26" s="1"/>
  <c r="AF34" i="26" s="1"/>
  <c r="AH34" i="26" s="1"/>
  <c r="AJ34" i="26" s="1"/>
  <c r="H34" i="26"/>
  <c r="M34" i="26"/>
  <c r="O106" i="26"/>
  <c r="O88" i="26"/>
  <c r="O84" i="26"/>
  <c r="O79" i="26"/>
  <c r="O67" i="26"/>
  <c r="O65" i="26"/>
  <c r="O86" i="26"/>
  <c r="O78" i="26"/>
  <c r="O87" i="26"/>
  <c r="O74" i="26"/>
  <c r="O85" i="26"/>
  <c r="O76" i="26"/>
  <c r="O77" i="26"/>
  <c r="F64" i="26"/>
  <c r="K64" i="26" s="1"/>
  <c r="N64" i="26" s="1"/>
  <c r="P64" i="26" s="1"/>
  <c r="R64" i="26" s="1"/>
  <c r="T64" i="26" s="1"/>
  <c r="V64" i="26" s="1"/>
  <c r="X64" i="26" s="1"/>
  <c r="Z64" i="26" s="1"/>
  <c r="AB64" i="26" s="1"/>
  <c r="AD64" i="26" s="1"/>
  <c r="AF64" i="26" s="1"/>
  <c r="AH64" i="26" s="1"/>
  <c r="AJ64" i="26" s="1"/>
  <c r="M86" i="26"/>
  <c r="M77" i="26"/>
  <c r="M73" i="26"/>
  <c r="M79" i="26"/>
  <c r="M67" i="26"/>
  <c r="M106" i="26"/>
  <c r="M88" i="26"/>
  <c r="M84" i="26"/>
  <c r="M87" i="26"/>
  <c r="Q31" i="26"/>
  <c r="D58" i="26"/>
  <c r="F90" i="26"/>
  <c r="K90" i="26" s="1"/>
  <c r="N90" i="26" s="1"/>
  <c r="P90" i="26" s="1"/>
  <c r="R90" i="26" s="1"/>
  <c r="T90" i="26" s="1"/>
  <c r="V90" i="26" s="1"/>
  <c r="X90" i="26" s="1"/>
  <c r="Z90" i="26" s="1"/>
  <c r="AB90" i="26" s="1"/>
  <c r="AD90" i="26" s="1"/>
  <c r="AF90" i="26" s="1"/>
  <c r="AH90" i="26" s="1"/>
  <c r="AJ90" i="26" s="1"/>
  <c r="K3" i="26"/>
  <c r="M33" i="26"/>
  <c r="M65" i="26"/>
  <c r="M74" i="26"/>
  <c r="M76" i="26"/>
  <c r="F81" i="26"/>
  <c r="K81" i="26" s="1"/>
  <c r="N81" i="26" s="1"/>
  <c r="P81" i="26" s="1"/>
  <c r="R81" i="26" s="1"/>
  <c r="T81" i="26" s="1"/>
  <c r="V81" i="26" s="1"/>
  <c r="X81" i="26" s="1"/>
  <c r="Z81" i="26" s="1"/>
  <c r="AB81" i="26" s="1"/>
  <c r="AD81" i="26" s="1"/>
  <c r="AF81" i="26" s="1"/>
  <c r="AH81" i="26" s="1"/>
  <c r="AJ81" i="26" s="1"/>
  <c r="F73" i="26"/>
  <c r="K73" i="26" s="1"/>
  <c r="N73" i="26" s="1"/>
  <c r="P73" i="26" s="1"/>
  <c r="R73" i="26" s="1"/>
  <c r="T73" i="26" s="1"/>
  <c r="V73" i="26" s="1"/>
  <c r="X73" i="26" s="1"/>
  <c r="Z73" i="26" s="1"/>
  <c r="AB73" i="26" s="1"/>
  <c r="AD73" i="26" s="1"/>
  <c r="AF73" i="26" s="1"/>
  <c r="AH73" i="26" s="1"/>
  <c r="AJ73" i="26" s="1"/>
  <c r="F75" i="26"/>
  <c r="K75" i="26" s="1"/>
  <c r="N75" i="26" s="1"/>
  <c r="P75" i="26" s="1"/>
  <c r="R75" i="26" s="1"/>
  <c r="T75" i="26" s="1"/>
  <c r="V75" i="26" s="1"/>
  <c r="X75" i="26" s="1"/>
  <c r="Z75" i="26" s="1"/>
  <c r="AB75" i="26" s="1"/>
  <c r="AD75" i="26" s="1"/>
  <c r="AF75" i="26" s="1"/>
  <c r="AH75" i="26" s="1"/>
  <c r="AJ75" i="26" s="1"/>
  <c r="F32" i="26"/>
  <c r="K32" i="26" s="1"/>
  <c r="F80" i="26"/>
  <c r="K80" i="26" s="1"/>
  <c r="N80" i="26" s="1"/>
  <c r="P80" i="26" s="1"/>
  <c r="R80" i="26" s="1"/>
  <c r="T80" i="26" s="1"/>
  <c r="V80" i="26" s="1"/>
  <c r="X80" i="26" s="1"/>
  <c r="Z80" i="26" s="1"/>
  <c r="AB80" i="26" s="1"/>
  <c r="AD80" i="26" s="1"/>
  <c r="AF80" i="26" s="1"/>
  <c r="AH80" i="26" s="1"/>
  <c r="AJ80" i="26" s="1"/>
  <c r="F82" i="26"/>
  <c r="K82" i="26" s="1"/>
  <c r="N82" i="26" s="1"/>
  <c r="P82" i="26" s="1"/>
  <c r="R82" i="26" s="1"/>
  <c r="T82" i="26" s="1"/>
  <c r="V82" i="26" s="1"/>
  <c r="X82" i="26" s="1"/>
  <c r="Z82" i="26" s="1"/>
  <c r="AB82" i="26" s="1"/>
  <c r="AD82" i="26" s="1"/>
  <c r="AF82" i="26" s="1"/>
  <c r="AH82" i="26" s="1"/>
  <c r="AJ82" i="26" s="1"/>
  <c r="F83" i="26"/>
  <c r="K83" i="26" s="1"/>
  <c r="N83" i="26" s="1"/>
  <c r="P83" i="26" s="1"/>
  <c r="R83" i="26" s="1"/>
  <c r="T83" i="26" s="1"/>
  <c r="V83" i="26" s="1"/>
  <c r="X83" i="26" s="1"/>
  <c r="Z83" i="26" s="1"/>
  <c r="AB83" i="26" s="1"/>
  <c r="AD83" i="26" s="1"/>
  <c r="AF83" i="26" s="1"/>
  <c r="AH83" i="26" s="1"/>
  <c r="AJ83" i="26" s="1"/>
  <c r="F68" i="26"/>
  <c r="K68" i="26" s="1"/>
  <c r="N68" i="26" s="1"/>
  <c r="P68" i="26" s="1"/>
  <c r="R68" i="26" s="1"/>
  <c r="T68" i="26" s="1"/>
  <c r="V68" i="26" s="1"/>
  <c r="X68" i="26" s="1"/>
  <c r="Z68" i="26" s="1"/>
  <c r="AB68" i="26" s="1"/>
  <c r="AD68" i="26" s="1"/>
  <c r="AF68" i="26" s="1"/>
  <c r="AH68" i="26" s="1"/>
  <c r="AJ68" i="26" s="1"/>
  <c r="O81" i="26"/>
  <c r="K72" i="26"/>
  <c r="N72" i="26" s="1"/>
  <c r="P72" i="26" s="1"/>
  <c r="R72" i="26" s="1"/>
  <c r="T72" i="26" s="1"/>
  <c r="V72" i="26" s="1"/>
  <c r="X72" i="26" s="1"/>
  <c r="Z72" i="26" s="1"/>
  <c r="AB72" i="26" s="1"/>
  <c r="AD72" i="26" s="1"/>
  <c r="AF72" i="26" s="1"/>
  <c r="AH72" i="26" s="1"/>
  <c r="AJ72" i="26" s="1"/>
  <c r="F85" i="26"/>
  <c r="K85" i="26" s="1"/>
  <c r="N85" i="26" s="1"/>
  <c r="P85" i="26" s="1"/>
  <c r="R85" i="26" s="1"/>
  <c r="T85" i="26" s="1"/>
  <c r="V85" i="26" s="1"/>
  <c r="X85" i="26" s="1"/>
  <c r="Z85" i="26" s="1"/>
  <c r="AB85" i="26" s="1"/>
  <c r="AD85" i="26" s="1"/>
  <c r="AF85" i="26" s="1"/>
  <c r="AH85" i="26" s="1"/>
  <c r="AJ85" i="26" s="1"/>
  <c r="F40" i="26"/>
  <c r="K40" i="26" s="1"/>
  <c r="F52" i="26"/>
  <c r="K52" i="26" s="1"/>
  <c r="M52" i="26" s="1"/>
  <c r="D61" i="26"/>
  <c r="F61" i="26" s="1"/>
  <c r="K61" i="26" s="1"/>
  <c r="D103" i="26"/>
  <c r="F66" i="26"/>
  <c r="K66" i="26" s="1"/>
  <c r="N66" i="26" s="1"/>
  <c r="P66" i="26" s="1"/>
  <c r="R66" i="26" s="1"/>
  <c r="T66" i="26" s="1"/>
  <c r="V66" i="26" s="1"/>
  <c r="X66" i="26" s="1"/>
  <c r="Z66" i="26" s="1"/>
  <c r="AB66" i="26" s="1"/>
  <c r="AD66" i="26" s="1"/>
  <c r="AF66" i="26" s="1"/>
  <c r="AH66" i="26" s="1"/>
  <c r="AJ66" i="26" s="1"/>
  <c r="F53" i="26"/>
  <c r="K53" i="26" s="1"/>
  <c r="N53" i="26" s="1"/>
  <c r="P53" i="26" s="1"/>
  <c r="R53" i="26" s="1"/>
  <c r="T53" i="26" s="1"/>
  <c r="V53" i="26" s="1"/>
  <c r="X53" i="26" s="1"/>
  <c r="Z53" i="26" s="1"/>
  <c r="AB53" i="26" s="1"/>
  <c r="AD53" i="26" s="1"/>
  <c r="AF53" i="26" s="1"/>
  <c r="AH53" i="26" s="1"/>
  <c r="AJ53" i="26" s="1"/>
  <c r="O72" i="26" l="1"/>
  <c r="O73" i="26"/>
  <c r="O80" i="26"/>
  <c r="M80" i="26"/>
  <c r="M82" i="26"/>
  <c r="M81" i="26"/>
  <c r="O75" i="26"/>
  <c r="G64" i="27"/>
  <c r="R53" i="27"/>
  <c r="Q53" i="27"/>
  <c r="T33" i="27"/>
  <c r="S33" i="27"/>
  <c r="AB59" i="27"/>
  <c r="AA59" i="27"/>
  <c r="N88" i="27"/>
  <c r="M88" i="27"/>
  <c r="R52" i="27"/>
  <c r="Q52" i="27"/>
  <c r="P48" i="27"/>
  <c r="O48" i="27"/>
  <c r="N87" i="27"/>
  <c r="M87" i="27"/>
  <c r="T32" i="27"/>
  <c r="S32" i="27"/>
  <c r="R35" i="27"/>
  <c r="Q35" i="27"/>
  <c r="R49" i="27"/>
  <c r="Q49" i="27"/>
  <c r="AB31" i="27"/>
  <c r="AA31" i="27"/>
  <c r="R38" i="27"/>
  <c r="Q38" i="27"/>
  <c r="L85" i="27"/>
  <c r="K85" i="27"/>
  <c r="AB56" i="27"/>
  <c r="AA56" i="27"/>
  <c r="AB30" i="27"/>
  <c r="AA30" i="27"/>
  <c r="T51" i="27"/>
  <c r="V51" i="27" s="1"/>
  <c r="X51" i="27" s="1"/>
  <c r="Z51" i="27" s="1"/>
  <c r="AB51" i="27" s="1"/>
  <c r="AD51" i="27" s="1"/>
  <c r="AF51" i="27" s="1"/>
  <c r="AH51" i="27" s="1"/>
  <c r="S51" i="27"/>
  <c r="P29" i="27"/>
  <c r="O29" i="27"/>
  <c r="L89" i="27"/>
  <c r="K89" i="27"/>
  <c r="R50" i="27"/>
  <c r="Q50" i="27"/>
  <c r="AI89" i="27"/>
  <c r="AI88" i="27"/>
  <c r="AI87" i="27"/>
  <c r="AI86" i="27"/>
  <c r="AI85" i="27"/>
  <c r="AI79" i="27"/>
  <c r="G79" i="27" s="1"/>
  <c r="AI78" i="27"/>
  <c r="G78" i="27" s="1"/>
  <c r="AI77" i="27"/>
  <c r="G77" i="27" s="1"/>
  <c r="AI74" i="27"/>
  <c r="G74" i="27" s="1"/>
  <c r="AI73" i="27"/>
  <c r="G73" i="27" s="1"/>
  <c r="AI72" i="27"/>
  <c r="G72" i="27" s="1"/>
  <c r="AI71" i="27"/>
  <c r="G71" i="27" s="1"/>
  <c r="AI70" i="27"/>
  <c r="G70" i="27" s="1"/>
  <c r="AI69" i="27"/>
  <c r="G69" i="27" s="1"/>
  <c r="AI68" i="27"/>
  <c r="G68" i="27" s="1"/>
  <c r="AI67" i="27"/>
  <c r="G67" i="27" s="1"/>
  <c r="AI66" i="27"/>
  <c r="G66" i="27" s="1"/>
  <c r="AI65" i="27"/>
  <c r="G65" i="27" s="1"/>
  <c r="AI64" i="27"/>
  <c r="AI63" i="27"/>
  <c r="G63" i="27" s="1"/>
  <c r="AI60" i="27"/>
  <c r="G60" i="27" s="1"/>
  <c r="AI56" i="27"/>
  <c r="AI61" i="27"/>
  <c r="G61" i="27" s="1"/>
  <c r="AI57" i="27"/>
  <c r="G57" i="27" s="1"/>
  <c r="AI53" i="27"/>
  <c r="AI59" i="27"/>
  <c r="AI55" i="27"/>
  <c r="G55" i="27" s="1"/>
  <c r="AI54" i="27"/>
  <c r="G54" i="27" s="1"/>
  <c r="AI49" i="27"/>
  <c r="AI50" i="27"/>
  <c r="AI46" i="27"/>
  <c r="G46" i="27" s="1"/>
  <c r="AI42" i="27"/>
  <c r="AI52" i="27"/>
  <c r="AI51" i="27"/>
  <c r="AI47" i="27"/>
  <c r="AI58" i="27"/>
  <c r="G58" i="27" s="1"/>
  <c r="AI38" i="27"/>
  <c r="AI34" i="27"/>
  <c r="AI48" i="27"/>
  <c r="AI45" i="27"/>
  <c r="AI36" i="27"/>
  <c r="AI32" i="27"/>
  <c r="AI28" i="27"/>
  <c r="G28" i="27" s="1"/>
  <c r="AI37" i="27"/>
  <c r="AI33" i="27"/>
  <c r="AI29" i="27"/>
  <c r="AI41" i="27"/>
  <c r="AI44" i="27"/>
  <c r="AI40" i="27"/>
  <c r="AI43" i="27"/>
  <c r="AI39" i="27"/>
  <c r="AI35" i="27"/>
  <c r="N86" i="27"/>
  <c r="M86" i="27"/>
  <c r="P47" i="27"/>
  <c r="O47" i="27"/>
  <c r="AB36" i="27"/>
  <c r="AA36" i="27"/>
  <c r="AB81" i="27"/>
  <c r="AA81" i="27"/>
  <c r="N33" i="26"/>
  <c r="H33" i="26"/>
  <c r="M64" i="26"/>
  <c r="M90" i="26"/>
  <c r="N52" i="26"/>
  <c r="H52" i="26"/>
  <c r="O53" i="26"/>
  <c r="Q106" i="26"/>
  <c r="Q86" i="26"/>
  <c r="Q81" i="26"/>
  <c r="Q77" i="26"/>
  <c r="Q73" i="26"/>
  <c r="Q53" i="26"/>
  <c r="Q87" i="26"/>
  <c r="Q76" i="26"/>
  <c r="Q74" i="26"/>
  <c r="Q72" i="26"/>
  <c r="Q68" i="26"/>
  <c r="Q64" i="26"/>
  <c r="Q85" i="26"/>
  <c r="Q83" i="26"/>
  <c r="Q79" i="26"/>
  <c r="Q67" i="26"/>
  <c r="Q66" i="26"/>
  <c r="Q90" i="26"/>
  <c r="Q82" i="26"/>
  <c r="Q78" i="26"/>
  <c r="Q65" i="26"/>
  <c r="Q80" i="26"/>
  <c r="Q84" i="26"/>
  <c r="Q88" i="26"/>
  <c r="Q75" i="26"/>
  <c r="Q34" i="26"/>
  <c r="S31" i="26"/>
  <c r="M68" i="26"/>
  <c r="M53" i="26"/>
  <c r="N40" i="26"/>
  <c r="H40" i="26"/>
  <c r="M66" i="26"/>
  <c r="M83" i="26"/>
  <c r="O34" i="26"/>
  <c r="O82" i="26"/>
  <c r="O64" i="26"/>
  <c r="O68" i="26"/>
  <c r="O83" i="26"/>
  <c r="H61" i="26"/>
  <c r="N61" i="26"/>
  <c r="M40" i="26"/>
  <c r="M72" i="26"/>
  <c r="M75" i="26"/>
  <c r="M85" i="26"/>
  <c r="M61" i="26"/>
  <c r="O90" i="26"/>
  <c r="N32" i="26"/>
  <c r="H32" i="26"/>
  <c r="M32" i="26"/>
  <c r="F4" i="26"/>
  <c r="F103" i="26" s="1"/>
  <c r="K103" i="26" s="1"/>
  <c r="D27" i="26"/>
  <c r="F27" i="26" s="1"/>
  <c r="D28" i="26"/>
  <c r="F28" i="26" s="1"/>
  <c r="D22" i="26"/>
  <c r="F22" i="26" s="1"/>
  <c r="O66" i="26"/>
  <c r="AD81" i="27" l="1"/>
  <c r="AC81" i="27"/>
  <c r="R47" i="27"/>
  <c r="Q47" i="27"/>
  <c r="P86" i="27"/>
  <c r="O86" i="27"/>
  <c r="N89" i="27"/>
  <c r="M89" i="27"/>
  <c r="T38" i="27"/>
  <c r="S38" i="27"/>
  <c r="T49" i="27"/>
  <c r="S49" i="27"/>
  <c r="V32" i="27"/>
  <c r="U32" i="27"/>
  <c r="T52" i="27"/>
  <c r="V52" i="27" s="1"/>
  <c r="X52" i="27" s="1"/>
  <c r="Z52" i="27" s="1"/>
  <c r="AB52" i="27" s="1"/>
  <c r="AD52" i="27" s="1"/>
  <c r="AF52" i="27" s="1"/>
  <c r="AH52" i="27" s="1"/>
  <c r="S52" i="27"/>
  <c r="G52" i="27" s="1"/>
  <c r="AD59" i="27"/>
  <c r="AF59" i="27" s="1"/>
  <c r="AH59" i="27" s="1"/>
  <c r="AC59" i="27"/>
  <c r="G59" i="27" s="1"/>
  <c r="V33" i="27"/>
  <c r="U33" i="27"/>
  <c r="AD36" i="27"/>
  <c r="AF36" i="27" s="1"/>
  <c r="AH36" i="27" s="1"/>
  <c r="AC36" i="27"/>
  <c r="G36" i="27" s="1"/>
  <c r="T50" i="27"/>
  <c r="V50" i="27" s="1"/>
  <c r="X50" i="27" s="1"/>
  <c r="Z50" i="27" s="1"/>
  <c r="AB50" i="27" s="1"/>
  <c r="AD50" i="27" s="1"/>
  <c r="AF50" i="27" s="1"/>
  <c r="AH50" i="27" s="1"/>
  <c r="S50" i="27"/>
  <c r="G50" i="27" s="1"/>
  <c r="R29" i="27"/>
  <c r="Q29" i="27"/>
  <c r="AD30" i="27"/>
  <c r="AC30" i="27"/>
  <c r="AD56" i="27"/>
  <c r="AC56" i="27"/>
  <c r="N85" i="27"/>
  <c r="M85" i="27"/>
  <c r="AD31" i="27"/>
  <c r="AC31" i="27"/>
  <c r="T35" i="27"/>
  <c r="S35" i="27"/>
  <c r="P87" i="27"/>
  <c r="O87" i="27"/>
  <c r="R48" i="27"/>
  <c r="Q48" i="27"/>
  <c r="G51" i="27"/>
  <c r="P88" i="27"/>
  <c r="O88" i="27"/>
  <c r="T53" i="27"/>
  <c r="S53" i="27"/>
  <c r="P33" i="26"/>
  <c r="O33" i="26"/>
  <c r="N103" i="26"/>
  <c r="M103" i="26"/>
  <c r="N28" i="26"/>
  <c r="P28" i="26" s="1"/>
  <c r="K28" i="26"/>
  <c r="S106" i="26"/>
  <c r="S88" i="26"/>
  <c r="S84" i="26"/>
  <c r="S83" i="26"/>
  <c r="S79" i="26"/>
  <c r="S75" i="26"/>
  <c r="S68" i="26"/>
  <c r="S67" i="26"/>
  <c r="S66" i="26"/>
  <c r="S65" i="26"/>
  <c r="S64" i="26"/>
  <c r="S90" i="26"/>
  <c r="S85" i="26"/>
  <c r="S81" i="26"/>
  <c r="S77" i="26"/>
  <c r="S53" i="26"/>
  <c r="U31" i="26"/>
  <c r="S86" i="26"/>
  <c r="S82" i="26"/>
  <c r="S78" i="26"/>
  <c r="S73" i="26"/>
  <c r="S87" i="26"/>
  <c r="S76" i="26"/>
  <c r="S80" i="26"/>
  <c r="S74" i="26"/>
  <c r="S34" i="26"/>
  <c r="S72" i="26"/>
  <c r="P52" i="26"/>
  <c r="O52" i="26"/>
  <c r="N27" i="26"/>
  <c r="P27" i="26" s="1"/>
  <c r="K27" i="26"/>
  <c r="P32" i="26"/>
  <c r="O32" i="26"/>
  <c r="P61" i="26"/>
  <c r="O61" i="26"/>
  <c r="P40" i="26"/>
  <c r="O40" i="26"/>
  <c r="F93" i="26"/>
  <c r="K93" i="26" s="1"/>
  <c r="D94" i="26"/>
  <c r="K22" i="26"/>
  <c r="N22" i="26"/>
  <c r="P22" i="26" s="1"/>
  <c r="F107" i="26"/>
  <c r="K107" i="26" s="1"/>
  <c r="D70" i="26"/>
  <c r="F70" i="26" s="1"/>
  <c r="K70" i="26" s="1"/>
  <c r="N4" i="26"/>
  <c r="P4" i="26" s="1"/>
  <c r="K4" i="26"/>
  <c r="F35" i="26"/>
  <c r="K35" i="26" s="1"/>
  <c r="F69" i="26"/>
  <c r="K69" i="26" s="1"/>
  <c r="F63" i="26"/>
  <c r="K63" i="26" s="1"/>
  <c r="AK104" i="9"/>
  <c r="AI104" i="9"/>
  <c r="AG104" i="9"/>
  <c r="D64" i="1"/>
  <c r="V49" i="27" l="1"/>
  <c r="U49" i="27"/>
  <c r="T48" i="27"/>
  <c r="V48" i="27" s="1"/>
  <c r="X48" i="27" s="1"/>
  <c r="Z48" i="27" s="1"/>
  <c r="AB48" i="27" s="1"/>
  <c r="AD48" i="27" s="1"/>
  <c r="AF48" i="27" s="1"/>
  <c r="AH48" i="27" s="1"/>
  <c r="S48" i="27"/>
  <c r="G48" i="27" s="1"/>
  <c r="P85" i="27"/>
  <c r="O85" i="27"/>
  <c r="X33" i="27"/>
  <c r="Z33" i="27" s="1"/>
  <c r="AB33" i="27" s="1"/>
  <c r="AD33" i="27" s="1"/>
  <c r="AF33" i="27" s="1"/>
  <c r="AH33" i="27" s="1"/>
  <c r="W33" i="27"/>
  <c r="G33" i="27" s="1"/>
  <c r="T47" i="27"/>
  <c r="S47" i="27"/>
  <c r="R87" i="27"/>
  <c r="Q87" i="27"/>
  <c r="AF31" i="27"/>
  <c r="AE31" i="27"/>
  <c r="AF56" i="27"/>
  <c r="AH56" i="27" s="1"/>
  <c r="AE56" i="27"/>
  <c r="G56" i="27" s="1"/>
  <c r="T29" i="27"/>
  <c r="S29" i="27"/>
  <c r="X32" i="27"/>
  <c r="W32" i="27"/>
  <c r="V38" i="27"/>
  <c r="U38" i="27"/>
  <c r="P89" i="27"/>
  <c r="O89" i="27"/>
  <c r="R86" i="27"/>
  <c r="Q86" i="27"/>
  <c r="AF81" i="27"/>
  <c r="AE81" i="27"/>
  <c r="V35" i="27"/>
  <c r="U35" i="27"/>
  <c r="AF30" i="27"/>
  <c r="AE30" i="27"/>
  <c r="V53" i="27"/>
  <c r="U53" i="27"/>
  <c r="R88" i="27"/>
  <c r="Q88" i="27"/>
  <c r="R33" i="26"/>
  <c r="Q33" i="26"/>
  <c r="N107" i="26"/>
  <c r="M107" i="26"/>
  <c r="N63" i="26"/>
  <c r="H63" i="26"/>
  <c r="M63" i="26"/>
  <c r="R40" i="26"/>
  <c r="Q40" i="26"/>
  <c r="N69" i="26"/>
  <c r="M69" i="26"/>
  <c r="P103" i="26"/>
  <c r="O103" i="26"/>
  <c r="N93" i="26"/>
  <c r="M93" i="26"/>
  <c r="R61" i="26"/>
  <c r="Q61" i="26"/>
  <c r="R52" i="26"/>
  <c r="Q52" i="26"/>
  <c r="H35" i="26"/>
  <c r="N35" i="26"/>
  <c r="M35" i="26"/>
  <c r="N70" i="26"/>
  <c r="M70" i="26"/>
  <c r="R32" i="26"/>
  <c r="Q32" i="26"/>
  <c r="U86" i="26"/>
  <c r="U81" i="26"/>
  <c r="U77" i="26"/>
  <c r="U73" i="26"/>
  <c r="U53" i="26"/>
  <c r="U84" i="26"/>
  <c r="U82" i="26"/>
  <c r="U80" i="26"/>
  <c r="U78" i="26"/>
  <c r="U65" i="26"/>
  <c r="U87" i="26"/>
  <c r="U76" i="26"/>
  <c r="U74" i="26"/>
  <c r="U72" i="26"/>
  <c r="U68" i="26"/>
  <c r="U64" i="26"/>
  <c r="U90" i="26"/>
  <c r="U88" i="26"/>
  <c r="U85" i="26"/>
  <c r="U75" i="26"/>
  <c r="U66" i="26"/>
  <c r="U106" i="26"/>
  <c r="U67" i="26"/>
  <c r="U34" i="26"/>
  <c r="W31" i="26"/>
  <c r="U79" i="26"/>
  <c r="U83" i="26"/>
  <c r="D36" i="24"/>
  <c r="N2" i="24" s="1"/>
  <c r="D12" i="24" s="1"/>
  <c r="X35" i="27" l="1"/>
  <c r="W35" i="27"/>
  <c r="X38" i="27"/>
  <c r="W38" i="27"/>
  <c r="T87" i="27"/>
  <c r="S87" i="27"/>
  <c r="X53" i="27"/>
  <c r="Z53" i="27" s="1"/>
  <c r="AB53" i="27" s="1"/>
  <c r="AD53" i="27" s="1"/>
  <c r="AF53" i="27" s="1"/>
  <c r="AH53" i="27" s="1"/>
  <c r="W53" i="27"/>
  <c r="G53" i="27" s="1"/>
  <c r="T86" i="27"/>
  <c r="S86" i="27"/>
  <c r="V47" i="27"/>
  <c r="U47" i="27"/>
  <c r="X49" i="27"/>
  <c r="Z49" i="27" s="1"/>
  <c r="AB49" i="27" s="1"/>
  <c r="AD49" i="27" s="1"/>
  <c r="AF49" i="27" s="1"/>
  <c r="AH49" i="27" s="1"/>
  <c r="W49" i="27"/>
  <c r="G49" i="27" s="1"/>
  <c r="T88" i="27"/>
  <c r="S88" i="27"/>
  <c r="AH30" i="27"/>
  <c r="AI30" i="27" s="1"/>
  <c r="AG30" i="27"/>
  <c r="AH81" i="27"/>
  <c r="AI81" i="27" s="1"/>
  <c r="AG81" i="27"/>
  <c r="R89" i="27"/>
  <c r="Q89" i="27"/>
  <c r="Z32" i="27"/>
  <c r="AB32" i="27" s="1"/>
  <c r="AD32" i="27" s="1"/>
  <c r="AF32" i="27" s="1"/>
  <c r="AH32" i="27" s="1"/>
  <c r="Y32" i="27"/>
  <c r="G32" i="27" s="1"/>
  <c r="V29" i="27"/>
  <c r="U29" i="27"/>
  <c r="AH31" i="27"/>
  <c r="AI31" i="27" s="1"/>
  <c r="AG31" i="27"/>
  <c r="R85" i="27"/>
  <c r="Q85" i="27"/>
  <c r="T33" i="26"/>
  <c r="S33" i="26"/>
  <c r="W88" i="26"/>
  <c r="W84" i="26"/>
  <c r="W83" i="26"/>
  <c r="W79" i="26"/>
  <c r="W75" i="26"/>
  <c r="W68" i="26"/>
  <c r="W67" i="26"/>
  <c r="W66" i="26"/>
  <c r="W65" i="26"/>
  <c r="W64" i="26"/>
  <c r="W55" i="26"/>
  <c r="W76" i="26"/>
  <c r="W72" i="26"/>
  <c r="W56" i="26"/>
  <c r="W45" i="26"/>
  <c r="W90" i="26"/>
  <c r="W85" i="26"/>
  <c r="W81" i="26"/>
  <c r="W77" i="26"/>
  <c r="W53" i="26"/>
  <c r="W48" i="26"/>
  <c r="W82" i="26"/>
  <c r="W80" i="26"/>
  <c r="W44" i="26"/>
  <c r="W74" i="26"/>
  <c r="W47" i="26"/>
  <c r="W46" i="26"/>
  <c r="W86" i="26"/>
  <c r="W106" i="26"/>
  <c r="W73" i="26"/>
  <c r="W57" i="26"/>
  <c r="W87" i="26"/>
  <c r="W78" i="26"/>
  <c r="W34" i="26"/>
  <c r="Y31" i="26"/>
  <c r="P35" i="26"/>
  <c r="O35" i="26"/>
  <c r="T61" i="26"/>
  <c r="S61" i="26"/>
  <c r="P63" i="26"/>
  <c r="O63" i="26"/>
  <c r="T32" i="26"/>
  <c r="S32" i="26"/>
  <c r="T52" i="26"/>
  <c r="S52" i="26"/>
  <c r="P93" i="26"/>
  <c r="O93" i="26"/>
  <c r="P69" i="26"/>
  <c r="O69" i="26"/>
  <c r="T40" i="26"/>
  <c r="S40" i="26"/>
  <c r="P107" i="26"/>
  <c r="O107" i="26"/>
  <c r="P70" i="26"/>
  <c r="O70" i="26"/>
  <c r="R103" i="26"/>
  <c r="Q103" i="26"/>
  <c r="D58" i="24"/>
  <c r="G81" i="27" l="1"/>
  <c r="G30" i="27"/>
  <c r="G31" i="27"/>
  <c r="X29" i="27"/>
  <c r="W29" i="27"/>
  <c r="T89" i="27"/>
  <c r="S89" i="27"/>
  <c r="V86" i="27"/>
  <c r="U86" i="27"/>
  <c r="V87" i="27"/>
  <c r="U87" i="27"/>
  <c r="Z35" i="27"/>
  <c r="AB35" i="27" s="1"/>
  <c r="AD35" i="27" s="1"/>
  <c r="AF35" i="27" s="1"/>
  <c r="AH35" i="27" s="1"/>
  <c r="Y35" i="27"/>
  <c r="G35" i="27" s="1"/>
  <c r="T85" i="27"/>
  <c r="S85" i="27"/>
  <c r="Z38" i="27"/>
  <c r="AB38" i="27" s="1"/>
  <c r="AD38" i="27" s="1"/>
  <c r="AF38" i="27" s="1"/>
  <c r="AH38" i="27" s="1"/>
  <c r="Y38" i="27"/>
  <c r="G38" i="27" s="1"/>
  <c r="V88" i="27"/>
  <c r="U88" i="27"/>
  <c r="X47" i="27"/>
  <c r="Z47" i="27" s="1"/>
  <c r="AB47" i="27" s="1"/>
  <c r="AD47" i="27" s="1"/>
  <c r="AF47" i="27" s="1"/>
  <c r="AH47" i="27" s="1"/>
  <c r="W47" i="27"/>
  <c r="G47" i="27" s="1"/>
  <c r="V33" i="26"/>
  <c r="U33" i="26"/>
  <c r="V32" i="26"/>
  <c r="U32" i="26"/>
  <c r="T103" i="26"/>
  <c r="S103" i="26"/>
  <c r="R107" i="26"/>
  <c r="Q107" i="26"/>
  <c r="R69" i="26"/>
  <c r="Q69" i="26"/>
  <c r="V61" i="26"/>
  <c r="U61" i="26"/>
  <c r="R35" i="26"/>
  <c r="Q35" i="26"/>
  <c r="R93" i="26"/>
  <c r="Q93" i="26"/>
  <c r="V52" i="26"/>
  <c r="U52" i="26"/>
  <c r="R70" i="26"/>
  <c r="Q70" i="26"/>
  <c r="V40" i="26"/>
  <c r="U40" i="26"/>
  <c r="R63" i="26"/>
  <c r="Q63" i="26"/>
  <c r="Y106" i="26"/>
  <c r="Y86" i="26"/>
  <c r="Y81" i="26"/>
  <c r="Y77" i="26"/>
  <c r="Y73" i="26"/>
  <c r="Y57" i="26"/>
  <c r="Y53" i="26"/>
  <c r="Y90" i="26"/>
  <c r="Y88" i="26"/>
  <c r="Y75" i="26"/>
  <c r="Y66" i="26"/>
  <c r="Y55" i="26"/>
  <c r="Y47" i="26"/>
  <c r="Y84" i="26"/>
  <c r="Y82" i="26"/>
  <c r="Y80" i="26"/>
  <c r="Y78" i="26"/>
  <c r="Y65" i="26"/>
  <c r="Y83" i="26"/>
  <c r="Y72" i="26"/>
  <c r="Y64" i="26"/>
  <c r="Y56" i="26"/>
  <c r="Y48" i="26"/>
  <c r="Y87" i="26"/>
  <c r="Y68" i="26"/>
  <c r="Y34" i="26"/>
  <c r="Y85" i="26"/>
  <c r="Y76" i="26"/>
  <c r="Y79" i="26"/>
  <c r="Y74" i="26"/>
  <c r="Y45" i="26"/>
  <c r="Y44" i="26"/>
  <c r="Y67" i="26"/>
  <c r="Y46" i="26"/>
  <c r="AA31" i="26"/>
  <c r="X88" i="27" l="1"/>
  <c r="Z88" i="27" s="1"/>
  <c r="AB88" i="27" s="1"/>
  <c r="AD88" i="27" s="1"/>
  <c r="AF88" i="27" s="1"/>
  <c r="AH88" i="27" s="1"/>
  <c r="W88" i="27"/>
  <c r="G88" i="27" s="1"/>
  <c r="V89" i="27"/>
  <c r="U89" i="27"/>
  <c r="V85" i="27"/>
  <c r="U85" i="27"/>
  <c r="X87" i="27"/>
  <c r="Z87" i="27" s="1"/>
  <c r="AB87" i="27" s="1"/>
  <c r="AD87" i="27" s="1"/>
  <c r="AF87" i="27" s="1"/>
  <c r="AH87" i="27" s="1"/>
  <c r="W87" i="27"/>
  <c r="G87" i="27" s="1"/>
  <c r="X86" i="27"/>
  <c r="Z86" i="27" s="1"/>
  <c r="AB86" i="27" s="1"/>
  <c r="AD86" i="27" s="1"/>
  <c r="AF86" i="27" s="1"/>
  <c r="AH86" i="27" s="1"/>
  <c r="W86" i="27"/>
  <c r="G86" i="27" s="1"/>
  <c r="Z29" i="27"/>
  <c r="AB29" i="27" s="1"/>
  <c r="AD29" i="27" s="1"/>
  <c r="AF29" i="27" s="1"/>
  <c r="AH29" i="27" s="1"/>
  <c r="Y29" i="27"/>
  <c r="G29" i="27" s="1"/>
  <c r="X33" i="26"/>
  <c r="W33" i="26"/>
  <c r="AA99" i="26"/>
  <c r="AA98" i="26"/>
  <c r="AA97" i="26"/>
  <c r="AA106" i="26"/>
  <c r="AA88" i="26"/>
  <c r="AA84" i="26"/>
  <c r="AA83" i="26"/>
  <c r="AA79" i="26"/>
  <c r="AA75" i="26"/>
  <c r="AA68" i="26"/>
  <c r="AA67" i="26"/>
  <c r="AA66" i="26"/>
  <c r="AA65" i="26"/>
  <c r="AA64" i="26"/>
  <c r="AA55" i="26"/>
  <c r="AA49" i="26"/>
  <c r="AA100" i="26"/>
  <c r="AA87" i="26"/>
  <c r="AA80" i="26"/>
  <c r="AA74" i="26"/>
  <c r="AA54" i="26"/>
  <c r="AA51" i="26"/>
  <c r="AA45" i="26"/>
  <c r="AA37" i="26"/>
  <c r="AC31" i="26"/>
  <c r="AA76" i="26"/>
  <c r="AA72" i="26"/>
  <c r="AA61" i="26"/>
  <c r="AA56" i="26"/>
  <c r="AA50" i="26"/>
  <c r="AA48" i="26"/>
  <c r="AA77" i="26"/>
  <c r="AA60" i="26"/>
  <c r="AA52" i="26"/>
  <c r="AA47" i="26"/>
  <c r="AA85" i="26"/>
  <c r="AA73" i="26"/>
  <c r="AA38" i="26"/>
  <c r="AA82" i="26"/>
  <c r="AA78" i="26"/>
  <c r="AA90" i="26"/>
  <c r="AA81" i="26"/>
  <c r="AA62" i="26"/>
  <c r="AA57" i="26"/>
  <c r="AA46" i="26"/>
  <c r="AA34" i="26"/>
  <c r="AA86" i="26"/>
  <c r="AA53" i="26"/>
  <c r="AA44" i="26"/>
  <c r="X32" i="26"/>
  <c r="W32" i="26"/>
  <c r="T63" i="26"/>
  <c r="S63" i="26"/>
  <c r="T70" i="26"/>
  <c r="S70" i="26"/>
  <c r="T93" i="26"/>
  <c r="S93" i="26"/>
  <c r="T35" i="26"/>
  <c r="S35" i="26"/>
  <c r="X61" i="26"/>
  <c r="W61" i="26"/>
  <c r="T69" i="26"/>
  <c r="S69" i="26"/>
  <c r="V103" i="26"/>
  <c r="U103" i="26"/>
  <c r="X40" i="26"/>
  <c r="W40" i="26"/>
  <c r="X52" i="26"/>
  <c r="W52" i="26"/>
  <c r="T107" i="26"/>
  <c r="S107" i="26"/>
  <c r="B36" i="24"/>
  <c r="J70" i="24"/>
  <c r="X89" i="27" l="1"/>
  <c r="Z89" i="27" s="1"/>
  <c r="AB89" i="27" s="1"/>
  <c r="AD89" i="27" s="1"/>
  <c r="AF89" i="27" s="1"/>
  <c r="AH89" i="27" s="1"/>
  <c r="W89" i="27"/>
  <c r="G89" i="27" s="1"/>
  <c r="X85" i="27"/>
  <c r="Z85" i="27" s="1"/>
  <c r="AB85" i="27" s="1"/>
  <c r="AD85" i="27" s="1"/>
  <c r="AF85" i="27" s="1"/>
  <c r="AH85" i="27" s="1"/>
  <c r="W85" i="27"/>
  <c r="G85" i="27" s="1"/>
  <c r="Z33" i="26"/>
  <c r="Y33" i="26"/>
  <c r="V70" i="26"/>
  <c r="U70" i="26"/>
  <c r="V63" i="26"/>
  <c r="U63" i="26"/>
  <c r="V107" i="26"/>
  <c r="U107" i="26"/>
  <c r="Z40" i="26"/>
  <c r="Y40" i="26"/>
  <c r="V69" i="26"/>
  <c r="U69" i="26"/>
  <c r="V93" i="26"/>
  <c r="U93" i="26"/>
  <c r="Z32" i="26"/>
  <c r="Y32" i="26"/>
  <c r="Z52" i="26"/>
  <c r="AB52" i="26" s="1"/>
  <c r="AD52" i="26" s="1"/>
  <c r="AF52" i="26" s="1"/>
  <c r="AH52" i="26" s="1"/>
  <c r="AJ52" i="26" s="1"/>
  <c r="Y52" i="26"/>
  <c r="V35" i="26"/>
  <c r="U35" i="26"/>
  <c r="X103" i="26"/>
  <c r="W103" i="26"/>
  <c r="Z61" i="26"/>
  <c r="AB61" i="26" s="1"/>
  <c r="AD61" i="26" s="1"/>
  <c r="AF61" i="26" s="1"/>
  <c r="AH61" i="26" s="1"/>
  <c r="AJ61" i="26" s="1"/>
  <c r="Y61" i="26"/>
  <c r="AC100" i="26"/>
  <c r="AC98" i="26"/>
  <c r="AC99" i="26"/>
  <c r="AC103" i="26"/>
  <c r="AC93" i="26"/>
  <c r="AC106" i="26"/>
  <c r="AC97" i="26"/>
  <c r="AC86" i="26"/>
  <c r="AC81" i="26"/>
  <c r="AC77" i="26"/>
  <c r="AC73" i="26"/>
  <c r="AC61" i="26"/>
  <c r="AC57" i="26"/>
  <c r="AC53" i="26"/>
  <c r="AC52" i="26"/>
  <c r="AC85" i="26"/>
  <c r="AC83" i="26"/>
  <c r="AC79" i="26"/>
  <c r="AC67" i="26"/>
  <c r="AC63" i="26"/>
  <c r="AC58" i="26"/>
  <c r="AC47" i="26"/>
  <c r="AC43" i="26"/>
  <c r="AC39" i="26"/>
  <c r="AC90" i="26"/>
  <c r="AC88" i="26"/>
  <c r="AC75" i="26"/>
  <c r="AC66" i="26"/>
  <c r="AC60" i="26"/>
  <c r="AC55" i="26"/>
  <c r="AC49" i="26"/>
  <c r="AC78" i="26"/>
  <c r="AC74" i="26"/>
  <c r="AC50" i="26"/>
  <c r="AC46" i="26"/>
  <c r="AC44" i="26"/>
  <c r="AC82" i="26"/>
  <c r="AC76" i="26"/>
  <c r="AC72" i="26"/>
  <c r="AC65" i="26"/>
  <c r="AC64" i="26"/>
  <c r="AC62" i="26"/>
  <c r="AC59" i="26"/>
  <c r="AC56" i="26"/>
  <c r="AC51" i="26"/>
  <c r="AC48" i="26"/>
  <c r="AC45" i="26"/>
  <c r="AC42" i="26"/>
  <c r="AC37" i="26"/>
  <c r="AC87" i="26"/>
  <c r="AC84" i="26"/>
  <c r="AC92" i="26"/>
  <c r="AC54" i="26"/>
  <c r="AC68" i="26"/>
  <c r="AC38" i="26"/>
  <c r="AC36" i="26"/>
  <c r="AC33" i="26"/>
  <c r="AE31" i="26"/>
  <c r="AC34" i="26"/>
  <c r="AC80" i="26"/>
  <c r="L86" i="9"/>
  <c r="L85" i="8"/>
  <c r="L85" i="24"/>
  <c r="L85" i="7"/>
  <c r="AB33" i="26" l="1"/>
  <c r="AD33" i="26" s="1"/>
  <c r="AF33" i="26" s="1"/>
  <c r="AH33" i="26" s="1"/>
  <c r="AJ33" i="26" s="1"/>
  <c r="AA33" i="26"/>
  <c r="AB32" i="26"/>
  <c r="AA32" i="26"/>
  <c r="X70" i="26"/>
  <c r="W70" i="26"/>
  <c r="Z103" i="26"/>
  <c r="Y103" i="26"/>
  <c r="X35" i="26"/>
  <c r="W35" i="26"/>
  <c r="X93" i="26"/>
  <c r="W93" i="26"/>
  <c r="X69" i="26"/>
  <c r="W69" i="26"/>
  <c r="AB40" i="26"/>
  <c r="AA40" i="26"/>
  <c r="AE103" i="26"/>
  <c r="AE99" i="26"/>
  <c r="AE106" i="26"/>
  <c r="AE100" i="26"/>
  <c r="AE97" i="26"/>
  <c r="AE98" i="26"/>
  <c r="AE88" i="26"/>
  <c r="AE84" i="26"/>
  <c r="AE83" i="26"/>
  <c r="AE79" i="26"/>
  <c r="AE75" i="26"/>
  <c r="AE68" i="26"/>
  <c r="AE67" i="26"/>
  <c r="AE66" i="26"/>
  <c r="AE65" i="26"/>
  <c r="AE64" i="26"/>
  <c r="AE63" i="26"/>
  <c r="AE59" i="26"/>
  <c r="AE55" i="26"/>
  <c r="AE49" i="26"/>
  <c r="AE86" i="26"/>
  <c r="AE82" i="26"/>
  <c r="AE78" i="26"/>
  <c r="AE73" i="26"/>
  <c r="AE62" i="26"/>
  <c r="AE60" i="26"/>
  <c r="AE57" i="26"/>
  <c r="AE45" i="26"/>
  <c r="AE37" i="26"/>
  <c r="AE33" i="26"/>
  <c r="AE87" i="26"/>
  <c r="AE80" i="26"/>
  <c r="AE74" i="26"/>
  <c r="AE54" i="26"/>
  <c r="AE51" i="26"/>
  <c r="AE48" i="26"/>
  <c r="AE93" i="26"/>
  <c r="AE90" i="26"/>
  <c r="AE76" i="26"/>
  <c r="AE53" i="26"/>
  <c r="AE43" i="26"/>
  <c r="AE92" i="26"/>
  <c r="AE81" i="26"/>
  <c r="AE46" i="26"/>
  <c r="AE36" i="26"/>
  <c r="AE34" i="26"/>
  <c r="AE85" i="26"/>
  <c r="AE72" i="26"/>
  <c r="AE61" i="26"/>
  <c r="AE50" i="26"/>
  <c r="AE47" i="26"/>
  <c r="AE42" i="26"/>
  <c r="AE38" i="26"/>
  <c r="AG31" i="26"/>
  <c r="AE52" i="26"/>
  <c r="AE39" i="26"/>
  <c r="AE77" i="26"/>
  <c r="AE44" i="26"/>
  <c r="AE58" i="26"/>
  <c r="AE56" i="26"/>
  <c r="X107" i="26"/>
  <c r="W107" i="26"/>
  <c r="X63" i="26"/>
  <c r="W63" i="26"/>
  <c r="H37" i="11"/>
  <c r="L84" i="26" l="1"/>
  <c r="L80" i="26"/>
  <c r="L67" i="26"/>
  <c r="AD40" i="26"/>
  <c r="AC40" i="26"/>
  <c r="Z93" i="26"/>
  <c r="Y93" i="26"/>
  <c r="Z70" i="26"/>
  <c r="Y70" i="26"/>
  <c r="Z63" i="26"/>
  <c r="Y63" i="26"/>
  <c r="Z107" i="26"/>
  <c r="Y107" i="26"/>
  <c r="Z69" i="26"/>
  <c r="Y69" i="26"/>
  <c r="Z35" i="26"/>
  <c r="Y35" i="26"/>
  <c r="AB103" i="26"/>
  <c r="AD103" i="26" s="1"/>
  <c r="AF103" i="26" s="1"/>
  <c r="AH103" i="26" s="1"/>
  <c r="AJ103" i="26" s="1"/>
  <c r="AA103" i="26"/>
  <c r="AG132" i="26"/>
  <c r="AG133" i="26"/>
  <c r="AG129" i="26"/>
  <c r="AG128" i="26"/>
  <c r="AG131" i="26"/>
  <c r="AG121" i="26"/>
  <c r="AG127" i="26"/>
  <c r="AG124" i="26"/>
  <c r="AG123" i="26"/>
  <c r="AG118" i="26"/>
  <c r="AG114" i="26"/>
  <c r="AG100" i="26"/>
  <c r="AG98" i="26"/>
  <c r="AG130" i="26"/>
  <c r="AG116" i="26"/>
  <c r="AG112" i="26"/>
  <c r="AG111" i="26"/>
  <c r="AG120" i="26"/>
  <c r="AG119" i="26"/>
  <c r="AG103" i="26"/>
  <c r="AG126" i="26"/>
  <c r="AG122" i="26"/>
  <c r="AG125" i="26"/>
  <c r="AG117" i="26"/>
  <c r="AG106" i="26"/>
  <c r="AG99" i="26"/>
  <c r="AG93" i="26"/>
  <c r="AG115" i="26"/>
  <c r="AG86" i="26"/>
  <c r="AG81" i="26"/>
  <c r="AG77" i="26"/>
  <c r="AG73" i="26"/>
  <c r="AG61" i="26"/>
  <c r="AG57" i="26"/>
  <c r="AG53" i="26"/>
  <c r="AG52" i="26"/>
  <c r="AG87" i="26"/>
  <c r="AG76" i="26"/>
  <c r="AG74" i="26"/>
  <c r="AG72" i="26"/>
  <c r="AG68" i="26"/>
  <c r="AG64" i="26"/>
  <c r="AG59" i="26"/>
  <c r="AG56" i="26"/>
  <c r="AG54" i="26"/>
  <c r="AG50" i="26"/>
  <c r="AG48" i="26"/>
  <c r="AG47" i="26"/>
  <c r="AG43" i="26"/>
  <c r="AG39" i="26"/>
  <c r="AG113" i="26"/>
  <c r="AG97" i="26"/>
  <c r="AG92" i="26"/>
  <c r="AG85" i="26"/>
  <c r="AG83" i="26"/>
  <c r="AG79" i="26"/>
  <c r="AG67" i="26"/>
  <c r="AG63" i="26"/>
  <c r="AG58" i="26"/>
  <c r="AG84" i="26"/>
  <c r="AG80" i="26"/>
  <c r="AG65" i="26"/>
  <c r="AG62" i="26"/>
  <c r="AG42" i="26"/>
  <c r="AG90" i="26"/>
  <c r="AG78" i="26"/>
  <c r="AG66" i="26"/>
  <c r="AG40" i="26"/>
  <c r="AG60" i="26"/>
  <c r="AG75" i="26"/>
  <c r="AG55" i="26"/>
  <c r="AG44" i="26"/>
  <c r="AG41" i="26"/>
  <c r="AG34" i="26"/>
  <c r="AG32" i="26"/>
  <c r="AG70" i="26"/>
  <c r="AG51" i="26"/>
  <c r="AG45" i="26"/>
  <c r="AG88" i="26"/>
  <c r="AG69" i="26"/>
  <c r="AG46" i="26"/>
  <c r="AG33" i="26"/>
  <c r="AG82" i="26"/>
  <c r="AG49" i="26"/>
  <c r="AG38" i="26"/>
  <c r="AG37" i="26"/>
  <c r="AG36" i="26"/>
  <c r="AI31" i="26"/>
  <c r="AD32" i="26"/>
  <c r="AC32" i="26"/>
  <c r="AK86" i="9"/>
  <c r="AK85" i="9"/>
  <c r="N85" i="9"/>
  <c r="P85" i="9" s="1"/>
  <c r="L85" i="9"/>
  <c r="K85" i="9"/>
  <c r="AK85" i="8"/>
  <c r="AK84" i="8"/>
  <c r="N84" i="8"/>
  <c r="P84" i="8" s="1"/>
  <c r="L84" i="8"/>
  <c r="K84" i="8"/>
  <c r="AK85" i="24"/>
  <c r="AK84" i="24"/>
  <c r="L84" i="24"/>
  <c r="K84" i="24"/>
  <c r="N84" i="24" s="1"/>
  <c r="AK85" i="7"/>
  <c r="AK84" i="7"/>
  <c r="N84" i="7"/>
  <c r="P84" i="7" s="1"/>
  <c r="L84" i="7"/>
  <c r="K84" i="7"/>
  <c r="L84" i="1"/>
  <c r="K84" i="1"/>
  <c r="M84" i="1" s="1"/>
  <c r="AB70" i="26" l="1"/>
  <c r="AA70" i="26"/>
  <c r="AF40" i="26"/>
  <c r="AH40" i="26" s="1"/>
  <c r="AJ40" i="26" s="1"/>
  <c r="AE40" i="26"/>
  <c r="AI131" i="26"/>
  <c r="AI127" i="26"/>
  <c r="AI125" i="26"/>
  <c r="AI123" i="26"/>
  <c r="AI132" i="26"/>
  <c r="AI130" i="26"/>
  <c r="AI133" i="26"/>
  <c r="AI129" i="26"/>
  <c r="AI128" i="26"/>
  <c r="AI126" i="26"/>
  <c r="AI122" i="26"/>
  <c r="AI120" i="26"/>
  <c r="AI116" i="26"/>
  <c r="AI112" i="26"/>
  <c r="AI103" i="26"/>
  <c r="AI99" i="26"/>
  <c r="AI124" i="26"/>
  <c r="AI119" i="26"/>
  <c r="AI115" i="26"/>
  <c r="AI117" i="26"/>
  <c r="AI113" i="26"/>
  <c r="AI97" i="26"/>
  <c r="AI121" i="26"/>
  <c r="AI118" i="26"/>
  <c r="AI93" i="26"/>
  <c r="AI88" i="26"/>
  <c r="AI84" i="26"/>
  <c r="AI83" i="26"/>
  <c r="AI79" i="26"/>
  <c r="AI75" i="26"/>
  <c r="AI69" i="26"/>
  <c r="AI68" i="26"/>
  <c r="AI67" i="26"/>
  <c r="AI66" i="26"/>
  <c r="AI65" i="26"/>
  <c r="AI64" i="26"/>
  <c r="AI63" i="26"/>
  <c r="AI59" i="26"/>
  <c r="AI55" i="26"/>
  <c r="AI49" i="26"/>
  <c r="AI114" i="26"/>
  <c r="AI106" i="26"/>
  <c r="AI92" i="26"/>
  <c r="AI90" i="26"/>
  <c r="AI85" i="26"/>
  <c r="AI81" i="26"/>
  <c r="AI77" i="26"/>
  <c r="AI53" i="26"/>
  <c r="AI52" i="26"/>
  <c r="AI45" i="26"/>
  <c r="AI41" i="26"/>
  <c r="AI37" i="26"/>
  <c r="AI33" i="26"/>
  <c r="AK31" i="26"/>
  <c r="AI100" i="26"/>
  <c r="AI98" i="26"/>
  <c r="AI86" i="26"/>
  <c r="AI82" i="26"/>
  <c r="AI78" i="26"/>
  <c r="AI73" i="26"/>
  <c r="AI70" i="26"/>
  <c r="AI62" i="26"/>
  <c r="AI60" i="26"/>
  <c r="AI57" i="26"/>
  <c r="AI51" i="26"/>
  <c r="AI46" i="26"/>
  <c r="AI74" i="26"/>
  <c r="AI61" i="26"/>
  <c r="AI43" i="26"/>
  <c r="AI39" i="26"/>
  <c r="AI80" i="26"/>
  <c r="AI111" i="26"/>
  <c r="AI58" i="26"/>
  <c r="AI76" i="26"/>
  <c r="AI72" i="26"/>
  <c r="AI34" i="26"/>
  <c r="AI87" i="26"/>
  <c r="AI47" i="26"/>
  <c r="AI50" i="26"/>
  <c r="AI44" i="26"/>
  <c r="AI36" i="26"/>
  <c r="AI56" i="26"/>
  <c r="AI54" i="26"/>
  <c r="AI42" i="26"/>
  <c r="AI40" i="26"/>
  <c r="AI38" i="26"/>
  <c r="AI32" i="26"/>
  <c r="AI48" i="26"/>
  <c r="AB63" i="26"/>
  <c r="AD63" i="26" s="1"/>
  <c r="AF63" i="26" s="1"/>
  <c r="AH63" i="26" s="1"/>
  <c r="AJ63" i="26" s="1"/>
  <c r="AA63" i="26"/>
  <c r="AF32" i="26"/>
  <c r="AH32" i="26" s="1"/>
  <c r="AJ32" i="26" s="1"/>
  <c r="AE32" i="26"/>
  <c r="AB35" i="26"/>
  <c r="AA35" i="26"/>
  <c r="AB69" i="26"/>
  <c r="AA69" i="26"/>
  <c r="AB107" i="26"/>
  <c r="AA107" i="26"/>
  <c r="AB93" i="26"/>
  <c r="AD93" i="26" s="1"/>
  <c r="AF93" i="26" s="1"/>
  <c r="AH93" i="26" s="1"/>
  <c r="AJ93" i="26" s="1"/>
  <c r="AA93" i="26"/>
  <c r="R85" i="9"/>
  <c r="R84" i="8"/>
  <c r="P84" i="24"/>
  <c r="R84" i="7"/>
  <c r="N84" i="1"/>
  <c r="AK43" i="9"/>
  <c r="AI43" i="9"/>
  <c r="AG43" i="9"/>
  <c r="AE43" i="9"/>
  <c r="AC43" i="9"/>
  <c r="D43" i="9"/>
  <c r="C43" i="9"/>
  <c r="B43" i="9"/>
  <c r="AK43" i="8"/>
  <c r="AI43" i="8"/>
  <c r="AG43" i="8"/>
  <c r="AE43" i="8"/>
  <c r="AC43" i="8"/>
  <c r="C43" i="8"/>
  <c r="B43" i="8"/>
  <c r="AK43" i="24"/>
  <c r="AI43" i="24"/>
  <c r="AG43" i="24"/>
  <c r="AE43" i="24"/>
  <c r="AC43" i="24"/>
  <c r="AA43" i="24"/>
  <c r="Y43" i="24"/>
  <c r="W43" i="24"/>
  <c r="C43" i="24"/>
  <c r="B43" i="24"/>
  <c r="AK43" i="7"/>
  <c r="AI43" i="7"/>
  <c r="AG43" i="7"/>
  <c r="AE43" i="7"/>
  <c r="AC43" i="7"/>
  <c r="C43" i="7"/>
  <c r="B43" i="7"/>
  <c r="D43" i="8" l="1"/>
  <c r="D43" i="26"/>
  <c r="AD69" i="26"/>
  <c r="AC69" i="26"/>
  <c r="AD107" i="26"/>
  <c r="AC107" i="26"/>
  <c r="AD35" i="26"/>
  <c r="AC35" i="26"/>
  <c r="AK132" i="26"/>
  <c r="AK133" i="26"/>
  <c r="AK129" i="26"/>
  <c r="AK128" i="26"/>
  <c r="AK131" i="26"/>
  <c r="AK130" i="26"/>
  <c r="AK126" i="26"/>
  <c r="AK125" i="26"/>
  <c r="AK122" i="26"/>
  <c r="AK121" i="26"/>
  <c r="AK118" i="26"/>
  <c r="AK114" i="26"/>
  <c r="AK100" i="26"/>
  <c r="AK98" i="26"/>
  <c r="AK127" i="26"/>
  <c r="AK123" i="26"/>
  <c r="AK116" i="26"/>
  <c r="AK112" i="26"/>
  <c r="AK111" i="26"/>
  <c r="AK124" i="26"/>
  <c r="AK119" i="26"/>
  <c r="AK113" i="26"/>
  <c r="AK120" i="26"/>
  <c r="AK93" i="26"/>
  <c r="G93" i="26" s="1"/>
  <c r="AK97" i="26"/>
  <c r="AK92" i="26"/>
  <c r="AK86" i="26"/>
  <c r="G86" i="26" s="1"/>
  <c r="AK81" i="26"/>
  <c r="G81" i="26" s="1"/>
  <c r="AK77" i="26"/>
  <c r="G77" i="26" s="1"/>
  <c r="AK73" i="26"/>
  <c r="G73" i="26" s="1"/>
  <c r="AK61" i="26"/>
  <c r="G61" i="26" s="1"/>
  <c r="AK57" i="26"/>
  <c r="AK53" i="26"/>
  <c r="G53" i="26" s="1"/>
  <c r="AK52" i="26"/>
  <c r="G52" i="26" s="1"/>
  <c r="AK84" i="26"/>
  <c r="G84" i="26" s="1"/>
  <c r="AK82" i="26"/>
  <c r="G82" i="26" s="1"/>
  <c r="AK80" i="26"/>
  <c r="G80" i="26" s="1"/>
  <c r="AK78" i="26"/>
  <c r="G78" i="26" s="1"/>
  <c r="AK70" i="26"/>
  <c r="AK69" i="26"/>
  <c r="AK65" i="26"/>
  <c r="G65" i="26" s="1"/>
  <c r="AK62" i="26"/>
  <c r="AK51" i="26"/>
  <c r="AK47" i="26"/>
  <c r="AK43" i="26"/>
  <c r="AK39" i="26"/>
  <c r="AK117" i="26"/>
  <c r="AK103" i="26"/>
  <c r="G103" i="26" s="1"/>
  <c r="AK87" i="26"/>
  <c r="G87" i="26" s="1"/>
  <c r="AK76" i="26"/>
  <c r="G76" i="26" s="1"/>
  <c r="AK74" i="26"/>
  <c r="G74" i="26" s="1"/>
  <c r="AK72" i="26"/>
  <c r="G72" i="26" s="1"/>
  <c r="AK68" i="26"/>
  <c r="G68" i="26" s="1"/>
  <c r="AK64" i="26"/>
  <c r="G64" i="26" s="1"/>
  <c r="AK59" i="26"/>
  <c r="AK56" i="26"/>
  <c r="AK54" i="26"/>
  <c r="AK50" i="26"/>
  <c r="AK48" i="26"/>
  <c r="AK106" i="26"/>
  <c r="G106" i="26" s="1"/>
  <c r="AK99" i="26"/>
  <c r="AK60" i="26"/>
  <c r="AK58" i="26"/>
  <c r="AK55" i="26"/>
  <c r="AK45" i="26"/>
  <c r="AK88" i="26"/>
  <c r="G88" i="26" s="1"/>
  <c r="AK75" i="26"/>
  <c r="G75" i="26" s="1"/>
  <c r="AK46" i="26"/>
  <c r="AK44" i="26"/>
  <c r="AK38" i="26"/>
  <c r="AK36" i="26"/>
  <c r="AK90" i="26"/>
  <c r="G90" i="26" s="1"/>
  <c r="AK85" i="26"/>
  <c r="G85" i="26" s="1"/>
  <c r="AK83" i="26"/>
  <c r="G83" i="26" s="1"/>
  <c r="AK67" i="26"/>
  <c r="G67" i="26" s="1"/>
  <c r="AK63" i="26"/>
  <c r="G63" i="26" s="1"/>
  <c r="AK66" i="26"/>
  <c r="G66" i="26" s="1"/>
  <c r="AK41" i="26"/>
  <c r="AK42" i="26"/>
  <c r="AK40" i="26"/>
  <c r="G40" i="26" s="1"/>
  <c r="AK37" i="26"/>
  <c r="AK32" i="26"/>
  <c r="G32" i="26" s="1"/>
  <c r="AK115" i="26"/>
  <c r="AK49" i="26"/>
  <c r="AK34" i="26"/>
  <c r="G34" i="26" s="1"/>
  <c r="AK79" i="26"/>
  <c r="G79" i="26" s="1"/>
  <c r="AK33" i="26"/>
  <c r="G33" i="26" s="1"/>
  <c r="AD70" i="26"/>
  <c r="AC70" i="26"/>
  <c r="AC104" i="9"/>
  <c r="D43" i="7"/>
  <c r="D43" i="24"/>
  <c r="T85" i="9"/>
  <c r="T84" i="8"/>
  <c r="R84" i="24"/>
  <c r="T84" i="7"/>
  <c r="P84" i="1"/>
  <c r="D44" i="1"/>
  <c r="D44" i="26" l="1"/>
  <c r="D39" i="28"/>
  <c r="F39" i="28" s="1"/>
  <c r="H39" i="28" s="1"/>
  <c r="I39" i="28" s="1"/>
  <c r="D39" i="27"/>
  <c r="F39" i="27" s="1"/>
  <c r="I39" i="27" s="1"/>
  <c r="AF35" i="26"/>
  <c r="AE35" i="26"/>
  <c r="AF69" i="26"/>
  <c r="AH69" i="26" s="1"/>
  <c r="AJ69" i="26" s="1"/>
  <c r="AE69" i="26"/>
  <c r="G69" i="26" s="1"/>
  <c r="AF70" i="26"/>
  <c r="AH70" i="26" s="1"/>
  <c r="AJ70" i="26" s="1"/>
  <c r="AE70" i="26"/>
  <c r="G70" i="26" s="1"/>
  <c r="AF107" i="26"/>
  <c r="AE107" i="26"/>
  <c r="AE104" i="9"/>
  <c r="V85" i="9"/>
  <c r="V84" i="8"/>
  <c r="T84" i="24"/>
  <c r="V84" i="7"/>
  <c r="R84" i="1"/>
  <c r="D47" i="1"/>
  <c r="D47" i="26" l="1"/>
  <c r="F47" i="26" s="1"/>
  <c r="K47" i="26" s="1"/>
  <c r="H47" i="26" s="1"/>
  <c r="D42" i="28"/>
  <c r="F42" i="28" s="1"/>
  <c r="D42" i="27"/>
  <c r="F42" i="27" s="1"/>
  <c r="I42" i="27" s="1"/>
  <c r="L39" i="27"/>
  <c r="K39" i="27"/>
  <c r="AH35" i="26"/>
  <c r="AG35" i="26"/>
  <c r="AH107" i="26"/>
  <c r="AG107" i="26"/>
  <c r="X85" i="9"/>
  <c r="X84" i="8"/>
  <c r="V84" i="24"/>
  <c r="X84" i="7"/>
  <c r="T84" i="1"/>
  <c r="N47" i="26" l="1"/>
  <c r="O47" i="26" s="1"/>
  <c r="M47" i="26"/>
  <c r="M39" i="27"/>
  <c r="N39" i="27"/>
  <c r="K42" i="27"/>
  <c r="L42" i="27"/>
  <c r="H42" i="28"/>
  <c r="I42" i="28" s="1"/>
  <c r="P47" i="26"/>
  <c r="AJ107" i="26"/>
  <c r="AK107" i="26" s="1"/>
  <c r="AI107" i="26"/>
  <c r="G107" i="26" s="1"/>
  <c r="AJ35" i="26"/>
  <c r="AK35" i="26" s="1"/>
  <c r="AI35" i="26"/>
  <c r="G35" i="26" s="1"/>
  <c r="Z85" i="9"/>
  <c r="Z84" i="8"/>
  <c r="X84" i="24"/>
  <c r="Z84" i="7"/>
  <c r="V84" i="1"/>
  <c r="N42" i="27" l="1"/>
  <c r="M42" i="27"/>
  <c r="O39" i="27"/>
  <c r="P39" i="27"/>
  <c r="R47" i="26"/>
  <c r="Q47" i="26"/>
  <c r="AB85" i="9"/>
  <c r="AB84" i="8"/>
  <c r="Z84" i="24"/>
  <c r="AB84" i="7"/>
  <c r="X84" i="1"/>
  <c r="H123" i="24"/>
  <c r="H122" i="24"/>
  <c r="H121" i="24"/>
  <c r="H112" i="24"/>
  <c r="Q39" i="27" l="1"/>
  <c r="R39" i="27"/>
  <c r="O42" i="27"/>
  <c r="P42" i="27"/>
  <c r="S47" i="26"/>
  <c r="T47" i="26"/>
  <c r="AD85" i="9"/>
  <c r="AD84" i="8"/>
  <c r="AB84" i="24"/>
  <c r="AD84" i="7"/>
  <c r="Z84" i="1"/>
  <c r="R42" i="27" l="1"/>
  <c r="Q42" i="27"/>
  <c r="T39" i="27"/>
  <c r="V39" i="27" s="1"/>
  <c r="X39" i="27" s="1"/>
  <c r="Z39" i="27" s="1"/>
  <c r="AB39" i="27" s="1"/>
  <c r="AD39" i="27" s="1"/>
  <c r="AF39" i="27" s="1"/>
  <c r="AH39" i="27" s="1"/>
  <c r="S39" i="27"/>
  <c r="G39" i="27" s="1"/>
  <c r="U47" i="26"/>
  <c r="G47" i="26" s="1"/>
  <c r="V47" i="26"/>
  <c r="X47" i="26" s="1"/>
  <c r="Z47" i="26" s="1"/>
  <c r="AB47" i="26" s="1"/>
  <c r="AD47" i="26" s="1"/>
  <c r="AF47" i="26" s="1"/>
  <c r="AH47" i="26" s="1"/>
  <c r="AJ47" i="26" s="1"/>
  <c r="AF85" i="9"/>
  <c r="AF84" i="8"/>
  <c r="AD84" i="24"/>
  <c r="AF84" i="7"/>
  <c r="AB84" i="1"/>
  <c r="F94" i="24"/>
  <c r="D91" i="24"/>
  <c r="D90" i="24"/>
  <c r="C90" i="24"/>
  <c r="F88" i="24"/>
  <c r="K88" i="24" s="1"/>
  <c r="N88" i="24" s="1"/>
  <c r="P88" i="24" s="1"/>
  <c r="R88" i="24" s="1"/>
  <c r="T88" i="24" s="1"/>
  <c r="V88" i="24" s="1"/>
  <c r="X88" i="24" s="1"/>
  <c r="Z88" i="24" s="1"/>
  <c r="AB88" i="24" s="1"/>
  <c r="AD88" i="24" s="1"/>
  <c r="AF88" i="24" s="1"/>
  <c r="AH88" i="24" s="1"/>
  <c r="AJ88" i="24" s="1"/>
  <c r="K87" i="24"/>
  <c r="N87" i="24" s="1"/>
  <c r="P87" i="24" s="1"/>
  <c r="R87" i="24" s="1"/>
  <c r="T87" i="24" s="1"/>
  <c r="V87" i="24" s="1"/>
  <c r="X87" i="24" s="1"/>
  <c r="Z87" i="24" s="1"/>
  <c r="AB87" i="24" s="1"/>
  <c r="AD87" i="24" s="1"/>
  <c r="AF87" i="24" s="1"/>
  <c r="AH87" i="24" s="1"/>
  <c r="AJ87" i="24" s="1"/>
  <c r="F87" i="24"/>
  <c r="F86" i="24"/>
  <c r="K86" i="24" s="1"/>
  <c r="N86" i="24" s="1"/>
  <c r="P86" i="24" s="1"/>
  <c r="R86" i="24" s="1"/>
  <c r="T86" i="24" s="1"/>
  <c r="V86" i="24" s="1"/>
  <c r="X86" i="24" s="1"/>
  <c r="Z86" i="24" s="1"/>
  <c r="AB86" i="24" s="1"/>
  <c r="AD86" i="24" s="1"/>
  <c r="AF86" i="24" s="1"/>
  <c r="AH86" i="24" s="1"/>
  <c r="AJ86" i="24" s="1"/>
  <c r="L80" i="24"/>
  <c r="F79" i="24"/>
  <c r="K79" i="24" s="1"/>
  <c r="N79" i="24" s="1"/>
  <c r="P79" i="24" s="1"/>
  <c r="R79" i="24" s="1"/>
  <c r="T79" i="24" s="1"/>
  <c r="V79" i="24" s="1"/>
  <c r="X79" i="24" s="1"/>
  <c r="Z79" i="24" s="1"/>
  <c r="AB79" i="24" s="1"/>
  <c r="AD79" i="24" s="1"/>
  <c r="AF79" i="24" s="1"/>
  <c r="AH79" i="24" s="1"/>
  <c r="AJ79" i="24" s="1"/>
  <c r="F78" i="24"/>
  <c r="K78" i="24" s="1"/>
  <c r="N78" i="24" s="1"/>
  <c r="P78" i="24" s="1"/>
  <c r="R78" i="24" s="1"/>
  <c r="T78" i="24" s="1"/>
  <c r="V78" i="24" s="1"/>
  <c r="X78" i="24" s="1"/>
  <c r="Z78" i="24" s="1"/>
  <c r="AB78" i="24" s="1"/>
  <c r="AD78" i="24" s="1"/>
  <c r="AF78" i="24" s="1"/>
  <c r="AH78" i="24" s="1"/>
  <c r="AJ78" i="24" s="1"/>
  <c r="F77" i="24"/>
  <c r="K77" i="24" s="1"/>
  <c r="N77" i="24" s="1"/>
  <c r="P77" i="24" s="1"/>
  <c r="R77" i="24" s="1"/>
  <c r="T77" i="24" s="1"/>
  <c r="V77" i="24" s="1"/>
  <c r="X77" i="24" s="1"/>
  <c r="Z77" i="24" s="1"/>
  <c r="AB77" i="24" s="1"/>
  <c r="AD77" i="24" s="1"/>
  <c r="AF77" i="24" s="1"/>
  <c r="AH77" i="24" s="1"/>
  <c r="AJ77" i="24" s="1"/>
  <c r="C70" i="24"/>
  <c r="B70" i="24"/>
  <c r="C69" i="24"/>
  <c r="B69" i="24"/>
  <c r="D68" i="24"/>
  <c r="C68" i="24"/>
  <c r="B68" i="24"/>
  <c r="C67" i="24"/>
  <c r="B67" i="24"/>
  <c r="C66" i="24"/>
  <c r="B66" i="24"/>
  <c r="D65" i="24"/>
  <c r="C65" i="24"/>
  <c r="B65" i="24"/>
  <c r="C64" i="24"/>
  <c r="B64" i="24"/>
  <c r="D63" i="24"/>
  <c r="C63" i="24"/>
  <c r="B63" i="24"/>
  <c r="D62" i="24"/>
  <c r="C62" i="24"/>
  <c r="B62" i="24"/>
  <c r="C61" i="24"/>
  <c r="B61" i="24"/>
  <c r="C60" i="24"/>
  <c r="B60" i="24"/>
  <c r="C59" i="24"/>
  <c r="B59" i="24"/>
  <c r="C58" i="24"/>
  <c r="B58" i="24"/>
  <c r="D57" i="24"/>
  <c r="C57" i="24"/>
  <c r="B57" i="24"/>
  <c r="D56" i="24"/>
  <c r="C56" i="24"/>
  <c r="B56" i="24"/>
  <c r="D55" i="24"/>
  <c r="C55" i="24"/>
  <c r="B55" i="24"/>
  <c r="D54" i="24"/>
  <c r="C54" i="24"/>
  <c r="B54" i="24"/>
  <c r="B111" i="24" s="1"/>
  <c r="C53" i="24"/>
  <c r="B53" i="24"/>
  <c r="D52" i="24"/>
  <c r="C52" i="24"/>
  <c r="B52" i="24"/>
  <c r="D51" i="24"/>
  <c r="C51" i="24"/>
  <c r="B51" i="24"/>
  <c r="C50" i="24"/>
  <c r="B50" i="24"/>
  <c r="C49" i="24"/>
  <c r="B49" i="24"/>
  <c r="C48" i="24"/>
  <c r="B48" i="24"/>
  <c r="D47" i="24"/>
  <c r="C47" i="24"/>
  <c r="B47" i="24"/>
  <c r="B119" i="24" s="1"/>
  <c r="C46" i="24"/>
  <c r="B46" i="24"/>
  <c r="C45" i="24"/>
  <c r="B45" i="24"/>
  <c r="D44" i="24"/>
  <c r="D3" i="24" s="1"/>
  <c r="C44" i="24"/>
  <c r="B44" i="24"/>
  <c r="D42" i="24"/>
  <c r="C42" i="24"/>
  <c r="B42" i="24"/>
  <c r="B115" i="24" s="1"/>
  <c r="C41" i="24"/>
  <c r="B41" i="24"/>
  <c r="B118" i="24" s="1"/>
  <c r="D40" i="24"/>
  <c r="C40" i="24"/>
  <c r="B40" i="24"/>
  <c r="D39" i="24"/>
  <c r="C39" i="24"/>
  <c r="B39" i="24"/>
  <c r="B116" i="24" s="1"/>
  <c r="C38" i="24"/>
  <c r="B38" i="24"/>
  <c r="D37" i="24"/>
  <c r="C37" i="24"/>
  <c r="B37" i="24"/>
  <c r="C36" i="24"/>
  <c r="D35" i="24"/>
  <c r="D16" i="24" s="1"/>
  <c r="F16" i="24" s="1"/>
  <c r="C35" i="24"/>
  <c r="B35" i="24"/>
  <c r="D34" i="24"/>
  <c r="C34" i="24"/>
  <c r="B34" i="24"/>
  <c r="B113" i="24" s="1"/>
  <c r="D33" i="24"/>
  <c r="D7" i="24" s="1"/>
  <c r="F7" i="24" s="1"/>
  <c r="C33" i="24"/>
  <c r="B33" i="24"/>
  <c r="D32" i="24"/>
  <c r="C32" i="24"/>
  <c r="B32" i="24"/>
  <c r="B117" i="24" s="1"/>
  <c r="O31" i="24"/>
  <c r="L31" i="24"/>
  <c r="K31" i="24"/>
  <c r="J31" i="24"/>
  <c r="C31" i="24"/>
  <c r="E30" i="24"/>
  <c r="C30" i="24"/>
  <c r="B30" i="24"/>
  <c r="E29" i="24"/>
  <c r="C29" i="24"/>
  <c r="B29" i="24"/>
  <c r="E28" i="24"/>
  <c r="C28" i="24"/>
  <c r="B28" i="24"/>
  <c r="E27" i="24"/>
  <c r="C27" i="24"/>
  <c r="B27" i="24"/>
  <c r="E26" i="24"/>
  <c r="C26" i="24"/>
  <c r="B26" i="24"/>
  <c r="E25" i="24"/>
  <c r="C25" i="24"/>
  <c r="E24" i="24"/>
  <c r="C24" i="24"/>
  <c r="B24" i="24"/>
  <c r="E23" i="24"/>
  <c r="C23" i="24"/>
  <c r="B23" i="24"/>
  <c r="E22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L16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5" i="24"/>
  <c r="B5" i="24"/>
  <c r="C4" i="24"/>
  <c r="B4" i="24"/>
  <c r="C3" i="24"/>
  <c r="B3" i="24"/>
  <c r="C2" i="24"/>
  <c r="B2" i="24"/>
  <c r="C1" i="24"/>
  <c r="S42" i="27" l="1"/>
  <c r="G42" i="27" s="1"/>
  <c r="T42" i="27"/>
  <c r="V42" i="27" s="1"/>
  <c r="X42" i="27" s="1"/>
  <c r="Z42" i="27" s="1"/>
  <c r="AB42" i="27" s="1"/>
  <c r="AD42" i="27" s="1"/>
  <c r="AF42" i="27" s="1"/>
  <c r="AH42" i="27" s="1"/>
  <c r="M84" i="24"/>
  <c r="O84" i="24"/>
  <c r="Q84" i="24"/>
  <c r="S84" i="24"/>
  <c r="U84" i="24"/>
  <c r="W84" i="24"/>
  <c r="Y84" i="24"/>
  <c r="AA84" i="24"/>
  <c r="AC84" i="24"/>
  <c r="AH85" i="9"/>
  <c r="AH84" i="8"/>
  <c r="AF84" i="24"/>
  <c r="AE84" i="24"/>
  <c r="AH84" i="7"/>
  <c r="AD84" i="1"/>
  <c r="B120" i="24"/>
  <c r="D60" i="24"/>
  <c r="D61" i="24" s="1"/>
  <c r="F33" i="24"/>
  <c r="J7" i="24"/>
  <c r="K7" i="24" s="1"/>
  <c r="J16" i="24"/>
  <c r="K16" i="24" s="1"/>
  <c r="O86" i="24"/>
  <c r="O78" i="24"/>
  <c r="O88" i="24"/>
  <c r="O87" i="24"/>
  <c r="O77" i="24"/>
  <c r="O79" i="24"/>
  <c r="Q31" i="24"/>
  <c r="F82" i="24"/>
  <c r="K82" i="24" s="1"/>
  <c r="N82" i="24" s="1"/>
  <c r="P82" i="24" s="1"/>
  <c r="R82" i="24" s="1"/>
  <c r="T82" i="24" s="1"/>
  <c r="V82" i="24" s="1"/>
  <c r="X82" i="24" s="1"/>
  <c r="Z82" i="24" s="1"/>
  <c r="AB82" i="24" s="1"/>
  <c r="AD82" i="24" s="1"/>
  <c r="AF82" i="24" s="1"/>
  <c r="AH82" i="24" s="1"/>
  <c r="AJ82" i="24" s="1"/>
  <c r="F80" i="24"/>
  <c r="K80" i="24" s="1"/>
  <c r="N80" i="24" s="1"/>
  <c r="P80" i="24" s="1"/>
  <c r="R80" i="24" s="1"/>
  <c r="T80" i="24" s="1"/>
  <c r="V80" i="24" s="1"/>
  <c r="X80" i="24" s="1"/>
  <c r="Z80" i="24" s="1"/>
  <c r="AB80" i="24" s="1"/>
  <c r="AD80" i="24" s="1"/>
  <c r="AF80" i="24" s="1"/>
  <c r="AH80" i="24" s="1"/>
  <c r="AJ80" i="24" s="1"/>
  <c r="F74" i="24"/>
  <c r="K74" i="24" s="1"/>
  <c r="N74" i="24" s="1"/>
  <c r="P74" i="24" s="1"/>
  <c r="R74" i="24" s="1"/>
  <c r="T74" i="24" s="1"/>
  <c r="V74" i="24" s="1"/>
  <c r="X74" i="24" s="1"/>
  <c r="Z74" i="24" s="1"/>
  <c r="AB74" i="24" s="1"/>
  <c r="AD74" i="24" s="1"/>
  <c r="AF74" i="24" s="1"/>
  <c r="AH74" i="24" s="1"/>
  <c r="AJ74" i="24" s="1"/>
  <c r="F81" i="24"/>
  <c r="K81" i="24" s="1"/>
  <c r="N81" i="24" s="1"/>
  <c r="P81" i="24" s="1"/>
  <c r="R81" i="24" s="1"/>
  <c r="T81" i="24" s="1"/>
  <c r="V81" i="24" s="1"/>
  <c r="X81" i="24" s="1"/>
  <c r="Z81" i="24" s="1"/>
  <c r="AB81" i="24" s="1"/>
  <c r="AD81" i="24" s="1"/>
  <c r="AF81" i="24" s="1"/>
  <c r="AH81" i="24" s="1"/>
  <c r="AJ81" i="24" s="1"/>
  <c r="F76" i="24"/>
  <c r="K76" i="24" s="1"/>
  <c r="N76" i="24" s="1"/>
  <c r="P76" i="24" s="1"/>
  <c r="R76" i="24" s="1"/>
  <c r="T76" i="24" s="1"/>
  <c r="V76" i="24" s="1"/>
  <c r="X76" i="24" s="1"/>
  <c r="Z76" i="24" s="1"/>
  <c r="AB76" i="24" s="1"/>
  <c r="AD76" i="24" s="1"/>
  <c r="AF76" i="24" s="1"/>
  <c r="AH76" i="24" s="1"/>
  <c r="AJ76" i="24" s="1"/>
  <c r="F75" i="24"/>
  <c r="K75" i="24" s="1"/>
  <c r="N75" i="24" s="1"/>
  <c r="P75" i="24" s="1"/>
  <c r="R75" i="24" s="1"/>
  <c r="T75" i="24" s="1"/>
  <c r="V75" i="24" s="1"/>
  <c r="X75" i="24" s="1"/>
  <c r="Z75" i="24" s="1"/>
  <c r="AB75" i="24" s="1"/>
  <c r="AD75" i="24" s="1"/>
  <c r="AF75" i="24" s="1"/>
  <c r="AH75" i="24" s="1"/>
  <c r="AJ75" i="24" s="1"/>
  <c r="F72" i="24"/>
  <c r="F83" i="24"/>
  <c r="K83" i="24" s="1"/>
  <c r="N83" i="24" s="1"/>
  <c r="P83" i="24" s="1"/>
  <c r="R83" i="24" s="1"/>
  <c r="T83" i="24" s="1"/>
  <c r="V83" i="24" s="1"/>
  <c r="X83" i="24" s="1"/>
  <c r="Z83" i="24" s="1"/>
  <c r="AB83" i="24" s="1"/>
  <c r="AD83" i="24" s="1"/>
  <c r="AF83" i="24" s="1"/>
  <c r="AH83" i="24" s="1"/>
  <c r="AJ83" i="24" s="1"/>
  <c r="F73" i="24"/>
  <c r="K73" i="24" s="1"/>
  <c r="N73" i="24" s="1"/>
  <c r="P73" i="24" s="1"/>
  <c r="R73" i="24" s="1"/>
  <c r="T73" i="24" s="1"/>
  <c r="V73" i="24" s="1"/>
  <c r="X73" i="24" s="1"/>
  <c r="Z73" i="24" s="1"/>
  <c r="AB73" i="24" s="1"/>
  <c r="AD73" i="24" s="1"/>
  <c r="AF73" i="24" s="1"/>
  <c r="AH73" i="24" s="1"/>
  <c r="AJ73" i="24" s="1"/>
  <c r="F32" i="24"/>
  <c r="M88" i="24"/>
  <c r="M82" i="24"/>
  <c r="M78" i="24"/>
  <c r="M87" i="24"/>
  <c r="M83" i="24"/>
  <c r="M76" i="24"/>
  <c r="M86" i="24"/>
  <c r="M79" i="24"/>
  <c r="M77" i="24"/>
  <c r="D46" i="1"/>
  <c r="K33" i="24" l="1"/>
  <c r="J32" i="24"/>
  <c r="D117" i="24" s="1"/>
  <c r="H117" i="24" s="1"/>
  <c r="D41" i="28"/>
  <c r="F41" i="28" s="1"/>
  <c r="H41" i="28" s="1"/>
  <c r="I41" i="28" s="1"/>
  <c r="D41" i="27"/>
  <c r="F41" i="27" s="1"/>
  <c r="I41" i="27" s="1"/>
  <c r="D46" i="24"/>
  <c r="F3" i="24" s="1"/>
  <c r="F47" i="24" s="1"/>
  <c r="D46" i="26"/>
  <c r="F46" i="26" s="1"/>
  <c r="K46" i="26" s="1"/>
  <c r="K72" i="24"/>
  <c r="N72" i="24" s="1"/>
  <c r="P72" i="24" s="1"/>
  <c r="R72" i="24" s="1"/>
  <c r="T72" i="24" s="1"/>
  <c r="V72" i="24" s="1"/>
  <c r="X72" i="24" s="1"/>
  <c r="Z72" i="24" s="1"/>
  <c r="AB72" i="24" s="1"/>
  <c r="AD72" i="24" s="1"/>
  <c r="AF72" i="24" s="1"/>
  <c r="AH72" i="24" s="1"/>
  <c r="AJ72" i="24" s="1"/>
  <c r="F85" i="24"/>
  <c r="K85" i="24" s="1"/>
  <c r="AJ85" i="9"/>
  <c r="AJ84" i="8"/>
  <c r="AG84" i="24"/>
  <c r="AH84" i="24"/>
  <c r="AJ84" i="7"/>
  <c r="AF84" i="1"/>
  <c r="AH84" i="1" s="1"/>
  <c r="AJ84" i="1" s="1"/>
  <c r="D15" i="24"/>
  <c r="F15" i="24" s="1"/>
  <c r="D4" i="24"/>
  <c r="C123" i="24" s="1"/>
  <c r="M81" i="24"/>
  <c r="M80" i="24"/>
  <c r="M75" i="24"/>
  <c r="O75" i="24"/>
  <c r="F52" i="24"/>
  <c r="F40" i="24"/>
  <c r="M73" i="24"/>
  <c r="O82" i="24"/>
  <c r="D19" i="24"/>
  <c r="F12" i="24"/>
  <c r="O74" i="24"/>
  <c r="O83" i="24"/>
  <c r="Q88" i="24"/>
  <c r="Q82" i="24"/>
  <c r="Q78" i="24"/>
  <c r="Q87" i="24"/>
  <c r="Q83" i="24"/>
  <c r="Q81" i="24"/>
  <c r="Q79" i="24"/>
  <c r="Q74" i="24"/>
  <c r="Q80" i="24"/>
  <c r="Q76" i="24"/>
  <c r="Q75" i="24"/>
  <c r="Q77" i="24"/>
  <c r="Q73" i="24"/>
  <c r="Q72" i="24"/>
  <c r="Q86" i="24"/>
  <c r="S31" i="24"/>
  <c r="O73" i="24"/>
  <c r="O81" i="24"/>
  <c r="O76" i="24"/>
  <c r="O80" i="24"/>
  <c r="M72" i="24"/>
  <c r="M74" i="24"/>
  <c r="A23" i="11"/>
  <c r="A27" i="11" s="1"/>
  <c r="A28" i="11" s="1"/>
  <c r="A30" i="11" s="1"/>
  <c r="A34" i="11" s="1"/>
  <c r="A35" i="11" s="1"/>
  <c r="F34" i="24" l="1"/>
  <c r="J3" i="24"/>
  <c r="K3" i="24" s="1"/>
  <c r="F68" i="24"/>
  <c r="H33" i="24"/>
  <c r="M33" i="24"/>
  <c r="N33" i="24"/>
  <c r="O72" i="24"/>
  <c r="K32" i="24"/>
  <c r="L41" i="27"/>
  <c r="K41" i="27"/>
  <c r="F65" i="24"/>
  <c r="F90" i="24"/>
  <c r="K90" i="24" s="1"/>
  <c r="N90" i="24" s="1"/>
  <c r="P90" i="24" s="1"/>
  <c r="R90" i="24" s="1"/>
  <c r="T90" i="24" s="1"/>
  <c r="V90" i="24" s="1"/>
  <c r="X90" i="24" s="1"/>
  <c r="Z90" i="24" s="1"/>
  <c r="AB90" i="24" s="1"/>
  <c r="AD90" i="24" s="1"/>
  <c r="AF90" i="24" s="1"/>
  <c r="AH90" i="24" s="1"/>
  <c r="AJ90" i="24" s="1"/>
  <c r="F61" i="24"/>
  <c r="J61" i="24" s="1"/>
  <c r="K61" i="24" s="1"/>
  <c r="F46" i="24"/>
  <c r="M46" i="26"/>
  <c r="N46" i="26"/>
  <c r="H46" i="26"/>
  <c r="H3" i="25"/>
  <c r="D5" i="24"/>
  <c r="D11" i="24" s="1"/>
  <c r="F11" i="24" s="1"/>
  <c r="J15" i="24"/>
  <c r="K15" i="24" s="1"/>
  <c r="J40" i="24"/>
  <c r="D120" i="24" s="1"/>
  <c r="H120" i="24" s="1"/>
  <c r="J34" i="24"/>
  <c r="D113" i="24" s="1"/>
  <c r="H113" i="24" s="1"/>
  <c r="J68" i="24"/>
  <c r="K68" i="24" s="1"/>
  <c r="N68" i="24" s="1"/>
  <c r="P68" i="24" s="1"/>
  <c r="J52" i="24"/>
  <c r="K52" i="24" s="1"/>
  <c r="J47" i="24"/>
  <c r="D119" i="24" s="1"/>
  <c r="H119" i="24" s="1"/>
  <c r="J46" i="24"/>
  <c r="K46" i="24" s="1"/>
  <c r="M46" i="24" s="1"/>
  <c r="J65" i="24"/>
  <c r="K65" i="24" s="1"/>
  <c r="N65" i="24" s="1"/>
  <c r="P65" i="24" s="1"/>
  <c r="R65" i="24" s="1"/>
  <c r="T65" i="24" s="1"/>
  <c r="V65" i="24" s="1"/>
  <c r="X65" i="24" s="1"/>
  <c r="Z65" i="24" s="1"/>
  <c r="AB65" i="24" s="1"/>
  <c r="AD65" i="24" s="1"/>
  <c r="AF65" i="24" s="1"/>
  <c r="AH65" i="24" s="1"/>
  <c r="AJ65" i="24" s="1"/>
  <c r="N85" i="24"/>
  <c r="M85" i="24"/>
  <c r="G84" i="24"/>
  <c r="AJ84" i="24"/>
  <c r="AI84" i="24"/>
  <c r="C121" i="24"/>
  <c r="D13" i="24"/>
  <c r="F13" i="24" s="1"/>
  <c r="D22" i="24"/>
  <c r="F22" i="24" s="1"/>
  <c r="D21" i="24"/>
  <c r="F21" i="24" s="1"/>
  <c r="F4" i="24"/>
  <c r="G4" i="24" s="1"/>
  <c r="F6" i="10" s="1"/>
  <c r="D18" i="24"/>
  <c r="F18" i="24" s="1"/>
  <c r="D27" i="24"/>
  <c r="F27" i="24" s="1"/>
  <c r="C122" i="24"/>
  <c r="H7" i="25" s="1"/>
  <c r="D28" i="24"/>
  <c r="F28" i="24" s="1"/>
  <c r="J12" i="24"/>
  <c r="K12" i="24" s="1"/>
  <c r="F19" i="24"/>
  <c r="D20" i="24"/>
  <c r="F20" i="24" s="1"/>
  <c r="S86" i="24"/>
  <c r="S80" i="24"/>
  <c r="S83" i="24"/>
  <c r="S88" i="24"/>
  <c r="S76" i="24"/>
  <c r="S72" i="24"/>
  <c r="S82" i="24"/>
  <c r="S79" i="24"/>
  <c r="S74" i="24"/>
  <c r="S81" i="24"/>
  <c r="S77" i="24"/>
  <c r="S75" i="24"/>
  <c r="S78" i="24"/>
  <c r="S73" i="24"/>
  <c r="S87" i="24"/>
  <c r="U31" i="24"/>
  <c r="S90" i="24" l="1"/>
  <c r="Q90" i="24"/>
  <c r="P33" i="24"/>
  <c r="O33" i="24"/>
  <c r="C117" i="24"/>
  <c r="N32" i="24"/>
  <c r="H32" i="24"/>
  <c r="M32" i="24"/>
  <c r="M90" i="24"/>
  <c r="O90" i="24"/>
  <c r="N41" i="27"/>
  <c r="M41" i="27"/>
  <c r="P46" i="26"/>
  <c r="O46" i="26"/>
  <c r="M61" i="24"/>
  <c r="N61" i="24"/>
  <c r="O61" i="24" s="1"/>
  <c r="M52" i="24"/>
  <c r="H52" i="24"/>
  <c r="R68" i="24"/>
  <c r="Q68" i="24"/>
  <c r="J27" i="24"/>
  <c r="K27" i="24" s="1"/>
  <c r="J21" i="24"/>
  <c r="K21" i="24" s="1"/>
  <c r="J18" i="24"/>
  <c r="K18" i="24" s="1"/>
  <c r="K47" i="24"/>
  <c r="H47" i="24" s="1"/>
  <c r="K40" i="24"/>
  <c r="M40" i="24" s="1"/>
  <c r="J28" i="24"/>
  <c r="K28" i="24" s="1"/>
  <c r="J22" i="24"/>
  <c r="K22" i="24" s="1"/>
  <c r="J11" i="24"/>
  <c r="K11" i="24" s="1"/>
  <c r="J13" i="24"/>
  <c r="K13" i="24" s="1"/>
  <c r="K34" i="24"/>
  <c r="N34" i="24" s="1"/>
  <c r="P34" i="24" s="1"/>
  <c r="R34" i="24" s="1"/>
  <c r="O65" i="24"/>
  <c r="H61" i="24"/>
  <c r="M65" i="24"/>
  <c r="N46" i="24"/>
  <c r="P46" i="24" s="1"/>
  <c r="Q46" i="24" s="1"/>
  <c r="O68" i="24"/>
  <c r="N52" i="24"/>
  <c r="O52" i="24" s="1"/>
  <c r="H46" i="24"/>
  <c r="F63" i="24"/>
  <c r="S65" i="24"/>
  <c r="Q65" i="24"/>
  <c r="M68" i="24"/>
  <c r="P85" i="24"/>
  <c r="O85" i="24"/>
  <c r="F93" i="24"/>
  <c r="K93" i="24" s="1"/>
  <c r="N93" i="24" s="1"/>
  <c r="D94" i="24"/>
  <c r="D14" i="24"/>
  <c r="F14" i="24" s="1"/>
  <c r="F5" i="24"/>
  <c r="D17" i="24"/>
  <c r="F17" i="24" s="1"/>
  <c r="D8" i="24"/>
  <c r="F8" i="24" s="1"/>
  <c r="F35" i="24"/>
  <c r="D10" i="24"/>
  <c r="F10" i="24" s="1"/>
  <c r="B6" i="10" s="1"/>
  <c r="C6" i="10" s="1"/>
  <c r="D6" i="10" s="1"/>
  <c r="E6" i="10" s="1"/>
  <c r="D9" i="24"/>
  <c r="F9" i="24" s="1"/>
  <c r="D6" i="24"/>
  <c r="D98" i="24" s="1"/>
  <c r="J4" i="24"/>
  <c r="K4" i="24" s="1"/>
  <c r="B37" i="10"/>
  <c r="C37" i="10" s="1"/>
  <c r="J20" i="24"/>
  <c r="K20" i="24" s="1"/>
  <c r="J19" i="24"/>
  <c r="K19" i="24" s="1"/>
  <c r="U88" i="24"/>
  <c r="U82" i="24"/>
  <c r="U78" i="24"/>
  <c r="U90" i="24"/>
  <c r="U87" i="24"/>
  <c r="U74" i="24"/>
  <c r="U83" i="24"/>
  <c r="U76" i="24"/>
  <c r="U86" i="24"/>
  <c r="U80" i="24"/>
  <c r="U75" i="24"/>
  <c r="U81" i="24"/>
  <c r="U79" i="24"/>
  <c r="U77" i="24"/>
  <c r="U72" i="24"/>
  <c r="U65" i="24"/>
  <c r="U73" i="24"/>
  <c r="W31" i="24"/>
  <c r="F62" i="24"/>
  <c r="F60" i="24"/>
  <c r="H75" i="11"/>
  <c r="L45" i="26" s="1"/>
  <c r="H74" i="11"/>
  <c r="H73" i="11"/>
  <c r="H72" i="11"/>
  <c r="H71" i="11"/>
  <c r="L65" i="24" s="1"/>
  <c r="H70" i="11"/>
  <c r="H69" i="11"/>
  <c r="H68" i="11"/>
  <c r="H67" i="11"/>
  <c r="H66" i="11"/>
  <c r="L61" i="24" s="1"/>
  <c r="H65" i="11"/>
  <c r="H64" i="11"/>
  <c r="H63" i="11"/>
  <c r="H62" i="11"/>
  <c r="H61" i="11"/>
  <c r="H60" i="11"/>
  <c r="H59" i="11"/>
  <c r="H58" i="11"/>
  <c r="L33" i="26" s="1"/>
  <c r="H57" i="11"/>
  <c r="H56" i="11"/>
  <c r="L40" i="24" s="1"/>
  <c r="H55" i="11"/>
  <c r="H54" i="11"/>
  <c r="H53" i="11"/>
  <c r="H52" i="11"/>
  <c r="H51" i="11"/>
  <c r="H50" i="11"/>
  <c r="H49" i="11"/>
  <c r="H48" i="11"/>
  <c r="H47" i="11"/>
  <c r="L93" i="26" s="1"/>
  <c r="H46" i="11"/>
  <c r="H45" i="11"/>
  <c r="H44" i="11"/>
  <c r="L68" i="26" s="1"/>
  <c r="H43" i="11"/>
  <c r="H42" i="11"/>
  <c r="L35" i="26" s="1"/>
  <c r="H41" i="11"/>
  <c r="H40" i="11"/>
  <c r="H39" i="11"/>
  <c r="H38" i="11"/>
  <c r="L62" i="26" s="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L49" i="26" s="1"/>
  <c r="H10" i="11"/>
  <c r="H9" i="11"/>
  <c r="H8" i="11"/>
  <c r="L93" i="24" s="1"/>
  <c r="H7" i="11"/>
  <c r="L42" i="26" s="1"/>
  <c r="H6" i="11"/>
  <c r="H5" i="11"/>
  <c r="H4" i="11"/>
  <c r="L36" i="26" s="1"/>
  <c r="H3" i="11"/>
  <c r="H2" i="11"/>
  <c r="L47" i="26" s="1"/>
  <c r="R33" i="24" l="1"/>
  <c r="Q33" i="24"/>
  <c r="O32" i="24"/>
  <c r="P32" i="24"/>
  <c r="P41" i="27"/>
  <c r="O41" i="27"/>
  <c r="L88" i="24"/>
  <c r="L88" i="26"/>
  <c r="L82" i="24"/>
  <c r="L113" i="9"/>
  <c r="L82" i="26"/>
  <c r="L99" i="26"/>
  <c r="L98" i="26"/>
  <c r="L81" i="26"/>
  <c r="L79" i="26"/>
  <c r="L90" i="26"/>
  <c r="L34" i="26"/>
  <c r="L51" i="26"/>
  <c r="L100" i="26"/>
  <c r="L44" i="26"/>
  <c r="L64" i="26"/>
  <c r="L72" i="26"/>
  <c r="L32" i="26"/>
  <c r="L115" i="9"/>
  <c r="L87" i="26"/>
  <c r="L133" i="26"/>
  <c r="L131" i="26"/>
  <c r="L111" i="26"/>
  <c r="L73" i="26"/>
  <c r="L60" i="26"/>
  <c r="L132" i="26"/>
  <c r="L69" i="26"/>
  <c r="L55" i="26"/>
  <c r="L54" i="26"/>
  <c r="L52" i="26"/>
  <c r="L50" i="26"/>
  <c r="L112" i="9"/>
  <c r="L66" i="26"/>
  <c r="L65" i="26"/>
  <c r="L43" i="26"/>
  <c r="L39" i="26"/>
  <c r="L37" i="26"/>
  <c r="L114" i="9"/>
  <c r="L58" i="26"/>
  <c r="L41" i="26"/>
  <c r="L92" i="26"/>
  <c r="L63" i="26"/>
  <c r="L103" i="26"/>
  <c r="L70" i="26"/>
  <c r="L108" i="26"/>
  <c r="L106" i="26"/>
  <c r="L38" i="26"/>
  <c r="L113" i="26"/>
  <c r="L107" i="26"/>
  <c r="L74" i="26"/>
  <c r="L53" i="26"/>
  <c r="L104" i="9"/>
  <c r="L97" i="26"/>
  <c r="L40" i="26"/>
  <c r="L83" i="24"/>
  <c r="L83" i="26"/>
  <c r="L78" i="26"/>
  <c r="L75" i="26"/>
  <c r="L57" i="26"/>
  <c r="L56" i="26"/>
  <c r="L86" i="24"/>
  <c r="L86" i="26"/>
  <c r="L129" i="26"/>
  <c r="L123" i="26"/>
  <c r="L120" i="26"/>
  <c r="L118" i="26"/>
  <c r="L114" i="26"/>
  <c r="L128" i="26"/>
  <c r="L125" i="26"/>
  <c r="L122" i="26"/>
  <c r="L117" i="26"/>
  <c r="L76" i="26"/>
  <c r="L61" i="26"/>
  <c r="L127" i="26"/>
  <c r="L124" i="26"/>
  <c r="L121" i="26"/>
  <c r="L119" i="26"/>
  <c r="L116" i="26"/>
  <c r="L112" i="26"/>
  <c r="L77" i="26"/>
  <c r="L130" i="26"/>
  <c r="L126" i="26"/>
  <c r="L115" i="26"/>
  <c r="L48" i="26"/>
  <c r="L46" i="26"/>
  <c r="Q46" i="26"/>
  <c r="R46" i="26"/>
  <c r="N47" i="24"/>
  <c r="P47" i="24" s="1"/>
  <c r="Q47" i="24" s="1"/>
  <c r="H34" i="24"/>
  <c r="R46" i="24"/>
  <c r="T46" i="24" s="1"/>
  <c r="P61" i="24"/>
  <c r="R61" i="24" s="1"/>
  <c r="S61" i="24" s="1"/>
  <c r="O46" i="24"/>
  <c r="J5" i="24"/>
  <c r="K5" i="24" s="1"/>
  <c r="J9" i="24"/>
  <c r="K9" i="24" s="1"/>
  <c r="J14" i="24"/>
  <c r="K14" i="24" s="1"/>
  <c r="N40" i="24"/>
  <c r="H40" i="24"/>
  <c r="C120" i="24"/>
  <c r="J17" i="24"/>
  <c r="K17" i="24" s="1"/>
  <c r="C113" i="24"/>
  <c r="M34" i="24"/>
  <c r="C119" i="24"/>
  <c r="M47" i="24"/>
  <c r="T68" i="24"/>
  <c r="S68" i="24"/>
  <c r="Q34" i="24"/>
  <c r="O34" i="24"/>
  <c r="J35" i="24"/>
  <c r="K35" i="24" s="1"/>
  <c r="J60" i="24"/>
  <c r="K60" i="24" s="1"/>
  <c r="J62" i="24"/>
  <c r="K62" i="24" s="1"/>
  <c r="H62" i="24" s="1"/>
  <c r="P52" i="24"/>
  <c r="R52" i="24" s="1"/>
  <c r="T52" i="24" s="1"/>
  <c r="J63" i="24"/>
  <c r="K63" i="24" s="1"/>
  <c r="L32" i="24"/>
  <c r="L72" i="24"/>
  <c r="L73" i="24"/>
  <c r="L87" i="24"/>
  <c r="L81" i="24"/>
  <c r="L79" i="24"/>
  <c r="L76" i="24"/>
  <c r="L77" i="24"/>
  <c r="L34" i="24"/>
  <c r="L90" i="24"/>
  <c r="L47" i="24"/>
  <c r="L78" i="24"/>
  <c r="L75" i="24"/>
  <c r="L43" i="9"/>
  <c r="L43" i="1"/>
  <c r="L43" i="8"/>
  <c r="L43" i="7"/>
  <c r="L46" i="24"/>
  <c r="L33" i="24"/>
  <c r="L92" i="24"/>
  <c r="L70" i="24"/>
  <c r="L74" i="24"/>
  <c r="L68" i="24"/>
  <c r="R85" i="24"/>
  <c r="Q85" i="24"/>
  <c r="J8" i="24"/>
  <c r="K8" i="24" s="1"/>
  <c r="F43" i="24"/>
  <c r="M93" i="24"/>
  <c r="F54" i="24"/>
  <c r="F44" i="24"/>
  <c r="D30" i="24"/>
  <c r="F30" i="24" s="1"/>
  <c r="F39" i="24"/>
  <c r="D29" i="24"/>
  <c r="F29" i="24" s="1"/>
  <c r="F42" i="24"/>
  <c r="F36" i="24"/>
  <c r="F58" i="24"/>
  <c r="F55" i="24"/>
  <c r="F6" i="24"/>
  <c r="D97" i="24"/>
  <c r="B112" i="24"/>
  <c r="F57" i="24"/>
  <c r="D96" i="24"/>
  <c r="D99" i="24"/>
  <c r="J10" i="24"/>
  <c r="K10" i="24" s="1"/>
  <c r="W86" i="24"/>
  <c r="W80" i="24"/>
  <c r="W83" i="24"/>
  <c r="W82" i="24"/>
  <c r="W81" i="24"/>
  <c r="W76" i="24"/>
  <c r="W72" i="24"/>
  <c r="W88" i="24"/>
  <c r="W78" i="24"/>
  <c r="W74" i="24"/>
  <c r="W87" i="24"/>
  <c r="W79" i="24"/>
  <c r="W77" i="24"/>
  <c r="W90" i="24"/>
  <c r="W73" i="24"/>
  <c r="W75" i="24"/>
  <c r="W68" i="24"/>
  <c r="W67" i="24"/>
  <c r="W66" i="24"/>
  <c r="W65" i="24"/>
  <c r="W64" i="24"/>
  <c r="W53" i="24"/>
  <c r="W56" i="24"/>
  <c r="W44" i="24"/>
  <c r="Y31" i="24"/>
  <c r="W46" i="24"/>
  <c r="W45" i="24"/>
  <c r="W57" i="24"/>
  <c r="W55" i="24"/>
  <c r="W48" i="24"/>
  <c r="W47" i="24"/>
  <c r="T34" i="24"/>
  <c r="S34" i="24"/>
  <c r="P93" i="24"/>
  <c r="O93" i="24"/>
  <c r="D7" i="23"/>
  <c r="B8" i="23"/>
  <c r="B15" i="23" s="1"/>
  <c r="A15" i="23" s="1"/>
  <c r="B7" i="23"/>
  <c r="B3" i="23" s="1"/>
  <c r="T33" i="24" l="1"/>
  <c r="S33" i="24"/>
  <c r="Q32" i="24"/>
  <c r="R32" i="24"/>
  <c r="Q41" i="27"/>
  <c r="R41" i="27"/>
  <c r="T46" i="26"/>
  <c r="S46" i="26"/>
  <c r="O47" i="24"/>
  <c r="R47" i="24"/>
  <c r="S47" i="24" s="1"/>
  <c r="L35" i="24"/>
  <c r="S46" i="24"/>
  <c r="T61" i="24"/>
  <c r="U61" i="24" s="1"/>
  <c r="S52" i="24"/>
  <c r="Q61" i="24"/>
  <c r="J6" i="24"/>
  <c r="K6" i="24" s="1"/>
  <c r="V68" i="24"/>
  <c r="X68" i="24" s="1"/>
  <c r="Z68" i="24" s="1"/>
  <c r="AB68" i="24" s="1"/>
  <c r="AD68" i="24" s="1"/>
  <c r="AF68" i="24" s="1"/>
  <c r="AH68" i="24" s="1"/>
  <c r="AJ68" i="24" s="1"/>
  <c r="U68" i="24"/>
  <c r="J30" i="24"/>
  <c r="J29" i="24"/>
  <c r="K29" i="24" s="1"/>
  <c r="P40" i="24"/>
  <c r="O40" i="24"/>
  <c r="H35" i="24"/>
  <c r="M35" i="24"/>
  <c r="Q52" i="24"/>
  <c r="M63" i="24"/>
  <c r="N63" i="24"/>
  <c r="H63" i="24"/>
  <c r="H60" i="24"/>
  <c r="N60" i="24"/>
  <c r="P60" i="24" s="1"/>
  <c r="M60" i="24"/>
  <c r="J44" i="24"/>
  <c r="L44" i="24" s="1"/>
  <c r="J43" i="24"/>
  <c r="L43" i="24" s="1"/>
  <c r="M62" i="24"/>
  <c r="J55" i="24"/>
  <c r="K55" i="24" s="1"/>
  <c r="J54" i="24"/>
  <c r="D111" i="24" s="1"/>
  <c r="H111" i="24" s="1"/>
  <c r="N62" i="24"/>
  <c r="P62" i="24" s="1"/>
  <c r="N35" i="24"/>
  <c r="P35" i="24" s="1"/>
  <c r="R35" i="24" s="1"/>
  <c r="J36" i="24"/>
  <c r="L36" i="24" s="1"/>
  <c r="J39" i="24"/>
  <c r="J57" i="24"/>
  <c r="K57" i="24" s="1"/>
  <c r="J42" i="24"/>
  <c r="J58" i="24"/>
  <c r="K58" i="24" s="1"/>
  <c r="C114" i="24" s="1"/>
  <c r="T85" i="24"/>
  <c r="S85" i="24"/>
  <c r="F37" i="24"/>
  <c r="K30" i="24"/>
  <c r="F56" i="24"/>
  <c r="F51" i="24"/>
  <c r="V34" i="24"/>
  <c r="U34" i="24"/>
  <c r="V52" i="24"/>
  <c r="U52" i="24"/>
  <c r="R93" i="24"/>
  <c r="Q93" i="24"/>
  <c r="V46" i="24"/>
  <c r="X46" i="24" s="1"/>
  <c r="Z46" i="24" s="1"/>
  <c r="AB46" i="24" s="1"/>
  <c r="AD46" i="24" s="1"/>
  <c r="AF46" i="24" s="1"/>
  <c r="AH46" i="24" s="1"/>
  <c r="AJ46" i="24" s="1"/>
  <c r="U46" i="24"/>
  <c r="Y88" i="24"/>
  <c r="Y82" i="24"/>
  <c r="Y78" i="24"/>
  <c r="Y90" i="24"/>
  <c r="Y87" i="24"/>
  <c r="Y83" i="24"/>
  <c r="Y80" i="24"/>
  <c r="Y74" i="24"/>
  <c r="Y81" i="24"/>
  <c r="Y79" i="24"/>
  <c r="Y76" i="24"/>
  <c r="Y75" i="24"/>
  <c r="Y72" i="24"/>
  <c r="Y56" i="24"/>
  <c r="Y86" i="24"/>
  <c r="Y77" i="24"/>
  <c r="Y73" i="24"/>
  <c r="Y55" i="24"/>
  <c r="Y57" i="24"/>
  <c r="Y53" i="24"/>
  <c r="Y68" i="24"/>
  <c r="Y64" i="24"/>
  <c r="Y46" i="24"/>
  <c r="Y66" i="24"/>
  <c r="Y44" i="24"/>
  <c r="Y65" i="24"/>
  <c r="Y48" i="24"/>
  <c r="Y47" i="24"/>
  <c r="AA31" i="24"/>
  <c r="Y45" i="24"/>
  <c r="Y67" i="24"/>
  <c r="D15" i="23"/>
  <c r="C15" i="23"/>
  <c r="B14" i="23"/>
  <c r="C8" i="23"/>
  <c r="D8" i="23"/>
  <c r="B10" i="23"/>
  <c r="B2" i="23"/>
  <c r="T47" i="24" l="1"/>
  <c r="V47" i="24" s="1"/>
  <c r="X47" i="24" s="1"/>
  <c r="Z47" i="24" s="1"/>
  <c r="AB47" i="24" s="1"/>
  <c r="AD47" i="24" s="1"/>
  <c r="AF47" i="24" s="1"/>
  <c r="AH47" i="24" s="1"/>
  <c r="AJ47" i="24" s="1"/>
  <c r="V33" i="24"/>
  <c r="U33" i="24"/>
  <c r="S32" i="24"/>
  <c r="T32" i="24"/>
  <c r="T41" i="27"/>
  <c r="V41" i="27" s="1"/>
  <c r="X41" i="27" s="1"/>
  <c r="Z41" i="27" s="1"/>
  <c r="AB41" i="27" s="1"/>
  <c r="AD41" i="27" s="1"/>
  <c r="AF41" i="27" s="1"/>
  <c r="AH41" i="27" s="1"/>
  <c r="S41" i="27"/>
  <c r="G41" i="27" s="1"/>
  <c r="V46" i="26"/>
  <c r="X46" i="26" s="1"/>
  <c r="Z46" i="26" s="1"/>
  <c r="AB46" i="26" s="1"/>
  <c r="AD46" i="26" s="1"/>
  <c r="AF46" i="26" s="1"/>
  <c r="AH46" i="26" s="1"/>
  <c r="AJ46" i="26" s="1"/>
  <c r="U46" i="26"/>
  <c r="G46" i="26" s="1"/>
  <c r="U47" i="24"/>
  <c r="V61" i="24"/>
  <c r="X61" i="24" s="1"/>
  <c r="O62" i="24"/>
  <c r="O60" i="24"/>
  <c r="Q35" i="24"/>
  <c r="R40" i="24"/>
  <c r="Q40" i="24"/>
  <c r="H57" i="24"/>
  <c r="N57" i="24"/>
  <c r="P57" i="24" s="1"/>
  <c r="R57" i="24" s="1"/>
  <c r="K36" i="24"/>
  <c r="N36" i="24" s="1"/>
  <c r="P36" i="24" s="1"/>
  <c r="R36" i="24" s="1"/>
  <c r="K54" i="24"/>
  <c r="H54" i="24" s="1"/>
  <c r="N55" i="24"/>
  <c r="M55" i="24"/>
  <c r="H55" i="24"/>
  <c r="P63" i="24"/>
  <c r="O63" i="24"/>
  <c r="J51" i="24"/>
  <c r="L51" i="24" s="1"/>
  <c r="H36" i="24"/>
  <c r="J37" i="24"/>
  <c r="L37" i="24" s="1"/>
  <c r="D115" i="24"/>
  <c r="H115" i="24" s="1"/>
  <c r="L42" i="24"/>
  <c r="D116" i="24"/>
  <c r="H116" i="24" s="1"/>
  <c r="L39" i="24"/>
  <c r="K43" i="24"/>
  <c r="O36" i="24"/>
  <c r="M57" i="24"/>
  <c r="J56" i="24"/>
  <c r="L56" i="24" s="1"/>
  <c r="K42" i="24"/>
  <c r="K39" i="24"/>
  <c r="O35" i="24"/>
  <c r="K44" i="24"/>
  <c r="H58" i="24"/>
  <c r="M58" i="24"/>
  <c r="N58" i="24"/>
  <c r="O58" i="24" s="1"/>
  <c r="R23" i="24"/>
  <c r="D92" i="24" s="1"/>
  <c r="F92" i="24" s="1"/>
  <c r="K92" i="24" s="1"/>
  <c r="N92" i="24" s="1"/>
  <c r="D114" i="24"/>
  <c r="H114" i="24" s="1"/>
  <c r="L58" i="24"/>
  <c r="V85" i="24"/>
  <c r="U85" i="24"/>
  <c r="O57" i="24"/>
  <c r="W61" i="24"/>
  <c r="X52" i="24"/>
  <c r="W52" i="24"/>
  <c r="R62" i="24"/>
  <c r="Q62" i="24"/>
  <c r="R60" i="24"/>
  <c r="Q60" i="24"/>
  <c r="X34" i="24"/>
  <c r="W34" i="24"/>
  <c r="AA86" i="24"/>
  <c r="AA80" i="24"/>
  <c r="AA83" i="24"/>
  <c r="AA90" i="24"/>
  <c r="AA88" i="24"/>
  <c r="AA79" i="24"/>
  <c r="AA76" i="24"/>
  <c r="AA72" i="24"/>
  <c r="AA82" i="24"/>
  <c r="AA74" i="24"/>
  <c r="AA78" i="24"/>
  <c r="AA77" i="24"/>
  <c r="AA87" i="24"/>
  <c r="AA62" i="24"/>
  <c r="AA75" i="24"/>
  <c r="AA68" i="24"/>
  <c r="AA67" i="24"/>
  <c r="AA66" i="24"/>
  <c r="AA65" i="24"/>
  <c r="AA64" i="24"/>
  <c r="AA60" i="24"/>
  <c r="AA57" i="24"/>
  <c r="AA55" i="24"/>
  <c r="AA53" i="24"/>
  <c r="AA52" i="24"/>
  <c r="AA73" i="24"/>
  <c r="AA81" i="24"/>
  <c r="AA61" i="24"/>
  <c r="AA56" i="24"/>
  <c r="AA51" i="24"/>
  <c r="AA49" i="24"/>
  <c r="AA44" i="24"/>
  <c r="AA50" i="24"/>
  <c r="AA48" i="24"/>
  <c r="AA46" i="24"/>
  <c r="AA37" i="24"/>
  <c r="AC31" i="24"/>
  <c r="AA45" i="24"/>
  <c r="AA54" i="24"/>
  <c r="AA47" i="24"/>
  <c r="AA38" i="24"/>
  <c r="T93" i="24"/>
  <c r="S93" i="24"/>
  <c r="W40" i="24"/>
  <c r="T35" i="24"/>
  <c r="S35" i="24"/>
  <c r="E10" i="23"/>
  <c r="E7" i="23"/>
  <c r="B4" i="23"/>
  <c r="D10" i="23"/>
  <c r="A14" i="23"/>
  <c r="E8" i="23"/>
  <c r="C10" i="23"/>
  <c r="E15" i="23"/>
  <c r="D14" i="23"/>
  <c r="B11" i="23" s="1"/>
  <c r="C14" i="23"/>
  <c r="X33" i="24" l="1"/>
  <c r="W33" i="24"/>
  <c r="V32" i="24"/>
  <c r="U32" i="24"/>
  <c r="N54" i="24"/>
  <c r="O54" i="24" s="1"/>
  <c r="D23" i="24"/>
  <c r="D25" i="24" s="1"/>
  <c r="F25" i="24" s="1"/>
  <c r="J25" i="24" s="1"/>
  <c r="K25" i="24" s="1"/>
  <c r="Q36" i="24"/>
  <c r="M92" i="24"/>
  <c r="K56" i="24"/>
  <c r="H56" i="24" s="1"/>
  <c r="Q57" i="24"/>
  <c r="T40" i="24"/>
  <c r="S40" i="24"/>
  <c r="C111" i="24"/>
  <c r="M54" i="24"/>
  <c r="P58" i="24"/>
  <c r="Q58" i="24" s="1"/>
  <c r="M36" i="24"/>
  <c r="C115" i="24"/>
  <c r="H42" i="24"/>
  <c r="M42" i="24"/>
  <c r="N42" i="24"/>
  <c r="P55" i="24"/>
  <c r="O55" i="24"/>
  <c r="N43" i="24"/>
  <c r="M43" i="24"/>
  <c r="H43" i="24"/>
  <c r="R63" i="24"/>
  <c r="Q63" i="24"/>
  <c r="M44" i="24"/>
  <c r="N44" i="24"/>
  <c r="H44" i="24"/>
  <c r="C116" i="24"/>
  <c r="N39" i="24"/>
  <c r="H39" i="24"/>
  <c r="M39" i="24"/>
  <c r="K37" i="24"/>
  <c r="K51" i="24"/>
  <c r="X85" i="24"/>
  <c r="W85" i="24"/>
  <c r="Z52" i="24"/>
  <c r="AB52" i="24" s="1"/>
  <c r="AD52" i="24" s="1"/>
  <c r="AF52" i="24" s="1"/>
  <c r="AH52" i="24" s="1"/>
  <c r="AJ52" i="24" s="1"/>
  <c r="Y52" i="24"/>
  <c r="V93" i="24"/>
  <c r="U93" i="24"/>
  <c r="Z61" i="24"/>
  <c r="AB61" i="24" s="1"/>
  <c r="AD61" i="24" s="1"/>
  <c r="AF61" i="24" s="1"/>
  <c r="AH61" i="24" s="1"/>
  <c r="AJ61" i="24" s="1"/>
  <c r="Y61" i="24"/>
  <c r="T62" i="24"/>
  <c r="S62" i="24"/>
  <c r="P92" i="24"/>
  <c r="O92" i="24"/>
  <c r="T57" i="24"/>
  <c r="S57" i="24"/>
  <c r="T36" i="24"/>
  <c r="S36" i="24"/>
  <c r="V35" i="24"/>
  <c r="U35" i="24"/>
  <c r="Y40" i="24"/>
  <c r="AC88" i="24"/>
  <c r="AC82" i="24"/>
  <c r="AC78" i="24"/>
  <c r="AC93" i="24"/>
  <c r="AC90" i="24"/>
  <c r="AC87" i="24"/>
  <c r="AC92" i="24"/>
  <c r="AC74" i="24"/>
  <c r="AC83" i="24"/>
  <c r="AC76" i="24"/>
  <c r="AC86" i="24"/>
  <c r="AC81" i="24"/>
  <c r="AC79" i="24"/>
  <c r="AC75" i="24"/>
  <c r="AC60" i="24"/>
  <c r="AC56" i="24"/>
  <c r="AC62" i="24"/>
  <c r="AC80" i="24"/>
  <c r="AC73" i="24"/>
  <c r="AC63" i="24"/>
  <c r="AC59" i="24"/>
  <c r="AC49" i="24"/>
  <c r="AC77" i="24"/>
  <c r="AC61" i="24"/>
  <c r="AC54" i="24"/>
  <c r="AC68" i="24"/>
  <c r="AC67" i="24"/>
  <c r="AC66" i="24"/>
  <c r="AC65" i="24"/>
  <c r="AC64" i="24"/>
  <c r="AC58" i="24"/>
  <c r="AC55" i="24"/>
  <c r="AC53" i="24"/>
  <c r="AC57" i="24"/>
  <c r="AC48" i="24"/>
  <c r="AC46" i="24"/>
  <c r="AC37" i="24"/>
  <c r="AC33" i="24"/>
  <c r="AC72" i="24"/>
  <c r="AC52" i="24"/>
  <c r="AC44" i="24"/>
  <c r="AC39" i="24"/>
  <c r="AC51" i="24"/>
  <c r="AC47" i="24"/>
  <c r="AC42" i="24"/>
  <c r="AC38" i="24"/>
  <c r="AE31" i="24"/>
  <c r="AC36" i="24"/>
  <c r="AC45" i="24"/>
  <c r="AC50" i="24"/>
  <c r="Z34" i="24"/>
  <c r="Y34" i="24"/>
  <c r="T60" i="24"/>
  <c r="S60" i="24"/>
  <c r="B9" i="23"/>
  <c r="A9" i="23" s="1"/>
  <c r="D99" i="9"/>
  <c r="D86" i="18"/>
  <c r="C11" i="23"/>
  <c r="E11" i="23"/>
  <c r="A11" i="23"/>
  <c r="D11" i="23"/>
  <c r="B12" i="23"/>
  <c r="E12" i="23" s="1"/>
  <c r="Z33" i="24" l="1"/>
  <c r="Y33" i="24"/>
  <c r="W32" i="24"/>
  <c r="X32" i="24"/>
  <c r="P54" i="24"/>
  <c r="D26" i="24"/>
  <c r="F26" i="24" s="1"/>
  <c r="D24" i="24"/>
  <c r="F24" i="24" s="1"/>
  <c r="J24" i="24" s="1"/>
  <c r="K24" i="24" s="1"/>
  <c r="F23" i="24"/>
  <c r="R58" i="24"/>
  <c r="T58" i="24" s="1"/>
  <c r="V58" i="24" s="1"/>
  <c r="N56" i="24"/>
  <c r="M56" i="24"/>
  <c r="J26" i="24"/>
  <c r="K26" i="24" s="1"/>
  <c r="V40" i="24"/>
  <c r="X40" i="24" s="1"/>
  <c r="Z40" i="24" s="1"/>
  <c r="AB40" i="24" s="1"/>
  <c r="U40" i="24"/>
  <c r="Q55" i="24"/>
  <c r="R55" i="24"/>
  <c r="O44" i="24"/>
  <c r="P44" i="24"/>
  <c r="P43" i="24"/>
  <c r="O43" i="24"/>
  <c r="P42" i="24"/>
  <c r="O42" i="24"/>
  <c r="M51" i="24"/>
  <c r="N51" i="24"/>
  <c r="O39" i="24"/>
  <c r="P39" i="24"/>
  <c r="S63" i="24"/>
  <c r="T63" i="24"/>
  <c r="N37" i="24"/>
  <c r="H37" i="24"/>
  <c r="M37" i="24"/>
  <c r="Z85" i="24"/>
  <c r="Y85" i="24"/>
  <c r="D9" i="23"/>
  <c r="E9" i="23"/>
  <c r="AB34" i="24"/>
  <c r="AA34" i="24"/>
  <c r="X35" i="24"/>
  <c r="W35" i="24"/>
  <c r="V57" i="24"/>
  <c r="X57" i="24" s="1"/>
  <c r="Z57" i="24" s="1"/>
  <c r="AB57" i="24" s="1"/>
  <c r="AD57" i="24" s="1"/>
  <c r="AF57" i="24" s="1"/>
  <c r="AH57" i="24" s="1"/>
  <c r="AJ57" i="24" s="1"/>
  <c r="U57" i="24"/>
  <c r="R92" i="24"/>
  <c r="Q92" i="24"/>
  <c r="V36" i="24"/>
  <c r="U36" i="24"/>
  <c r="V62" i="24"/>
  <c r="U62" i="24"/>
  <c r="X93" i="24"/>
  <c r="W93" i="24"/>
  <c r="W63" i="24"/>
  <c r="V60" i="24"/>
  <c r="U60" i="24"/>
  <c r="AE92" i="24"/>
  <c r="AE86" i="24"/>
  <c r="AE80" i="24"/>
  <c r="AE83" i="24"/>
  <c r="AE82" i="24"/>
  <c r="AE78" i="24"/>
  <c r="AE76" i="24"/>
  <c r="AE72" i="24"/>
  <c r="AE93" i="24"/>
  <c r="AE88" i="24"/>
  <c r="AE81" i="24"/>
  <c r="AE74" i="24"/>
  <c r="AE90" i="24"/>
  <c r="AE87" i="24"/>
  <c r="AE77" i="24"/>
  <c r="AE62" i="24"/>
  <c r="AE58" i="24"/>
  <c r="AE73" i="24"/>
  <c r="AE68" i="24"/>
  <c r="AE67" i="24"/>
  <c r="AE66" i="24"/>
  <c r="AE65" i="24"/>
  <c r="AE64" i="24"/>
  <c r="AE75" i="24"/>
  <c r="AE61" i="24"/>
  <c r="AE53" i="24"/>
  <c r="AE52" i="24"/>
  <c r="AE60" i="24"/>
  <c r="AE57" i="24"/>
  <c r="AE55" i="24"/>
  <c r="AE54" i="24"/>
  <c r="AE44" i="24"/>
  <c r="AE39" i="24"/>
  <c r="AG31" i="24"/>
  <c r="AE56" i="24"/>
  <c r="AE46" i="24"/>
  <c r="AE37" i="24"/>
  <c r="AE33" i="24"/>
  <c r="AE79" i="24"/>
  <c r="AE50" i="24"/>
  <c r="AE48" i="24"/>
  <c r="AE45" i="24"/>
  <c r="AE36" i="24"/>
  <c r="AE59" i="24"/>
  <c r="AE51" i="24"/>
  <c r="AE49" i="24"/>
  <c r="AE47" i="24"/>
  <c r="AE42" i="24"/>
  <c r="AE63" i="24"/>
  <c r="AE38" i="24"/>
  <c r="AA40" i="24"/>
  <c r="W69" i="24"/>
  <c r="C9" i="23"/>
  <c r="D98" i="9" s="1"/>
  <c r="D101" i="9"/>
  <c r="D88" i="18"/>
  <c r="A12" i="23"/>
  <c r="C12" i="23"/>
  <c r="D12" i="23"/>
  <c r="AB33" i="24" l="1"/>
  <c r="AD33" i="24" s="1"/>
  <c r="AF33" i="24" s="1"/>
  <c r="AH33" i="24" s="1"/>
  <c r="AJ33" i="24" s="1"/>
  <c r="AA33" i="24"/>
  <c r="Y32" i="24"/>
  <c r="Z32" i="24"/>
  <c r="Q54" i="24"/>
  <c r="R54" i="24"/>
  <c r="S58" i="24"/>
  <c r="J23" i="24"/>
  <c r="K23" i="24" s="1"/>
  <c r="U58" i="24"/>
  <c r="P56" i="24"/>
  <c r="O56" i="24"/>
  <c r="V63" i="24"/>
  <c r="X63" i="24" s="1"/>
  <c r="Z63" i="24" s="1"/>
  <c r="U63" i="24"/>
  <c r="O51" i="24"/>
  <c r="P51" i="24"/>
  <c r="T55" i="24"/>
  <c r="S55" i="24"/>
  <c r="R43" i="24"/>
  <c r="Q43" i="24"/>
  <c r="R39" i="24"/>
  <c r="Q39" i="24"/>
  <c r="Q44" i="24"/>
  <c r="R44" i="24"/>
  <c r="O37" i="24"/>
  <c r="P37" i="24"/>
  <c r="R42" i="24"/>
  <c r="Q42" i="24"/>
  <c r="AB85" i="24"/>
  <c r="AA85" i="24"/>
  <c r="W51" i="24"/>
  <c r="X62" i="24"/>
  <c r="W62" i="24"/>
  <c r="Z93" i="24"/>
  <c r="Y93" i="24"/>
  <c r="X36" i="24"/>
  <c r="W36" i="24"/>
  <c r="W37" i="24"/>
  <c r="W38" i="24"/>
  <c r="W54" i="24"/>
  <c r="T92" i="24"/>
  <c r="S92" i="24"/>
  <c r="W42" i="24"/>
  <c r="AG88" i="24"/>
  <c r="AG82" i="24"/>
  <c r="AG78" i="24"/>
  <c r="AG93" i="24"/>
  <c r="AG90" i="24"/>
  <c r="AG87" i="24"/>
  <c r="AG92" i="24"/>
  <c r="AG83" i="24"/>
  <c r="AG81" i="24"/>
  <c r="AG79" i="24"/>
  <c r="AG74" i="24"/>
  <c r="AG80" i="24"/>
  <c r="AG76" i="24"/>
  <c r="AG75" i="24"/>
  <c r="AG77" i="24"/>
  <c r="AG73" i="24"/>
  <c r="AG60" i="24"/>
  <c r="AG56" i="24"/>
  <c r="AG72" i="24"/>
  <c r="AG62" i="24"/>
  <c r="AG86" i="24"/>
  <c r="AG57" i="24"/>
  <c r="AG49" i="24"/>
  <c r="AG70" i="24"/>
  <c r="AG69" i="24"/>
  <c r="AG68" i="24"/>
  <c r="AG67" i="24"/>
  <c r="AG66" i="24"/>
  <c r="AG65" i="24"/>
  <c r="AG64" i="24"/>
  <c r="AG59" i="24"/>
  <c r="AG54" i="24"/>
  <c r="AG63" i="24"/>
  <c r="AG53" i="24"/>
  <c r="AG52" i="24"/>
  <c r="AG61" i="24"/>
  <c r="AG58" i="24"/>
  <c r="AG51" i="24"/>
  <c r="AG46" i="24"/>
  <c r="AG41" i="24"/>
  <c r="AG37" i="24"/>
  <c r="AG33" i="24"/>
  <c r="AG50" i="24"/>
  <c r="AG44" i="24"/>
  <c r="AG39" i="24"/>
  <c r="AG55" i="24"/>
  <c r="AG47" i="24"/>
  <c r="AG42" i="24"/>
  <c r="AG38" i="24"/>
  <c r="AG34" i="24"/>
  <c r="AI31" i="24"/>
  <c r="AG36" i="24"/>
  <c r="AG48" i="24"/>
  <c r="AG32" i="24"/>
  <c r="AG40" i="24"/>
  <c r="AG45" i="24"/>
  <c r="Y63" i="24"/>
  <c r="W59" i="24"/>
  <c r="W39" i="24"/>
  <c r="Z35" i="24"/>
  <c r="Y35" i="24"/>
  <c r="Y69" i="24"/>
  <c r="X58" i="24"/>
  <c r="W58" i="24"/>
  <c r="AD40" i="24"/>
  <c r="AC40" i="24"/>
  <c r="X60" i="24"/>
  <c r="W60" i="24"/>
  <c r="AD34" i="24"/>
  <c r="AC34" i="24"/>
  <c r="D85" i="18"/>
  <c r="D100" i="9"/>
  <c r="D87" i="18"/>
  <c r="D49" i="1"/>
  <c r="D49" i="24" l="1"/>
  <c r="F49" i="24" s="1"/>
  <c r="J49" i="24" s="1"/>
  <c r="L49" i="24" s="1"/>
  <c r="D44" i="28"/>
  <c r="F44" i="28" s="1"/>
  <c r="H44" i="28" s="1"/>
  <c r="I44" i="28" s="1"/>
  <c r="D44" i="27"/>
  <c r="F44" i="27" s="1"/>
  <c r="I44" i="27" s="1"/>
  <c r="D49" i="26"/>
  <c r="AA32" i="24"/>
  <c r="AB32" i="24"/>
  <c r="T54" i="24"/>
  <c r="S54" i="24"/>
  <c r="Q56" i="24"/>
  <c r="R56" i="24"/>
  <c r="T42" i="24"/>
  <c r="S42" i="24"/>
  <c r="T43" i="24"/>
  <c r="S43" i="24"/>
  <c r="Q37" i="24"/>
  <c r="R37" i="24"/>
  <c r="T39" i="24"/>
  <c r="S39" i="24"/>
  <c r="U55" i="24"/>
  <c r="V55" i="24"/>
  <c r="X55" i="24" s="1"/>
  <c r="Z55" i="24" s="1"/>
  <c r="AB55" i="24" s="1"/>
  <c r="AD55" i="24" s="1"/>
  <c r="AF55" i="24" s="1"/>
  <c r="AH55" i="24" s="1"/>
  <c r="AJ55" i="24" s="1"/>
  <c r="T44" i="24"/>
  <c r="S44" i="24"/>
  <c r="R51" i="24"/>
  <c r="Q51" i="24"/>
  <c r="AD85" i="24"/>
  <c r="AC85" i="24"/>
  <c r="Y59" i="24"/>
  <c r="Y42" i="24"/>
  <c r="AF34" i="24"/>
  <c r="AH34" i="24" s="1"/>
  <c r="AJ34" i="24" s="1"/>
  <c r="AE34" i="24"/>
  <c r="AF40" i="24"/>
  <c r="AH40" i="24" s="1"/>
  <c r="AJ40" i="24" s="1"/>
  <c r="AE40" i="24"/>
  <c r="AA69" i="24"/>
  <c r="Y39" i="24"/>
  <c r="AB63" i="24"/>
  <c r="AD63" i="24" s="1"/>
  <c r="AF63" i="24" s="1"/>
  <c r="AH63" i="24" s="1"/>
  <c r="AJ63" i="24" s="1"/>
  <c r="AA63" i="24"/>
  <c r="AI92" i="24"/>
  <c r="AI86" i="24"/>
  <c r="AI80" i="24"/>
  <c r="AI83" i="24"/>
  <c r="AI88" i="24"/>
  <c r="AI77" i="24"/>
  <c r="AI76" i="24"/>
  <c r="AI72" i="24"/>
  <c r="AI90" i="24"/>
  <c r="AI82" i="24"/>
  <c r="AI79" i="24"/>
  <c r="AI74" i="24"/>
  <c r="AI81" i="24"/>
  <c r="AI78" i="24"/>
  <c r="AI75" i="24"/>
  <c r="AI62" i="24"/>
  <c r="AI58" i="24"/>
  <c r="AI54" i="24"/>
  <c r="AI87" i="24"/>
  <c r="AI73" i="24"/>
  <c r="AI70" i="24"/>
  <c r="AI69" i="24"/>
  <c r="AI68" i="24"/>
  <c r="AI67" i="24"/>
  <c r="AI66" i="24"/>
  <c r="AI65" i="24"/>
  <c r="AI64" i="24"/>
  <c r="AI93" i="24"/>
  <c r="AI59" i="24"/>
  <c r="AI56" i="24"/>
  <c r="AI53" i="24"/>
  <c r="AI52" i="24"/>
  <c r="AI63" i="24"/>
  <c r="AI61" i="24"/>
  <c r="AI60" i="24"/>
  <c r="AI57" i="24"/>
  <c r="AI55" i="24"/>
  <c r="AI50" i="24"/>
  <c r="AI48" i="24"/>
  <c r="AI44" i="24"/>
  <c r="AI39" i="24"/>
  <c r="AI51" i="24"/>
  <c r="AI49" i="24"/>
  <c r="AI46" i="24"/>
  <c r="AI41" i="24"/>
  <c r="AI37" i="24"/>
  <c r="AI33" i="24"/>
  <c r="AK31" i="24"/>
  <c r="AI45" i="24"/>
  <c r="AI40" i="24"/>
  <c r="AI36" i="24"/>
  <c r="AI32" i="24"/>
  <c r="AI42" i="24"/>
  <c r="AI38" i="24"/>
  <c r="AI34" i="24"/>
  <c r="AI47" i="24"/>
  <c r="W50" i="24"/>
  <c r="Y54" i="24"/>
  <c r="Y37" i="24"/>
  <c r="AB93" i="24"/>
  <c r="AD93" i="24" s="1"/>
  <c r="AF93" i="24" s="1"/>
  <c r="AH93" i="24" s="1"/>
  <c r="AJ93" i="24" s="1"/>
  <c r="AA93" i="24"/>
  <c r="Z62" i="24"/>
  <c r="AB62" i="24" s="1"/>
  <c r="AD62" i="24" s="1"/>
  <c r="AF62" i="24" s="1"/>
  <c r="AH62" i="24" s="1"/>
  <c r="AJ62" i="24" s="1"/>
  <c r="Y62" i="24"/>
  <c r="Z60" i="24"/>
  <c r="AB60" i="24" s="1"/>
  <c r="AD60" i="24" s="1"/>
  <c r="AF60" i="24" s="1"/>
  <c r="AH60" i="24" s="1"/>
  <c r="AJ60" i="24" s="1"/>
  <c r="Y60" i="24"/>
  <c r="Z58" i="24"/>
  <c r="Y58" i="24"/>
  <c r="AB35" i="24"/>
  <c r="AA35" i="24"/>
  <c r="V92" i="24"/>
  <c r="U92" i="24"/>
  <c r="Y38" i="24"/>
  <c r="Z36" i="24"/>
  <c r="Y36" i="24"/>
  <c r="Y51" i="24"/>
  <c r="R15" i="18"/>
  <c r="L44" i="27" l="1"/>
  <c r="K44" i="27"/>
  <c r="AC32" i="24"/>
  <c r="AD32" i="24"/>
  <c r="U54" i="24"/>
  <c r="V54" i="24"/>
  <c r="X54" i="24" s="1"/>
  <c r="Z54" i="24" s="1"/>
  <c r="AB54" i="24" s="1"/>
  <c r="AD54" i="24" s="1"/>
  <c r="AF54" i="24" s="1"/>
  <c r="AH54" i="24" s="1"/>
  <c r="AJ54" i="24" s="1"/>
  <c r="S56" i="24"/>
  <c r="T56" i="24"/>
  <c r="K49" i="24"/>
  <c r="U44" i="24"/>
  <c r="V44" i="24"/>
  <c r="X44" i="24" s="1"/>
  <c r="Z44" i="24" s="1"/>
  <c r="AB44" i="24" s="1"/>
  <c r="AD44" i="24" s="1"/>
  <c r="AF44" i="24" s="1"/>
  <c r="AH44" i="24" s="1"/>
  <c r="AJ44" i="24" s="1"/>
  <c r="V39" i="24"/>
  <c r="X39" i="24" s="1"/>
  <c r="Z39" i="24" s="1"/>
  <c r="AB39" i="24" s="1"/>
  <c r="AD39" i="24" s="1"/>
  <c r="AF39" i="24" s="1"/>
  <c r="AH39" i="24" s="1"/>
  <c r="AJ39" i="24" s="1"/>
  <c r="U39" i="24"/>
  <c r="U42" i="24"/>
  <c r="V42" i="24"/>
  <c r="X42" i="24" s="1"/>
  <c r="Z42" i="24" s="1"/>
  <c r="AB42" i="24" s="1"/>
  <c r="AD42" i="24" s="1"/>
  <c r="AF42" i="24" s="1"/>
  <c r="AH42" i="24" s="1"/>
  <c r="AJ42" i="24" s="1"/>
  <c r="T37" i="24"/>
  <c r="S37" i="24"/>
  <c r="S51" i="24"/>
  <c r="T51" i="24"/>
  <c r="U43" i="24"/>
  <c r="G43" i="24" s="1"/>
  <c r="V43" i="24"/>
  <c r="X43" i="24" s="1"/>
  <c r="Z43" i="24" s="1"/>
  <c r="AB43" i="24" s="1"/>
  <c r="AD43" i="24" s="1"/>
  <c r="AF43" i="24" s="1"/>
  <c r="AH43" i="24" s="1"/>
  <c r="AJ43" i="24" s="1"/>
  <c r="AF85" i="24"/>
  <c r="AE85" i="24"/>
  <c r="AA59" i="24"/>
  <c r="AB36" i="24"/>
  <c r="AD36" i="24" s="1"/>
  <c r="AF36" i="24" s="1"/>
  <c r="AH36" i="24" s="1"/>
  <c r="AJ36" i="24" s="1"/>
  <c r="AA36" i="24"/>
  <c r="AD35" i="24"/>
  <c r="AC35" i="24"/>
  <c r="AC69" i="24"/>
  <c r="X92" i="24"/>
  <c r="W92" i="24"/>
  <c r="AK88" i="24"/>
  <c r="G88" i="24" s="1"/>
  <c r="AK82" i="24"/>
  <c r="G82" i="24" s="1"/>
  <c r="AK78" i="24"/>
  <c r="G78" i="24" s="1"/>
  <c r="AK93" i="24"/>
  <c r="G93" i="24" s="1"/>
  <c r="AK90" i="24"/>
  <c r="G90" i="24" s="1"/>
  <c r="AK87" i="24"/>
  <c r="G87" i="24" s="1"/>
  <c r="AK92" i="24"/>
  <c r="AK74" i="24"/>
  <c r="G74" i="24" s="1"/>
  <c r="AK70" i="24"/>
  <c r="AK83" i="24"/>
  <c r="G83" i="24" s="1"/>
  <c r="AK77" i="24"/>
  <c r="G77" i="24" s="1"/>
  <c r="AK76" i="24"/>
  <c r="G76" i="24" s="1"/>
  <c r="AK86" i="24"/>
  <c r="G86" i="24" s="1"/>
  <c r="AK80" i="24"/>
  <c r="G80" i="24" s="1"/>
  <c r="AK75" i="24"/>
  <c r="G75" i="24" s="1"/>
  <c r="AK79" i="24"/>
  <c r="G79" i="24" s="1"/>
  <c r="AK60" i="24"/>
  <c r="G60" i="24" s="1"/>
  <c r="AK56" i="24"/>
  <c r="AK62" i="24"/>
  <c r="G62" i="24" s="1"/>
  <c r="AK81" i="24"/>
  <c r="G81" i="24" s="1"/>
  <c r="AK72" i="24"/>
  <c r="G72" i="24" s="1"/>
  <c r="AK69" i="24"/>
  <c r="AK68" i="24"/>
  <c r="G68" i="24" s="1"/>
  <c r="AK67" i="24"/>
  <c r="AK66" i="24"/>
  <c r="AK65" i="24"/>
  <c r="G65" i="24" s="1"/>
  <c r="AK64" i="24"/>
  <c r="AK63" i="24"/>
  <c r="G63" i="24" s="1"/>
  <c r="AK58" i="24"/>
  <c r="AK55" i="24"/>
  <c r="G55" i="24" s="1"/>
  <c r="AK49" i="24"/>
  <c r="AK61" i="24"/>
  <c r="G61" i="24" s="1"/>
  <c r="AK57" i="24"/>
  <c r="G57" i="24" s="1"/>
  <c r="AK59" i="24"/>
  <c r="AK54" i="24"/>
  <c r="G54" i="24" s="1"/>
  <c r="AK53" i="24"/>
  <c r="AK52" i="24"/>
  <c r="G52" i="24" s="1"/>
  <c r="AK46" i="24"/>
  <c r="G46" i="24" s="1"/>
  <c r="AK41" i="24"/>
  <c r="AK37" i="24"/>
  <c r="AK33" i="24"/>
  <c r="G33" i="24" s="1"/>
  <c r="AK48" i="24"/>
  <c r="AK44" i="24"/>
  <c r="AK39" i="24"/>
  <c r="AK73" i="24"/>
  <c r="G73" i="24" s="1"/>
  <c r="AK50" i="24"/>
  <c r="AK47" i="24"/>
  <c r="G47" i="24" s="1"/>
  <c r="AK42" i="24"/>
  <c r="AK38" i="24"/>
  <c r="AK34" i="24"/>
  <c r="G34" i="24" s="1"/>
  <c r="AK32" i="24"/>
  <c r="AK45" i="24"/>
  <c r="AK51" i="24"/>
  <c r="AK40" i="24"/>
  <c r="G40" i="24" s="1"/>
  <c r="AK36" i="24"/>
  <c r="AA39" i="24"/>
  <c r="AA42" i="24"/>
  <c r="Y50" i="24"/>
  <c r="AB58" i="24"/>
  <c r="AD58" i="24" s="1"/>
  <c r="AF58" i="24" s="1"/>
  <c r="AH58" i="24" s="1"/>
  <c r="AJ58" i="24" s="1"/>
  <c r="AA58" i="24"/>
  <c r="F6" i="18"/>
  <c r="N44" i="27" l="1"/>
  <c r="M44" i="27"/>
  <c r="AF32" i="24"/>
  <c r="AH32" i="24" s="1"/>
  <c r="AJ32" i="24" s="1"/>
  <c r="AE32" i="24"/>
  <c r="G32" i="24" s="1"/>
  <c r="V56" i="24"/>
  <c r="X56" i="24" s="1"/>
  <c r="Z56" i="24" s="1"/>
  <c r="AB56" i="24" s="1"/>
  <c r="AD56" i="24" s="1"/>
  <c r="AF56" i="24" s="1"/>
  <c r="AH56" i="24" s="1"/>
  <c r="AJ56" i="24" s="1"/>
  <c r="U56" i="24"/>
  <c r="G56" i="24" s="1"/>
  <c r="M49" i="24"/>
  <c r="N49" i="24"/>
  <c r="H49" i="24"/>
  <c r="G44" i="24"/>
  <c r="V51" i="24"/>
  <c r="X51" i="24" s="1"/>
  <c r="Z51" i="24" s="1"/>
  <c r="AB51" i="24" s="1"/>
  <c r="AD51" i="24" s="1"/>
  <c r="AF51" i="24" s="1"/>
  <c r="AH51" i="24" s="1"/>
  <c r="AJ51" i="24" s="1"/>
  <c r="U51" i="24"/>
  <c r="G51" i="24" s="1"/>
  <c r="U37" i="24"/>
  <c r="G37" i="24" s="1"/>
  <c r="V37" i="24"/>
  <c r="X37" i="24" s="1"/>
  <c r="Z37" i="24" s="1"/>
  <c r="AB37" i="24" s="1"/>
  <c r="AD37" i="24" s="1"/>
  <c r="AF37" i="24" s="1"/>
  <c r="AH37" i="24" s="1"/>
  <c r="AJ37" i="24" s="1"/>
  <c r="AG85" i="24"/>
  <c r="AH85" i="24"/>
  <c r="G42" i="24"/>
  <c r="G36" i="24"/>
  <c r="G39" i="24"/>
  <c r="G58" i="24"/>
  <c r="AF35" i="24"/>
  <c r="AE35" i="24"/>
  <c r="AE69" i="24"/>
  <c r="Z92" i="24"/>
  <c r="Y92" i="24"/>
  <c r="F187" i="16"/>
  <c r="O44" i="27" l="1"/>
  <c r="P44" i="27"/>
  <c r="O49" i="24"/>
  <c r="P49" i="24"/>
  <c r="AI85" i="24"/>
  <c r="G85" i="24" s="1"/>
  <c r="AJ85" i="24"/>
  <c r="AB92" i="24"/>
  <c r="AD92" i="24" s="1"/>
  <c r="AF92" i="24" s="1"/>
  <c r="AH92" i="24" s="1"/>
  <c r="AJ92" i="24" s="1"/>
  <c r="AA92" i="24"/>
  <c r="G92" i="24" s="1"/>
  <c r="AH35" i="24"/>
  <c r="AG35" i="24"/>
  <c r="P35" i="17"/>
  <c r="L98" i="9"/>
  <c r="L101" i="9"/>
  <c r="R44" i="27" l="1"/>
  <c r="Q44" i="27"/>
  <c r="Q49" i="24"/>
  <c r="R49" i="24"/>
  <c r="AJ35" i="24"/>
  <c r="AK35" i="24" s="1"/>
  <c r="AI35" i="24"/>
  <c r="L100" i="9"/>
  <c r="L99" i="9"/>
  <c r="P131" i="17"/>
  <c r="P130" i="17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25" i="22"/>
  <c r="G224" i="22"/>
  <c r="G223" i="22"/>
  <c r="G222" i="22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J206" i="22" s="1"/>
  <c r="G205" i="22"/>
  <c r="G204" i="22"/>
  <c r="G203" i="22"/>
  <c r="G202" i="22"/>
  <c r="G201" i="22"/>
  <c r="G200" i="22"/>
  <c r="G199" i="22"/>
  <c r="G198" i="22"/>
  <c r="G197" i="22"/>
  <c r="G196" i="22"/>
  <c r="J196" i="22" s="1"/>
  <c r="G195" i="22"/>
  <c r="G194" i="22"/>
  <c r="G193" i="22"/>
  <c r="G192" i="22"/>
  <c r="G191" i="22"/>
  <c r="G190" i="22"/>
  <c r="G189" i="22"/>
  <c r="G188" i="22"/>
  <c r="G187" i="22"/>
  <c r="G186" i="22"/>
  <c r="J186" i="22" s="1"/>
  <c r="G185" i="22"/>
  <c r="G184" i="22"/>
  <c r="G183" i="22"/>
  <c r="G182" i="22"/>
  <c r="G181" i="22"/>
  <c r="J181" i="22" s="1"/>
  <c r="M181" i="22" s="1"/>
  <c r="G180" i="22"/>
  <c r="J180" i="22" s="1"/>
  <c r="M180" i="22" s="1"/>
  <c r="G179" i="22"/>
  <c r="G178" i="22"/>
  <c r="G177" i="22"/>
  <c r="G176" i="22"/>
  <c r="J176" i="22" s="1"/>
  <c r="G175" i="22"/>
  <c r="J175" i="22" s="1"/>
  <c r="G174" i="22"/>
  <c r="G173" i="22"/>
  <c r="G172" i="22"/>
  <c r="J172" i="22" s="1"/>
  <c r="G171" i="22"/>
  <c r="J171" i="22" s="1"/>
  <c r="G170" i="22"/>
  <c r="G169" i="22"/>
  <c r="G168" i="22"/>
  <c r="G167" i="22"/>
  <c r="G166" i="22"/>
  <c r="G165" i="22"/>
  <c r="G164" i="22"/>
  <c r="G163" i="22"/>
  <c r="G162" i="22"/>
  <c r="G161" i="22"/>
  <c r="G160" i="22"/>
  <c r="J160" i="22" s="1"/>
  <c r="G159" i="22"/>
  <c r="J159" i="22" s="1"/>
  <c r="G158" i="22"/>
  <c r="J158" i="22" s="1"/>
  <c r="G157" i="22"/>
  <c r="G156" i="22"/>
  <c r="G155" i="22"/>
  <c r="G154" i="22"/>
  <c r="G153" i="22"/>
  <c r="G152" i="22"/>
  <c r="G151" i="22"/>
  <c r="G150" i="22"/>
  <c r="J150" i="22" s="1"/>
  <c r="G149" i="22"/>
  <c r="G148" i="22"/>
  <c r="G147" i="22"/>
  <c r="J147" i="22" s="1"/>
  <c r="L147" i="22" s="1"/>
  <c r="G146" i="22"/>
  <c r="G145" i="22"/>
  <c r="J145" i="22" s="1"/>
  <c r="G144" i="22"/>
  <c r="G143" i="22"/>
  <c r="G142" i="22"/>
  <c r="J142" i="22" s="1"/>
  <c r="M142" i="22" s="1"/>
  <c r="G141" i="22"/>
  <c r="G140" i="22"/>
  <c r="G139" i="22"/>
  <c r="G138" i="22"/>
  <c r="G137" i="22"/>
  <c r="G136" i="22"/>
  <c r="G135" i="22"/>
  <c r="G134" i="22"/>
  <c r="J134" i="22" s="1"/>
  <c r="G133" i="22"/>
  <c r="J133" i="22" s="1"/>
  <c r="G132" i="22"/>
  <c r="G131" i="22"/>
  <c r="G130" i="22"/>
  <c r="G129" i="22"/>
  <c r="G128" i="22"/>
  <c r="G127" i="22"/>
  <c r="G126" i="22"/>
  <c r="J126" i="22" s="1"/>
  <c r="M126" i="22" s="1"/>
  <c r="G125" i="22"/>
  <c r="G124" i="22"/>
  <c r="G123" i="22"/>
  <c r="J123" i="22" s="1"/>
  <c r="G122" i="22"/>
  <c r="J122" i="22" s="1"/>
  <c r="L122" i="22" s="1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J102" i="22" s="1"/>
  <c r="L102" i="22" s="1"/>
  <c r="G101" i="22"/>
  <c r="G100" i="22"/>
  <c r="J100" i="22" s="1"/>
  <c r="G99" i="22"/>
  <c r="G98" i="22"/>
  <c r="G97" i="22"/>
  <c r="G96" i="22"/>
  <c r="G95" i="22"/>
  <c r="G94" i="22"/>
  <c r="G93" i="22"/>
  <c r="G92" i="22"/>
  <c r="G91" i="22"/>
  <c r="G90" i="22"/>
  <c r="G89" i="22"/>
  <c r="J89" i="22" s="1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J50" i="22" s="1"/>
  <c r="L50" i="22" s="1"/>
  <c r="G49" i="22"/>
  <c r="G48" i="22"/>
  <c r="G47" i="22"/>
  <c r="G46" i="22"/>
  <c r="G45" i="22"/>
  <c r="G44" i="22"/>
  <c r="G43" i="22"/>
  <c r="G42" i="22"/>
  <c r="J42" i="22" s="1"/>
  <c r="L42" i="22" s="1"/>
  <c r="G41" i="22"/>
  <c r="G40" i="22"/>
  <c r="G39" i="22"/>
  <c r="G38" i="22"/>
  <c r="G37" i="22"/>
  <c r="J37" i="22" s="1"/>
  <c r="G36" i="22"/>
  <c r="G35" i="22"/>
  <c r="G34" i="22"/>
  <c r="G33" i="22"/>
  <c r="J33" i="22" s="1"/>
  <c r="M33" i="22" s="1"/>
  <c r="O33" i="22" s="1"/>
  <c r="Q33" i="22" s="1"/>
  <c r="S33" i="22" s="1"/>
  <c r="U33" i="22" s="1"/>
  <c r="W33" i="22" s="1"/>
  <c r="Y33" i="22" s="1"/>
  <c r="AA33" i="22" s="1"/>
  <c r="AC33" i="22" s="1"/>
  <c r="AE33" i="22" s="1"/>
  <c r="AG33" i="22" s="1"/>
  <c r="AI33" i="22" s="1"/>
  <c r="G32" i="22"/>
  <c r="G31" i="22"/>
  <c r="G30" i="22"/>
  <c r="G29" i="22"/>
  <c r="G28" i="22"/>
  <c r="J28" i="22" s="1"/>
  <c r="M28" i="22" s="1"/>
  <c r="O28" i="22" s="1"/>
  <c r="Q28" i="22" s="1"/>
  <c r="S28" i="22" s="1"/>
  <c r="U28" i="22" s="1"/>
  <c r="W28" i="22" s="1"/>
  <c r="Y28" i="22" s="1"/>
  <c r="AA28" i="22" s="1"/>
  <c r="AC28" i="22" s="1"/>
  <c r="AE28" i="22" s="1"/>
  <c r="AG28" i="22" s="1"/>
  <c r="AI28" i="22" s="1"/>
  <c r="G27" i="22"/>
  <c r="G26" i="22"/>
  <c r="J26" i="22" s="1"/>
  <c r="M26" i="22" s="1"/>
  <c r="O26" i="22" s="1"/>
  <c r="Q26" i="22" s="1"/>
  <c r="S26" i="22" s="1"/>
  <c r="U26" i="22" s="1"/>
  <c r="W26" i="22" s="1"/>
  <c r="Y26" i="22" s="1"/>
  <c r="AA26" i="22" s="1"/>
  <c r="AC26" i="22" s="1"/>
  <c r="AE26" i="22" s="1"/>
  <c r="AG26" i="22" s="1"/>
  <c r="AI26" i="22" s="1"/>
  <c r="G25" i="22"/>
  <c r="G24" i="22"/>
  <c r="J24" i="22" s="1"/>
  <c r="L24" i="22" s="1"/>
  <c r="G23" i="22"/>
  <c r="J23" i="22" s="1"/>
  <c r="M23" i="22" s="1"/>
  <c r="O23" i="22" s="1"/>
  <c r="Q23" i="22" s="1"/>
  <c r="S23" i="22" s="1"/>
  <c r="U23" i="22" s="1"/>
  <c r="W23" i="22" s="1"/>
  <c r="Y23" i="22" s="1"/>
  <c r="AA23" i="22" s="1"/>
  <c r="AC23" i="22" s="1"/>
  <c r="AE23" i="22" s="1"/>
  <c r="AG23" i="22" s="1"/>
  <c r="AI23" i="22" s="1"/>
  <c r="G22" i="22"/>
  <c r="J22" i="22" s="1"/>
  <c r="G21" i="22"/>
  <c r="J21" i="22" s="1"/>
  <c r="L21" i="22" s="1"/>
  <c r="G20" i="22"/>
  <c r="G19" i="22"/>
  <c r="G18" i="22"/>
  <c r="J18" i="22" s="1"/>
  <c r="L18" i="22" s="1"/>
  <c r="G17" i="22"/>
  <c r="G16" i="22"/>
  <c r="G15" i="22"/>
  <c r="G14" i="22"/>
  <c r="J14" i="22" s="1"/>
  <c r="M14" i="22" s="1"/>
  <c r="O14" i="22" s="1"/>
  <c r="Q14" i="22" s="1"/>
  <c r="S14" i="22" s="1"/>
  <c r="U14" i="22" s="1"/>
  <c r="W14" i="22" s="1"/>
  <c r="Y14" i="22" s="1"/>
  <c r="AA14" i="22" s="1"/>
  <c r="AC14" i="22" s="1"/>
  <c r="AE14" i="22" s="1"/>
  <c r="AG14" i="22" s="1"/>
  <c r="AI14" i="22" s="1"/>
  <c r="G13" i="22"/>
  <c r="G12" i="22"/>
  <c r="J12" i="22" s="1"/>
  <c r="M12" i="22" s="1"/>
  <c r="O12" i="22" s="1"/>
  <c r="Q12" i="22" s="1"/>
  <c r="S12" i="22" s="1"/>
  <c r="U12" i="22" s="1"/>
  <c r="W12" i="22" s="1"/>
  <c r="Y12" i="22" s="1"/>
  <c r="AA12" i="22" s="1"/>
  <c r="AC12" i="22" s="1"/>
  <c r="AE12" i="22" s="1"/>
  <c r="AG12" i="22" s="1"/>
  <c r="AI12" i="22" s="1"/>
  <c r="G11" i="22"/>
  <c r="J11" i="22" s="1"/>
  <c r="G10" i="22"/>
  <c r="J10" i="22" s="1"/>
  <c r="L10" i="22" s="1"/>
  <c r="J201" i="22"/>
  <c r="J200" i="22"/>
  <c r="J169" i="22"/>
  <c r="M169" i="22" s="1"/>
  <c r="J165" i="22"/>
  <c r="J141" i="22"/>
  <c r="J140" i="22"/>
  <c r="L140" i="22" s="1"/>
  <c r="J139" i="22"/>
  <c r="J129" i="22"/>
  <c r="J125" i="22"/>
  <c r="M125" i="22" s="1"/>
  <c r="J53" i="22"/>
  <c r="J45" i="22"/>
  <c r="J25" i="22"/>
  <c r="M25" i="22" s="1"/>
  <c r="O25" i="22" s="1"/>
  <c r="Q25" i="22" s="1"/>
  <c r="S25" i="22" s="1"/>
  <c r="U25" i="22" s="1"/>
  <c r="W25" i="22" s="1"/>
  <c r="Y25" i="22" s="1"/>
  <c r="AA25" i="22" s="1"/>
  <c r="AC25" i="22" s="1"/>
  <c r="AE25" i="22" s="1"/>
  <c r="AG25" i="22" s="1"/>
  <c r="AI25" i="22" s="1"/>
  <c r="K237" i="22"/>
  <c r="K236" i="22"/>
  <c r="K235" i="22"/>
  <c r="K234" i="22"/>
  <c r="K233" i="22"/>
  <c r="K232" i="22"/>
  <c r="K231" i="22"/>
  <c r="K230" i="22"/>
  <c r="K229" i="22"/>
  <c r="K228" i="22"/>
  <c r="K227" i="22"/>
  <c r="K226" i="22"/>
  <c r="K225" i="22"/>
  <c r="K224" i="22"/>
  <c r="K223" i="22"/>
  <c r="K222" i="22"/>
  <c r="K221" i="22"/>
  <c r="K220" i="22"/>
  <c r="K219" i="22"/>
  <c r="K218" i="22"/>
  <c r="K217" i="22"/>
  <c r="K216" i="22"/>
  <c r="K215" i="22"/>
  <c r="K214" i="22"/>
  <c r="K213" i="22"/>
  <c r="K212" i="22"/>
  <c r="K211" i="22"/>
  <c r="K210" i="22"/>
  <c r="K209" i="22"/>
  <c r="K208" i="22"/>
  <c r="K207" i="22"/>
  <c r="K206" i="22"/>
  <c r="K205" i="22"/>
  <c r="K204" i="22"/>
  <c r="K203" i="22"/>
  <c r="K202" i="22"/>
  <c r="K201" i="22"/>
  <c r="K200" i="22"/>
  <c r="K199" i="22"/>
  <c r="K198" i="22"/>
  <c r="K197" i="22"/>
  <c r="K196" i="22"/>
  <c r="K195" i="22"/>
  <c r="K194" i="22"/>
  <c r="K193" i="22"/>
  <c r="K192" i="22"/>
  <c r="K191" i="22"/>
  <c r="K190" i="22"/>
  <c r="K189" i="22"/>
  <c r="K188" i="22"/>
  <c r="K187" i="22"/>
  <c r="K186" i="22"/>
  <c r="K185" i="22"/>
  <c r="K184" i="22"/>
  <c r="K183" i="22"/>
  <c r="K182" i="22"/>
  <c r="K181" i="22"/>
  <c r="K180" i="22"/>
  <c r="K179" i="22"/>
  <c r="K178" i="22"/>
  <c r="K177" i="22"/>
  <c r="K176" i="22"/>
  <c r="K175" i="22"/>
  <c r="K174" i="22"/>
  <c r="K173" i="22"/>
  <c r="K172" i="22"/>
  <c r="K171" i="22"/>
  <c r="K170" i="22"/>
  <c r="K169" i="22"/>
  <c r="K168" i="22"/>
  <c r="K167" i="22"/>
  <c r="K166" i="22"/>
  <c r="K165" i="22"/>
  <c r="K164" i="22"/>
  <c r="K163" i="22"/>
  <c r="K162" i="22"/>
  <c r="K161" i="22"/>
  <c r="K160" i="22"/>
  <c r="K159" i="22"/>
  <c r="K158" i="22"/>
  <c r="K157" i="22"/>
  <c r="K156" i="22"/>
  <c r="K155" i="22"/>
  <c r="K154" i="22"/>
  <c r="K153" i="22"/>
  <c r="K152" i="22"/>
  <c r="K151" i="22"/>
  <c r="K150" i="22"/>
  <c r="K149" i="22"/>
  <c r="K148" i="22"/>
  <c r="K147" i="22"/>
  <c r="K146" i="22"/>
  <c r="K145" i="22"/>
  <c r="K144" i="22"/>
  <c r="K143" i="22"/>
  <c r="K142" i="22"/>
  <c r="K141" i="22"/>
  <c r="K140" i="22"/>
  <c r="K139" i="22"/>
  <c r="K138" i="22"/>
  <c r="K137" i="22"/>
  <c r="K136" i="22"/>
  <c r="K135" i="22"/>
  <c r="K134" i="22"/>
  <c r="K133" i="22"/>
  <c r="K132" i="22"/>
  <c r="K131" i="22"/>
  <c r="K130" i="22"/>
  <c r="K129" i="22"/>
  <c r="K128" i="22"/>
  <c r="K127" i="22"/>
  <c r="K126" i="22"/>
  <c r="K125" i="22"/>
  <c r="K124" i="22"/>
  <c r="K123" i="22"/>
  <c r="K122" i="22"/>
  <c r="K11" i="22"/>
  <c r="K121" i="22"/>
  <c r="K120" i="22"/>
  <c r="K119" i="22"/>
  <c r="K118" i="22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0" i="22"/>
  <c r="N9" i="22"/>
  <c r="P9" i="22" s="1"/>
  <c r="T44" i="27" l="1"/>
  <c r="S44" i="27"/>
  <c r="T49" i="24"/>
  <c r="S49" i="24"/>
  <c r="G35" i="24"/>
  <c r="L11" i="22"/>
  <c r="M11" i="22"/>
  <c r="N11" i="22" s="1"/>
  <c r="L129" i="22"/>
  <c r="M129" i="22"/>
  <c r="N129" i="22" s="1"/>
  <c r="M141" i="22"/>
  <c r="O141" i="22" s="1"/>
  <c r="L141" i="22"/>
  <c r="N126" i="22"/>
  <c r="O126" i="22"/>
  <c r="Q126" i="22" s="1"/>
  <c r="S126" i="22" s="1"/>
  <c r="U126" i="22" s="1"/>
  <c r="W126" i="22" s="1"/>
  <c r="Y126" i="22" s="1"/>
  <c r="AA126" i="22" s="1"/>
  <c r="AC126" i="22" s="1"/>
  <c r="AE126" i="22" s="1"/>
  <c r="AG126" i="22" s="1"/>
  <c r="AI126" i="22" s="1"/>
  <c r="L172" i="22"/>
  <c r="M172" i="22"/>
  <c r="O172" i="22" s="1"/>
  <c r="M176" i="22"/>
  <c r="O176" i="22" s="1"/>
  <c r="L176" i="22"/>
  <c r="M22" i="22"/>
  <c r="O22" i="22" s="1"/>
  <c r="Q22" i="22" s="1"/>
  <c r="S22" i="22" s="1"/>
  <c r="U22" i="22" s="1"/>
  <c r="W22" i="22" s="1"/>
  <c r="Y22" i="22" s="1"/>
  <c r="AA22" i="22" s="1"/>
  <c r="AC22" i="22" s="1"/>
  <c r="AE22" i="22" s="1"/>
  <c r="AG22" i="22" s="1"/>
  <c r="AI22" i="22" s="1"/>
  <c r="L22" i="22"/>
  <c r="M134" i="22"/>
  <c r="N134" i="22" s="1"/>
  <c r="L134" i="22"/>
  <c r="N142" i="22"/>
  <c r="O142" i="22"/>
  <c r="Q142" i="22" s="1"/>
  <c r="S142" i="22" s="1"/>
  <c r="U142" i="22" s="1"/>
  <c r="W142" i="22" s="1"/>
  <c r="Y142" i="22" s="1"/>
  <c r="AA142" i="22" s="1"/>
  <c r="AC142" i="22" s="1"/>
  <c r="AE142" i="22" s="1"/>
  <c r="AG142" i="22" s="1"/>
  <c r="AI142" i="22" s="1"/>
  <c r="N181" i="22"/>
  <c r="O181" i="22"/>
  <c r="P181" i="22" s="1"/>
  <c r="M158" i="22"/>
  <c r="L158" i="22"/>
  <c r="M140" i="22"/>
  <c r="O140" i="22" s="1"/>
  <c r="L145" i="22"/>
  <c r="M145" i="22"/>
  <c r="N145" i="22" s="1"/>
  <c r="M165" i="22"/>
  <c r="N165" i="22" s="1"/>
  <c r="L165" i="22"/>
  <c r="M196" i="22"/>
  <c r="N196" i="22" s="1"/>
  <c r="L196" i="22"/>
  <c r="J38" i="22"/>
  <c r="L38" i="22" s="1"/>
  <c r="J41" i="22"/>
  <c r="L41" i="22" s="1"/>
  <c r="J46" i="22"/>
  <c r="J94" i="22"/>
  <c r="L94" i="22" s="1"/>
  <c r="J124" i="22"/>
  <c r="J127" i="22"/>
  <c r="J128" i="22"/>
  <c r="J130" i="22"/>
  <c r="J135" i="22"/>
  <c r="L135" i="22" s="1"/>
  <c r="J136" i="22"/>
  <c r="L136" i="22" s="1"/>
  <c r="J143" i="22"/>
  <c r="J144" i="22"/>
  <c r="J153" i="22"/>
  <c r="J157" i="22"/>
  <c r="M157" i="22" s="1"/>
  <c r="N157" i="22" s="1"/>
  <c r="J187" i="22"/>
  <c r="L187" i="22" s="1"/>
  <c r="J188" i="22"/>
  <c r="L188" i="22" s="1"/>
  <c r="J192" i="22"/>
  <c r="J222" i="22"/>
  <c r="L222" i="22" s="1"/>
  <c r="J236" i="22"/>
  <c r="M236" i="22" s="1"/>
  <c r="J235" i="22"/>
  <c r="M235" i="22" s="1"/>
  <c r="J230" i="22"/>
  <c r="J226" i="22"/>
  <c r="M226" i="22" s="1"/>
  <c r="J220" i="22"/>
  <c r="J219" i="22"/>
  <c r="M219" i="22" s="1"/>
  <c r="N219" i="22" s="1"/>
  <c r="J234" i="22"/>
  <c r="J232" i="22"/>
  <c r="M232" i="22" s="1"/>
  <c r="J228" i="22"/>
  <c r="M228" i="22" s="1"/>
  <c r="J218" i="22"/>
  <c r="M218" i="22" s="1"/>
  <c r="N218" i="22" s="1"/>
  <c r="J216" i="22"/>
  <c r="J214" i="22"/>
  <c r="M214" i="22" s="1"/>
  <c r="J212" i="22"/>
  <c r="J210" i="22"/>
  <c r="M210" i="22" s="1"/>
  <c r="J209" i="22"/>
  <c r="M209" i="22" s="1"/>
  <c r="J203" i="22"/>
  <c r="M203" i="22" s="1"/>
  <c r="J231" i="22"/>
  <c r="M231" i="22" s="1"/>
  <c r="J227" i="22"/>
  <c r="L227" i="22" s="1"/>
  <c r="J225" i="22"/>
  <c r="M225" i="22" s="1"/>
  <c r="J223" i="22"/>
  <c r="J208" i="22"/>
  <c r="J207" i="22"/>
  <c r="M207" i="22" s="1"/>
  <c r="J233" i="22"/>
  <c r="J213" i="22"/>
  <c r="J211" i="22"/>
  <c r="J204" i="22"/>
  <c r="M204" i="22" s="1"/>
  <c r="J198" i="22"/>
  <c r="L198" i="22" s="1"/>
  <c r="J195" i="22"/>
  <c r="J190" i="22"/>
  <c r="M190" i="22" s="1"/>
  <c r="J221" i="22"/>
  <c r="J215" i="22"/>
  <c r="M215" i="22" s="1"/>
  <c r="J197" i="22"/>
  <c r="J194" i="22"/>
  <c r="L194" i="22" s="1"/>
  <c r="J193" i="22"/>
  <c r="M193" i="22" s="1"/>
  <c r="J237" i="22"/>
  <c r="L237" i="22" s="1"/>
  <c r="J199" i="22"/>
  <c r="M199" i="22" s="1"/>
  <c r="J191" i="22"/>
  <c r="L191" i="22" s="1"/>
  <c r="J185" i="22"/>
  <c r="J183" i="22"/>
  <c r="J179" i="22"/>
  <c r="J173" i="22"/>
  <c r="J168" i="22"/>
  <c r="L168" i="22" s="1"/>
  <c r="J164" i="22"/>
  <c r="J155" i="22"/>
  <c r="J149" i="22"/>
  <c r="J229" i="22"/>
  <c r="J224" i="22"/>
  <c r="L224" i="22" s="1"/>
  <c r="J217" i="22"/>
  <c r="M217" i="22" s="1"/>
  <c r="J205" i="22"/>
  <c r="M205" i="22" s="1"/>
  <c r="J189" i="22"/>
  <c r="J184" i="22"/>
  <c r="L184" i="22" s="1"/>
  <c r="J182" i="22"/>
  <c r="J178" i="22"/>
  <c r="M178" i="22" s="1"/>
  <c r="J177" i="22"/>
  <c r="L177" i="22" s="1"/>
  <c r="J167" i="22"/>
  <c r="L167" i="22" s="1"/>
  <c r="J166" i="22"/>
  <c r="J163" i="22"/>
  <c r="M163" i="22" s="1"/>
  <c r="J162" i="22"/>
  <c r="M162" i="22" s="1"/>
  <c r="J161" i="22"/>
  <c r="M161" i="22" s="1"/>
  <c r="N161" i="22" s="1"/>
  <c r="J154" i="22"/>
  <c r="L154" i="22" s="1"/>
  <c r="J148" i="22"/>
  <c r="M148" i="22" s="1"/>
  <c r="J13" i="22"/>
  <c r="L13" i="22" s="1"/>
  <c r="J15" i="22"/>
  <c r="J17" i="22"/>
  <c r="M17" i="22" s="1"/>
  <c r="O17" i="22" s="1"/>
  <c r="Q17" i="22" s="1"/>
  <c r="S17" i="22" s="1"/>
  <c r="U17" i="22" s="1"/>
  <c r="W17" i="22" s="1"/>
  <c r="Y17" i="22" s="1"/>
  <c r="AA17" i="22" s="1"/>
  <c r="AC17" i="22" s="1"/>
  <c r="AE17" i="22" s="1"/>
  <c r="AG17" i="22" s="1"/>
  <c r="AI17" i="22" s="1"/>
  <c r="J19" i="22"/>
  <c r="M19" i="22" s="1"/>
  <c r="O19" i="22" s="1"/>
  <c r="Q19" i="22" s="1"/>
  <c r="S19" i="22" s="1"/>
  <c r="U19" i="22" s="1"/>
  <c r="W19" i="22" s="1"/>
  <c r="Y19" i="22" s="1"/>
  <c r="AA19" i="22" s="1"/>
  <c r="AC19" i="22" s="1"/>
  <c r="AE19" i="22" s="1"/>
  <c r="AG19" i="22" s="1"/>
  <c r="AI19" i="22" s="1"/>
  <c r="J27" i="22"/>
  <c r="L27" i="22" s="1"/>
  <c r="J29" i="22"/>
  <c r="J34" i="22"/>
  <c r="J49" i="22"/>
  <c r="M49" i="22" s="1"/>
  <c r="O49" i="22" s="1"/>
  <c r="Q49" i="22" s="1"/>
  <c r="S49" i="22" s="1"/>
  <c r="U49" i="22" s="1"/>
  <c r="W49" i="22" s="1"/>
  <c r="Y49" i="22" s="1"/>
  <c r="AA49" i="22" s="1"/>
  <c r="AC49" i="22" s="1"/>
  <c r="AE49" i="22" s="1"/>
  <c r="AG49" i="22" s="1"/>
  <c r="AI49" i="22" s="1"/>
  <c r="J54" i="22"/>
  <c r="L54" i="22" s="1"/>
  <c r="J81" i="22"/>
  <c r="M81" i="22" s="1"/>
  <c r="O81" i="22" s="1"/>
  <c r="Q81" i="22" s="1"/>
  <c r="S81" i="22" s="1"/>
  <c r="U81" i="22" s="1"/>
  <c r="W81" i="22" s="1"/>
  <c r="Y81" i="22" s="1"/>
  <c r="AA81" i="22" s="1"/>
  <c r="AC81" i="22" s="1"/>
  <c r="AE81" i="22" s="1"/>
  <c r="AG81" i="22" s="1"/>
  <c r="AI81" i="22" s="1"/>
  <c r="J112" i="22"/>
  <c r="M112" i="22" s="1"/>
  <c r="O112" i="22" s="1"/>
  <c r="Q112" i="22" s="1"/>
  <c r="S112" i="22" s="1"/>
  <c r="U112" i="22" s="1"/>
  <c r="W112" i="22" s="1"/>
  <c r="Y112" i="22" s="1"/>
  <c r="AA112" i="22" s="1"/>
  <c r="AC112" i="22" s="1"/>
  <c r="AE112" i="22" s="1"/>
  <c r="AG112" i="22" s="1"/>
  <c r="AI112" i="22" s="1"/>
  <c r="J119" i="22"/>
  <c r="L119" i="22" s="1"/>
  <c r="J131" i="22"/>
  <c r="M131" i="22" s="1"/>
  <c r="O131" i="22" s="1"/>
  <c r="J132" i="22"/>
  <c r="L132" i="22" s="1"/>
  <c r="J137" i="22"/>
  <c r="M137" i="22" s="1"/>
  <c r="J138" i="22"/>
  <c r="J146" i="22"/>
  <c r="J151" i="22"/>
  <c r="M151" i="22" s="1"/>
  <c r="J152" i="22"/>
  <c r="M152" i="22" s="1"/>
  <c r="J156" i="22"/>
  <c r="M156" i="22" s="1"/>
  <c r="N156" i="22" s="1"/>
  <c r="J170" i="22"/>
  <c r="M170" i="22" s="1"/>
  <c r="J174" i="22"/>
  <c r="M174" i="22" s="1"/>
  <c r="J202" i="22"/>
  <c r="M202" i="22" s="1"/>
  <c r="M139" i="22"/>
  <c r="L139" i="22"/>
  <c r="L200" i="22"/>
  <c r="M200" i="22"/>
  <c r="M133" i="22"/>
  <c r="L133" i="22"/>
  <c r="L125" i="22"/>
  <c r="M122" i="22"/>
  <c r="M123" i="22"/>
  <c r="L123" i="22"/>
  <c r="O180" i="22"/>
  <c r="N180" i="22"/>
  <c r="M186" i="22"/>
  <c r="L186" i="22"/>
  <c r="O169" i="22"/>
  <c r="N169" i="22"/>
  <c r="O125" i="22"/>
  <c r="N125" i="22"/>
  <c r="M150" i="22"/>
  <c r="L150" i="22"/>
  <c r="L160" i="22"/>
  <c r="M160" i="22"/>
  <c r="L175" i="22"/>
  <c r="M175" i="22"/>
  <c r="M171" i="22"/>
  <c r="L171" i="22"/>
  <c r="M201" i="22"/>
  <c r="L201" i="22"/>
  <c r="L126" i="22"/>
  <c r="L142" i="22"/>
  <c r="L169" i="22"/>
  <c r="L180" i="22"/>
  <c r="O196" i="22"/>
  <c r="M147" i="22"/>
  <c r="M159" i="22"/>
  <c r="L159" i="22"/>
  <c r="L181" i="22"/>
  <c r="L206" i="22"/>
  <c r="M206" i="22"/>
  <c r="M21" i="22"/>
  <c r="O21" i="22" s="1"/>
  <c r="Q21" i="22" s="1"/>
  <c r="S21" i="22" s="1"/>
  <c r="U21" i="22" s="1"/>
  <c r="W21" i="22" s="1"/>
  <c r="Y21" i="22" s="1"/>
  <c r="AA21" i="22" s="1"/>
  <c r="AC21" i="22" s="1"/>
  <c r="AE21" i="22" s="1"/>
  <c r="AG21" i="22" s="1"/>
  <c r="AI21" i="22" s="1"/>
  <c r="L26" i="22"/>
  <c r="L33" i="22"/>
  <c r="L12" i="22"/>
  <c r="L25" i="22"/>
  <c r="M50" i="22"/>
  <c r="O50" i="22" s="1"/>
  <c r="Q50" i="22" s="1"/>
  <c r="S50" i="22" s="1"/>
  <c r="U50" i="22" s="1"/>
  <c r="W50" i="22" s="1"/>
  <c r="Y50" i="22" s="1"/>
  <c r="AA50" i="22" s="1"/>
  <c r="AC50" i="22" s="1"/>
  <c r="AE50" i="22" s="1"/>
  <c r="AG50" i="22" s="1"/>
  <c r="AI50" i="22" s="1"/>
  <c r="M102" i="22"/>
  <c r="O102" i="22" s="1"/>
  <c r="Q102" i="22" s="1"/>
  <c r="S102" i="22" s="1"/>
  <c r="U102" i="22" s="1"/>
  <c r="W102" i="22" s="1"/>
  <c r="Y102" i="22" s="1"/>
  <c r="AA102" i="22" s="1"/>
  <c r="AC102" i="22" s="1"/>
  <c r="AE102" i="22" s="1"/>
  <c r="AG102" i="22" s="1"/>
  <c r="AI102" i="22" s="1"/>
  <c r="P14" i="22"/>
  <c r="M18" i="22"/>
  <c r="O18" i="22" s="1"/>
  <c r="Q18" i="22" s="1"/>
  <c r="S18" i="22" s="1"/>
  <c r="U18" i="22" s="1"/>
  <c r="W18" i="22" s="1"/>
  <c r="Y18" i="22" s="1"/>
  <c r="AA18" i="22" s="1"/>
  <c r="AC18" i="22" s="1"/>
  <c r="AE18" i="22" s="1"/>
  <c r="AG18" i="22" s="1"/>
  <c r="AI18" i="22" s="1"/>
  <c r="P28" i="22"/>
  <c r="M45" i="22"/>
  <c r="O45" i="22" s="1"/>
  <c r="Q45" i="22" s="1"/>
  <c r="S45" i="22" s="1"/>
  <c r="U45" i="22" s="1"/>
  <c r="W45" i="22" s="1"/>
  <c r="Y45" i="22" s="1"/>
  <c r="AA45" i="22" s="1"/>
  <c r="AC45" i="22" s="1"/>
  <c r="AE45" i="22" s="1"/>
  <c r="AG45" i="22" s="1"/>
  <c r="AI45" i="22" s="1"/>
  <c r="L45" i="22"/>
  <c r="M100" i="22"/>
  <c r="O100" i="22" s="1"/>
  <c r="Q100" i="22" s="1"/>
  <c r="S100" i="22" s="1"/>
  <c r="U100" i="22" s="1"/>
  <c r="W100" i="22" s="1"/>
  <c r="Y100" i="22" s="1"/>
  <c r="AA100" i="22" s="1"/>
  <c r="AC100" i="22" s="1"/>
  <c r="AE100" i="22" s="1"/>
  <c r="AG100" i="22" s="1"/>
  <c r="AI100" i="22" s="1"/>
  <c r="L100" i="22"/>
  <c r="M89" i="22"/>
  <c r="O89" i="22" s="1"/>
  <c r="Q89" i="22" s="1"/>
  <c r="S89" i="22" s="1"/>
  <c r="U89" i="22" s="1"/>
  <c r="W89" i="22" s="1"/>
  <c r="Y89" i="22" s="1"/>
  <c r="AA89" i="22" s="1"/>
  <c r="AC89" i="22" s="1"/>
  <c r="AE89" i="22" s="1"/>
  <c r="AG89" i="22" s="1"/>
  <c r="AI89" i="22" s="1"/>
  <c r="L89" i="22"/>
  <c r="M10" i="22"/>
  <c r="P12" i="22"/>
  <c r="L14" i="22"/>
  <c r="M24" i="22"/>
  <c r="P26" i="22"/>
  <c r="L28" i="22"/>
  <c r="M37" i="22"/>
  <c r="O37" i="22" s="1"/>
  <c r="Q37" i="22" s="1"/>
  <c r="S37" i="22" s="1"/>
  <c r="U37" i="22" s="1"/>
  <c r="W37" i="22" s="1"/>
  <c r="Y37" i="22" s="1"/>
  <c r="AA37" i="22" s="1"/>
  <c r="AC37" i="22" s="1"/>
  <c r="AE37" i="22" s="1"/>
  <c r="AG37" i="22" s="1"/>
  <c r="AI37" i="22" s="1"/>
  <c r="L37" i="22"/>
  <c r="M53" i="22"/>
  <c r="O53" i="22" s="1"/>
  <c r="Q53" i="22" s="1"/>
  <c r="S53" i="22" s="1"/>
  <c r="U53" i="22" s="1"/>
  <c r="W53" i="22" s="1"/>
  <c r="Y53" i="22" s="1"/>
  <c r="AA53" i="22" s="1"/>
  <c r="AC53" i="22" s="1"/>
  <c r="AE53" i="22" s="1"/>
  <c r="AG53" i="22" s="1"/>
  <c r="AI53" i="22" s="1"/>
  <c r="L53" i="22"/>
  <c r="R9" i="22"/>
  <c r="P23" i="22"/>
  <c r="P33" i="22"/>
  <c r="L23" i="22"/>
  <c r="P25" i="22"/>
  <c r="M42" i="22"/>
  <c r="O42" i="22" s="1"/>
  <c r="Q42" i="22" s="1"/>
  <c r="S42" i="22" s="1"/>
  <c r="U42" i="22" s="1"/>
  <c r="W42" i="22" s="1"/>
  <c r="Y42" i="22" s="1"/>
  <c r="AA42" i="22" s="1"/>
  <c r="AC42" i="22" s="1"/>
  <c r="AE42" i="22" s="1"/>
  <c r="AG42" i="22" s="1"/>
  <c r="AI42" i="22" s="1"/>
  <c r="J120" i="22"/>
  <c r="J118" i="22"/>
  <c r="J117" i="22"/>
  <c r="J113" i="22"/>
  <c r="J109" i="22"/>
  <c r="J105" i="22"/>
  <c r="J101" i="22"/>
  <c r="J97" i="22"/>
  <c r="J115" i="22"/>
  <c r="J111" i="22"/>
  <c r="J107" i="22"/>
  <c r="J103" i="22"/>
  <c r="J121" i="22"/>
  <c r="J90" i="22"/>
  <c r="J86" i="22"/>
  <c r="J82" i="22"/>
  <c r="J78" i="22"/>
  <c r="J98" i="22"/>
  <c r="J96" i="22"/>
  <c r="J91" i="22"/>
  <c r="J87" i="22"/>
  <c r="J83" i="22"/>
  <c r="J79" i="22"/>
  <c r="J73" i="22"/>
  <c r="J69" i="22"/>
  <c r="J65" i="22"/>
  <c r="J61" i="22"/>
  <c r="J57" i="22"/>
  <c r="J116" i="22"/>
  <c r="J114" i="22"/>
  <c r="J108" i="22"/>
  <c r="J106" i="22"/>
  <c r="J95" i="22"/>
  <c r="J92" i="22"/>
  <c r="J88" i="22"/>
  <c r="J84" i="22"/>
  <c r="J80" i="22"/>
  <c r="J76" i="22"/>
  <c r="J72" i="22"/>
  <c r="J68" i="22"/>
  <c r="J64" i="22"/>
  <c r="J60" i="22"/>
  <c r="J56" i="22"/>
  <c r="J52" i="22"/>
  <c r="J48" i="22"/>
  <c r="J44" i="22"/>
  <c r="J40" i="22"/>
  <c r="J36" i="22"/>
  <c r="J32" i="22"/>
  <c r="N14" i="22"/>
  <c r="J16" i="22"/>
  <c r="J20" i="22"/>
  <c r="N25" i="22"/>
  <c r="N28" i="22"/>
  <c r="J30" i="22"/>
  <c r="J31" i="22"/>
  <c r="J35" i="22"/>
  <c r="J39" i="22"/>
  <c r="J43" i="22"/>
  <c r="J47" i="22"/>
  <c r="J51" i="22"/>
  <c r="J55" i="22"/>
  <c r="J77" i="22"/>
  <c r="J85" i="22"/>
  <c r="J93" i="22"/>
  <c r="J99" i="22"/>
  <c r="N12" i="22"/>
  <c r="N23" i="22"/>
  <c r="N26" i="22"/>
  <c r="N33" i="22"/>
  <c r="J58" i="22"/>
  <c r="J59" i="22"/>
  <c r="J62" i="22"/>
  <c r="J63" i="22"/>
  <c r="J66" i="22"/>
  <c r="J67" i="22"/>
  <c r="J70" i="22"/>
  <c r="J71" i="22"/>
  <c r="J74" i="22"/>
  <c r="J75" i="22"/>
  <c r="J104" i="22"/>
  <c r="J110" i="22"/>
  <c r="F125" i="21"/>
  <c r="F124" i="21"/>
  <c r="AL122" i="21"/>
  <c r="L122" i="21"/>
  <c r="AL121" i="21"/>
  <c r="L121" i="21"/>
  <c r="AL120" i="21"/>
  <c r="L120" i="21"/>
  <c r="L119" i="21"/>
  <c r="L118" i="21"/>
  <c r="L117" i="21"/>
  <c r="L116" i="21"/>
  <c r="L115" i="21"/>
  <c r="AL114" i="21"/>
  <c r="L114" i="21"/>
  <c r="L113" i="21"/>
  <c r="AL112" i="21"/>
  <c r="L112" i="21"/>
  <c r="L111" i="21"/>
  <c r="L110" i="21"/>
  <c r="AL109" i="21"/>
  <c r="L109" i="21"/>
  <c r="AL108" i="21"/>
  <c r="L108" i="21"/>
  <c r="AL107" i="21"/>
  <c r="L107" i="21"/>
  <c r="L106" i="21"/>
  <c r="L105" i="21"/>
  <c r="L104" i="21"/>
  <c r="L103" i="21"/>
  <c r="L102" i="21"/>
  <c r="L101" i="21"/>
  <c r="AL100" i="21"/>
  <c r="L100" i="21"/>
  <c r="L97" i="21"/>
  <c r="L96" i="21"/>
  <c r="L95" i="21"/>
  <c r="F93" i="21"/>
  <c r="L92" i="21"/>
  <c r="L91" i="21"/>
  <c r="D90" i="21"/>
  <c r="L89" i="21"/>
  <c r="D89" i="21"/>
  <c r="C89" i="21"/>
  <c r="L87" i="21"/>
  <c r="F87" i="21"/>
  <c r="K87" i="21" s="1"/>
  <c r="N87" i="21" s="1"/>
  <c r="P87" i="21" s="1"/>
  <c r="R87" i="21" s="1"/>
  <c r="T87" i="21" s="1"/>
  <c r="V87" i="21" s="1"/>
  <c r="X87" i="21" s="1"/>
  <c r="Z87" i="21" s="1"/>
  <c r="AB87" i="21" s="1"/>
  <c r="AD87" i="21" s="1"/>
  <c r="AF87" i="21" s="1"/>
  <c r="AH87" i="21" s="1"/>
  <c r="AJ87" i="21" s="1"/>
  <c r="L86" i="21"/>
  <c r="F86" i="21"/>
  <c r="K86" i="21" s="1"/>
  <c r="N86" i="21" s="1"/>
  <c r="P86" i="21" s="1"/>
  <c r="R86" i="21" s="1"/>
  <c r="T86" i="21" s="1"/>
  <c r="V86" i="21" s="1"/>
  <c r="X86" i="21" s="1"/>
  <c r="Z86" i="21" s="1"/>
  <c r="AB86" i="21" s="1"/>
  <c r="AD86" i="21" s="1"/>
  <c r="AF86" i="21" s="1"/>
  <c r="AH86" i="21" s="1"/>
  <c r="AJ86" i="21" s="1"/>
  <c r="L85" i="21"/>
  <c r="F85" i="21"/>
  <c r="K85" i="21" s="1"/>
  <c r="N85" i="21" s="1"/>
  <c r="P85" i="21" s="1"/>
  <c r="R85" i="21" s="1"/>
  <c r="T85" i="21" s="1"/>
  <c r="V85" i="21" s="1"/>
  <c r="X85" i="21" s="1"/>
  <c r="Z85" i="21" s="1"/>
  <c r="AB85" i="21" s="1"/>
  <c r="AD85" i="21" s="1"/>
  <c r="AF85" i="21" s="1"/>
  <c r="AH85" i="21" s="1"/>
  <c r="AJ85" i="21" s="1"/>
  <c r="L82" i="21"/>
  <c r="L81" i="21"/>
  <c r="L80" i="21"/>
  <c r="L79" i="21"/>
  <c r="L78" i="21"/>
  <c r="F78" i="21"/>
  <c r="K78" i="21" s="1"/>
  <c r="N78" i="21" s="1"/>
  <c r="P78" i="21" s="1"/>
  <c r="R78" i="21" s="1"/>
  <c r="T78" i="21" s="1"/>
  <c r="V78" i="21" s="1"/>
  <c r="X78" i="21" s="1"/>
  <c r="Z78" i="21" s="1"/>
  <c r="AB78" i="21" s="1"/>
  <c r="AD78" i="21" s="1"/>
  <c r="AF78" i="21" s="1"/>
  <c r="AH78" i="21" s="1"/>
  <c r="AJ78" i="21" s="1"/>
  <c r="AD77" i="21"/>
  <c r="AF77" i="21" s="1"/>
  <c r="AH77" i="21" s="1"/>
  <c r="AJ77" i="21" s="1"/>
  <c r="L77" i="21"/>
  <c r="F77" i="21"/>
  <c r="K77" i="21" s="1"/>
  <c r="N77" i="21" s="1"/>
  <c r="P77" i="21" s="1"/>
  <c r="R77" i="21" s="1"/>
  <c r="T77" i="21" s="1"/>
  <c r="V77" i="21" s="1"/>
  <c r="X77" i="21" s="1"/>
  <c r="Z77" i="21" s="1"/>
  <c r="AB77" i="21" s="1"/>
  <c r="L76" i="21"/>
  <c r="F76" i="21"/>
  <c r="K76" i="21" s="1"/>
  <c r="N76" i="21" s="1"/>
  <c r="P76" i="21" s="1"/>
  <c r="R76" i="21" s="1"/>
  <c r="T76" i="21" s="1"/>
  <c r="V76" i="21" s="1"/>
  <c r="X76" i="21" s="1"/>
  <c r="Z76" i="21" s="1"/>
  <c r="AB76" i="21" s="1"/>
  <c r="AD76" i="21" s="1"/>
  <c r="AF76" i="21" s="1"/>
  <c r="AH76" i="21" s="1"/>
  <c r="AJ76" i="21" s="1"/>
  <c r="L75" i="21"/>
  <c r="L74" i="21"/>
  <c r="L73" i="21"/>
  <c r="L72" i="21"/>
  <c r="L71" i="21"/>
  <c r="C69" i="21"/>
  <c r="C68" i="21"/>
  <c r="B68" i="21"/>
  <c r="D67" i="21"/>
  <c r="C67" i="21"/>
  <c r="B67" i="21"/>
  <c r="C66" i="21"/>
  <c r="B66" i="21"/>
  <c r="C65" i="21"/>
  <c r="B65" i="21"/>
  <c r="D64" i="21"/>
  <c r="C64" i="21"/>
  <c r="B64" i="21"/>
  <c r="C63" i="21"/>
  <c r="B63" i="21"/>
  <c r="D62" i="21"/>
  <c r="C62" i="21"/>
  <c r="B62" i="21"/>
  <c r="D61" i="21"/>
  <c r="C61" i="21"/>
  <c r="B61" i="21"/>
  <c r="C60" i="21"/>
  <c r="B60" i="21"/>
  <c r="C59" i="21"/>
  <c r="B59" i="21"/>
  <c r="C58" i="21"/>
  <c r="B58" i="21"/>
  <c r="C57" i="2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C52" i="21"/>
  <c r="B52" i="21"/>
  <c r="D51" i="21"/>
  <c r="C51" i="21"/>
  <c r="B51" i="21"/>
  <c r="D50" i="21"/>
  <c r="C50" i="21"/>
  <c r="B50" i="21"/>
  <c r="C49" i="21"/>
  <c r="B49" i="21"/>
  <c r="D48" i="21"/>
  <c r="C48" i="21"/>
  <c r="B48" i="21"/>
  <c r="C47" i="21"/>
  <c r="B47" i="21"/>
  <c r="D46" i="21"/>
  <c r="C46" i="21"/>
  <c r="B46" i="21"/>
  <c r="C45" i="21"/>
  <c r="B45" i="21"/>
  <c r="C44" i="21"/>
  <c r="B44" i="21"/>
  <c r="D43" i="21"/>
  <c r="C43" i="21"/>
  <c r="B43" i="21"/>
  <c r="L42" i="21"/>
  <c r="D42" i="21"/>
  <c r="C42" i="21"/>
  <c r="B42" i="21"/>
  <c r="C41" i="21"/>
  <c r="B41" i="21"/>
  <c r="D40" i="21"/>
  <c r="C40" i="21"/>
  <c r="B40" i="21"/>
  <c r="D39" i="21"/>
  <c r="C39" i="21"/>
  <c r="B39" i="21"/>
  <c r="C38" i="21"/>
  <c r="B38" i="21"/>
  <c r="D37" i="21"/>
  <c r="C37" i="21"/>
  <c r="B37" i="21"/>
  <c r="D36" i="21"/>
  <c r="D57" i="21" s="1"/>
  <c r="C36" i="21"/>
  <c r="B36" i="21"/>
  <c r="D35" i="21"/>
  <c r="C35" i="21"/>
  <c r="B35" i="21"/>
  <c r="D34" i="21"/>
  <c r="D3" i="21" s="1"/>
  <c r="F3" i="21" s="1"/>
  <c r="C34" i="21"/>
  <c r="B34" i="21"/>
  <c r="D33" i="21"/>
  <c r="C33" i="21"/>
  <c r="B33" i="21"/>
  <c r="D32" i="21"/>
  <c r="F74" i="21" s="1"/>
  <c r="K74" i="21" s="1"/>
  <c r="N74" i="21" s="1"/>
  <c r="P74" i="21" s="1"/>
  <c r="R74" i="21" s="1"/>
  <c r="T74" i="21" s="1"/>
  <c r="V74" i="21" s="1"/>
  <c r="X74" i="21" s="1"/>
  <c r="Z74" i="21" s="1"/>
  <c r="AB74" i="21" s="1"/>
  <c r="AD74" i="21" s="1"/>
  <c r="AF74" i="21" s="1"/>
  <c r="AH74" i="21" s="1"/>
  <c r="AJ74" i="21" s="1"/>
  <c r="C32" i="21"/>
  <c r="B32" i="21"/>
  <c r="O31" i="21"/>
  <c r="L31" i="21"/>
  <c r="K31" i="21"/>
  <c r="J31" i="21"/>
  <c r="M77" i="21" s="1"/>
  <c r="C31" i="21"/>
  <c r="E30" i="21"/>
  <c r="C30" i="21"/>
  <c r="B30" i="21"/>
  <c r="E29" i="21"/>
  <c r="C29" i="21"/>
  <c r="B29" i="21"/>
  <c r="C28" i="21"/>
  <c r="B28" i="21"/>
  <c r="C27" i="21"/>
  <c r="B27" i="21"/>
  <c r="C26" i="21"/>
  <c r="B26" i="21"/>
  <c r="E25" i="21"/>
  <c r="C25" i="21"/>
  <c r="E24" i="21"/>
  <c r="C24" i="21"/>
  <c r="B24" i="21"/>
  <c r="E23" i="21"/>
  <c r="C23" i="21"/>
  <c r="B23" i="21"/>
  <c r="C22" i="21"/>
  <c r="B22" i="21"/>
  <c r="C21" i="21"/>
  <c r="B21" i="21"/>
  <c r="L20" i="21"/>
  <c r="C20" i="21"/>
  <c r="B20" i="21"/>
  <c r="C19" i="21"/>
  <c r="B19" i="21"/>
  <c r="L18" i="21"/>
  <c r="C18" i="21"/>
  <c r="B18" i="21"/>
  <c r="L17" i="21"/>
  <c r="C17" i="21"/>
  <c r="B17" i="21"/>
  <c r="L16" i="21"/>
  <c r="B16" i="21"/>
  <c r="L15" i="21"/>
  <c r="C15" i="21"/>
  <c r="B15" i="21"/>
  <c r="C14" i="21"/>
  <c r="B14" i="21"/>
  <c r="L13" i="21"/>
  <c r="C13" i="21"/>
  <c r="B13" i="21"/>
  <c r="L12" i="21"/>
  <c r="C12" i="21"/>
  <c r="B12" i="21"/>
  <c r="L11" i="21"/>
  <c r="C11" i="21"/>
  <c r="B11" i="21"/>
  <c r="L10" i="21"/>
  <c r="C10" i="21"/>
  <c r="B10" i="21"/>
  <c r="C9" i="21"/>
  <c r="B9" i="21"/>
  <c r="L8" i="21"/>
  <c r="C8" i="21"/>
  <c r="B8" i="21"/>
  <c r="L7" i="21"/>
  <c r="C7" i="21"/>
  <c r="B7" i="21"/>
  <c r="C6" i="21"/>
  <c r="B6" i="21"/>
  <c r="C5" i="21"/>
  <c r="B5" i="21"/>
  <c r="C4" i="21"/>
  <c r="B4" i="21"/>
  <c r="C3" i="21"/>
  <c r="B3" i="21"/>
  <c r="R2" i="21"/>
  <c r="M2" i="21"/>
  <c r="C2" i="21"/>
  <c r="B2" i="21"/>
  <c r="C1" i="21"/>
  <c r="V44" i="27" l="1"/>
  <c r="U44" i="27"/>
  <c r="U49" i="24"/>
  <c r="V49" i="24"/>
  <c r="F32" i="21"/>
  <c r="J32" i="21" s="1"/>
  <c r="L32" i="21" s="1"/>
  <c r="F46" i="21"/>
  <c r="J46" i="21" s="1"/>
  <c r="L46" i="21" s="1"/>
  <c r="D12" i="21"/>
  <c r="D15" i="21" s="1"/>
  <c r="F15" i="21" s="1"/>
  <c r="J15" i="21" s="1"/>
  <c r="J3" i="21"/>
  <c r="K3" i="21" s="1"/>
  <c r="P126" i="22"/>
  <c r="Q181" i="22"/>
  <c r="S181" i="22" s="1"/>
  <c r="U181" i="22" s="1"/>
  <c r="W181" i="22" s="1"/>
  <c r="Y181" i="22" s="1"/>
  <c r="AA181" i="22" s="1"/>
  <c r="AC181" i="22" s="1"/>
  <c r="AE181" i="22" s="1"/>
  <c r="AG181" i="22" s="1"/>
  <c r="AI181" i="22" s="1"/>
  <c r="O129" i="22"/>
  <c r="P129" i="22" s="1"/>
  <c r="M94" i="22"/>
  <c r="O94" i="22" s="1"/>
  <c r="Q94" i="22" s="1"/>
  <c r="S94" i="22" s="1"/>
  <c r="U94" i="22" s="1"/>
  <c r="W94" i="22" s="1"/>
  <c r="Y94" i="22" s="1"/>
  <c r="AA94" i="22" s="1"/>
  <c r="AC94" i="22" s="1"/>
  <c r="AE94" i="22" s="1"/>
  <c r="AG94" i="22" s="1"/>
  <c r="AI94" i="22" s="1"/>
  <c r="L202" i="22"/>
  <c r="L226" i="22"/>
  <c r="L81" i="22"/>
  <c r="M224" i="22"/>
  <c r="N224" i="22" s="1"/>
  <c r="L193" i="22"/>
  <c r="L161" i="22"/>
  <c r="M177" i="22"/>
  <c r="O177" i="22" s="1"/>
  <c r="N140" i="22"/>
  <c r="M136" i="22"/>
  <c r="L209" i="22"/>
  <c r="M198" i="22"/>
  <c r="N198" i="22" s="1"/>
  <c r="L225" i="22"/>
  <c r="M168" i="22"/>
  <c r="O11" i="22"/>
  <c r="Q11" i="22" s="1"/>
  <c r="M167" i="22"/>
  <c r="O167" i="22" s="1"/>
  <c r="M132" i="22"/>
  <c r="O132" i="22" s="1"/>
  <c r="N172" i="22"/>
  <c r="L148" i="22"/>
  <c r="L174" i="22"/>
  <c r="O165" i="22"/>
  <c r="Q165" i="22" s="1"/>
  <c r="S165" i="22" s="1"/>
  <c r="U165" i="22" s="1"/>
  <c r="W165" i="22" s="1"/>
  <c r="Y165" i="22" s="1"/>
  <c r="AA165" i="22" s="1"/>
  <c r="AC165" i="22" s="1"/>
  <c r="AE165" i="22" s="1"/>
  <c r="AG165" i="22" s="1"/>
  <c r="AI165" i="22" s="1"/>
  <c r="M54" i="22"/>
  <c r="O54" i="22" s="1"/>
  <c r="Q54" i="22" s="1"/>
  <c r="S54" i="22" s="1"/>
  <c r="U54" i="22" s="1"/>
  <c r="W54" i="22" s="1"/>
  <c r="Y54" i="22" s="1"/>
  <c r="AA54" i="22" s="1"/>
  <c r="AC54" i="22" s="1"/>
  <c r="AE54" i="22" s="1"/>
  <c r="AG54" i="22" s="1"/>
  <c r="AI54" i="22" s="1"/>
  <c r="L131" i="22"/>
  <c r="N131" i="22"/>
  <c r="N102" i="22"/>
  <c r="M41" i="22"/>
  <c r="O41" i="22" s="1"/>
  <c r="Q41" i="22" s="1"/>
  <c r="S41" i="22" s="1"/>
  <c r="U41" i="22" s="1"/>
  <c r="W41" i="22" s="1"/>
  <c r="Y41" i="22" s="1"/>
  <c r="AA41" i="22" s="1"/>
  <c r="AC41" i="22" s="1"/>
  <c r="AE41" i="22" s="1"/>
  <c r="AG41" i="22" s="1"/>
  <c r="AI41" i="22" s="1"/>
  <c r="M13" i="22"/>
  <c r="O13" i="22" s="1"/>
  <c r="L215" i="22"/>
  <c r="L170" i="22"/>
  <c r="O134" i="22"/>
  <c r="Q134" i="22" s="1"/>
  <c r="S134" i="22" s="1"/>
  <c r="U134" i="22" s="1"/>
  <c r="W134" i="22" s="1"/>
  <c r="Y134" i="22" s="1"/>
  <c r="AA134" i="22" s="1"/>
  <c r="AC134" i="22" s="1"/>
  <c r="AE134" i="22" s="1"/>
  <c r="AG134" i="22" s="1"/>
  <c r="AI134" i="22" s="1"/>
  <c r="L162" i="22"/>
  <c r="M27" i="22"/>
  <c r="O27" i="22" s="1"/>
  <c r="P89" i="22"/>
  <c r="L214" i="22"/>
  <c r="M222" i="22"/>
  <c r="O222" i="22" s="1"/>
  <c r="L204" i="22"/>
  <c r="L151" i="22"/>
  <c r="O161" i="22"/>
  <c r="P161" i="22" s="1"/>
  <c r="L232" i="22"/>
  <c r="M237" i="22"/>
  <c r="N237" i="22" s="1"/>
  <c r="L157" i="22"/>
  <c r="L203" i="22"/>
  <c r="M191" i="22"/>
  <c r="O191" i="22" s="1"/>
  <c r="L199" i="22"/>
  <c r="L190" i="22"/>
  <c r="N50" i="22"/>
  <c r="L17" i="22"/>
  <c r="M194" i="22"/>
  <c r="O194" i="22" s="1"/>
  <c r="M184" i="22"/>
  <c r="O184" i="22" s="1"/>
  <c r="M154" i="22"/>
  <c r="N154" i="22" s="1"/>
  <c r="L236" i="22"/>
  <c r="N81" i="22"/>
  <c r="N37" i="22"/>
  <c r="P50" i="22"/>
  <c r="M187" i="22"/>
  <c r="O187" i="22" s="1"/>
  <c r="O157" i="22"/>
  <c r="Q157" i="22" s="1"/>
  <c r="S157" i="22" s="1"/>
  <c r="U157" i="22" s="1"/>
  <c r="W157" i="22" s="1"/>
  <c r="Y157" i="22" s="1"/>
  <c r="AA157" i="22" s="1"/>
  <c r="AC157" i="22" s="1"/>
  <c r="AE157" i="22" s="1"/>
  <c r="AG157" i="22" s="1"/>
  <c r="AI157" i="22" s="1"/>
  <c r="O145" i="22"/>
  <c r="Q145" i="22" s="1"/>
  <c r="S145" i="22" s="1"/>
  <c r="U145" i="22" s="1"/>
  <c r="W145" i="22" s="1"/>
  <c r="Y145" i="22" s="1"/>
  <c r="AA145" i="22" s="1"/>
  <c r="AC145" i="22" s="1"/>
  <c r="AE145" i="22" s="1"/>
  <c r="AG145" i="22" s="1"/>
  <c r="AI145" i="22" s="1"/>
  <c r="M119" i="22"/>
  <c r="O119" i="22" s="1"/>
  <c r="Q119" i="22" s="1"/>
  <c r="S119" i="22" s="1"/>
  <c r="U119" i="22" s="1"/>
  <c r="W119" i="22" s="1"/>
  <c r="Y119" i="22" s="1"/>
  <c r="AA119" i="22" s="1"/>
  <c r="AC119" i="22" s="1"/>
  <c r="AE119" i="22" s="1"/>
  <c r="AG119" i="22" s="1"/>
  <c r="AI119" i="22" s="1"/>
  <c r="N18" i="22"/>
  <c r="M38" i="22"/>
  <c r="O38" i="22" s="1"/>
  <c r="Q38" i="22" s="1"/>
  <c r="S38" i="22" s="1"/>
  <c r="U38" i="22" s="1"/>
  <c r="W38" i="22" s="1"/>
  <c r="Y38" i="22" s="1"/>
  <c r="AA38" i="22" s="1"/>
  <c r="AC38" i="22" s="1"/>
  <c r="AE38" i="22" s="1"/>
  <c r="AG38" i="22" s="1"/>
  <c r="AI38" i="22" s="1"/>
  <c r="P18" i="22"/>
  <c r="N176" i="22"/>
  <c r="L207" i="22"/>
  <c r="L235" i="22"/>
  <c r="L152" i="22"/>
  <c r="N53" i="22"/>
  <c r="P81" i="22"/>
  <c r="L210" i="22"/>
  <c r="M188" i="22"/>
  <c r="O188" i="22" s="1"/>
  <c r="M135" i="22"/>
  <c r="O135" i="22" s="1"/>
  <c r="L137" i="22"/>
  <c r="M149" i="22"/>
  <c r="L149" i="22"/>
  <c r="L221" i="22"/>
  <c r="M221" i="22"/>
  <c r="L124" i="22"/>
  <c r="M124" i="22"/>
  <c r="N17" i="22"/>
  <c r="P142" i="22"/>
  <c r="N141" i="22"/>
  <c r="L34" i="22"/>
  <c r="M34" i="22"/>
  <c r="M166" i="22"/>
  <c r="L166" i="22"/>
  <c r="L179" i="22"/>
  <c r="M179" i="22"/>
  <c r="L211" i="22"/>
  <c r="M211" i="22"/>
  <c r="L208" i="22"/>
  <c r="M208" i="22"/>
  <c r="M212" i="22"/>
  <c r="L212" i="22"/>
  <c r="L144" i="22"/>
  <c r="M144" i="22"/>
  <c r="N158" i="22"/>
  <c r="O158" i="22"/>
  <c r="L112" i="22"/>
  <c r="P19" i="22"/>
  <c r="P17" i="22"/>
  <c r="P102" i="22"/>
  <c r="P22" i="22"/>
  <c r="L49" i="22"/>
  <c r="M227" i="22"/>
  <c r="N227" i="22" s="1"/>
  <c r="L218" i="22"/>
  <c r="L231" i="22"/>
  <c r="L228" i="22"/>
  <c r="O219" i="22"/>
  <c r="P219" i="22" s="1"/>
  <c r="O218" i="22"/>
  <c r="Q218" i="22" s="1"/>
  <c r="S218" i="22" s="1"/>
  <c r="U218" i="22" s="1"/>
  <c r="W218" i="22" s="1"/>
  <c r="Y218" i="22" s="1"/>
  <c r="AA218" i="22" s="1"/>
  <c r="AC218" i="22" s="1"/>
  <c r="AE218" i="22" s="1"/>
  <c r="AG218" i="22" s="1"/>
  <c r="AI218" i="22" s="1"/>
  <c r="L205" i="22"/>
  <c r="L217" i="22"/>
  <c r="L163" i="22"/>
  <c r="L178" i="22"/>
  <c r="O156" i="22"/>
  <c r="P156" i="22" s="1"/>
  <c r="M29" i="22"/>
  <c r="L29" i="22"/>
  <c r="M15" i="22"/>
  <c r="L15" i="22"/>
  <c r="L164" i="22"/>
  <c r="M164" i="22"/>
  <c r="L183" i="22"/>
  <c r="M183" i="22"/>
  <c r="M197" i="22"/>
  <c r="L197" i="22"/>
  <c r="L195" i="22"/>
  <c r="M195" i="22"/>
  <c r="M213" i="22"/>
  <c r="L213" i="22"/>
  <c r="M223" i="22"/>
  <c r="L223" i="22"/>
  <c r="N214" i="22"/>
  <c r="O214" i="22"/>
  <c r="M143" i="22"/>
  <c r="L143" i="22"/>
  <c r="L128" i="22"/>
  <c r="M128" i="22"/>
  <c r="L46" i="22"/>
  <c r="M46" i="22"/>
  <c r="L138" i="22"/>
  <c r="M138" i="22"/>
  <c r="M173" i="22"/>
  <c r="L173" i="22"/>
  <c r="L219" i="22"/>
  <c r="M182" i="22"/>
  <c r="L182" i="22"/>
  <c r="L155" i="22"/>
  <c r="M155" i="22"/>
  <c r="M220" i="22"/>
  <c r="L220" i="22"/>
  <c r="M130" i="22"/>
  <c r="L130" i="22"/>
  <c r="N19" i="22"/>
  <c r="N100" i="22"/>
  <c r="N89" i="22"/>
  <c r="N22" i="22"/>
  <c r="R181" i="22"/>
  <c r="R142" i="22"/>
  <c r="R145" i="22"/>
  <c r="R126" i="22"/>
  <c r="P100" i="22"/>
  <c r="L19" i="22"/>
  <c r="L156" i="22"/>
  <c r="M146" i="22"/>
  <c r="L146" i="22"/>
  <c r="M189" i="22"/>
  <c r="L189" i="22"/>
  <c r="L229" i="22"/>
  <c r="M229" i="22"/>
  <c r="M185" i="22"/>
  <c r="L185" i="22"/>
  <c r="L233" i="22"/>
  <c r="M233" i="22"/>
  <c r="L216" i="22"/>
  <c r="M216" i="22"/>
  <c r="M234" i="22"/>
  <c r="L234" i="22"/>
  <c r="M230" i="22"/>
  <c r="L230" i="22"/>
  <c r="M192" i="22"/>
  <c r="L192" i="22"/>
  <c r="L153" i="22"/>
  <c r="M153" i="22"/>
  <c r="M127" i="22"/>
  <c r="L127" i="22"/>
  <c r="P140" i="22"/>
  <c r="Q140" i="22"/>
  <c r="S140" i="22" s="1"/>
  <c r="U140" i="22" s="1"/>
  <c r="W140" i="22" s="1"/>
  <c r="Y140" i="22" s="1"/>
  <c r="AA140" i="22" s="1"/>
  <c r="AC140" i="22" s="1"/>
  <c r="AE140" i="22" s="1"/>
  <c r="AG140" i="22" s="1"/>
  <c r="AI140" i="22" s="1"/>
  <c r="O190" i="22"/>
  <c r="N190" i="22"/>
  <c r="N231" i="22"/>
  <c r="O231" i="22"/>
  <c r="O210" i="22"/>
  <c r="N210" i="22"/>
  <c r="N222" i="22"/>
  <c r="N209" i="22"/>
  <c r="O209" i="22"/>
  <c r="O215" i="22"/>
  <c r="N215" i="22"/>
  <c r="N204" i="22"/>
  <c r="O204" i="22"/>
  <c r="Q176" i="22"/>
  <c r="S176" i="22" s="1"/>
  <c r="U176" i="22" s="1"/>
  <c r="W176" i="22" s="1"/>
  <c r="Y176" i="22" s="1"/>
  <c r="AA176" i="22" s="1"/>
  <c r="AC176" i="22" s="1"/>
  <c r="AE176" i="22" s="1"/>
  <c r="AG176" i="22" s="1"/>
  <c r="AI176" i="22" s="1"/>
  <c r="P176" i="22"/>
  <c r="O202" i="22"/>
  <c r="N202" i="22"/>
  <c r="N171" i="22"/>
  <c r="O171" i="22"/>
  <c r="P172" i="22"/>
  <c r="Q172" i="22"/>
  <c r="S172" i="22" s="1"/>
  <c r="U172" i="22" s="1"/>
  <c r="W172" i="22" s="1"/>
  <c r="Y172" i="22" s="1"/>
  <c r="AA172" i="22" s="1"/>
  <c r="AC172" i="22" s="1"/>
  <c r="AE172" i="22" s="1"/>
  <c r="AG172" i="22" s="1"/>
  <c r="AI172" i="22" s="1"/>
  <c r="N151" i="22"/>
  <c r="O151" i="22"/>
  <c r="P125" i="22"/>
  <c r="Q125" i="22"/>
  <c r="S125" i="22" s="1"/>
  <c r="U125" i="22" s="1"/>
  <c r="W125" i="22" s="1"/>
  <c r="Y125" i="22" s="1"/>
  <c r="AA125" i="22" s="1"/>
  <c r="AC125" i="22" s="1"/>
  <c r="AE125" i="22" s="1"/>
  <c r="AG125" i="22" s="1"/>
  <c r="AI125" i="22" s="1"/>
  <c r="Q169" i="22"/>
  <c r="S169" i="22" s="1"/>
  <c r="U169" i="22" s="1"/>
  <c r="W169" i="22" s="1"/>
  <c r="Y169" i="22" s="1"/>
  <c r="AA169" i="22" s="1"/>
  <c r="AC169" i="22" s="1"/>
  <c r="AE169" i="22" s="1"/>
  <c r="AG169" i="22" s="1"/>
  <c r="AI169" i="22" s="1"/>
  <c r="P169" i="22"/>
  <c r="O168" i="22"/>
  <c r="N168" i="22"/>
  <c r="N122" i="22"/>
  <c r="O122" i="22"/>
  <c r="N136" i="22"/>
  <c r="O136" i="22"/>
  <c r="O232" i="22"/>
  <c r="N232" i="22"/>
  <c r="O159" i="22"/>
  <c r="N159" i="22"/>
  <c r="O152" i="22"/>
  <c r="N152" i="22"/>
  <c r="O200" i="22"/>
  <c r="N200" i="22"/>
  <c r="O174" i="22"/>
  <c r="N174" i="22"/>
  <c r="Q131" i="22"/>
  <c r="S131" i="22" s="1"/>
  <c r="U131" i="22" s="1"/>
  <c r="W131" i="22" s="1"/>
  <c r="Y131" i="22" s="1"/>
  <c r="AA131" i="22" s="1"/>
  <c r="AC131" i="22" s="1"/>
  <c r="AE131" i="22" s="1"/>
  <c r="AG131" i="22" s="1"/>
  <c r="AI131" i="22" s="1"/>
  <c r="P131" i="22"/>
  <c r="N162" i="22"/>
  <c r="O162" i="22"/>
  <c r="O236" i="22"/>
  <c r="N236" i="22"/>
  <c r="O226" i="22"/>
  <c r="N226" i="22"/>
  <c r="O147" i="22"/>
  <c r="N147" i="22"/>
  <c r="O205" i="22"/>
  <c r="N205" i="22"/>
  <c r="P196" i="22"/>
  <c r="Q196" i="22"/>
  <c r="S196" i="22" s="1"/>
  <c r="U196" i="22" s="1"/>
  <c r="W196" i="22" s="1"/>
  <c r="Y196" i="22" s="1"/>
  <c r="AA196" i="22" s="1"/>
  <c r="AC196" i="22" s="1"/>
  <c r="AE196" i="22" s="1"/>
  <c r="AG196" i="22" s="1"/>
  <c r="AI196" i="22" s="1"/>
  <c r="N217" i="22"/>
  <c r="O217" i="22"/>
  <c r="N163" i="22"/>
  <c r="O163" i="22"/>
  <c r="N170" i="22"/>
  <c r="O170" i="22"/>
  <c r="O148" i="22"/>
  <c r="N148" i="22"/>
  <c r="O186" i="22"/>
  <c r="N186" i="22"/>
  <c r="P180" i="22"/>
  <c r="Q180" i="22"/>
  <c r="S180" i="22" s="1"/>
  <c r="U180" i="22" s="1"/>
  <c r="W180" i="22" s="1"/>
  <c r="Y180" i="22" s="1"/>
  <c r="AA180" i="22" s="1"/>
  <c r="AC180" i="22" s="1"/>
  <c r="AE180" i="22" s="1"/>
  <c r="AG180" i="22" s="1"/>
  <c r="AI180" i="22" s="1"/>
  <c r="O133" i="22"/>
  <c r="N133" i="22"/>
  <c r="O193" i="22"/>
  <c r="N193" i="22"/>
  <c r="O225" i="22"/>
  <c r="N225" i="22"/>
  <c r="O228" i="22"/>
  <c r="N228" i="22"/>
  <c r="N206" i="22"/>
  <c r="O206" i="22"/>
  <c r="O207" i="22"/>
  <c r="N207" i="22"/>
  <c r="N235" i="22"/>
  <c r="O235" i="22"/>
  <c r="O203" i="22"/>
  <c r="N203" i="22"/>
  <c r="O201" i="22"/>
  <c r="N201" i="22"/>
  <c r="N175" i="22"/>
  <c r="O175" i="22"/>
  <c r="O160" i="22"/>
  <c r="N160" i="22"/>
  <c r="O150" i="22"/>
  <c r="N150" i="22"/>
  <c r="P141" i="22"/>
  <c r="Q141" i="22"/>
  <c r="S141" i="22" s="1"/>
  <c r="U141" i="22" s="1"/>
  <c r="W141" i="22" s="1"/>
  <c r="Y141" i="22" s="1"/>
  <c r="AA141" i="22" s="1"/>
  <c r="AC141" i="22" s="1"/>
  <c r="AE141" i="22" s="1"/>
  <c r="AG141" i="22" s="1"/>
  <c r="AI141" i="22" s="1"/>
  <c r="N123" i="22"/>
  <c r="O123" i="22"/>
  <c r="O199" i="22"/>
  <c r="N199" i="22"/>
  <c r="N178" i="22"/>
  <c r="O178" i="22"/>
  <c r="N139" i="22"/>
  <c r="O139" i="22"/>
  <c r="O137" i="22"/>
  <c r="N137" i="22"/>
  <c r="P11" i="22"/>
  <c r="P21" i="22"/>
  <c r="N21" i="22"/>
  <c r="L110" i="22"/>
  <c r="M110" i="22"/>
  <c r="M71" i="22"/>
  <c r="L71" i="22"/>
  <c r="M63" i="22"/>
  <c r="L63" i="22"/>
  <c r="L56" i="22"/>
  <c r="M56" i="22"/>
  <c r="M88" i="22"/>
  <c r="L88" i="22"/>
  <c r="L61" i="22"/>
  <c r="M61" i="22"/>
  <c r="M96" i="22"/>
  <c r="L96" i="22"/>
  <c r="M107" i="22"/>
  <c r="L107" i="22"/>
  <c r="M117" i="22"/>
  <c r="L117" i="22"/>
  <c r="P112" i="22"/>
  <c r="M104" i="22"/>
  <c r="L104" i="22"/>
  <c r="M70" i="22"/>
  <c r="L70" i="22"/>
  <c r="M93" i="22"/>
  <c r="L93" i="22"/>
  <c r="M55" i="22"/>
  <c r="L55" i="22"/>
  <c r="M39" i="22"/>
  <c r="L39" i="22"/>
  <c r="M31" i="22"/>
  <c r="L31" i="22"/>
  <c r="L44" i="22"/>
  <c r="M44" i="22"/>
  <c r="M76" i="22"/>
  <c r="L76" i="22"/>
  <c r="M114" i="22"/>
  <c r="L114" i="22"/>
  <c r="L83" i="22"/>
  <c r="M83" i="22"/>
  <c r="L90" i="22"/>
  <c r="M90" i="22"/>
  <c r="L105" i="22"/>
  <c r="M105" i="22"/>
  <c r="O24" i="22"/>
  <c r="N24" i="22"/>
  <c r="M74" i="22"/>
  <c r="L74" i="22"/>
  <c r="M66" i="22"/>
  <c r="L66" i="22"/>
  <c r="M58" i="22"/>
  <c r="L58" i="22"/>
  <c r="M77" i="22"/>
  <c r="L77" i="22"/>
  <c r="M51" i="22"/>
  <c r="L51" i="22"/>
  <c r="M43" i="22"/>
  <c r="L43" i="22"/>
  <c r="M35" i="22"/>
  <c r="L35" i="22"/>
  <c r="L36" i="22"/>
  <c r="M36" i="22"/>
  <c r="L52" i="22"/>
  <c r="M52" i="22"/>
  <c r="M68" i="22"/>
  <c r="L68" i="22"/>
  <c r="M84" i="22"/>
  <c r="L84" i="22"/>
  <c r="M106" i="22"/>
  <c r="L106" i="22"/>
  <c r="L57" i="22"/>
  <c r="M57" i="22"/>
  <c r="L73" i="22"/>
  <c r="M73" i="22"/>
  <c r="L91" i="22"/>
  <c r="M91" i="22"/>
  <c r="L82" i="22"/>
  <c r="M82" i="22"/>
  <c r="M103" i="22"/>
  <c r="L103" i="22"/>
  <c r="L97" i="22"/>
  <c r="M97" i="22"/>
  <c r="L113" i="22"/>
  <c r="M113" i="22"/>
  <c r="P49" i="22"/>
  <c r="R89" i="22"/>
  <c r="R81" i="22"/>
  <c r="R102" i="22"/>
  <c r="R100" i="22"/>
  <c r="R50" i="22"/>
  <c r="R42" i="22"/>
  <c r="R112" i="22"/>
  <c r="R26" i="22"/>
  <c r="R23" i="22"/>
  <c r="R19" i="22"/>
  <c r="R12" i="22"/>
  <c r="R53" i="22"/>
  <c r="R49" i="22"/>
  <c r="R45" i="22"/>
  <c r="R37" i="22"/>
  <c r="R33" i="22"/>
  <c r="R28" i="22"/>
  <c r="R25" i="22"/>
  <c r="R22" i="22"/>
  <c r="R18" i="22"/>
  <c r="R14" i="22"/>
  <c r="T9" i="22"/>
  <c r="R17" i="22"/>
  <c r="R21" i="22"/>
  <c r="P42" i="22"/>
  <c r="O10" i="22"/>
  <c r="N10" i="22"/>
  <c r="P53" i="22"/>
  <c r="L99" i="22"/>
  <c r="M99" i="22"/>
  <c r="M20" i="22"/>
  <c r="L20" i="22"/>
  <c r="L40" i="22"/>
  <c r="M40" i="22"/>
  <c r="M72" i="22"/>
  <c r="L72" i="22"/>
  <c r="M108" i="22"/>
  <c r="L108" i="22"/>
  <c r="L79" i="22"/>
  <c r="M79" i="22"/>
  <c r="L86" i="22"/>
  <c r="M86" i="22"/>
  <c r="L101" i="22"/>
  <c r="M101" i="22"/>
  <c r="M62" i="22"/>
  <c r="L62" i="22"/>
  <c r="N49" i="22"/>
  <c r="N112" i="22"/>
  <c r="M47" i="22"/>
  <c r="L47" i="22"/>
  <c r="M60" i="22"/>
  <c r="L60" i="22"/>
  <c r="M92" i="22"/>
  <c r="L92" i="22"/>
  <c r="L65" i="22"/>
  <c r="M65" i="22"/>
  <c r="M98" i="22"/>
  <c r="L98" i="22"/>
  <c r="M111" i="22"/>
  <c r="L111" i="22"/>
  <c r="L118" i="22"/>
  <c r="M118" i="22"/>
  <c r="N13" i="22"/>
  <c r="M75" i="22"/>
  <c r="L75" i="22"/>
  <c r="M67" i="22"/>
  <c r="L67" i="22"/>
  <c r="M59" i="22"/>
  <c r="L59" i="22"/>
  <c r="N45" i="22"/>
  <c r="N42" i="22"/>
  <c r="M85" i="22"/>
  <c r="L85" i="22"/>
  <c r="M30" i="22"/>
  <c r="L30" i="22"/>
  <c r="M16" i="22"/>
  <c r="L16" i="22"/>
  <c r="L32" i="22"/>
  <c r="M32" i="22"/>
  <c r="L48" i="22"/>
  <c r="M48" i="22"/>
  <c r="M64" i="22"/>
  <c r="L64" i="22"/>
  <c r="M80" i="22"/>
  <c r="L80" i="22"/>
  <c r="L95" i="22"/>
  <c r="M95" i="22"/>
  <c r="M116" i="22"/>
  <c r="L116" i="22"/>
  <c r="L69" i="22"/>
  <c r="M69" i="22"/>
  <c r="L87" i="22"/>
  <c r="M87" i="22"/>
  <c r="L78" i="22"/>
  <c r="M78" i="22"/>
  <c r="M121" i="22"/>
  <c r="L121" i="22"/>
  <c r="M115" i="22"/>
  <c r="L115" i="22"/>
  <c r="L109" i="22"/>
  <c r="M109" i="22"/>
  <c r="M120" i="22"/>
  <c r="L120" i="22"/>
  <c r="P45" i="22"/>
  <c r="P37" i="22"/>
  <c r="L33" i="21"/>
  <c r="F40" i="21"/>
  <c r="F64" i="21"/>
  <c r="D16" i="21"/>
  <c r="F16" i="21" s="1"/>
  <c r="J16" i="21" s="1"/>
  <c r="N3" i="21"/>
  <c r="P3" i="21" s="1"/>
  <c r="D7" i="21"/>
  <c r="D4" i="21"/>
  <c r="M86" i="21"/>
  <c r="M76" i="21"/>
  <c r="M78" i="21"/>
  <c r="M85" i="21"/>
  <c r="M74" i="21"/>
  <c r="Q31" i="21"/>
  <c r="F34" i="21"/>
  <c r="D59" i="21"/>
  <c r="D60" i="21" s="1"/>
  <c r="F60" i="21" s="1"/>
  <c r="M87" i="21"/>
  <c r="O78" i="21"/>
  <c r="O87" i="21"/>
  <c r="O76" i="21"/>
  <c r="O77" i="21"/>
  <c r="O74" i="21"/>
  <c r="F80" i="21"/>
  <c r="K80" i="21" s="1"/>
  <c r="N80" i="21" s="1"/>
  <c r="P80" i="21" s="1"/>
  <c r="R80" i="21" s="1"/>
  <c r="T80" i="21" s="1"/>
  <c r="V80" i="21" s="1"/>
  <c r="X80" i="21" s="1"/>
  <c r="Z80" i="21" s="1"/>
  <c r="AB80" i="21" s="1"/>
  <c r="AD80" i="21" s="1"/>
  <c r="AF80" i="21" s="1"/>
  <c r="AH80" i="21" s="1"/>
  <c r="AJ80" i="21" s="1"/>
  <c r="F82" i="21"/>
  <c r="K82" i="21" s="1"/>
  <c r="N82" i="21" s="1"/>
  <c r="P82" i="21" s="1"/>
  <c r="R82" i="21" s="1"/>
  <c r="T82" i="21" s="1"/>
  <c r="V82" i="21" s="1"/>
  <c r="X82" i="21" s="1"/>
  <c r="Z82" i="21" s="1"/>
  <c r="AB82" i="21" s="1"/>
  <c r="AD82" i="21" s="1"/>
  <c r="AF82" i="21" s="1"/>
  <c r="AH82" i="21" s="1"/>
  <c r="AJ82" i="21" s="1"/>
  <c r="F73" i="21"/>
  <c r="K73" i="21" s="1"/>
  <c r="N73" i="21" s="1"/>
  <c r="P73" i="21" s="1"/>
  <c r="R73" i="21" s="1"/>
  <c r="T73" i="21" s="1"/>
  <c r="V73" i="21" s="1"/>
  <c r="X73" i="21" s="1"/>
  <c r="Z73" i="21" s="1"/>
  <c r="AB73" i="21" s="1"/>
  <c r="AD73" i="21" s="1"/>
  <c r="AF73" i="21" s="1"/>
  <c r="AH73" i="21" s="1"/>
  <c r="AJ73" i="21" s="1"/>
  <c r="F72" i="21"/>
  <c r="K72" i="21" s="1"/>
  <c r="N72" i="21" s="1"/>
  <c r="P72" i="21" s="1"/>
  <c r="R72" i="21" s="1"/>
  <c r="T72" i="21" s="1"/>
  <c r="V72" i="21" s="1"/>
  <c r="X72" i="21" s="1"/>
  <c r="Z72" i="21" s="1"/>
  <c r="AB72" i="21" s="1"/>
  <c r="AD72" i="21" s="1"/>
  <c r="AF72" i="21" s="1"/>
  <c r="AH72" i="21" s="1"/>
  <c r="AJ72" i="21" s="1"/>
  <c r="F79" i="21"/>
  <c r="K79" i="21" s="1"/>
  <c r="F71" i="21"/>
  <c r="K71" i="21" s="1"/>
  <c r="N71" i="21" s="1"/>
  <c r="P71" i="21" s="1"/>
  <c r="R71" i="21" s="1"/>
  <c r="T71" i="21" s="1"/>
  <c r="V71" i="21" s="1"/>
  <c r="X71" i="21" s="1"/>
  <c r="Z71" i="21" s="1"/>
  <c r="AB71" i="21" s="1"/>
  <c r="AD71" i="21" s="1"/>
  <c r="AF71" i="21" s="1"/>
  <c r="AH71" i="21" s="1"/>
  <c r="AJ71" i="21" s="1"/>
  <c r="F67" i="21"/>
  <c r="F75" i="21"/>
  <c r="K75" i="21" s="1"/>
  <c r="N75" i="21" s="1"/>
  <c r="P75" i="21" s="1"/>
  <c r="R75" i="21" s="1"/>
  <c r="T75" i="21" s="1"/>
  <c r="V75" i="21" s="1"/>
  <c r="X75" i="21" s="1"/>
  <c r="Z75" i="21" s="1"/>
  <c r="AB75" i="21" s="1"/>
  <c r="AD75" i="21" s="1"/>
  <c r="AF75" i="21" s="1"/>
  <c r="AH75" i="21" s="1"/>
  <c r="AJ75" i="21" s="1"/>
  <c r="F81" i="21"/>
  <c r="K81" i="21" s="1"/>
  <c r="O85" i="21"/>
  <c r="O86" i="21"/>
  <c r="F89" i="21"/>
  <c r="K89" i="21" s="1"/>
  <c r="N89" i="21" s="1"/>
  <c r="P89" i="21" s="1"/>
  <c r="R89" i="21" s="1"/>
  <c r="T89" i="21" s="1"/>
  <c r="V89" i="21" s="1"/>
  <c r="X89" i="21" s="1"/>
  <c r="Z89" i="21" s="1"/>
  <c r="AB89" i="21" s="1"/>
  <c r="AD89" i="21" s="1"/>
  <c r="AF89" i="21" s="1"/>
  <c r="AH89" i="21" s="1"/>
  <c r="AJ89" i="21" s="1"/>
  <c r="P66" i="17"/>
  <c r="P65" i="17"/>
  <c r="N62" i="17"/>
  <c r="N63" i="17" s="1"/>
  <c r="P63" i="17" s="1"/>
  <c r="P60" i="17"/>
  <c r="N60" i="17"/>
  <c r="N61" i="17" s="1"/>
  <c r="P61" i="17" s="1"/>
  <c r="J60" i="17"/>
  <c r="J61" i="17" s="1"/>
  <c r="J62" i="17" s="1"/>
  <c r="J63" i="17" s="1"/>
  <c r="I60" i="17"/>
  <c r="I61" i="17" s="1"/>
  <c r="I62" i="17" s="1"/>
  <c r="I63" i="17" s="1"/>
  <c r="I64" i="17" s="1"/>
  <c r="I65" i="17" s="1"/>
  <c r="I66" i="17" s="1"/>
  <c r="D60" i="17"/>
  <c r="D61" i="17" s="1"/>
  <c r="D62" i="17" s="1"/>
  <c r="D63" i="17" s="1"/>
  <c r="P59" i="17"/>
  <c r="N58" i="17"/>
  <c r="J58" i="17"/>
  <c r="I58" i="17"/>
  <c r="I57" i="17" s="1"/>
  <c r="I56" i="17" s="1"/>
  <c r="I55" i="17" s="1"/>
  <c r="I54" i="17" s="1"/>
  <c r="I53" i="17" s="1"/>
  <c r="D58" i="17"/>
  <c r="D57" i="17" s="1"/>
  <c r="D56" i="17" s="1"/>
  <c r="D55" i="17" s="1"/>
  <c r="D54" i="17" s="1"/>
  <c r="D53" i="17" s="1"/>
  <c r="J57" i="17"/>
  <c r="J56" i="17" s="1"/>
  <c r="J55" i="17" s="1"/>
  <c r="J54" i="17" s="1"/>
  <c r="J53" i="17" s="1"/>
  <c r="F12" i="21" l="1"/>
  <c r="X44" i="27"/>
  <c r="Z44" i="27" s="1"/>
  <c r="AB44" i="27" s="1"/>
  <c r="AD44" i="27" s="1"/>
  <c r="AF44" i="27" s="1"/>
  <c r="AH44" i="27" s="1"/>
  <c r="W44" i="27"/>
  <c r="G44" i="27" s="1"/>
  <c r="X49" i="24"/>
  <c r="W49" i="24"/>
  <c r="K32" i="21"/>
  <c r="M32" i="21" s="1"/>
  <c r="O72" i="21"/>
  <c r="O73" i="21"/>
  <c r="M73" i="21"/>
  <c r="K46" i="21"/>
  <c r="N46" i="21" s="1"/>
  <c r="P46" i="21" s="1"/>
  <c r="R46" i="21" s="1"/>
  <c r="T46" i="21" s="1"/>
  <c r="V46" i="21" s="1"/>
  <c r="X46" i="21" s="1"/>
  <c r="Z46" i="21" s="1"/>
  <c r="AB46" i="21" s="1"/>
  <c r="AD46" i="21" s="1"/>
  <c r="AF46" i="21" s="1"/>
  <c r="AH46" i="21" s="1"/>
  <c r="AJ46" i="21" s="1"/>
  <c r="M71" i="21"/>
  <c r="J60" i="21"/>
  <c r="L60" i="21" s="1"/>
  <c r="J67" i="21"/>
  <c r="L67" i="21" s="1"/>
  <c r="O71" i="21"/>
  <c r="J12" i="21"/>
  <c r="K12" i="21" s="1"/>
  <c r="J34" i="21"/>
  <c r="L34" i="21" s="1"/>
  <c r="J40" i="21"/>
  <c r="L40" i="21" s="1"/>
  <c r="O82" i="21"/>
  <c r="J64" i="21"/>
  <c r="L64" i="21" s="1"/>
  <c r="Q129" i="22"/>
  <c r="S129" i="22" s="1"/>
  <c r="U129" i="22" s="1"/>
  <c r="W129" i="22" s="1"/>
  <c r="Y129" i="22" s="1"/>
  <c r="AA129" i="22" s="1"/>
  <c r="AC129" i="22" s="1"/>
  <c r="AE129" i="22" s="1"/>
  <c r="AG129" i="22" s="1"/>
  <c r="AI129" i="22" s="1"/>
  <c r="R176" i="22"/>
  <c r="R134" i="22"/>
  <c r="R94" i="22"/>
  <c r="O224" i="22"/>
  <c r="P224" i="22" s="1"/>
  <c r="R169" i="22"/>
  <c r="P94" i="22"/>
  <c r="N94" i="22"/>
  <c r="R131" i="22"/>
  <c r="R172" i="22"/>
  <c r="R140" i="22"/>
  <c r="R125" i="22"/>
  <c r="R141" i="22"/>
  <c r="R196" i="22"/>
  <c r="R180" i="22"/>
  <c r="R165" i="22"/>
  <c r="R157" i="22"/>
  <c r="R218" i="22"/>
  <c r="O198" i="22"/>
  <c r="P198" i="22" s="1"/>
  <c r="N167" i="22"/>
  <c r="N177" i="22"/>
  <c r="P165" i="22"/>
  <c r="P38" i="22"/>
  <c r="P157" i="22"/>
  <c r="N132" i="22"/>
  <c r="N184" i="22"/>
  <c r="O154" i="22"/>
  <c r="P154" i="22" s="1"/>
  <c r="P41" i="22"/>
  <c r="R54" i="22"/>
  <c r="P54" i="22"/>
  <c r="R38" i="22"/>
  <c r="Q161" i="22"/>
  <c r="P134" i="22"/>
  <c r="R41" i="22"/>
  <c r="N54" i="22"/>
  <c r="N38" i="22"/>
  <c r="N41" i="22"/>
  <c r="N191" i="22"/>
  <c r="O237" i="22"/>
  <c r="Q237" i="22" s="1"/>
  <c r="N27" i="22"/>
  <c r="N194" i="22"/>
  <c r="N135" i="22"/>
  <c r="N187" i="22"/>
  <c r="Q219" i="22"/>
  <c r="P119" i="22"/>
  <c r="P145" i="22"/>
  <c r="N119" i="22"/>
  <c r="R119" i="22"/>
  <c r="Q156" i="22"/>
  <c r="N188" i="22"/>
  <c r="T237" i="22"/>
  <c r="T236" i="22"/>
  <c r="T227" i="22"/>
  <c r="T226" i="22"/>
  <c r="T214" i="22"/>
  <c r="T234" i="22"/>
  <c r="T224" i="22"/>
  <c r="T222" i="22"/>
  <c r="T210" i="22"/>
  <c r="T204" i="22"/>
  <c r="T232" i="22"/>
  <c r="T229" i="22"/>
  <c r="T218" i="22"/>
  <c r="T216" i="22"/>
  <c r="T212" i="22"/>
  <c r="T208" i="22"/>
  <c r="T220" i="22"/>
  <c r="T198" i="22"/>
  <c r="T235" i="22"/>
  <c r="T206" i="22"/>
  <c r="T200" i="22"/>
  <c r="T202" i="22"/>
  <c r="T196" i="22"/>
  <c r="T185" i="22"/>
  <c r="T169" i="22"/>
  <c r="T145" i="22"/>
  <c r="T189" i="22"/>
  <c r="T172" i="22"/>
  <c r="T183" i="22"/>
  <c r="T181" i="22"/>
  <c r="T180" i="22"/>
  <c r="T165" i="22"/>
  <c r="T140" i="22"/>
  <c r="T233" i="22"/>
  <c r="T131" i="22"/>
  <c r="T187" i="22"/>
  <c r="T179" i="22"/>
  <c r="T142" i="22"/>
  <c r="T141" i="22"/>
  <c r="T134" i="22"/>
  <c r="T133" i="22"/>
  <c r="T157" i="22"/>
  <c r="T126" i="22"/>
  <c r="T176" i="22"/>
  <c r="T129" i="22"/>
  <c r="T125" i="22"/>
  <c r="O146" i="22"/>
  <c r="N146" i="22"/>
  <c r="O220" i="22"/>
  <c r="N220" i="22"/>
  <c r="N173" i="22"/>
  <c r="O173" i="22"/>
  <c r="O143" i="22"/>
  <c r="N143" i="22"/>
  <c r="O138" i="22"/>
  <c r="N138" i="22"/>
  <c r="N164" i="22"/>
  <c r="O164" i="22"/>
  <c r="N211" i="22"/>
  <c r="O211" i="22"/>
  <c r="O124" i="22"/>
  <c r="N124" i="22"/>
  <c r="P218" i="22"/>
  <c r="O227" i="22"/>
  <c r="Q227" i="22" s="1"/>
  <c r="O230" i="22"/>
  <c r="N230" i="22"/>
  <c r="N185" i="22"/>
  <c r="O185" i="22"/>
  <c r="O189" i="22"/>
  <c r="N189" i="22"/>
  <c r="N130" i="22"/>
  <c r="O130" i="22"/>
  <c r="N213" i="22"/>
  <c r="O213" i="22"/>
  <c r="N197" i="22"/>
  <c r="O197" i="22"/>
  <c r="O29" i="22"/>
  <c r="N29" i="22"/>
  <c r="O212" i="22"/>
  <c r="N212" i="22"/>
  <c r="N166" i="22"/>
  <c r="O166" i="22"/>
  <c r="O149" i="22"/>
  <c r="N149" i="22"/>
  <c r="O127" i="22"/>
  <c r="N127" i="22"/>
  <c r="N192" i="22"/>
  <c r="O192" i="22"/>
  <c r="N234" i="22"/>
  <c r="O234" i="22"/>
  <c r="O182" i="22"/>
  <c r="N182" i="22"/>
  <c r="N223" i="22"/>
  <c r="O223" i="22"/>
  <c r="O15" i="22"/>
  <c r="N15" i="22"/>
  <c r="O153" i="22"/>
  <c r="N153" i="22"/>
  <c r="N216" i="22"/>
  <c r="O216" i="22"/>
  <c r="O155" i="22"/>
  <c r="N155" i="22"/>
  <c r="N128" i="22"/>
  <c r="O128" i="22"/>
  <c r="Q214" i="22"/>
  <c r="P214" i="22"/>
  <c r="Q158" i="22"/>
  <c r="P158" i="22"/>
  <c r="N233" i="22"/>
  <c r="O233" i="22"/>
  <c r="N229" i="22"/>
  <c r="O229" i="22"/>
  <c r="O46" i="22"/>
  <c r="N46" i="22"/>
  <c r="O195" i="22"/>
  <c r="N195" i="22"/>
  <c r="O183" i="22"/>
  <c r="N183" i="22"/>
  <c r="O144" i="22"/>
  <c r="N144" i="22"/>
  <c r="O208" i="22"/>
  <c r="N208" i="22"/>
  <c r="O179" i="22"/>
  <c r="N179" i="22"/>
  <c r="O34" i="22"/>
  <c r="N34" i="22"/>
  <c r="O221" i="22"/>
  <c r="N221" i="22"/>
  <c r="Q225" i="22"/>
  <c r="P225" i="22"/>
  <c r="Q163" i="22"/>
  <c r="P163" i="22"/>
  <c r="Q236" i="22"/>
  <c r="P236" i="22"/>
  <c r="P136" i="22"/>
  <c r="Q136" i="22"/>
  <c r="P202" i="22"/>
  <c r="Q202" i="22"/>
  <c r="P204" i="22"/>
  <c r="Q204" i="22"/>
  <c r="P187" i="22"/>
  <c r="Q187" i="22"/>
  <c r="Q231" i="22"/>
  <c r="P231" i="22"/>
  <c r="Q150" i="22"/>
  <c r="P150" i="22"/>
  <c r="P175" i="22"/>
  <c r="Q175" i="22"/>
  <c r="Q203" i="22"/>
  <c r="P203" i="22"/>
  <c r="P132" i="22"/>
  <c r="Q132" i="22"/>
  <c r="Q184" i="22"/>
  <c r="P184" i="22"/>
  <c r="Q205" i="22"/>
  <c r="P205" i="22"/>
  <c r="P226" i="22"/>
  <c r="Q226" i="22"/>
  <c r="Q162" i="22"/>
  <c r="P162" i="22"/>
  <c r="Q152" i="22"/>
  <c r="P152" i="22"/>
  <c r="Q122" i="22"/>
  <c r="P122" i="22"/>
  <c r="P151" i="22"/>
  <c r="Q151" i="22"/>
  <c r="P215" i="22"/>
  <c r="Q215" i="22"/>
  <c r="Q210" i="22"/>
  <c r="P210" i="22"/>
  <c r="Q137" i="22"/>
  <c r="P137" i="22"/>
  <c r="P199" i="22"/>
  <c r="Q199" i="22"/>
  <c r="Q228" i="22"/>
  <c r="P228" i="22"/>
  <c r="P133" i="22"/>
  <c r="Q133" i="22"/>
  <c r="Q186" i="22"/>
  <c r="P186" i="22"/>
  <c r="Q170" i="22"/>
  <c r="P170" i="22"/>
  <c r="Q217" i="22"/>
  <c r="P217" i="22"/>
  <c r="Q200" i="22"/>
  <c r="P200" i="22"/>
  <c r="Q159" i="22"/>
  <c r="P159" i="22"/>
  <c r="Q135" i="22"/>
  <c r="P135" i="22"/>
  <c r="P168" i="22"/>
  <c r="Q168" i="22"/>
  <c r="Q190" i="22"/>
  <c r="P190" i="22"/>
  <c r="P207" i="22"/>
  <c r="Q207" i="22"/>
  <c r="Q193" i="22"/>
  <c r="P193" i="22"/>
  <c r="Q177" i="22"/>
  <c r="P177" i="22"/>
  <c r="Q174" i="22"/>
  <c r="P174" i="22"/>
  <c r="Q194" i="22"/>
  <c r="P194" i="22"/>
  <c r="Q154" i="22"/>
  <c r="Q123" i="22"/>
  <c r="P123" i="22"/>
  <c r="Q224" i="22"/>
  <c r="Q235" i="22"/>
  <c r="P235" i="22"/>
  <c r="Q139" i="22"/>
  <c r="P139" i="22"/>
  <c r="Q178" i="22"/>
  <c r="P178" i="22"/>
  <c r="P160" i="22"/>
  <c r="Q160" i="22"/>
  <c r="Q201" i="22"/>
  <c r="P201" i="22"/>
  <c r="Q167" i="22"/>
  <c r="P167" i="22"/>
  <c r="Q188" i="22"/>
  <c r="P188" i="22"/>
  <c r="P191" i="22"/>
  <c r="Q191" i="22"/>
  <c r="P206" i="22"/>
  <c r="Q206" i="22"/>
  <c r="Q148" i="22"/>
  <c r="P148" i="22"/>
  <c r="P147" i="22"/>
  <c r="Q147" i="22"/>
  <c r="Q232" i="22"/>
  <c r="P232" i="22"/>
  <c r="Q171" i="22"/>
  <c r="P171" i="22"/>
  <c r="Q209" i="22"/>
  <c r="P209" i="22"/>
  <c r="Q222" i="22"/>
  <c r="P222" i="22"/>
  <c r="R11" i="22"/>
  <c r="S11" i="22"/>
  <c r="U11" i="22" s="1"/>
  <c r="W11" i="22" s="1"/>
  <c r="Y11" i="22" s="1"/>
  <c r="AA11" i="22" s="1"/>
  <c r="AC11" i="22" s="1"/>
  <c r="AE11" i="22" s="1"/>
  <c r="AG11" i="22" s="1"/>
  <c r="AI11" i="22" s="1"/>
  <c r="O69" i="22"/>
  <c r="N69" i="22"/>
  <c r="O95" i="22"/>
  <c r="N95" i="22"/>
  <c r="O111" i="22"/>
  <c r="N111" i="22"/>
  <c r="O60" i="22"/>
  <c r="N60" i="22"/>
  <c r="O106" i="22"/>
  <c r="N106" i="22"/>
  <c r="O68" i="22"/>
  <c r="N68" i="22"/>
  <c r="O83" i="22"/>
  <c r="N83" i="22"/>
  <c r="O104" i="22"/>
  <c r="N104" i="22"/>
  <c r="O61" i="22"/>
  <c r="N61" i="22"/>
  <c r="O115" i="22"/>
  <c r="N115" i="22"/>
  <c r="O85" i="22"/>
  <c r="N85" i="22"/>
  <c r="O118" i="22"/>
  <c r="N118" i="22"/>
  <c r="O79" i="22"/>
  <c r="N79" i="22"/>
  <c r="O91" i="22"/>
  <c r="N91" i="22"/>
  <c r="O57" i="22"/>
  <c r="N57" i="22"/>
  <c r="Q24" i="22"/>
  <c r="P24" i="22"/>
  <c r="O71" i="22"/>
  <c r="N71" i="22"/>
  <c r="O48" i="22"/>
  <c r="N48" i="22"/>
  <c r="O121" i="22"/>
  <c r="N121" i="22"/>
  <c r="O116" i="22"/>
  <c r="N116" i="22"/>
  <c r="O80" i="22"/>
  <c r="N80" i="22"/>
  <c r="O16" i="22"/>
  <c r="N16" i="22"/>
  <c r="O30" i="22"/>
  <c r="N30" i="22"/>
  <c r="Q13" i="22"/>
  <c r="P13" i="22"/>
  <c r="O65" i="22"/>
  <c r="N65" i="22"/>
  <c r="O86" i="22"/>
  <c r="N86" i="22"/>
  <c r="O40" i="22"/>
  <c r="N40" i="22"/>
  <c r="O99" i="22"/>
  <c r="N99" i="22"/>
  <c r="Q10" i="22"/>
  <c r="P10" i="22"/>
  <c r="O97" i="22"/>
  <c r="N97" i="22"/>
  <c r="O82" i="22"/>
  <c r="N82" i="22"/>
  <c r="O73" i="22"/>
  <c r="N73" i="22"/>
  <c r="O36" i="22"/>
  <c r="N36" i="22"/>
  <c r="Q27" i="22"/>
  <c r="P27" i="22"/>
  <c r="O114" i="22"/>
  <c r="N114" i="22"/>
  <c r="O39" i="22"/>
  <c r="N39" i="22"/>
  <c r="O93" i="22"/>
  <c r="N93" i="22"/>
  <c r="O117" i="22"/>
  <c r="N117" i="22"/>
  <c r="O96" i="22"/>
  <c r="N96" i="22"/>
  <c r="O88" i="22"/>
  <c r="N88" i="22"/>
  <c r="O63" i="22"/>
  <c r="N63" i="22"/>
  <c r="O78" i="22"/>
  <c r="N78" i="22"/>
  <c r="O32" i="22"/>
  <c r="N32" i="22"/>
  <c r="O67" i="22"/>
  <c r="N67" i="22"/>
  <c r="O108" i="22"/>
  <c r="N108" i="22"/>
  <c r="T119" i="22"/>
  <c r="T112" i="22"/>
  <c r="T102" i="22"/>
  <c r="T100" i="22"/>
  <c r="T94" i="22"/>
  <c r="T53" i="22"/>
  <c r="T49" i="22"/>
  <c r="T45" i="22"/>
  <c r="T41" i="22"/>
  <c r="T37" i="22"/>
  <c r="T33" i="22"/>
  <c r="T21" i="22"/>
  <c r="T17" i="22"/>
  <c r="V9" i="22"/>
  <c r="T42" i="22"/>
  <c r="T38" i="22"/>
  <c r="T89" i="22"/>
  <c r="T81" i="22"/>
  <c r="T54" i="22"/>
  <c r="T50" i="22"/>
  <c r="T23" i="22"/>
  <c r="T18" i="22"/>
  <c r="T25" i="22"/>
  <c r="T26" i="22"/>
  <c r="T22" i="22"/>
  <c r="T28" i="22"/>
  <c r="T19" i="22"/>
  <c r="T14" i="22"/>
  <c r="T12" i="22"/>
  <c r="O43" i="22"/>
  <c r="N43" i="22"/>
  <c r="O77" i="22"/>
  <c r="N77" i="22"/>
  <c r="O66" i="22"/>
  <c r="N66" i="22"/>
  <c r="O105" i="22"/>
  <c r="N105" i="22"/>
  <c r="O56" i="22"/>
  <c r="N56" i="22"/>
  <c r="O120" i="22"/>
  <c r="N120" i="22"/>
  <c r="O64" i="22"/>
  <c r="N64" i="22"/>
  <c r="O101" i="22"/>
  <c r="N101" i="22"/>
  <c r="O113" i="22"/>
  <c r="N113" i="22"/>
  <c r="O52" i="22"/>
  <c r="N52" i="22"/>
  <c r="O76" i="22"/>
  <c r="N76" i="22"/>
  <c r="O31" i="22"/>
  <c r="N31" i="22"/>
  <c r="O55" i="22"/>
  <c r="N55" i="22"/>
  <c r="O107" i="22"/>
  <c r="N107" i="22"/>
  <c r="O109" i="22"/>
  <c r="N109" i="22"/>
  <c r="O87" i="22"/>
  <c r="N87" i="22"/>
  <c r="O59" i="22"/>
  <c r="N59" i="22"/>
  <c r="O75" i="22"/>
  <c r="N75" i="22"/>
  <c r="O98" i="22"/>
  <c r="N98" i="22"/>
  <c r="O92" i="22"/>
  <c r="N92" i="22"/>
  <c r="O47" i="22"/>
  <c r="N47" i="22"/>
  <c r="O62" i="22"/>
  <c r="N62" i="22"/>
  <c r="O72" i="22"/>
  <c r="N72" i="22"/>
  <c r="N20" i="22"/>
  <c r="O20" i="22"/>
  <c r="O103" i="22"/>
  <c r="N103" i="22"/>
  <c r="O84" i="22"/>
  <c r="N84" i="22"/>
  <c r="O35" i="22"/>
  <c r="N35" i="22"/>
  <c r="O51" i="22"/>
  <c r="N51" i="22"/>
  <c r="O58" i="22"/>
  <c r="N58" i="22"/>
  <c r="O74" i="22"/>
  <c r="N74" i="22"/>
  <c r="O90" i="22"/>
  <c r="N90" i="22"/>
  <c r="O44" i="22"/>
  <c r="N44" i="22"/>
  <c r="O70" i="22"/>
  <c r="N70" i="22"/>
  <c r="O110" i="22"/>
  <c r="N110" i="22"/>
  <c r="H32" i="21"/>
  <c r="N32" i="21"/>
  <c r="P32" i="21" s="1"/>
  <c r="R32" i="21" s="1"/>
  <c r="T32" i="21" s="1"/>
  <c r="V32" i="21" s="1"/>
  <c r="X32" i="21" s="1"/>
  <c r="Z32" i="21" s="1"/>
  <c r="AB32" i="21" s="1"/>
  <c r="AD32" i="21" s="1"/>
  <c r="AF32" i="21" s="1"/>
  <c r="AH32" i="21" s="1"/>
  <c r="AJ32" i="21" s="1"/>
  <c r="O89" i="21"/>
  <c r="M80" i="21"/>
  <c r="N16" i="21"/>
  <c r="P16" i="21" s="1"/>
  <c r="K16" i="21"/>
  <c r="N12" i="21"/>
  <c r="P12" i="21" s="1"/>
  <c r="N81" i="21"/>
  <c r="M81" i="21"/>
  <c r="M75" i="21"/>
  <c r="M89" i="21"/>
  <c r="D27" i="21"/>
  <c r="F27" i="21" s="1"/>
  <c r="J27" i="21" s="1"/>
  <c r="F7" i="21"/>
  <c r="J7" i="21" s="1"/>
  <c r="D19" i="21"/>
  <c r="N79" i="21"/>
  <c r="M79" i="21"/>
  <c r="O80" i="21"/>
  <c r="M72" i="21"/>
  <c r="K15" i="21"/>
  <c r="N15" i="21"/>
  <c r="P15" i="21" s="1"/>
  <c r="O75" i="21"/>
  <c r="Q89" i="21"/>
  <c r="Q86" i="21"/>
  <c r="Q80" i="21"/>
  <c r="Q76" i="21"/>
  <c r="Q85" i="21"/>
  <c r="Q77" i="21"/>
  <c r="Q73" i="21"/>
  <c r="Q72" i="21"/>
  <c r="Q78" i="21"/>
  <c r="Q87" i="21"/>
  <c r="Q71" i="21"/>
  <c r="S31" i="21"/>
  <c r="Q74" i="21"/>
  <c r="Q82" i="21"/>
  <c r="Q75" i="21"/>
  <c r="M82" i="21"/>
  <c r="D28" i="21"/>
  <c r="F28" i="21" s="1"/>
  <c r="J28" i="21" s="1"/>
  <c r="D22" i="21"/>
  <c r="F22" i="21" s="1"/>
  <c r="J22" i="21" s="1"/>
  <c r="D21" i="21"/>
  <c r="F21" i="21" s="1"/>
  <c r="J21" i="21" s="1"/>
  <c r="D18" i="21"/>
  <c r="F18" i="21" s="1"/>
  <c r="J18" i="21" s="1"/>
  <c r="D5" i="21"/>
  <c r="F4" i="21"/>
  <c r="D13" i="21"/>
  <c r="D64" i="17"/>
  <c r="D66" i="17" s="1"/>
  <c r="D65" i="17"/>
  <c r="N57" i="17"/>
  <c r="P58" i="17"/>
  <c r="J64" i="17"/>
  <c r="J66" i="17" s="1"/>
  <c r="J65" i="17"/>
  <c r="P62" i="17"/>
  <c r="N64" i="17"/>
  <c r="P64" i="17" s="1"/>
  <c r="C68" i="20"/>
  <c r="B68" i="20"/>
  <c r="D67" i="20"/>
  <c r="C67" i="20"/>
  <c r="B67" i="20"/>
  <c r="C66" i="20"/>
  <c r="B66" i="20"/>
  <c r="C65" i="20"/>
  <c r="B65" i="20"/>
  <c r="D64" i="20"/>
  <c r="C64" i="20"/>
  <c r="B64" i="20"/>
  <c r="C63" i="20"/>
  <c r="B63" i="20"/>
  <c r="D62" i="20"/>
  <c r="C62" i="20"/>
  <c r="B62" i="20"/>
  <c r="D61" i="20"/>
  <c r="C61" i="20"/>
  <c r="B61" i="20"/>
  <c r="C60" i="20"/>
  <c r="B60" i="20"/>
  <c r="C59" i="20"/>
  <c r="B59" i="20"/>
  <c r="C58" i="20"/>
  <c r="B58" i="20"/>
  <c r="C57" i="20"/>
  <c r="B57" i="20"/>
  <c r="D56" i="20"/>
  <c r="C56" i="20"/>
  <c r="B56" i="20"/>
  <c r="D55" i="20"/>
  <c r="C55" i="20"/>
  <c r="B55" i="20"/>
  <c r="D54" i="20"/>
  <c r="C54" i="20"/>
  <c r="B54" i="20"/>
  <c r="D53" i="20"/>
  <c r="C53" i="20"/>
  <c r="B53" i="20"/>
  <c r="B52" i="20"/>
  <c r="D51" i="20"/>
  <c r="C51" i="20"/>
  <c r="B51" i="20"/>
  <c r="D50" i="20"/>
  <c r="C50" i="20"/>
  <c r="B50" i="20"/>
  <c r="C49" i="20"/>
  <c r="B49" i="20"/>
  <c r="D48" i="20"/>
  <c r="C48" i="20"/>
  <c r="B48" i="20"/>
  <c r="C47" i="20"/>
  <c r="B47" i="20"/>
  <c r="D46" i="20"/>
  <c r="C46" i="20"/>
  <c r="B46" i="20"/>
  <c r="C45" i="20"/>
  <c r="B45" i="20"/>
  <c r="C44" i="20"/>
  <c r="B44" i="20"/>
  <c r="D43" i="20"/>
  <c r="C43" i="20"/>
  <c r="B43" i="20"/>
  <c r="D42" i="20"/>
  <c r="C42" i="20"/>
  <c r="B42" i="20"/>
  <c r="C41" i="20"/>
  <c r="B41" i="20"/>
  <c r="D40" i="20"/>
  <c r="C40" i="20"/>
  <c r="B40" i="20"/>
  <c r="D39" i="20"/>
  <c r="C39" i="20"/>
  <c r="B39" i="20"/>
  <c r="C38" i="20"/>
  <c r="B38" i="20"/>
  <c r="D37" i="20"/>
  <c r="C37" i="20"/>
  <c r="B37" i="20"/>
  <c r="D36" i="20"/>
  <c r="D57" i="20" s="1"/>
  <c r="C36" i="20"/>
  <c r="B36" i="20"/>
  <c r="D35" i="20"/>
  <c r="C35" i="20"/>
  <c r="B35" i="20"/>
  <c r="D34" i="20"/>
  <c r="C34" i="20"/>
  <c r="B34" i="20"/>
  <c r="D33" i="20"/>
  <c r="C33" i="20"/>
  <c r="B33" i="20"/>
  <c r="D32" i="20"/>
  <c r="F32" i="20" s="1"/>
  <c r="H32" i="20" s="1"/>
  <c r="I32" i="20" s="1"/>
  <c r="C32" i="20"/>
  <c r="B32" i="20"/>
  <c r="J31" i="20"/>
  <c r="C31" i="20"/>
  <c r="C30" i="20"/>
  <c r="B30" i="20"/>
  <c r="C29" i="20"/>
  <c r="B29" i="20"/>
  <c r="E28" i="20"/>
  <c r="C28" i="20"/>
  <c r="B28" i="20"/>
  <c r="E27" i="20"/>
  <c r="C27" i="20"/>
  <c r="B27" i="20"/>
  <c r="E26" i="20"/>
  <c r="C26" i="20"/>
  <c r="B26" i="20"/>
  <c r="E25" i="20"/>
  <c r="C25" i="20"/>
  <c r="E24" i="20"/>
  <c r="C24" i="20"/>
  <c r="B24" i="20"/>
  <c r="E23" i="20"/>
  <c r="C23" i="20"/>
  <c r="B23" i="20"/>
  <c r="E22" i="20"/>
  <c r="C22" i="20"/>
  <c r="B22" i="20"/>
  <c r="J21" i="20"/>
  <c r="C21" i="20"/>
  <c r="B21" i="20"/>
  <c r="J20" i="20"/>
  <c r="C20" i="20"/>
  <c r="B20" i="20"/>
  <c r="J19" i="20"/>
  <c r="C19" i="20"/>
  <c r="B19" i="20"/>
  <c r="J18" i="20"/>
  <c r="C18" i="20"/>
  <c r="B18" i="20"/>
  <c r="J17" i="20"/>
  <c r="C17" i="20"/>
  <c r="B17" i="20"/>
  <c r="J16" i="20"/>
  <c r="B16" i="20"/>
  <c r="C15" i="20"/>
  <c r="B15" i="20"/>
  <c r="C14" i="20"/>
  <c r="B14" i="20"/>
  <c r="C13" i="20"/>
  <c r="B13" i="20"/>
  <c r="C12" i="20"/>
  <c r="B12" i="20"/>
  <c r="J11" i="20"/>
  <c r="C11" i="20"/>
  <c r="B11" i="20"/>
  <c r="C10" i="20"/>
  <c r="B10" i="20"/>
  <c r="C9" i="20"/>
  <c r="B9" i="20"/>
  <c r="C8" i="20"/>
  <c r="B8" i="20"/>
  <c r="J7" i="20"/>
  <c r="C7" i="20"/>
  <c r="B7" i="20"/>
  <c r="C6" i="20"/>
  <c r="B6" i="20"/>
  <c r="C5" i="20"/>
  <c r="B5" i="20"/>
  <c r="D4" i="20"/>
  <c r="C4" i="20"/>
  <c r="B4" i="20"/>
  <c r="D3" i="20"/>
  <c r="G3" i="20" s="1"/>
  <c r="C3" i="20"/>
  <c r="B3" i="20"/>
  <c r="C2" i="20"/>
  <c r="B2" i="20"/>
  <c r="C1" i="20"/>
  <c r="Y49" i="24" l="1"/>
  <c r="G49" i="24" s="1"/>
  <c r="Z49" i="24"/>
  <c r="AB49" i="24" s="1"/>
  <c r="AD49" i="24" s="1"/>
  <c r="AF49" i="24" s="1"/>
  <c r="AH49" i="24" s="1"/>
  <c r="AJ49" i="24" s="1"/>
  <c r="K64" i="21"/>
  <c r="N64" i="21" s="1"/>
  <c r="P64" i="21" s="1"/>
  <c r="R64" i="21" s="1"/>
  <c r="T64" i="21" s="1"/>
  <c r="V64" i="21" s="1"/>
  <c r="X64" i="21" s="1"/>
  <c r="Z64" i="21" s="1"/>
  <c r="AB64" i="21" s="1"/>
  <c r="AD64" i="21" s="1"/>
  <c r="AF64" i="21" s="1"/>
  <c r="AH64" i="21" s="1"/>
  <c r="AJ64" i="21" s="1"/>
  <c r="K67" i="21"/>
  <c r="N67" i="21" s="1"/>
  <c r="P67" i="21" s="1"/>
  <c r="M46" i="21"/>
  <c r="O46" i="21"/>
  <c r="H46" i="21"/>
  <c r="J4" i="21"/>
  <c r="K4" i="21" s="1"/>
  <c r="O32" i="21"/>
  <c r="M64" i="21"/>
  <c r="K60" i="21"/>
  <c r="Q64" i="21"/>
  <c r="K40" i="21"/>
  <c r="K34" i="21"/>
  <c r="R129" i="22"/>
  <c r="Q198" i="22"/>
  <c r="R198" i="22" s="1"/>
  <c r="P237" i="22"/>
  <c r="S235" i="22"/>
  <c r="U235" i="22" s="1"/>
  <c r="W235" i="22" s="1"/>
  <c r="Y235" i="22" s="1"/>
  <c r="AA235" i="22" s="1"/>
  <c r="AC235" i="22" s="1"/>
  <c r="AE235" i="22" s="1"/>
  <c r="AG235" i="22" s="1"/>
  <c r="AI235" i="22" s="1"/>
  <c r="R235" i="22"/>
  <c r="S228" i="22"/>
  <c r="R228" i="22"/>
  <c r="S231" i="22"/>
  <c r="R231" i="22"/>
  <c r="S232" i="22"/>
  <c r="U232" i="22" s="1"/>
  <c r="W232" i="22" s="1"/>
  <c r="Y232" i="22" s="1"/>
  <c r="AA232" i="22" s="1"/>
  <c r="AC232" i="22" s="1"/>
  <c r="AE232" i="22" s="1"/>
  <c r="AG232" i="22" s="1"/>
  <c r="AI232" i="22" s="1"/>
  <c r="R232" i="22"/>
  <c r="S237" i="22"/>
  <c r="U237" i="22" s="1"/>
  <c r="W237" i="22" s="1"/>
  <c r="Y237" i="22" s="1"/>
  <c r="AA237" i="22" s="1"/>
  <c r="AC237" i="22" s="1"/>
  <c r="AE237" i="22" s="1"/>
  <c r="AG237" i="22" s="1"/>
  <c r="AI237" i="22" s="1"/>
  <c r="R237" i="22"/>
  <c r="S236" i="22"/>
  <c r="U236" i="22" s="1"/>
  <c r="W236" i="22" s="1"/>
  <c r="Y236" i="22" s="1"/>
  <c r="AA236" i="22" s="1"/>
  <c r="AC236" i="22" s="1"/>
  <c r="AE236" i="22" s="1"/>
  <c r="AG236" i="22" s="1"/>
  <c r="AI236" i="22" s="1"/>
  <c r="R236" i="22"/>
  <c r="S227" i="22"/>
  <c r="U227" i="22" s="1"/>
  <c r="W227" i="22" s="1"/>
  <c r="Y227" i="22" s="1"/>
  <c r="AA227" i="22" s="1"/>
  <c r="AC227" i="22" s="1"/>
  <c r="AE227" i="22" s="1"/>
  <c r="AG227" i="22" s="1"/>
  <c r="AI227" i="22" s="1"/>
  <c r="R227" i="22"/>
  <c r="S198" i="22"/>
  <c r="U198" i="22" s="1"/>
  <c r="W198" i="22" s="1"/>
  <c r="Y198" i="22" s="1"/>
  <c r="AA198" i="22" s="1"/>
  <c r="AC198" i="22" s="1"/>
  <c r="AE198" i="22" s="1"/>
  <c r="AG198" i="22" s="1"/>
  <c r="AI198" i="22" s="1"/>
  <c r="S191" i="22"/>
  <c r="R191" i="22"/>
  <c r="S133" i="22"/>
  <c r="U133" i="22" s="1"/>
  <c r="W133" i="22" s="1"/>
  <c r="Y133" i="22" s="1"/>
  <c r="AA133" i="22" s="1"/>
  <c r="AC133" i="22" s="1"/>
  <c r="AE133" i="22" s="1"/>
  <c r="AG133" i="22" s="1"/>
  <c r="AI133" i="22" s="1"/>
  <c r="R133" i="22"/>
  <c r="S199" i="22"/>
  <c r="R199" i="22"/>
  <c r="S151" i="22"/>
  <c r="R151" i="22"/>
  <c r="S226" i="22"/>
  <c r="U226" i="22" s="1"/>
  <c r="W226" i="22" s="1"/>
  <c r="Y226" i="22" s="1"/>
  <c r="AA226" i="22" s="1"/>
  <c r="AC226" i="22" s="1"/>
  <c r="AE226" i="22" s="1"/>
  <c r="AG226" i="22" s="1"/>
  <c r="AI226" i="22" s="1"/>
  <c r="R226" i="22"/>
  <c r="S154" i="22"/>
  <c r="R154" i="22"/>
  <c r="S190" i="22"/>
  <c r="R190" i="22"/>
  <c r="S210" i="22"/>
  <c r="U210" i="22" s="1"/>
  <c r="W210" i="22" s="1"/>
  <c r="Y210" i="22" s="1"/>
  <c r="AA210" i="22" s="1"/>
  <c r="AC210" i="22" s="1"/>
  <c r="AE210" i="22" s="1"/>
  <c r="AG210" i="22" s="1"/>
  <c r="AI210" i="22" s="1"/>
  <c r="R210" i="22"/>
  <c r="S152" i="22"/>
  <c r="R152" i="22"/>
  <c r="S209" i="22"/>
  <c r="R209" i="22"/>
  <c r="S171" i="22"/>
  <c r="R171" i="22"/>
  <c r="S147" i="22"/>
  <c r="R147" i="22"/>
  <c r="S206" i="22"/>
  <c r="U206" i="22" s="1"/>
  <c r="W206" i="22" s="1"/>
  <c r="Y206" i="22" s="1"/>
  <c r="AA206" i="22" s="1"/>
  <c r="AC206" i="22" s="1"/>
  <c r="AE206" i="22" s="1"/>
  <c r="AG206" i="22" s="1"/>
  <c r="AI206" i="22" s="1"/>
  <c r="R206" i="22"/>
  <c r="S207" i="22"/>
  <c r="R207" i="22"/>
  <c r="S168" i="22"/>
  <c r="R168" i="22"/>
  <c r="S215" i="22"/>
  <c r="R215" i="22"/>
  <c r="S132" i="22"/>
  <c r="R132" i="22"/>
  <c r="S175" i="22"/>
  <c r="R175" i="22"/>
  <c r="S204" i="22"/>
  <c r="U204" i="22" s="1"/>
  <c r="W204" i="22" s="1"/>
  <c r="Y204" i="22" s="1"/>
  <c r="AA204" i="22" s="1"/>
  <c r="AC204" i="22" s="1"/>
  <c r="AE204" i="22" s="1"/>
  <c r="AG204" i="22" s="1"/>
  <c r="AI204" i="22" s="1"/>
  <c r="R204" i="22"/>
  <c r="S136" i="22"/>
  <c r="R136" i="22"/>
  <c r="S219" i="22"/>
  <c r="R219" i="22"/>
  <c r="S161" i="22"/>
  <c r="R161" i="22"/>
  <c r="S222" i="22"/>
  <c r="U222" i="22" s="1"/>
  <c r="W222" i="22" s="1"/>
  <c r="Y222" i="22" s="1"/>
  <c r="AA222" i="22" s="1"/>
  <c r="AC222" i="22" s="1"/>
  <c r="AE222" i="22" s="1"/>
  <c r="AG222" i="22" s="1"/>
  <c r="AI222" i="22" s="1"/>
  <c r="R222" i="22"/>
  <c r="S160" i="22"/>
  <c r="R160" i="22"/>
  <c r="S187" i="22"/>
  <c r="U187" i="22" s="1"/>
  <c r="W187" i="22" s="1"/>
  <c r="Y187" i="22" s="1"/>
  <c r="AA187" i="22" s="1"/>
  <c r="AC187" i="22" s="1"/>
  <c r="AE187" i="22" s="1"/>
  <c r="AG187" i="22" s="1"/>
  <c r="AI187" i="22" s="1"/>
  <c r="R187" i="22"/>
  <c r="S202" i="22"/>
  <c r="U202" i="22" s="1"/>
  <c r="W202" i="22" s="1"/>
  <c r="Y202" i="22" s="1"/>
  <c r="AA202" i="22" s="1"/>
  <c r="AC202" i="22" s="1"/>
  <c r="AE202" i="22" s="1"/>
  <c r="AG202" i="22" s="1"/>
  <c r="AI202" i="22" s="1"/>
  <c r="R202" i="22"/>
  <c r="S148" i="22"/>
  <c r="R148" i="22"/>
  <c r="S167" i="22"/>
  <c r="R167" i="22"/>
  <c r="S139" i="22"/>
  <c r="R139" i="22"/>
  <c r="S224" i="22"/>
  <c r="U224" i="22" s="1"/>
  <c r="W224" i="22" s="1"/>
  <c r="Y224" i="22" s="1"/>
  <c r="AA224" i="22" s="1"/>
  <c r="AC224" i="22" s="1"/>
  <c r="AE224" i="22" s="1"/>
  <c r="AG224" i="22" s="1"/>
  <c r="AI224" i="22" s="1"/>
  <c r="R224" i="22"/>
  <c r="S174" i="22"/>
  <c r="R174" i="22"/>
  <c r="S193" i="22"/>
  <c r="R193" i="22"/>
  <c r="S135" i="22"/>
  <c r="R135" i="22"/>
  <c r="S200" i="22"/>
  <c r="U200" i="22" s="1"/>
  <c r="W200" i="22" s="1"/>
  <c r="Y200" i="22" s="1"/>
  <c r="AA200" i="22" s="1"/>
  <c r="AC200" i="22" s="1"/>
  <c r="AE200" i="22" s="1"/>
  <c r="AG200" i="22" s="1"/>
  <c r="AI200" i="22" s="1"/>
  <c r="R200" i="22"/>
  <c r="S170" i="22"/>
  <c r="R170" i="22"/>
  <c r="S184" i="22"/>
  <c r="R184" i="22"/>
  <c r="S203" i="22"/>
  <c r="R203" i="22"/>
  <c r="S150" i="22"/>
  <c r="R150" i="22"/>
  <c r="S225" i="22"/>
  <c r="R225" i="22"/>
  <c r="S214" i="22"/>
  <c r="U214" i="22" s="1"/>
  <c r="W214" i="22" s="1"/>
  <c r="Y214" i="22" s="1"/>
  <c r="AA214" i="22" s="1"/>
  <c r="AC214" i="22" s="1"/>
  <c r="AE214" i="22" s="1"/>
  <c r="AG214" i="22" s="1"/>
  <c r="AI214" i="22" s="1"/>
  <c r="R214" i="22"/>
  <c r="S156" i="22"/>
  <c r="R156" i="22"/>
  <c r="S188" i="22"/>
  <c r="R188" i="22"/>
  <c r="S201" i="22"/>
  <c r="R201" i="22"/>
  <c r="S178" i="22"/>
  <c r="R178" i="22"/>
  <c r="S123" i="22"/>
  <c r="R123" i="22"/>
  <c r="S194" i="22"/>
  <c r="R194" i="22"/>
  <c r="S177" i="22"/>
  <c r="R177" i="22"/>
  <c r="S159" i="22"/>
  <c r="R159" i="22"/>
  <c r="S217" i="22"/>
  <c r="R217" i="22"/>
  <c r="S186" i="22"/>
  <c r="R186" i="22"/>
  <c r="S137" i="22"/>
  <c r="R137" i="22"/>
  <c r="S122" i="22"/>
  <c r="R122" i="22"/>
  <c r="S162" i="22"/>
  <c r="R162" i="22"/>
  <c r="S205" i="22"/>
  <c r="R205" i="22"/>
  <c r="S163" i="22"/>
  <c r="R163" i="22"/>
  <c r="S158" i="22"/>
  <c r="R158" i="22"/>
  <c r="Q34" i="22"/>
  <c r="P34" i="22"/>
  <c r="Q183" i="22"/>
  <c r="P183" i="22"/>
  <c r="Q46" i="22"/>
  <c r="P46" i="22"/>
  <c r="P233" i="22"/>
  <c r="Q233" i="22"/>
  <c r="P128" i="22"/>
  <c r="Q128" i="22"/>
  <c r="P149" i="22"/>
  <c r="Q149" i="22"/>
  <c r="Q29" i="22"/>
  <c r="P29" i="22"/>
  <c r="Q220" i="22"/>
  <c r="P220" i="22"/>
  <c r="P227" i="22"/>
  <c r="P221" i="22"/>
  <c r="Q221" i="22"/>
  <c r="P179" i="22"/>
  <c r="Q179" i="22"/>
  <c r="Q144" i="22"/>
  <c r="P144" i="22"/>
  <c r="P195" i="22"/>
  <c r="Q195" i="22"/>
  <c r="Q192" i="22"/>
  <c r="P192" i="22"/>
  <c r="P212" i="22"/>
  <c r="Q212" i="22"/>
  <c r="Q197" i="22"/>
  <c r="P197" i="22"/>
  <c r="Q130" i="22"/>
  <c r="P130" i="22"/>
  <c r="Q185" i="22"/>
  <c r="P185" i="22"/>
  <c r="Q138" i="22"/>
  <c r="P138" i="22"/>
  <c r="Q173" i="22"/>
  <c r="P173" i="22"/>
  <c r="Q208" i="22"/>
  <c r="P208" i="22"/>
  <c r="P155" i="22"/>
  <c r="Q155" i="22"/>
  <c r="P153" i="22"/>
  <c r="Q153" i="22"/>
  <c r="P223" i="22"/>
  <c r="Q223" i="22"/>
  <c r="P234" i="22"/>
  <c r="Q234" i="22"/>
  <c r="Q213" i="22"/>
  <c r="P213" i="22"/>
  <c r="P124" i="22"/>
  <c r="Q124" i="22"/>
  <c r="Q216" i="22"/>
  <c r="P216" i="22"/>
  <c r="Q127" i="22"/>
  <c r="P127" i="22"/>
  <c r="P189" i="22"/>
  <c r="Q189" i="22"/>
  <c r="P230" i="22"/>
  <c r="Q230" i="22"/>
  <c r="Q211" i="22"/>
  <c r="P211" i="22"/>
  <c r="Q143" i="22"/>
  <c r="P143" i="22"/>
  <c r="V235" i="22"/>
  <c r="V234" i="22"/>
  <c r="V229" i="22"/>
  <c r="V218" i="22"/>
  <c r="V237" i="22"/>
  <c r="V232" i="22"/>
  <c r="V226" i="22"/>
  <c r="V216" i="22"/>
  <c r="V214" i="22"/>
  <c r="V212" i="22"/>
  <c r="V208" i="22"/>
  <c r="V236" i="22"/>
  <c r="V220" i="22"/>
  <c r="V206" i="22"/>
  <c r="V224" i="22"/>
  <c r="V210" i="22"/>
  <c r="V189" i="22"/>
  <c r="V233" i="22"/>
  <c r="V202" i="22"/>
  <c r="V196" i="22"/>
  <c r="V222" i="22"/>
  <c r="V198" i="22"/>
  <c r="V200" i="22"/>
  <c r="V172" i="22"/>
  <c r="V183" i="22"/>
  <c r="V181" i="22"/>
  <c r="V176" i="22"/>
  <c r="V165" i="22"/>
  <c r="V169" i="22"/>
  <c r="V131" i="22"/>
  <c r="V227" i="22"/>
  <c r="V187" i="22"/>
  <c r="V142" i="22"/>
  <c r="V134" i="22"/>
  <c r="V129" i="22"/>
  <c r="V126" i="22"/>
  <c r="V204" i="22"/>
  <c r="V179" i="22"/>
  <c r="V185" i="22"/>
  <c r="V180" i="22"/>
  <c r="V157" i="22"/>
  <c r="V143" i="22"/>
  <c r="V125" i="22"/>
  <c r="V140" i="22"/>
  <c r="V175" i="22"/>
  <c r="V141" i="22"/>
  <c r="V133" i="22"/>
  <c r="V145" i="22"/>
  <c r="V11" i="22"/>
  <c r="P229" i="22"/>
  <c r="Q229" i="22"/>
  <c r="Q15" i="22"/>
  <c r="P15" i="22"/>
  <c r="Q182" i="22"/>
  <c r="P182" i="22"/>
  <c r="Q166" i="22"/>
  <c r="P166" i="22"/>
  <c r="P164" i="22"/>
  <c r="Q164" i="22"/>
  <c r="P146" i="22"/>
  <c r="Q146" i="22"/>
  <c r="T11" i="22"/>
  <c r="Q110" i="22"/>
  <c r="P110" i="22"/>
  <c r="Q74" i="22"/>
  <c r="P74" i="22"/>
  <c r="Q51" i="22"/>
  <c r="P51" i="22"/>
  <c r="Q75" i="22"/>
  <c r="P75" i="22"/>
  <c r="Q63" i="22"/>
  <c r="P63" i="22"/>
  <c r="Q80" i="22"/>
  <c r="P80" i="22"/>
  <c r="Q57" i="22"/>
  <c r="P57" i="22"/>
  <c r="Q85" i="22"/>
  <c r="P85" i="22"/>
  <c r="Q115" i="22"/>
  <c r="P115" i="22"/>
  <c r="Q60" i="22"/>
  <c r="P60" i="22"/>
  <c r="Q90" i="22"/>
  <c r="P90" i="22"/>
  <c r="Q103" i="22"/>
  <c r="P103" i="22"/>
  <c r="Q107" i="22"/>
  <c r="P107" i="22"/>
  <c r="Q55" i="22"/>
  <c r="P55" i="22"/>
  <c r="Q76" i="22"/>
  <c r="P76" i="22"/>
  <c r="Q113" i="22"/>
  <c r="P113" i="22"/>
  <c r="Q66" i="22"/>
  <c r="P66" i="22"/>
  <c r="Q43" i="22"/>
  <c r="P43" i="22"/>
  <c r="Q32" i="22"/>
  <c r="P32" i="22"/>
  <c r="Q39" i="22"/>
  <c r="P39" i="22"/>
  <c r="Q86" i="22"/>
  <c r="P86" i="22"/>
  <c r="Q16" i="22"/>
  <c r="P16" i="22"/>
  <c r="Q121" i="22"/>
  <c r="P121" i="22"/>
  <c r="Q48" i="22"/>
  <c r="P48" i="22"/>
  <c r="Q71" i="22"/>
  <c r="P71" i="22"/>
  <c r="Q79" i="22"/>
  <c r="P79" i="22"/>
  <c r="Q118" i="22"/>
  <c r="P118" i="22"/>
  <c r="Q104" i="22"/>
  <c r="P104" i="22"/>
  <c r="Q106" i="22"/>
  <c r="P106" i="22"/>
  <c r="Q95" i="22"/>
  <c r="P95" i="22"/>
  <c r="Q70" i="22"/>
  <c r="P70" i="22"/>
  <c r="Q44" i="22"/>
  <c r="P44" i="22"/>
  <c r="Q58" i="22"/>
  <c r="P58" i="22"/>
  <c r="Q35" i="22"/>
  <c r="P35" i="22"/>
  <c r="Q72" i="22"/>
  <c r="P72" i="22"/>
  <c r="Q62" i="22"/>
  <c r="P62" i="22"/>
  <c r="Q92" i="22"/>
  <c r="P92" i="22"/>
  <c r="Q59" i="22"/>
  <c r="P59" i="22"/>
  <c r="Q109" i="22"/>
  <c r="P109" i="22"/>
  <c r="Q52" i="22"/>
  <c r="P52" i="22"/>
  <c r="Q56" i="22"/>
  <c r="P56" i="22"/>
  <c r="Q67" i="22"/>
  <c r="P67" i="22"/>
  <c r="Q96" i="22"/>
  <c r="P96" i="22"/>
  <c r="Q82" i="22"/>
  <c r="P82" i="22"/>
  <c r="S10" i="22"/>
  <c r="R10" i="22"/>
  <c r="Q40" i="22"/>
  <c r="P40" i="22"/>
  <c r="Q116" i="22"/>
  <c r="P116" i="22"/>
  <c r="Q91" i="22"/>
  <c r="P91" i="22"/>
  <c r="Q111" i="22"/>
  <c r="P111" i="22"/>
  <c r="Q47" i="22"/>
  <c r="P47" i="22"/>
  <c r="Q98" i="22"/>
  <c r="P98" i="22"/>
  <c r="Q87" i="22"/>
  <c r="P87" i="22"/>
  <c r="Q101" i="22"/>
  <c r="P101" i="22"/>
  <c r="Q78" i="22"/>
  <c r="P78" i="22"/>
  <c r="Q88" i="22"/>
  <c r="P88" i="22"/>
  <c r="Q117" i="22"/>
  <c r="P117" i="22"/>
  <c r="Q114" i="22"/>
  <c r="P114" i="22"/>
  <c r="Q36" i="22"/>
  <c r="P36" i="22"/>
  <c r="Q73" i="22"/>
  <c r="P73" i="22"/>
  <c r="Q97" i="22"/>
  <c r="P97" i="22"/>
  <c r="Q99" i="22"/>
  <c r="P99" i="22"/>
  <c r="Q65" i="22"/>
  <c r="P65" i="22"/>
  <c r="S24" i="22"/>
  <c r="R24" i="22"/>
  <c r="Q83" i="22"/>
  <c r="P83" i="22"/>
  <c r="Q84" i="22"/>
  <c r="P84" i="22"/>
  <c r="V119" i="22"/>
  <c r="V115" i="22"/>
  <c r="V95" i="22"/>
  <c r="V112" i="22"/>
  <c r="V100" i="22"/>
  <c r="V102" i="22"/>
  <c r="V97" i="22"/>
  <c r="V87" i="22"/>
  <c r="V79" i="22"/>
  <c r="V75" i="22"/>
  <c r="V71" i="22"/>
  <c r="V94" i="22"/>
  <c r="V89" i="22"/>
  <c r="V81" i="22"/>
  <c r="V54" i="22"/>
  <c r="V50" i="22"/>
  <c r="V42" i="22"/>
  <c r="V38" i="22"/>
  <c r="V26" i="22"/>
  <c r="V23" i="22"/>
  <c r="V19" i="22"/>
  <c r="V15" i="22"/>
  <c r="V12" i="22"/>
  <c r="V28" i="22"/>
  <c r="V25" i="22"/>
  <c r="V22" i="22"/>
  <c r="V18" i="22"/>
  <c r="V14" i="22"/>
  <c r="V53" i="22"/>
  <c r="V49" i="22"/>
  <c r="V45" i="22"/>
  <c r="V41" i="22"/>
  <c r="V37" i="22"/>
  <c r="V21" i="22"/>
  <c r="X9" i="22"/>
  <c r="V17" i="22"/>
  <c r="V33" i="22"/>
  <c r="Q20" i="22"/>
  <c r="P20" i="22"/>
  <c r="Q31" i="22"/>
  <c r="P31" i="22"/>
  <c r="Q64" i="22"/>
  <c r="P64" i="22"/>
  <c r="Q120" i="22"/>
  <c r="P120" i="22"/>
  <c r="Q105" i="22"/>
  <c r="P105" i="22"/>
  <c r="Q77" i="22"/>
  <c r="P77" i="22"/>
  <c r="Q108" i="22"/>
  <c r="P108" i="22"/>
  <c r="Q93" i="22"/>
  <c r="P93" i="22"/>
  <c r="S27" i="22"/>
  <c r="R27" i="22"/>
  <c r="S13" i="22"/>
  <c r="R13" i="22"/>
  <c r="Q30" i="22"/>
  <c r="P30" i="22"/>
  <c r="Q61" i="22"/>
  <c r="P61" i="22"/>
  <c r="Q68" i="22"/>
  <c r="P68" i="22"/>
  <c r="Q69" i="22"/>
  <c r="P69" i="22"/>
  <c r="Q46" i="21"/>
  <c r="Q32" i="21"/>
  <c r="N27" i="21"/>
  <c r="P27" i="21" s="1"/>
  <c r="K27" i="21"/>
  <c r="F5" i="21"/>
  <c r="D11" i="21"/>
  <c r="F11" i="21" s="1"/>
  <c r="J11" i="21" s="1"/>
  <c r="D6" i="21"/>
  <c r="F6" i="21" s="1"/>
  <c r="D9" i="21"/>
  <c r="D10" i="21"/>
  <c r="F10" i="21" s="1"/>
  <c r="D8" i="21"/>
  <c r="F8" i="21" s="1"/>
  <c r="J8" i="21" s="1"/>
  <c r="N28" i="21"/>
  <c r="P28" i="21" s="1"/>
  <c r="K28" i="21"/>
  <c r="N18" i="21"/>
  <c r="P18" i="21" s="1"/>
  <c r="K18" i="21"/>
  <c r="D20" i="21"/>
  <c r="F20" i="21" s="1"/>
  <c r="J20" i="21" s="1"/>
  <c r="F19" i="21"/>
  <c r="J19" i="21" s="1"/>
  <c r="P81" i="21"/>
  <c r="O81" i="21"/>
  <c r="N4" i="21"/>
  <c r="P4" i="21" s="1"/>
  <c r="F35" i="21"/>
  <c r="F62" i="21"/>
  <c r="D93" i="21"/>
  <c r="F92" i="21"/>
  <c r="K92" i="21" s="1"/>
  <c r="N22" i="21"/>
  <c r="P22" i="21" s="1"/>
  <c r="K22" i="21"/>
  <c r="P79" i="21"/>
  <c r="O79" i="21"/>
  <c r="D17" i="21"/>
  <c r="F17" i="21" s="1"/>
  <c r="J17" i="21" s="1"/>
  <c r="F13" i="21"/>
  <c r="J13" i="21" s="1"/>
  <c r="D14" i="21"/>
  <c r="F14" i="21" s="1"/>
  <c r="J14" i="21" s="1"/>
  <c r="N21" i="21"/>
  <c r="P21" i="21" s="1"/>
  <c r="K21" i="21"/>
  <c r="S82" i="21"/>
  <c r="S78" i="21"/>
  <c r="S86" i="21"/>
  <c r="S75" i="21"/>
  <c r="S87" i="21"/>
  <c r="S80" i="21"/>
  <c r="S76" i="21"/>
  <c r="S74" i="21"/>
  <c r="S73" i="21"/>
  <c r="S71" i="21"/>
  <c r="S46" i="21"/>
  <c r="S89" i="21"/>
  <c r="S72" i="21"/>
  <c r="S32" i="21"/>
  <c r="S77" i="21"/>
  <c r="S64" i="21"/>
  <c r="S85" i="21"/>
  <c r="U31" i="21"/>
  <c r="K7" i="21"/>
  <c r="N7" i="21"/>
  <c r="F33" i="21"/>
  <c r="K33" i="21" s="1"/>
  <c r="F51" i="21"/>
  <c r="N56" i="17"/>
  <c r="P57" i="17"/>
  <c r="F3" i="20"/>
  <c r="F64" i="20" s="1"/>
  <c r="G4" i="20"/>
  <c r="F4" i="20"/>
  <c r="D28" i="20"/>
  <c r="F28" i="20" s="1"/>
  <c r="D59" i="20"/>
  <c r="D60" i="20" s="1"/>
  <c r="D8" i="20"/>
  <c r="D22" i="20"/>
  <c r="F22" i="20" s="1"/>
  <c r="F94" i="1"/>
  <c r="F94" i="7"/>
  <c r="F94" i="8"/>
  <c r="F95" i="9"/>
  <c r="L94" i="9"/>
  <c r="L93" i="8"/>
  <c r="L93" i="7"/>
  <c r="L93" i="1"/>
  <c r="O64" i="21" l="1"/>
  <c r="O67" i="21"/>
  <c r="M67" i="21"/>
  <c r="R67" i="21"/>
  <c r="Q67" i="21"/>
  <c r="D29" i="21"/>
  <c r="F29" i="21" s="1"/>
  <c r="J29" i="21" s="1"/>
  <c r="M34" i="21"/>
  <c r="N34" i="21"/>
  <c r="H34" i="21"/>
  <c r="H60" i="21"/>
  <c r="N60" i="21"/>
  <c r="M60" i="21"/>
  <c r="J51" i="21"/>
  <c r="L51" i="21" s="1"/>
  <c r="J6" i="21"/>
  <c r="K6" i="21" s="1"/>
  <c r="AM107" i="21"/>
  <c r="AM121" i="21"/>
  <c r="AM109" i="21"/>
  <c r="AM108" i="21"/>
  <c r="AM100" i="21"/>
  <c r="D99" i="21" s="1"/>
  <c r="AM120" i="21"/>
  <c r="AM122" i="21"/>
  <c r="AM114" i="21"/>
  <c r="AM112" i="21"/>
  <c r="D30" i="21"/>
  <c r="F30" i="21" s="1"/>
  <c r="J30" i="21" s="1"/>
  <c r="N40" i="21"/>
  <c r="M40" i="21"/>
  <c r="H40" i="21"/>
  <c r="J62" i="21"/>
  <c r="L62" i="21" s="1"/>
  <c r="J35" i="21"/>
  <c r="L35" i="21" s="1"/>
  <c r="F43" i="21"/>
  <c r="J10" i="21"/>
  <c r="K10" i="21" s="1"/>
  <c r="J5" i="21"/>
  <c r="K5" i="21" s="1"/>
  <c r="S233" i="22"/>
  <c r="U233" i="22" s="1"/>
  <c r="W233" i="22" s="1"/>
  <c r="Y233" i="22" s="1"/>
  <c r="AA233" i="22" s="1"/>
  <c r="AC233" i="22" s="1"/>
  <c r="AE233" i="22" s="1"/>
  <c r="AG233" i="22" s="1"/>
  <c r="AI233" i="22" s="1"/>
  <c r="R233" i="22"/>
  <c r="S229" i="22"/>
  <c r="U229" i="22" s="1"/>
  <c r="W229" i="22" s="1"/>
  <c r="Y229" i="22" s="1"/>
  <c r="AA229" i="22" s="1"/>
  <c r="AC229" i="22" s="1"/>
  <c r="AE229" i="22" s="1"/>
  <c r="AG229" i="22" s="1"/>
  <c r="AI229" i="22" s="1"/>
  <c r="R229" i="22"/>
  <c r="U228" i="22"/>
  <c r="T228" i="22"/>
  <c r="S230" i="22"/>
  <c r="R230" i="22"/>
  <c r="S234" i="22"/>
  <c r="U234" i="22" s="1"/>
  <c r="W234" i="22" s="1"/>
  <c r="Y234" i="22" s="1"/>
  <c r="AA234" i="22" s="1"/>
  <c r="AC234" i="22" s="1"/>
  <c r="AE234" i="22" s="1"/>
  <c r="AG234" i="22" s="1"/>
  <c r="AI234" i="22" s="1"/>
  <c r="R234" i="22"/>
  <c r="U231" i="22"/>
  <c r="T231" i="22"/>
  <c r="S212" i="22"/>
  <c r="U212" i="22" s="1"/>
  <c r="W212" i="22" s="1"/>
  <c r="Y212" i="22" s="1"/>
  <c r="AA212" i="22" s="1"/>
  <c r="AC212" i="22" s="1"/>
  <c r="AE212" i="22" s="1"/>
  <c r="AG212" i="22" s="1"/>
  <c r="AI212" i="22" s="1"/>
  <c r="R212" i="22"/>
  <c r="S166" i="22"/>
  <c r="R166" i="22"/>
  <c r="S124" i="22"/>
  <c r="R124" i="22"/>
  <c r="S153" i="22"/>
  <c r="R153" i="22"/>
  <c r="S195" i="22"/>
  <c r="R195" i="22"/>
  <c r="S179" i="22"/>
  <c r="U179" i="22" s="1"/>
  <c r="W179" i="22" s="1"/>
  <c r="Y179" i="22" s="1"/>
  <c r="AA179" i="22" s="1"/>
  <c r="AC179" i="22" s="1"/>
  <c r="AE179" i="22" s="1"/>
  <c r="AG179" i="22" s="1"/>
  <c r="AI179" i="22" s="1"/>
  <c r="R179" i="22"/>
  <c r="U163" i="22"/>
  <c r="T163" i="22"/>
  <c r="U162" i="22"/>
  <c r="T162" i="22"/>
  <c r="U217" i="22"/>
  <c r="T217" i="22"/>
  <c r="U177" i="22"/>
  <c r="T177" i="22"/>
  <c r="U201" i="22"/>
  <c r="T201" i="22"/>
  <c r="U225" i="22"/>
  <c r="T225" i="22"/>
  <c r="U203" i="22"/>
  <c r="T203" i="22"/>
  <c r="U135" i="22"/>
  <c r="T135" i="22"/>
  <c r="U219" i="22"/>
  <c r="T219" i="22"/>
  <c r="U171" i="22"/>
  <c r="T171" i="22"/>
  <c r="U152" i="22"/>
  <c r="T152" i="22"/>
  <c r="U190" i="22"/>
  <c r="T190" i="22"/>
  <c r="U191" i="22"/>
  <c r="T191" i="22"/>
  <c r="S121" i="22"/>
  <c r="R121" i="22"/>
  <c r="S143" i="22"/>
  <c r="R143" i="22"/>
  <c r="S127" i="22"/>
  <c r="R127" i="22"/>
  <c r="S208" i="22"/>
  <c r="U208" i="22" s="1"/>
  <c r="W208" i="22" s="1"/>
  <c r="Y208" i="22" s="1"/>
  <c r="AA208" i="22" s="1"/>
  <c r="AC208" i="22" s="1"/>
  <c r="AE208" i="22" s="1"/>
  <c r="AG208" i="22" s="1"/>
  <c r="AI208" i="22" s="1"/>
  <c r="R208" i="22"/>
  <c r="S138" i="22"/>
  <c r="R138" i="22"/>
  <c r="S130" i="22"/>
  <c r="R130" i="22"/>
  <c r="S149" i="22"/>
  <c r="R149" i="22"/>
  <c r="S146" i="22"/>
  <c r="R146" i="22"/>
  <c r="S211" i="22"/>
  <c r="R211" i="22"/>
  <c r="S216" i="22"/>
  <c r="U216" i="22" s="1"/>
  <c r="W216" i="22" s="1"/>
  <c r="Y216" i="22" s="1"/>
  <c r="AA216" i="22" s="1"/>
  <c r="AC216" i="22" s="1"/>
  <c r="AE216" i="22" s="1"/>
  <c r="AG216" i="22" s="1"/>
  <c r="AI216" i="22" s="1"/>
  <c r="R216" i="22"/>
  <c r="S213" i="22"/>
  <c r="R213" i="22"/>
  <c r="S173" i="22"/>
  <c r="R173" i="22"/>
  <c r="S185" i="22"/>
  <c r="U185" i="22" s="1"/>
  <c r="W185" i="22" s="1"/>
  <c r="Y185" i="22" s="1"/>
  <c r="AA185" i="22" s="1"/>
  <c r="AC185" i="22" s="1"/>
  <c r="AE185" i="22" s="1"/>
  <c r="AG185" i="22" s="1"/>
  <c r="AI185" i="22" s="1"/>
  <c r="R185" i="22"/>
  <c r="S197" i="22"/>
  <c r="R197" i="22"/>
  <c r="S192" i="22"/>
  <c r="R192" i="22"/>
  <c r="S144" i="22"/>
  <c r="R144" i="22"/>
  <c r="S128" i="22"/>
  <c r="R128" i="22"/>
  <c r="U137" i="22"/>
  <c r="T137" i="22"/>
  <c r="U123" i="22"/>
  <c r="T123" i="22"/>
  <c r="U156" i="22"/>
  <c r="T156" i="22"/>
  <c r="U170" i="22"/>
  <c r="T170" i="22"/>
  <c r="U174" i="22"/>
  <c r="T174" i="22"/>
  <c r="U139" i="22"/>
  <c r="T139" i="22"/>
  <c r="U148" i="22"/>
  <c r="T148" i="22"/>
  <c r="U132" i="22"/>
  <c r="T132" i="22"/>
  <c r="U168" i="22"/>
  <c r="T168" i="22"/>
  <c r="U199" i="22"/>
  <c r="T199" i="22"/>
  <c r="S164" i="22"/>
  <c r="R164" i="22"/>
  <c r="S182" i="22"/>
  <c r="R182" i="22"/>
  <c r="S189" i="22"/>
  <c r="U189" i="22" s="1"/>
  <c r="W189" i="22" s="1"/>
  <c r="Y189" i="22" s="1"/>
  <c r="AA189" i="22" s="1"/>
  <c r="AC189" i="22" s="1"/>
  <c r="AE189" i="22" s="1"/>
  <c r="AG189" i="22" s="1"/>
  <c r="AI189" i="22" s="1"/>
  <c r="R189" i="22"/>
  <c r="S223" i="22"/>
  <c r="R223" i="22"/>
  <c r="S155" i="22"/>
  <c r="R155" i="22"/>
  <c r="S221" i="22"/>
  <c r="R221" i="22"/>
  <c r="S220" i="22"/>
  <c r="U220" i="22" s="1"/>
  <c r="W220" i="22" s="1"/>
  <c r="Y220" i="22" s="1"/>
  <c r="AA220" i="22" s="1"/>
  <c r="AC220" i="22" s="1"/>
  <c r="AE220" i="22" s="1"/>
  <c r="AG220" i="22" s="1"/>
  <c r="AI220" i="22" s="1"/>
  <c r="R220" i="22"/>
  <c r="S183" i="22"/>
  <c r="U183" i="22" s="1"/>
  <c r="W183" i="22" s="1"/>
  <c r="Y183" i="22" s="1"/>
  <c r="AA183" i="22" s="1"/>
  <c r="AC183" i="22" s="1"/>
  <c r="AE183" i="22" s="1"/>
  <c r="AG183" i="22" s="1"/>
  <c r="AI183" i="22" s="1"/>
  <c r="R183" i="22"/>
  <c r="U158" i="22"/>
  <c r="T158" i="22"/>
  <c r="U205" i="22"/>
  <c r="T205" i="22"/>
  <c r="U122" i="22"/>
  <c r="T122" i="22"/>
  <c r="U186" i="22"/>
  <c r="T186" i="22"/>
  <c r="U159" i="22"/>
  <c r="T159" i="22"/>
  <c r="U194" i="22"/>
  <c r="T194" i="22"/>
  <c r="U178" i="22"/>
  <c r="T178" i="22"/>
  <c r="U188" i="22"/>
  <c r="T188" i="22"/>
  <c r="U150" i="22"/>
  <c r="T150" i="22"/>
  <c r="U184" i="22"/>
  <c r="T184" i="22"/>
  <c r="U193" i="22"/>
  <c r="T193" i="22"/>
  <c r="U167" i="22"/>
  <c r="T167" i="22"/>
  <c r="U160" i="22"/>
  <c r="T160" i="22"/>
  <c r="U161" i="22"/>
  <c r="T161" i="22"/>
  <c r="U136" i="22"/>
  <c r="T136" i="22"/>
  <c r="U175" i="22"/>
  <c r="W175" i="22" s="1"/>
  <c r="Y175" i="22" s="1"/>
  <c r="AA175" i="22" s="1"/>
  <c r="AC175" i="22" s="1"/>
  <c r="AE175" i="22" s="1"/>
  <c r="AG175" i="22" s="1"/>
  <c r="AI175" i="22" s="1"/>
  <c r="T175" i="22"/>
  <c r="U215" i="22"/>
  <c r="T215" i="22"/>
  <c r="U207" i="22"/>
  <c r="T207" i="22"/>
  <c r="U147" i="22"/>
  <c r="T147" i="22"/>
  <c r="U209" i="22"/>
  <c r="T209" i="22"/>
  <c r="U154" i="22"/>
  <c r="T154" i="22"/>
  <c r="U151" i="22"/>
  <c r="T151" i="22"/>
  <c r="X233" i="22"/>
  <c r="X224" i="22"/>
  <c r="X216" i="22"/>
  <c r="X236" i="22"/>
  <c r="X229" i="22"/>
  <c r="X220" i="22"/>
  <c r="X218" i="22"/>
  <c r="X206" i="22"/>
  <c r="X227" i="22"/>
  <c r="X234" i="22"/>
  <c r="X214" i="22"/>
  <c r="X208" i="22"/>
  <c r="X202" i="22"/>
  <c r="X196" i="22"/>
  <c r="X237" i="22"/>
  <c r="X226" i="22"/>
  <c r="X204" i="22"/>
  <c r="X200" i="22"/>
  <c r="X232" i="22"/>
  <c r="X212" i="22"/>
  <c r="X210" i="22"/>
  <c r="X222" i="22"/>
  <c r="X198" i="22"/>
  <c r="X189" i="22"/>
  <c r="X183" i="22"/>
  <c r="X181" i="22"/>
  <c r="X176" i="22"/>
  <c r="X165" i="22"/>
  <c r="X187" i="22"/>
  <c r="X180" i="22"/>
  <c r="X179" i="22"/>
  <c r="X175" i="22"/>
  <c r="X171" i="22"/>
  <c r="X159" i="22"/>
  <c r="X157" i="22"/>
  <c r="X155" i="22"/>
  <c r="X142" i="22"/>
  <c r="X135" i="22"/>
  <c r="X134" i="22"/>
  <c r="X129" i="22"/>
  <c r="X126" i="22"/>
  <c r="X145" i="22"/>
  <c r="X141" i="22"/>
  <c r="X139" i="22"/>
  <c r="X133" i="22"/>
  <c r="X125" i="22"/>
  <c r="X11" i="22"/>
  <c r="X235" i="22"/>
  <c r="X185" i="22"/>
  <c r="X143" i="22"/>
  <c r="X163" i="22"/>
  <c r="X169" i="22"/>
  <c r="X140" i="22"/>
  <c r="X131" i="22"/>
  <c r="X172" i="22"/>
  <c r="S34" i="22"/>
  <c r="R34" i="22"/>
  <c r="U13" i="22"/>
  <c r="T13" i="22"/>
  <c r="S29" i="22"/>
  <c r="R29" i="22"/>
  <c r="S46" i="22"/>
  <c r="R46" i="22"/>
  <c r="U10" i="22"/>
  <c r="T10" i="22"/>
  <c r="S15" i="22"/>
  <c r="R15" i="22"/>
  <c r="X113" i="22"/>
  <c r="X97" i="22"/>
  <c r="X115" i="22"/>
  <c r="X111" i="22"/>
  <c r="X103" i="22"/>
  <c r="X119" i="22"/>
  <c r="X112" i="22"/>
  <c r="X95" i="22"/>
  <c r="X94" i="22"/>
  <c r="X73" i="22"/>
  <c r="X69" i="22"/>
  <c r="X89" i="22"/>
  <c r="X81" i="22"/>
  <c r="X71" i="22"/>
  <c r="X63" i="22"/>
  <c r="X21" i="22"/>
  <c r="X17" i="22"/>
  <c r="X102" i="22"/>
  <c r="X91" i="22"/>
  <c r="X83" i="22"/>
  <c r="X75" i="22"/>
  <c r="X55" i="22"/>
  <c r="X53" i="22"/>
  <c r="X51" i="22"/>
  <c r="X49" i="22"/>
  <c r="X47" i="22"/>
  <c r="X45" i="22"/>
  <c r="X43" i="22"/>
  <c r="X41" i="22"/>
  <c r="X37" i="22"/>
  <c r="X35" i="22"/>
  <c r="X33" i="22"/>
  <c r="X100" i="22"/>
  <c r="X99" i="22"/>
  <c r="X79" i="22"/>
  <c r="X50" i="22"/>
  <c r="X25" i="22"/>
  <c r="X15" i="22"/>
  <c r="Z9" i="22"/>
  <c r="X23" i="22"/>
  <c r="X87" i="22"/>
  <c r="X19" i="22"/>
  <c r="X26" i="22"/>
  <c r="X22" i="22"/>
  <c r="X12" i="22"/>
  <c r="X42" i="22"/>
  <c r="X18" i="22"/>
  <c r="X54" i="22"/>
  <c r="X38" i="22"/>
  <c r="X28" i="22"/>
  <c r="X14" i="22"/>
  <c r="S84" i="22"/>
  <c r="R84" i="22"/>
  <c r="U24" i="22"/>
  <c r="T24" i="22"/>
  <c r="S99" i="22"/>
  <c r="R99" i="22"/>
  <c r="S73" i="22"/>
  <c r="R73" i="22"/>
  <c r="S114" i="22"/>
  <c r="R114" i="22"/>
  <c r="S88" i="22"/>
  <c r="R88" i="22"/>
  <c r="S87" i="22"/>
  <c r="R87" i="22"/>
  <c r="S47" i="22"/>
  <c r="R47" i="22"/>
  <c r="S40" i="22"/>
  <c r="R40" i="22"/>
  <c r="S82" i="22"/>
  <c r="R82" i="22"/>
  <c r="S67" i="22"/>
  <c r="R67" i="22"/>
  <c r="S56" i="22"/>
  <c r="R56" i="22"/>
  <c r="S59" i="22"/>
  <c r="R59" i="22"/>
  <c r="S62" i="22"/>
  <c r="R62" i="22"/>
  <c r="S35" i="22"/>
  <c r="R35" i="22"/>
  <c r="S44" i="22"/>
  <c r="R44" i="22"/>
  <c r="S95" i="22"/>
  <c r="R95" i="22"/>
  <c r="S104" i="22"/>
  <c r="R104" i="22"/>
  <c r="S79" i="22"/>
  <c r="R79" i="22"/>
  <c r="S48" i="22"/>
  <c r="R48" i="22"/>
  <c r="S16" i="22"/>
  <c r="R16" i="22"/>
  <c r="S39" i="22"/>
  <c r="R39" i="22"/>
  <c r="S32" i="22"/>
  <c r="R32" i="22"/>
  <c r="S66" i="22"/>
  <c r="R66" i="22"/>
  <c r="S113" i="22"/>
  <c r="R113" i="22"/>
  <c r="S55" i="22"/>
  <c r="R55" i="22"/>
  <c r="S103" i="22"/>
  <c r="R103" i="22"/>
  <c r="S60" i="22"/>
  <c r="R60" i="22"/>
  <c r="S85" i="22"/>
  <c r="R85" i="22"/>
  <c r="S80" i="22"/>
  <c r="R80" i="22"/>
  <c r="S69" i="22"/>
  <c r="R69" i="22"/>
  <c r="S61" i="22"/>
  <c r="R61" i="22"/>
  <c r="S93" i="22"/>
  <c r="R93" i="22"/>
  <c r="S105" i="22"/>
  <c r="R105" i="22"/>
  <c r="S64" i="22"/>
  <c r="R64" i="22"/>
  <c r="S75" i="22"/>
  <c r="R75" i="22"/>
  <c r="S74" i="22"/>
  <c r="R74" i="22"/>
  <c r="S20" i="22"/>
  <c r="R20" i="22"/>
  <c r="S83" i="22"/>
  <c r="R83" i="22"/>
  <c r="S65" i="22"/>
  <c r="R65" i="22"/>
  <c r="S97" i="22"/>
  <c r="R97" i="22"/>
  <c r="S36" i="22"/>
  <c r="R36" i="22"/>
  <c r="S117" i="22"/>
  <c r="R117" i="22"/>
  <c r="S78" i="22"/>
  <c r="R78" i="22"/>
  <c r="S101" i="22"/>
  <c r="R101" i="22"/>
  <c r="S98" i="22"/>
  <c r="R98" i="22"/>
  <c r="S111" i="22"/>
  <c r="R111" i="22"/>
  <c r="S91" i="22"/>
  <c r="R91" i="22"/>
  <c r="S116" i="22"/>
  <c r="R116" i="22"/>
  <c r="S96" i="22"/>
  <c r="R96" i="22"/>
  <c r="S52" i="22"/>
  <c r="R52" i="22"/>
  <c r="S109" i="22"/>
  <c r="R109" i="22"/>
  <c r="S92" i="22"/>
  <c r="R92" i="22"/>
  <c r="S72" i="22"/>
  <c r="R72" i="22"/>
  <c r="S58" i="22"/>
  <c r="R58" i="22"/>
  <c r="S70" i="22"/>
  <c r="R70" i="22"/>
  <c r="S106" i="22"/>
  <c r="R106" i="22"/>
  <c r="S118" i="22"/>
  <c r="R118" i="22"/>
  <c r="S71" i="22"/>
  <c r="R71" i="22"/>
  <c r="S86" i="22"/>
  <c r="R86" i="22"/>
  <c r="S43" i="22"/>
  <c r="R43" i="22"/>
  <c r="S76" i="22"/>
  <c r="R76" i="22"/>
  <c r="S107" i="22"/>
  <c r="R107" i="22"/>
  <c r="S90" i="22"/>
  <c r="R90" i="22"/>
  <c r="S115" i="22"/>
  <c r="R115" i="22"/>
  <c r="S57" i="22"/>
  <c r="R57" i="22"/>
  <c r="S63" i="22"/>
  <c r="R63" i="22"/>
  <c r="S110" i="22"/>
  <c r="R110" i="22"/>
  <c r="S68" i="22"/>
  <c r="R68" i="22"/>
  <c r="S30" i="22"/>
  <c r="R30" i="22"/>
  <c r="U27" i="22"/>
  <c r="T27" i="22"/>
  <c r="S108" i="22"/>
  <c r="R108" i="22"/>
  <c r="S77" i="22"/>
  <c r="R77" i="22"/>
  <c r="S120" i="22"/>
  <c r="R120" i="22"/>
  <c r="S31" i="22"/>
  <c r="R31" i="22"/>
  <c r="S51" i="22"/>
  <c r="R51" i="22"/>
  <c r="R79" i="21"/>
  <c r="Q79" i="21"/>
  <c r="K14" i="21"/>
  <c r="N14" i="21"/>
  <c r="P14" i="21" s="1"/>
  <c r="N92" i="21"/>
  <c r="M92" i="21"/>
  <c r="N20" i="21"/>
  <c r="P20" i="21" s="1"/>
  <c r="K20" i="21"/>
  <c r="F50" i="21"/>
  <c r="N6" i="21"/>
  <c r="P6" i="21" s="1"/>
  <c r="N33" i="21"/>
  <c r="H33" i="21"/>
  <c r="M33" i="21"/>
  <c r="U86" i="21"/>
  <c r="U80" i="21"/>
  <c r="U76" i="21"/>
  <c r="U87" i="21"/>
  <c r="U73" i="21"/>
  <c r="U89" i="21"/>
  <c r="U85" i="21"/>
  <c r="U77" i="21"/>
  <c r="U72" i="21"/>
  <c r="U74" i="21"/>
  <c r="U82" i="21"/>
  <c r="U75" i="21"/>
  <c r="U64" i="21"/>
  <c r="U32" i="21"/>
  <c r="W31" i="21"/>
  <c r="U71" i="21"/>
  <c r="U46" i="21"/>
  <c r="U78" i="21"/>
  <c r="N17" i="21"/>
  <c r="P17" i="21" s="1"/>
  <c r="K17" i="21"/>
  <c r="F56" i="21"/>
  <c r="N10" i="21"/>
  <c r="P10" i="21" s="1"/>
  <c r="F36" i="21"/>
  <c r="N5" i="21"/>
  <c r="P5" i="21" s="1"/>
  <c r="F57" i="21"/>
  <c r="F37" i="21"/>
  <c r="F55" i="21"/>
  <c r="N19" i="21"/>
  <c r="P19" i="21" s="1"/>
  <c r="K19" i="21"/>
  <c r="F9" i="21"/>
  <c r="J9" i="21" s="1"/>
  <c r="K13" i="21"/>
  <c r="N13" i="21"/>
  <c r="P13" i="21" s="1"/>
  <c r="R81" i="21"/>
  <c r="Q81" i="21"/>
  <c r="K8" i="21"/>
  <c r="F53" i="21"/>
  <c r="F42" i="21"/>
  <c r="K42" i="21" s="1"/>
  <c r="N8" i="21"/>
  <c r="F54" i="21"/>
  <c r="F39" i="21"/>
  <c r="F61" i="21"/>
  <c r="K11" i="21"/>
  <c r="N11" i="21"/>
  <c r="P11" i="21" s="1"/>
  <c r="F59" i="21"/>
  <c r="N55" i="17"/>
  <c r="P56" i="17"/>
  <c r="F67" i="20"/>
  <c r="H67" i="20" s="1"/>
  <c r="I67" i="20" s="1"/>
  <c r="F62" i="20"/>
  <c r="F60" i="20"/>
  <c r="H60" i="20" s="1"/>
  <c r="I60" i="20" s="1"/>
  <c r="H64" i="20"/>
  <c r="I64" i="20" s="1"/>
  <c r="I28" i="20"/>
  <c r="I22" i="20"/>
  <c r="F8" i="20"/>
  <c r="G8" i="20"/>
  <c r="G5" i="20" s="1"/>
  <c r="D7" i="20"/>
  <c r="D5" i="20"/>
  <c r="L4" i="20"/>
  <c r="I4" i="20"/>
  <c r="I3" i="20"/>
  <c r="F40" i="20"/>
  <c r="F34" i="20"/>
  <c r="L3" i="20"/>
  <c r="F46" i="20"/>
  <c r="F35" i="20"/>
  <c r="G28" i="20"/>
  <c r="L28" i="20" s="1"/>
  <c r="G22" i="20"/>
  <c r="L22" i="20" s="1"/>
  <c r="D3" i="19"/>
  <c r="F3" i="19" s="1"/>
  <c r="D4" i="19"/>
  <c r="G4" i="19" s="1"/>
  <c r="C68" i="19"/>
  <c r="B68" i="19"/>
  <c r="D67" i="19"/>
  <c r="C67" i="19"/>
  <c r="B67" i="19"/>
  <c r="C66" i="19"/>
  <c r="B66" i="19"/>
  <c r="C65" i="19"/>
  <c r="B65" i="19"/>
  <c r="D64" i="19"/>
  <c r="C64" i="19"/>
  <c r="B64" i="19"/>
  <c r="C63" i="19"/>
  <c r="B63" i="19"/>
  <c r="D62" i="19"/>
  <c r="C62" i="19"/>
  <c r="B62" i="19"/>
  <c r="D61" i="19"/>
  <c r="C61" i="19"/>
  <c r="B61" i="19"/>
  <c r="C60" i="19"/>
  <c r="B60" i="19"/>
  <c r="C59" i="19"/>
  <c r="B59" i="19"/>
  <c r="C58" i="19"/>
  <c r="B58" i="19"/>
  <c r="C57" i="19"/>
  <c r="B57" i="19"/>
  <c r="D56" i="19"/>
  <c r="C56" i="19"/>
  <c r="B56" i="19"/>
  <c r="D55" i="19"/>
  <c r="C55" i="19"/>
  <c r="B55" i="19"/>
  <c r="D54" i="19"/>
  <c r="C54" i="19"/>
  <c r="B54" i="19"/>
  <c r="D53" i="19"/>
  <c r="C53" i="19"/>
  <c r="B53" i="19"/>
  <c r="B52" i="19"/>
  <c r="D51" i="19"/>
  <c r="C51" i="19"/>
  <c r="B51" i="19"/>
  <c r="D50" i="19"/>
  <c r="C50" i="19"/>
  <c r="B50" i="19"/>
  <c r="C49" i="19"/>
  <c r="B49" i="19"/>
  <c r="D48" i="19"/>
  <c r="C48" i="19"/>
  <c r="B48" i="19"/>
  <c r="C47" i="19"/>
  <c r="B47" i="19"/>
  <c r="D46" i="19"/>
  <c r="C46" i="19"/>
  <c r="B46" i="19"/>
  <c r="C45" i="19"/>
  <c r="B45" i="19"/>
  <c r="C44" i="19"/>
  <c r="B44" i="19"/>
  <c r="D43" i="19"/>
  <c r="C43" i="19"/>
  <c r="B43" i="19"/>
  <c r="D42" i="19"/>
  <c r="C42" i="19"/>
  <c r="B42" i="19"/>
  <c r="C41" i="19"/>
  <c r="B41" i="19"/>
  <c r="D40" i="19"/>
  <c r="C40" i="19"/>
  <c r="B40" i="19"/>
  <c r="D39" i="19"/>
  <c r="C39" i="19"/>
  <c r="B39" i="19"/>
  <c r="C38" i="19"/>
  <c r="B38" i="19"/>
  <c r="D37" i="19"/>
  <c r="C37" i="19"/>
  <c r="B37" i="19"/>
  <c r="D36" i="19"/>
  <c r="D57" i="19" s="1"/>
  <c r="C36" i="19"/>
  <c r="B36" i="19"/>
  <c r="D35" i="19"/>
  <c r="C35" i="19"/>
  <c r="B35" i="19"/>
  <c r="D34" i="19"/>
  <c r="C34" i="19"/>
  <c r="B34" i="19"/>
  <c r="D33" i="19"/>
  <c r="C33" i="19"/>
  <c r="B33" i="19"/>
  <c r="D32" i="19"/>
  <c r="F32" i="19" s="1"/>
  <c r="H32" i="19" s="1"/>
  <c r="I32" i="19" s="1"/>
  <c r="C32" i="19"/>
  <c r="B32" i="19"/>
  <c r="J31" i="19"/>
  <c r="C31" i="19"/>
  <c r="C30" i="19"/>
  <c r="B30" i="19"/>
  <c r="C29" i="19"/>
  <c r="B29" i="19"/>
  <c r="E28" i="19"/>
  <c r="C28" i="19"/>
  <c r="B28" i="19"/>
  <c r="E27" i="19"/>
  <c r="C27" i="19"/>
  <c r="B27" i="19"/>
  <c r="E26" i="19"/>
  <c r="C26" i="19"/>
  <c r="B26" i="19"/>
  <c r="E25" i="19"/>
  <c r="C25" i="19"/>
  <c r="E24" i="19"/>
  <c r="C24" i="19"/>
  <c r="B24" i="19"/>
  <c r="E23" i="19"/>
  <c r="C23" i="19"/>
  <c r="B23" i="19"/>
  <c r="E22" i="19"/>
  <c r="C22" i="19"/>
  <c r="B22" i="19"/>
  <c r="J21" i="19"/>
  <c r="C21" i="19"/>
  <c r="B21" i="19"/>
  <c r="J20" i="19"/>
  <c r="C20" i="19"/>
  <c r="B20" i="19"/>
  <c r="J19" i="19"/>
  <c r="C19" i="19"/>
  <c r="B19" i="19"/>
  <c r="J18" i="19"/>
  <c r="C18" i="19"/>
  <c r="B18" i="19"/>
  <c r="J17" i="19"/>
  <c r="C17" i="19"/>
  <c r="B17" i="19"/>
  <c r="J16" i="19"/>
  <c r="B16" i="19"/>
  <c r="C15" i="19"/>
  <c r="B15" i="19"/>
  <c r="C14" i="19"/>
  <c r="B14" i="19"/>
  <c r="C13" i="19"/>
  <c r="B13" i="19"/>
  <c r="C12" i="19"/>
  <c r="B12" i="19"/>
  <c r="J11" i="19"/>
  <c r="C11" i="19"/>
  <c r="B11" i="19"/>
  <c r="C10" i="19"/>
  <c r="B10" i="19"/>
  <c r="C9" i="19"/>
  <c r="B9" i="19"/>
  <c r="C8" i="19"/>
  <c r="B8" i="19"/>
  <c r="J7" i="19"/>
  <c r="C7" i="19"/>
  <c r="B7" i="19"/>
  <c r="C6" i="19"/>
  <c r="B6" i="19"/>
  <c r="C5" i="19"/>
  <c r="B5" i="19"/>
  <c r="C4" i="19"/>
  <c r="B4" i="19"/>
  <c r="C3" i="19"/>
  <c r="B3" i="19"/>
  <c r="C2" i="19"/>
  <c r="B2" i="19"/>
  <c r="C1" i="19"/>
  <c r="K30" i="21" l="1"/>
  <c r="K29" i="21"/>
  <c r="N30" i="21"/>
  <c r="P30" i="21" s="1"/>
  <c r="N29" i="21"/>
  <c r="P29" i="21" s="1"/>
  <c r="T67" i="21"/>
  <c r="S67" i="21"/>
  <c r="J43" i="21"/>
  <c r="K43" i="21" s="1"/>
  <c r="K62" i="21"/>
  <c r="K51" i="21"/>
  <c r="D126" i="21"/>
  <c r="F121" i="21"/>
  <c r="K121" i="21" s="1"/>
  <c r="F117" i="21"/>
  <c r="K117" i="21" s="1"/>
  <c r="F113" i="21"/>
  <c r="K113" i="21" s="1"/>
  <c r="F109" i="21"/>
  <c r="F105" i="21"/>
  <c r="K105" i="21" s="1"/>
  <c r="F101" i="21"/>
  <c r="K101" i="21" s="1"/>
  <c r="D125" i="21"/>
  <c r="F120" i="21"/>
  <c r="F116" i="21"/>
  <c r="F112" i="21"/>
  <c r="K112" i="21" s="1"/>
  <c r="F108" i="21"/>
  <c r="K108" i="21" s="1"/>
  <c r="F104" i="21"/>
  <c r="K104" i="21" s="1"/>
  <c r="F100" i="21"/>
  <c r="K100" i="21" s="1"/>
  <c r="D124" i="21"/>
  <c r="F119" i="21"/>
  <c r="K119" i="21" s="1"/>
  <c r="F115" i="21"/>
  <c r="F111" i="21"/>
  <c r="F107" i="21"/>
  <c r="K107" i="21" s="1"/>
  <c r="F103" i="21"/>
  <c r="K103" i="21" s="1"/>
  <c r="F122" i="21"/>
  <c r="F118" i="21"/>
  <c r="K118" i="21" s="1"/>
  <c r="F114" i="21"/>
  <c r="K114" i="21" s="1"/>
  <c r="F110" i="21"/>
  <c r="K110" i="21" s="1"/>
  <c r="F106" i="21"/>
  <c r="K106" i="21" s="1"/>
  <c r="F102" i="21"/>
  <c r="K102" i="21" s="1"/>
  <c r="P34" i="21"/>
  <c r="O34" i="21"/>
  <c r="J61" i="21"/>
  <c r="L61" i="21" s="1"/>
  <c r="J57" i="21"/>
  <c r="L57" i="21" s="1"/>
  <c r="J59" i="21"/>
  <c r="L59" i="21" s="1"/>
  <c r="J39" i="21"/>
  <c r="L39" i="21" s="1"/>
  <c r="J53" i="21"/>
  <c r="L53" i="21" s="1"/>
  <c r="J56" i="21"/>
  <c r="L56" i="21" s="1"/>
  <c r="K35" i="21"/>
  <c r="P60" i="21"/>
  <c r="O60" i="21"/>
  <c r="J36" i="21"/>
  <c r="L36" i="21" s="1"/>
  <c r="J54" i="21"/>
  <c r="L54" i="21" s="1"/>
  <c r="O40" i="21"/>
  <c r="P40" i="21"/>
  <c r="W231" i="22"/>
  <c r="V231" i="22"/>
  <c r="U230" i="22"/>
  <c r="T230" i="22"/>
  <c r="W228" i="22"/>
  <c r="V228" i="22"/>
  <c r="W167" i="22"/>
  <c r="V167" i="22"/>
  <c r="W184" i="22"/>
  <c r="V184" i="22"/>
  <c r="W194" i="22"/>
  <c r="V194" i="22"/>
  <c r="W186" i="22"/>
  <c r="V186" i="22"/>
  <c r="U221" i="22"/>
  <c r="T221" i="22"/>
  <c r="U223" i="22"/>
  <c r="T223" i="22"/>
  <c r="U182" i="22"/>
  <c r="T182" i="22"/>
  <c r="W199" i="22"/>
  <c r="V199" i="22"/>
  <c r="W132" i="22"/>
  <c r="V132" i="22"/>
  <c r="W139" i="22"/>
  <c r="Y139" i="22" s="1"/>
  <c r="AA139" i="22" s="1"/>
  <c r="AC139" i="22" s="1"/>
  <c r="AE139" i="22" s="1"/>
  <c r="AG139" i="22" s="1"/>
  <c r="AI139" i="22" s="1"/>
  <c r="V139" i="22"/>
  <c r="W170" i="22"/>
  <c r="V170" i="22"/>
  <c r="W123" i="22"/>
  <c r="V123" i="22"/>
  <c r="U128" i="22"/>
  <c r="T128" i="22"/>
  <c r="U192" i="22"/>
  <c r="T192" i="22"/>
  <c r="U213" i="22"/>
  <c r="T213" i="22"/>
  <c r="U211" i="22"/>
  <c r="T211" i="22"/>
  <c r="U149" i="22"/>
  <c r="T149" i="22"/>
  <c r="U138" i="22"/>
  <c r="T138" i="22"/>
  <c r="U127" i="22"/>
  <c r="T127" i="22"/>
  <c r="U121" i="22"/>
  <c r="T121" i="22"/>
  <c r="W190" i="22"/>
  <c r="V190" i="22"/>
  <c r="W171" i="22"/>
  <c r="Y171" i="22" s="1"/>
  <c r="AA171" i="22" s="1"/>
  <c r="AC171" i="22" s="1"/>
  <c r="AE171" i="22" s="1"/>
  <c r="AG171" i="22" s="1"/>
  <c r="AI171" i="22" s="1"/>
  <c r="V171" i="22"/>
  <c r="W135" i="22"/>
  <c r="Y135" i="22" s="1"/>
  <c r="AA135" i="22" s="1"/>
  <c r="AC135" i="22" s="1"/>
  <c r="AE135" i="22" s="1"/>
  <c r="AG135" i="22" s="1"/>
  <c r="AI135" i="22" s="1"/>
  <c r="V135" i="22"/>
  <c r="W225" i="22"/>
  <c r="V225" i="22"/>
  <c r="W177" i="22"/>
  <c r="V177" i="22"/>
  <c r="W162" i="22"/>
  <c r="V162" i="22"/>
  <c r="U153" i="22"/>
  <c r="T153" i="22"/>
  <c r="U166" i="22"/>
  <c r="T166" i="22"/>
  <c r="W27" i="22"/>
  <c r="V27" i="22"/>
  <c r="U120" i="22"/>
  <c r="T120" i="22"/>
  <c r="W24" i="22"/>
  <c r="V24" i="22"/>
  <c r="W151" i="22"/>
  <c r="V151" i="22"/>
  <c r="W209" i="22"/>
  <c r="V209" i="22"/>
  <c r="W207" i="22"/>
  <c r="V207" i="22"/>
  <c r="W161" i="22"/>
  <c r="V161" i="22"/>
  <c r="W188" i="22"/>
  <c r="V188" i="22"/>
  <c r="W205" i="22"/>
  <c r="V205" i="22"/>
  <c r="W154" i="22"/>
  <c r="V154" i="22"/>
  <c r="W147" i="22"/>
  <c r="V147" i="22"/>
  <c r="W215" i="22"/>
  <c r="V215" i="22"/>
  <c r="W136" i="22"/>
  <c r="V136" i="22"/>
  <c r="W160" i="22"/>
  <c r="V160" i="22"/>
  <c r="W193" i="22"/>
  <c r="V193" i="22"/>
  <c r="W150" i="22"/>
  <c r="V150" i="22"/>
  <c r="W178" i="22"/>
  <c r="V178" i="22"/>
  <c r="W159" i="22"/>
  <c r="Y159" i="22" s="1"/>
  <c r="AA159" i="22" s="1"/>
  <c r="AC159" i="22" s="1"/>
  <c r="AE159" i="22" s="1"/>
  <c r="AG159" i="22" s="1"/>
  <c r="AI159" i="22" s="1"/>
  <c r="V159" i="22"/>
  <c r="W122" i="22"/>
  <c r="V122" i="22"/>
  <c r="W158" i="22"/>
  <c r="V158" i="22"/>
  <c r="U155" i="22"/>
  <c r="T155" i="22"/>
  <c r="U164" i="22"/>
  <c r="T164" i="22"/>
  <c r="W168" i="22"/>
  <c r="V168" i="22"/>
  <c r="W148" i="22"/>
  <c r="V148" i="22"/>
  <c r="W174" i="22"/>
  <c r="V174" i="22"/>
  <c r="W156" i="22"/>
  <c r="V156" i="22"/>
  <c r="W137" i="22"/>
  <c r="V137" i="22"/>
  <c r="U144" i="22"/>
  <c r="T144" i="22"/>
  <c r="U197" i="22"/>
  <c r="T197" i="22"/>
  <c r="U173" i="22"/>
  <c r="T173" i="22"/>
  <c r="U146" i="22"/>
  <c r="T146" i="22"/>
  <c r="U130" i="22"/>
  <c r="T130" i="22"/>
  <c r="U143" i="22"/>
  <c r="W143" i="22" s="1"/>
  <c r="Y143" i="22" s="1"/>
  <c r="AA143" i="22" s="1"/>
  <c r="AC143" i="22" s="1"/>
  <c r="AE143" i="22" s="1"/>
  <c r="AG143" i="22" s="1"/>
  <c r="AI143" i="22" s="1"/>
  <c r="T143" i="22"/>
  <c r="W191" i="22"/>
  <c r="V191" i="22"/>
  <c r="W152" i="22"/>
  <c r="V152" i="22"/>
  <c r="W219" i="22"/>
  <c r="V219" i="22"/>
  <c r="W203" i="22"/>
  <c r="V203" i="22"/>
  <c r="W201" i="22"/>
  <c r="V201" i="22"/>
  <c r="W217" i="22"/>
  <c r="V217" i="22"/>
  <c r="W163" i="22"/>
  <c r="Y163" i="22" s="1"/>
  <c r="AA163" i="22" s="1"/>
  <c r="AC163" i="22" s="1"/>
  <c r="AE163" i="22" s="1"/>
  <c r="AG163" i="22" s="1"/>
  <c r="AI163" i="22" s="1"/>
  <c r="V163" i="22"/>
  <c r="U195" i="22"/>
  <c r="T195" i="22"/>
  <c r="U124" i="22"/>
  <c r="T124" i="22"/>
  <c r="U20" i="22"/>
  <c r="T20" i="22"/>
  <c r="W10" i="22"/>
  <c r="V10" i="22"/>
  <c r="Z232" i="22"/>
  <c r="Z222" i="22"/>
  <c r="Z220" i="22"/>
  <c r="Z212" i="22"/>
  <c r="Z227" i="22"/>
  <c r="Z235" i="22"/>
  <c r="Z233" i="22"/>
  <c r="Z210" i="22"/>
  <c r="Z204" i="22"/>
  <c r="Z237" i="22"/>
  <c r="Z226" i="22"/>
  <c r="Z200" i="22"/>
  <c r="Z236" i="22"/>
  <c r="Z216" i="22"/>
  <c r="Z198" i="22"/>
  <c r="Z234" i="22"/>
  <c r="Z224" i="22"/>
  <c r="Z214" i="22"/>
  <c r="Z208" i="22"/>
  <c r="Z202" i="22"/>
  <c r="Z196" i="22"/>
  <c r="Z206" i="22"/>
  <c r="Z187" i="22"/>
  <c r="Z180" i="22"/>
  <c r="Z179" i="22"/>
  <c r="Z175" i="22"/>
  <c r="Z171" i="22"/>
  <c r="Z159" i="22"/>
  <c r="Z157" i="22"/>
  <c r="Z155" i="22"/>
  <c r="Z151" i="22"/>
  <c r="Z218" i="22"/>
  <c r="Z185" i="22"/>
  <c r="Z169" i="22"/>
  <c r="Z145" i="22"/>
  <c r="Z141" i="22"/>
  <c r="Z139" i="22"/>
  <c r="Z133" i="22"/>
  <c r="Z127" i="22"/>
  <c r="Z125" i="22"/>
  <c r="Z11" i="22"/>
  <c r="Z189" i="22"/>
  <c r="Z172" i="22"/>
  <c r="Z163" i="22"/>
  <c r="Z143" i="22"/>
  <c r="Z140" i="22"/>
  <c r="Z229" i="22"/>
  <c r="Z183" i="22"/>
  <c r="Z135" i="22"/>
  <c r="Z131" i="22"/>
  <c r="Z147" i="22"/>
  <c r="Z142" i="22"/>
  <c r="Z137" i="22"/>
  <c r="Z134" i="22"/>
  <c r="Z123" i="22"/>
  <c r="Z181" i="22"/>
  <c r="Z126" i="22"/>
  <c r="Z176" i="22"/>
  <c r="Z167" i="22"/>
  <c r="Z165" i="22"/>
  <c r="Z161" i="22"/>
  <c r="Z129" i="22"/>
  <c r="U15" i="22"/>
  <c r="W15" i="22" s="1"/>
  <c r="Y15" i="22" s="1"/>
  <c r="AA15" i="22" s="1"/>
  <c r="AC15" i="22" s="1"/>
  <c r="AE15" i="22" s="1"/>
  <c r="AG15" i="22" s="1"/>
  <c r="AI15" i="22" s="1"/>
  <c r="T15" i="22"/>
  <c r="W13" i="22"/>
  <c r="V13" i="22"/>
  <c r="U34" i="22"/>
  <c r="T34" i="22"/>
  <c r="U29" i="22"/>
  <c r="T29" i="22"/>
  <c r="U16" i="22"/>
  <c r="T16" i="22"/>
  <c r="U46" i="22"/>
  <c r="T46" i="22"/>
  <c r="U63" i="22"/>
  <c r="T63" i="22"/>
  <c r="U115" i="22"/>
  <c r="W115" i="22" s="1"/>
  <c r="Y115" i="22" s="1"/>
  <c r="AA115" i="22" s="1"/>
  <c r="AC115" i="22" s="1"/>
  <c r="AE115" i="22" s="1"/>
  <c r="AG115" i="22" s="1"/>
  <c r="AI115" i="22" s="1"/>
  <c r="T115" i="22"/>
  <c r="U107" i="22"/>
  <c r="T107" i="22"/>
  <c r="U71" i="22"/>
  <c r="W71" i="22" s="1"/>
  <c r="Y71" i="22" s="1"/>
  <c r="AA71" i="22" s="1"/>
  <c r="AC71" i="22" s="1"/>
  <c r="AE71" i="22" s="1"/>
  <c r="AG71" i="22" s="1"/>
  <c r="AI71" i="22" s="1"/>
  <c r="T71" i="22"/>
  <c r="U106" i="22"/>
  <c r="T106" i="22"/>
  <c r="U58" i="22"/>
  <c r="T58" i="22"/>
  <c r="U92" i="22"/>
  <c r="T92" i="22"/>
  <c r="U52" i="22"/>
  <c r="T52" i="22"/>
  <c r="U116" i="22"/>
  <c r="T116" i="22"/>
  <c r="U111" i="22"/>
  <c r="T111" i="22"/>
  <c r="U101" i="22"/>
  <c r="T101" i="22"/>
  <c r="U117" i="22"/>
  <c r="T117" i="22"/>
  <c r="U97" i="22"/>
  <c r="W97" i="22" s="1"/>
  <c r="Y97" i="22" s="1"/>
  <c r="AA97" i="22" s="1"/>
  <c r="AC97" i="22" s="1"/>
  <c r="AE97" i="22" s="1"/>
  <c r="AG97" i="22" s="1"/>
  <c r="AI97" i="22" s="1"/>
  <c r="T97" i="22"/>
  <c r="U83" i="22"/>
  <c r="T83" i="22"/>
  <c r="U74" i="22"/>
  <c r="T74" i="22"/>
  <c r="U80" i="22"/>
  <c r="T80" i="22"/>
  <c r="U60" i="22"/>
  <c r="T60" i="22"/>
  <c r="U55" i="22"/>
  <c r="T55" i="22"/>
  <c r="U66" i="22"/>
  <c r="T66" i="22"/>
  <c r="U39" i="22"/>
  <c r="T39" i="22"/>
  <c r="U48" i="22"/>
  <c r="T48" i="22"/>
  <c r="U104" i="22"/>
  <c r="T104" i="22"/>
  <c r="U44" i="22"/>
  <c r="T44" i="22"/>
  <c r="U62" i="22"/>
  <c r="T62" i="22"/>
  <c r="U67" i="22"/>
  <c r="T67" i="22"/>
  <c r="U40" i="22"/>
  <c r="T40" i="22"/>
  <c r="U47" i="22"/>
  <c r="T47" i="22"/>
  <c r="U88" i="22"/>
  <c r="T88" i="22"/>
  <c r="U73" i="22"/>
  <c r="T73" i="22"/>
  <c r="U108" i="22"/>
  <c r="T108" i="22"/>
  <c r="U30" i="22"/>
  <c r="T30" i="22"/>
  <c r="U110" i="22"/>
  <c r="T110" i="22"/>
  <c r="U105" i="22"/>
  <c r="T105" i="22"/>
  <c r="U61" i="22"/>
  <c r="T61" i="22"/>
  <c r="Z119" i="22"/>
  <c r="Z115" i="22"/>
  <c r="Z111" i="22"/>
  <c r="Z107" i="22"/>
  <c r="Z103" i="22"/>
  <c r="Z99" i="22"/>
  <c r="Z95" i="22"/>
  <c r="Z102" i="22"/>
  <c r="Z112" i="22"/>
  <c r="Z100" i="22"/>
  <c r="Z78" i="22"/>
  <c r="Z71" i="22"/>
  <c r="Z67" i="22"/>
  <c r="Z63" i="22"/>
  <c r="Z59" i="22"/>
  <c r="Z113" i="22"/>
  <c r="Z91" i="22"/>
  <c r="Z87" i="22"/>
  <c r="Z83" i="22"/>
  <c r="Z79" i="22"/>
  <c r="Z75" i="22"/>
  <c r="Z66" i="22"/>
  <c r="Z54" i="22"/>
  <c r="Z50" i="22"/>
  <c r="Z42" i="22"/>
  <c r="Z38" i="22"/>
  <c r="Z97" i="22"/>
  <c r="Z55" i="22"/>
  <c r="Z51" i="22"/>
  <c r="Z47" i="22"/>
  <c r="Z43" i="22"/>
  <c r="Z39" i="22"/>
  <c r="Z35" i="22"/>
  <c r="Z31" i="22"/>
  <c r="Z26" i="22"/>
  <c r="Z23" i="22"/>
  <c r="Z19" i="22"/>
  <c r="Z15" i="22"/>
  <c r="Z12" i="22"/>
  <c r="Z94" i="22"/>
  <c r="Z85" i="22"/>
  <c r="Z77" i="22"/>
  <c r="Z73" i="22"/>
  <c r="Z69" i="22"/>
  <c r="Z57" i="22"/>
  <c r="Z28" i="22"/>
  <c r="Z25" i="22"/>
  <c r="Z22" i="22"/>
  <c r="Z18" i="22"/>
  <c r="Z14" i="22"/>
  <c r="AB9" i="22"/>
  <c r="Z109" i="22"/>
  <c r="Z81" i="22"/>
  <c r="Z41" i="22"/>
  <c r="Z17" i="22"/>
  <c r="Z24" i="22"/>
  <c r="Z89" i="22"/>
  <c r="Z53" i="22"/>
  <c r="Z37" i="22"/>
  <c r="Z27" i="22"/>
  <c r="Z49" i="22"/>
  <c r="Z33" i="22"/>
  <c r="Z10" i="22"/>
  <c r="Z45" i="22"/>
  <c r="Z21" i="22"/>
  <c r="U57" i="22"/>
  <c r="T57" i="22"/>
  <c r="U90" i="22"/>
  <c r="T90" i="22"/>
  <c r="U76" i="22"/>
  <c r="T76" i="22"/>
  <c r="U43" i="22"/>
  <c r="T43" i="22"/>
  <c r="U86" i="22"/>
  <c r="T86" i="22"/>
  <c r="U118" i="22"/>
  <c r="T118" i="22"/>
  <c r="U70" i="22"/>
  <c r="T70" i="22"/>
  <c r="U72" i="22"/>
  <c r="T72" i="22"/>
  <c r="U109" i="22"/>
  <c r="T109" i="22"/>
  <c r="U96" i="22"/>
  <c r="T96" i="22"/>
  <c r="U91" i="22"/>
  <c r="T91" i="22"/>
  <c r="U98" i="22"/>
  <c r="T98" i="22"/>
  <c r="U78" i="22"/>
  <c r="T78" i="22"/>
  <c r="U36" i="22"/>
  <c r="T36" i="22"/>
  <c r="U65" i="22"/>
  <c r="T65" i="22"/>
  <c r="U75" i="22"/>
  <c r="W75" i="22" s="1"/>
  <c r="Y75" i="22" s="1"/>
  <c r="AA75" i="22" s="1"/>
  <c r="AC75" i="22" s="1"/>
  <c r="AE75" i="22" s="1"/>
  <c r="AG75" i="22" s="1"/>
  <c r="AI75" i="22" s="1"/>
  <c r="T75" i="22"/>
  <c r="U85" i="22"/>
  <c r="T85" i="22"/>
  <c r="U103" i="22"/>
  <c r="T103" i="22"/>
  <c r="U113" i="22"/>
  <c r="T113" i="22"/>
  <c r="U32" i="22"/>
  <c r="T32" i="22"/>
  <c r="U79" i="22"/>
  <c r="W79" i="22" s="1"/>
  <c r="Y79" i="22" s="1"/>
  <c r="AA79" i="22" s="1"/>
  <c r="AC79" i="22" s="1"/>
  <c r="AE79" i="22" s="1"/>
  <c r="AG79" i="22" s="1"/>
  <c r="AI79" i="22" s="1"/>
  <c r="T79" i="22"/>
  <c r="U95" i="22"/>
  <c r="W95" i="22" s="1"/>
  <c r="Y95" i="22" s="1"/>
  <c r="AA95" i="22" s="1"/>
  <c r="AC95" i="22" s="1"/>
  <c r="AE95" i="22" s="1"/>
  <c r="AG95" i="22" s="1"/>
  <c r="AI95" i="22" s="1"/>
  <c r="T95" i="22"/>
  <c r="U35" i="22"/>
  <c r="T35" i="22"/>
  <c r="U59" i="22"/>
  <c r="T59" i="22"/>
  <c r="U56" i="22"/>
  <c r="T56" i="22"/>
  <c r="U82" i="22"/>
  <c r="T82" i="22"/>
  <c r="U87" i="22"/>
  <c r="W87" i="22" s="1"/>
  <c r="Y87" i="22" s="1"/>
  <c r="AA87" i="22" s="1"/>
  <c r="AC87" i="22" s="1"/>
  <c r="AE87" i="22" s="1"/>
  <c r="AG87" i="22" s="1"/>
  <c r="AI87" i="22" s="1"/>
  <c r="T87" i="22"/>
  <c r="U114" i="22"/>
  <c r="T114" i="22"/>
  <c r="U99" i="22"/>
  <c r="T99" i="22"/>
  <c r="U84" i="22"/>
  <c r="T84" i="22"/>
  <c r="U51" i="22"/>
  <c r="T51" i="22"/>
  <c r="U31" i="22"/>
  <c r="T31" i="22"/>
  <c r="U77" i="22"/>
  <c r="T77" i="22"/>
  <c r="U68" i="22"/>
  <c r="T68" i="22"/>
  <c r="U64" i="22"/>
  <c r="T64" i="22"/>
  <c r="U93" i="22"/>
  <c r="T93" i="22"/>
  <c r="U69" i="22"/>
  <c r="T69" i="22"/>
  <c r="J55" i="21"/>
  <c r="L55" i="21" s="1"/>
  <c r="J50" i="21"/>
  <c r="L50" i="21" s="1"/>
  <c r="J37" i="21"/>
  <c r="L37" i="21" s="1"/>
  <c r="H42" i="21"/>
  <c r="M42" i="21"/>
  <c r="N42" i="21"/>
  <c r="T81" i="21"/>
  <c r="S81" i="21"/>
  <c r="K9" i="21"/>
  <c r="N9" i="21"/>
  <c r="P9" i="21" s="1"/>
  <c r="F48" i="21"/>
  <c r="D123" i="21"/>
  <c r="K120" i="21"/>
  <c r="K116" i="21"/>
  <c r="K122" i="21"/>
  <c r="K109" i="21"/>
  <c r="K115" i="21"/>
  <c r="K111" i="21"/>
  <c r="T79" i="21"/>
  <c r="S79" i="21"/>
  <c r="W89" i="21"/>
  <c r="W82" i="21"/>
  <c r="W78" i="21"/>
  <c r="W85" i="21"/>
  <c r="W75" i="21"/>
  <c r="W86" i="21"/>
  <c r="W74" i="21"/>
  <c r="W72" i="21"/>
  <c r="W56" i="21"/>
  <c r="W52" i="21"/>
  <c r="W46" i="21"/>
  <c r="W76" i="21"/>
  <c r="W73" i="21"/>
  <c r="W64" i="21"/>
  <c r="W54" i="21"/>
  <c r="W32" i="21"/>
  <c r="W80" i="21"/>
  <c r="W77" i="21"/>
  <c r="W55" i="21"/>
  <c r="W45" i="21"/>
  <c r="W43" i="21"/>
  <c r="Y31" i="21"/>
  <c r="W71" i="21"/>
  <c r="W47" i="21"/>
  <c r="W87" i="21"/>
  <c r="W44" i="21"/>
  <c r="P92" i="21"/>
  <c r="O92" i="21"/>
  <c r="P33" i="21"/>
  <c r="O33" i="21"/>
  <c r="P55" i="17"/>
  <c r="N54" i="17"/>
  <c r="H62" i="20"/>
  <c r="I62" i="20" s="1"/>
  <c r="H35" i="20"/>
  <c r="I35" i="20" s="1"/>
  <c r="D27" i="20"/>
  <c r="F27" i="20" s="1"/>
  <c r="F7" i="20"/>
  <c r="G7" i="20"/>
  <c r="G27" i="20" s="1"/>
  <c r="H46" i="20"/>
  <c r="I46" i="20" s="1"/>
  <c r="H34" i="20"/>
  <c r="I34" i="20" s="1"/>
  <c r="G29" i="20"/>
  <c r="G30" i="20" s="1"/>
  <c r="G10" i="20"/>
  <c r="G11" i="20" s="1"/>
  <c r="G9" i="20"/>
  <c r="G23" i="20" s="1"/>
  <c r="G6" i="20"/>
  <c r="H40" i="20"/>
  <c r="I40" i="20" s="1"/>
  <c r="F42" i="20"/>
  <c r="L8" i="20"/>
  <c r="I8" i="20"/>
  <c r="F53" i="20"/>
  <c r="F39" i="20"/>
  <c r="F54" i="20"/>
  <c r="D29" i="20"/>
  <c r="F29" i="20" s="1"/>
  <c r="D9" i="20"/>
  <c r="D6" i="20"/>
  <c r="F6" i="20" s="1"/>
  <c r="F5" i="20"/>
  <c r="D11" i="20"/>
  <c r="F11" i="20" s="1"/>
  <c r="D10" i="20"/>
  <c r="F10" i="20" s="1"/>
  <c r="D30" i="20"/>
  <c r="F30" i="20" s="1"/>
  <c r="D59" i="19"/>
  <c r="D60" i="19" s="1"/>
  <c r="F4" i="19"/>
  <c r="L4" i="19" s="1"/>
  <c r="G22" i="19"/>
  <c r="G28" i="19"/>
  <c r="D8" i="19"/>
  <c r="G3" i="19"/>
  <c r="L3" i="19" s="1"/>
  <c r="B60" i="7"/>
  <c r="B60" i="8"/>
  <c r="B60" i="9"/>
  <c r="B61" i="9"/>
  <c r="B61" i="8"/>
  <c r="B61" i="7"/>
  <c r="C64" i="9"/>
  <c r="C63" i="9"/>
  <c r="C62" i="9"/>
  <c r="C61" i="9"/>
  <c r="C60" i="9"/>
  <c r="C59" i="9"/>
  <c r="C58" i="9"/>
  <c r="C57" i="9"/>
  <c r="C56" i="9"/>
  <c r="C63" i="8"/>
  <c r="C62" i="8"/>
  <c r="C61" i="8"/>
  <c r="C60" i="8"/>
  <c r="C59" i="8"/>
  <c r="C58" i="8"/>
  <c r="C57" i="8"/>
  <c r="C56" i="8"/>
  <c r="C55" i="8"/>
  <c r="C63" i="7"/>
  <c r="C62" i="7"/>
  <c r="C61" i="7"/>
  <c r="C60" i="7"/>
  <c r="C59" i="7"/>
  <c r="C58" i="7"/>
  <c r="C57" i="7"/>
  <c r="L61" i="9"/>
  <c r="L60" i="9"/>
  <c r="B62" i="9"/>
  <c r="D62" i="9"/>
  <c r="L62" i="9"/>
  <c r="B63" i="9"/>
  <c r="D63" i="9"/>
  <c r="L63" i="9"/>
  <c r="L61" i="8"/>
  <c r="L60" i="8"/>
  <c r="L61" i="7"/>
  <c r="L60" i="7"/>
  <c r="L61" i="1"/>
  <c r="D60" i="1"/>
  <c r="L60" i="1"/>
  <c r="K36" i="21" l="1"/>
  <c r="M36" i="21" s="1"/>
  <c r="K54" i="21"/>
  <c r="V67" i="21"/>
  <c r="U67" i="21"/>
  <c r="K55" i="21"/>
  <c r="M43" i="21"/>
  <c r="N43" i="21"/>
  <c r="H43" i="21"/>
  <c r="N51" i="21"/>
  <c r="M51" i="21"/>
  <c r="H51" i="21"/>
  <c r="K37" i="21"/>
  <c r="K56" i="21"/>
  <c r="K39" i="21"/>
  <c r="K57" i="21"/>
  <c r="Q34" i="21"/>
  <c r="R34" i="21"/>
  <c r="N62" i="21"/>
  <c r="H62" i="21"/>
  <c r="M62" i="21"/>
  <c r="Q60" i="21"/>
  <c r="R60" i="21"/>
  <c r="R40" i="21"/>
  <c r="Q40" i="21"/>
  <c r="N35" i="21"/>
  <c r="M35" i="21"/>
  <c r="H35" i="21"/>
  <c r="K53" i="21"/>
  <c r="K59" i="21"/>
  <c r="K61" i="21"/>
  <c r="W230" i="22"/>
  <c r="V230" i="22"/>
  <c r="Y228" i="22"/>
  <c r="X228" i="22"/>
  <c r="Y231" i="22"/>
  <c r="X231" i="22"/>
  <c r="W110" i="22"/>
  <c r="V110" i="22"/>
  <c r="W88" i="22"/>
  <c r="V88" i="22"/>
  <c r="W62" i="22"/>
  <c r="V62" i="22"/>
  <c r="W39" i="22"/>
  <c r="V39" i="22"/>
  <c r="W80" i="22"/>
  <c r="V80" i="22"/>
  <c r="W117" i="22"/>
  <c r="V117" i="22"/>
  <c r="W52" i="22"/>
  <c r="V52" i="22"/>
  <c r="W58" i="22"/>
  <c r="V58" i="22"/>
  <c r="W29" i="22"/>
  <c r="V29" i="22"/>
  <c r="W64" i="22"/>
  <c r="V64" i="22"/>
  <c r="W56" i="22"/>
  <c r="V56" i="22"/>
  <c r="W35" i="22"/>
  <c r="Y35" i="22" s="1"/>
  <c r="AA35" i="22" s="1"/>
  <c r="AC35" i="22" s="1"/>
  <c r="AE35" i="22" s="1"/>
  <c r="AG35" i="22" s="1"/>
  <c r="AI35" i="22" s="1"/>
  <c r="V35" i="22"/>
  <c r="W113" i="22"/>
  <c r="Y113" i="22" s="1"/>
  <c r="AA113" i="22" s="1"/>
  <c r="AC113" i="22" s="1"/>
  <c r="AE113" i="22" s="1"/>
  <c r="AG113" i="22" s="1"/>
  <c r="AI113" i="22" s="1"/>
  <c r="V113" i="22"/>
  <c r="W65" i="22"/>
  <c r="V65" i="22"/>
  <c r="W109" i="22"/>
  <c r="V109" i="22"/>
  <c r="W124" i="22"/>
  <c r="V124" i="22"/>
  <c r="Y201" i="22"/>
  <c r="X201" i="22"/>
  <c r="W130" i="22"/>
  <c r="V130" i="22"/>
  <c r="Y160" i="22"/>
  <c r="X160" i="22"/>
  <c r="Y154" i="22"/>
  <c r="X154" i="22"/>
  <c r="Y188" i="22"/>
  <c r="X188" i="22"/>
  <c r="Y151" i="22"/>
  <c r="AA151" i="22" s="1"/>
  <c r="AC151" i="22" s="1"/>
  <c r="AE151" i="22" s="1"/>
  <c r="AG151" i="22" s="1"/>
  <c r="AI151" i="22" s="1"/>
  <c r="X151" i="22"/>
  <c r="W120" i="22"/>
  <c r="V120" i="22"/>
  <c r="W166" i="22"/>
  <c r="V166" i="22"/>
  <c r="Y162" i="22"/>
  <c r="X162" i="22"/>
  <c r="Y225" i="22"/>
  <c r="X225" i="22"/>
  <c r="Y199" i="22"/>
  <c r="X199" i="22"/>
  <c r="Y186" i="22"/>
  <c r="X186" i="22"/>
  <c r="W105" i="22"/>
  <c r="V105" i="22"/>
  <c r="W30" i="22"/>
  <c r="V30" i="22"/>
  <c r="W73" i="22"/>
  <c r="Y73" i="22" s="1"/>
  <c r="AA73" i="22" s="1"/>
  <c r="AC73" i="22" s="1"/>
  <c r="AE73" i="22" s="1"/>
  <c r="AG73" i="22" s="1"/>
  <c r="AI73" i="22" s="1"/>
  <c r="V73" i="22"/>
  <c r="W47" i="22"/>
  <c r="Y47" i="22" s="1"/>
  <c r="AA47" i="22" s="1"/>
  <c r="AC47" i="22" s="1"/>
  <c r="AE47" i="22" s="1"/>
  <c r="AG47" i="22" s="1"/>
  <c r="AI47" i="22" s="1"/>
  <c r="V47" i="22"/>
  <c r="W67" i="22"/>
  <c r="V67" i="22"/>
  <c r="W44" i="22"/>
  <c r="V44" i="22"/>
  <c r="W48" i="22"/>
  <c r="V48" i="22"/>
  <c r="W66" i="22"/>
  <c r="V66" i="22"/>
  <c r="W60" i="22"/>
  <c r="V60" i="22"/>
  <c r="W74" i="22"/>
  <c r="V74" i="22"/>
  <c r="W101" i="22"/>
  <c r="V101" i="22"/>
  <c r="W116" i="22"/>
  <c r="V116" i="22"/>
  <c r="W92" i="22"/>
  <c r="V92" i="22"/>
  <c r="W106" i="22"/>
  <c r="V106" i="22"/>
  <c r="W107" i="22"/>
  <c r="V107" i="22"/>
  <c r="W63" i="22"/>
  <c r="Y63" i="22" s="1"/>
  <c r="AA63" i="22" s="1"/>
  <c r="AC63" i="22" s="1"/>
  <c r="AE63" i="22" s="1"/>
  <c r="AG63" i="22" s="1"/>
  <c r="AI63" i="22" s="1"/>
  <c r="V63" i="22"/>
  <c r="W34" i="22"/>
  <c r="V34" i="22"/>
  <c r="W61" i="22"/>
  <c r="V61" i="22"/>
  <c r="W108" i="22"/>
  <c r="V108" i="22"/>
  <c r="W40" i="22"/>
  <c r="V40" i="22"/>
  <c r="W104" i="22"/>
  <c r="V104" i="22"/>
  <c r="W55" i="22"/>
  <c r="Y55" i="22" s="1"/>
  <c r="AA55" i="22" s="1"/>
  <c r="AC55" i="22" s="1"/>
  <c r="AE55" i="22" s="1"/>
  <c r="AG55" i="22" s="1"/>
  <c r="AI55" i="22" s="1"/>
  <c r="V55" i="22"/>
  <c r="W83" i="22"/>
  <c r="Y83" i="22" s="1"/>
  <c r="AA83" i="22" s="1"/>
  <c r="AC83" i="22" s="1"/>
  <c r="AE83" i="22" s="1"/>
  <c r="AG83" i="22" s="1"/>
  <c r="AI83" i="22" s="1"/>
  <c r="V83" i="22"/>
  <c r="W111" i="22"/>
  <c r="Y111" i="22" s="1"/>
  <c r="AA111" i="22" s="1"/>
  <c r="AC111" i="22" s="1"/>
  <c r="AE111" i="22" s="1"/>
  <c r="AG111" i="22" s="1"/>
  <c r="AI111" i="22" s="1"/>
  <c r="V111" i="22"/>
  <c r="W46" i="22"/>
  <c r="V46" i="22"/>
  <c r="W69" i="22"/>
  <c r="Y69" i="22" s="1"/>
  <c r="AA69" i="22" s="1"/>
  <c r="AC69" i="22" s="1"/>
  <c r="AE69" i="22" s="1"/>
  <c r="AG69" i="22" s="1"/>
  <c r="AI69" i="22" s="1"/>
  <c r="V69" i="22"/>
  <c r="W77" i="22"/>
  <c r="V77" i="22"/>
  <c r="W51" i="22"/>
  <c r="Y51" i="22" s="1"/>
  <c r="AA51" i="22" s="1"/>
  <c r="AC51" i="22" s="1"/>
  <c r="AE51" i="22" s="1"/>
  <c r="AG51" i="22" s="1"/>
  <c r="AI51" i="22" s="1"/>
  <c r="V51" i="22"/>
  <c r="W99" i="22"/>
  <c r="Y99" i="22" s="1"/>
  <c r="AA99" i="22" s="1"/>
  <c r="AC99" i="22" s="1"/>
  <c r="AE99" i="22" s="1"/>
  <c r="AG99" i="22" s="1"/>
  <c r="AI99" i="22" s="1"/>
  <c r="V99" i="22"/>
  <c r="W85" i="22"/>
  <c r="V85" i="22"/>
  <c r="W78" i="22"/>
  <c r="V78" i="22"/>
  <c r="W91" i="22"/>
  <c r="Y91" i="22" s="1"/>
  <c r="AA91" i="22" s="1"/>
  <c r="AC91" i="22" s="1"/>
  <c r="AE91" i="22" s="1"/>
  <c r="AG91" i="22" s="1"/>
  <c r="AI91" i="22" s="1"/>
  <c r="V91" i="22"/>
  <c r="W70" i="22"/>
  <c r="V70" i="22"/>
  <c r="W86" i="22"/>
  <c r="V86" i="22"/>
  <c r="W76" i="22"/>
  <c r="V76" i="22"/>
  <c r="W57" i="22"/>
  <c r="V57" i="22"/>
  <c r="Y219" i="22"/>
  <c r="X219" i="22"/>
  <c r="Y191" i="22"/>
  <c r="X191" i="22"/>
  <c r="W173" i="22"/>
  <c r="V173" i="22"/>
  <c r="W144" i="22"/>
  <c r="V144" i="22"/>
  <c r="Y156" i="22"/>
  <c r="X156" i="22"/>
  <c r="Y148" i="22"/>
  <c r="X148" i="22"/>
  <c r="W164" i="22"/>
  <c r="V164" i="22"/>
  <c r="Y158" i="22"/>
  <c r="X158" i="22"/>
  <c r="Y150" i="22"/>
  <c r="X150" i="22"/>
  <c r="Y215" i="22"/>
  <c r="X215" i="22"/>
  <c r="Y207" i="22"/>
  <c r="X207" i="22"/>
  <c r="W121" i="22"/>
  <c r="V121" i="22"/>
  <c r="W138" i="22"/>
  <c r="V138" i="22"/>
  <c r="W211" i="22"/>
  <c r="V211" i="22"/>
  <c r="W192" i="22"/>
  <c r="V192" i="22"/>
  <c r="Y123" i="22"/>
  <c r="AA123" i="22" s="1"/>
  <c r="AC123" i="22" s="1"/>
  <c r="AE123" i="22" s="1"/>
  <c r="AG123" i="22" s="1"/>
  <c r="AI123" i="22" s="1"/>
  <c r="X123" i="22"/>
  <c r="W223" i="22"/>
  <c r="V223" i="22"/>
  <c r="Y184" i="22"/>
  <c r="X184" i="22"/>
  <c r="W93" i="22"/>
  <c r="V93" i="22"/>
  <c r="W68" i="22"/>
  <c r="V68" i="22"/>
  <c r="W31" i="22"/>
  <c r="V31" i="22"/>
  <c r="W84" i="22"/>
  <c r="V84" i="22"/>
  <c r="W114" i="22"/>
  <c r="V114" i="22"/>
  <c r="W82" i="22"/>
  <c r="V82" i="22"/>
  <c r="W59" i="22"/>
  <c r="V59" i="22"/>
  <c r="W32" i="22"/>
  <c r="V32" i="22"/>
  <c r="W103" i="22"/>
  <c r="Y103" i="22" s="1"/>
  <c r="AA103" i="22" s="1"/>
  <c r="AC103" i="22" s="1"/>
  <c r="AE103" i="22" s="1"/>
  <c r="AG103" i="22" s="1"/>
  <c r="AI103" i="22" s="1"/>
  <c r="V103" i="22"/>
  <c r="W36" i="22"/>
  <c r="V36" i="22"/>
  <c r="W98" i="22"/>
  <c r="V98" i="22"/>
  <c r="W96" i="22"/>
  <c r="V96" i="22"/>
  <c r="W72" i="22"/>
  <c r="V72" i="22"/>
  <c r="W118" i="22"/>
  <c r="V118" i="22"/>
  <c r="W43" i="22"/>
  <c r="Y43" i="22" s="1"/>
  <c r="AA43" i="22" s="1"/>
  <c r="AC43" i="22" s="1"/>
  <c r="AE43" i="22" s="1"/>
  <c r="AG43" i="22" s="1"/>
  <c r="AI43" i="22" s="1"/>
  <c r="V43" i="22"/>
  <c r="W90" i="22"/>
  <c r="V90" i="22"/>
  <c r="W195" i="22"/>
  <c r="V195" i="22"/>
  <c r="Y217" i="22"/>
  <c r="X217" i="22"/>
  <c r="Y203" i="22"/>
  <c r="X203" i="22"/>
  <c r="Y152" i="22"/>
  <c r="X152" i="22"/>
  <c r="W146" i="22"/>
  <c r="V146" i="22"/>
  <c r="W197" i="22"/>
  <c r="V197" i="22"/>
  <c r="Y137" i="22"/>
  <c r="AA137" i="22" s="1"/>
  <c r="AC137" i="22" s="1"/>
  <c r="AE137" i="22" s="1"/>
  <c r="AG137" i="22" s="1"/>
  <c r="AI137" i="22" s="1"/>
  <c r="X137" i="22"/>
  <c r="Y174" i="22"/>
  <c r="X174" i="22"/>
  <c r="Y168" i="22"/>
  <c r="X168" i="22"/>
  <c r="W155" i="22"/>
  <c r="Y155" i="22" s="1"/>
  <c r="AA155" i="22" s="1"/>
  <c r="AC155" i="22" s="1"/>
  <c r="AE155" i="22" s="1"/>
  <c r="AG155" i="22" s="1"/>
  <c r="AI155" i="22" s="1"/>
  <c r="V155" i="22"/>
  <c r="Y122" i="22"/>
  <c r="X122" i="22"/>
  <c r="Y178" i="22"/>
  <c r="X178" i="22"/>
  <c r="Y193" i="22"/>
  <c r="X193" i="22"/>
  <c r="Y136" i="22"/>
  <c r="X136" i="22"/>
  <c r="Y147" i="22"/>
  <c r="AA147" i="22" s="1"/>
  <c r="AC147" i="22" s="1"/>
  <c r="AE147" i="22" s="1"/>
  <c r="AG147" i="22" s="1"/>
  <c r="AI147" i="22" s="1"/>
  <c r="X147" i="22"/>
  <c r="Y205" i="22"/>
  <c r="X205" i="22"/>
  <c r="Y161" i="22"/>
  <c r="AA161" i="22" s="1"/>
  <c r="AC161" i="22" s="1"/>
  <c r="AE161" i="22" s="1"/>
  <c r="AG161" i="22" s="1"/>
  <c r="AI161" i="22" s="1"/>
  <c r="X161" i="22"/>
  <c r="Y209" i="22"/>
  <c r="X209" i="22"/>
  <c r="Y24" i="22"/>
  <c r="AA24" i="22" s="1"/>
  <c r="AC24" i="22" s="1"/>
  <c r="AE24" i="22" s="1"/>
  <c r="AG24" i="22" s="1"/>
  <c r="AI24" i="22" s="1"/>
  <c r="X24" i="22"/>
  <c r="Y27" i="22"/>
  <c r="AA27" i="22" s="1"/>
  <c r="AC27" i="22" s="1"/>
  <c r="AE27" i="22" s="1"/>
  <c r="AG27" i="22" s="1"/>
  <c r="AI27" i="22" s="1"/>
  <c r="X27" i="22"/>
  <c r="W153" i="22"/>
  <c r="V153" i="22"/>
  <c r="Y177" i="22"/>
  <c r="X177" i="22"/>
  <c r="Y190" i="22"/>
  <c r="X190" i="22"/>
  <c r="W127" i="22"/>
  <c r="V127" i="22"/>
  <c r="W149" i="22"/>
  <c r="V149" i="22"/>
  <c r="W213" i="22"/>
  <c r="V213" i="22"/>
  <c r="W128" i="22"/>
  <c r="V128" i="22"/>
  <c r="Y170" i="22"/>
  <c r="X170" i="22"/>
  <c r="Y132" i="22"/>
  <c r="X132" i="22"/>
  <c r="W182" i="22"/>
  <c r="V182" i="22"/>
  <c r="W221" i="22"/>
  <c r="V221" i="22"/>
  <c r="Y194" i="22"/>
  <c r="X194" i="22"/>
  <c r="Y167" i="22"/>
  <c r="AA167" i="22" s="1"/>
  <c r="AC167" i="22" s="1"/>
  <c r="AE167" i="22" s="1"/>
  <c r="AG167" i="22" s="1"/>
  <c r="AI167" i="22" s="1"/>
  <c r="X167" i="22"/>
  <c r="Y10" i="22"/>
  <c r="AA10" i="22" s="1"/>
  <c r="AC10" i="22" s="1"/>
  <c r="AE10" i="22" s="1"/>
  <c r="AG10" i="22" s="1"/>
  <c r="AI10" i="22" s="1"/>
  <c r="X10" i="22"/>
  <c r="W20" i="22"/>
  <c r="V20" i="22"/>
  <c r="Y13" i="22"/>
  <c r="X13" i="22"/>
  <c r="AB237" i="22"/>
  <c r="AB236" i="22"/>
  <c r="AB227" i="22"/>
  <c r="AB226" i="22"/>
  <c r="AB214" i="22"/>
  <c r="AB235" i="22"/>
  <c r="AB233" i="22"/>
  <c r="AB210" i="22"/>
  <c r="AB204" i="22"/>
  <c r="AB234" i="22"/>
  <c r="AB224" i="22"/>
  <c r="AB222" i="22"/>
  <c r="AB208" i="22"/>
  <c r="AB216" i="22"/>
  <c r="AB198" i="22"/>
  <c r="AB229" i="22"/>
  <c r="AB218" i="22"/>
  <c r="AB206" i="22"/>
  <c r="AB220" i="22"/>
  <c r="AB200" i="22"/>
  <c r="AB185" i="22"/>
  <c r="AB173" i="22"/>
  <c r="AB169" i="22"/>
  <c r="AB145" i="22"/>
  <c r="AB143" i="22"/>
  <c r="AB232" i="22"/>
  <c r="AB172" i="22"/>
  <c r="AB167" i="22"/>
  <c r="AB163" i="22"/>
  <c r="AB212" i="22"/>
  <c r="AB196" i="22"/>
  <c r="AB187" i="22"/>
  <c r="AB153" i="22"/>
  <c r="AB140" i="22"/>
  <c r="AB181" i="22"/>
  <c r="AB180" i="22"/>
  <c r="AB189" i="22"/>
  <c r="AB179" i="22"/>
  <c r="AB176" i="22"/>
  <c r="AB175" i="22"/>
  <c r="AB171" i="22"/>
  <c r="AB159" i="22"/>
  <c r="AB157" i="22"/>
  <c r="AB147" i="22"/>
  <c r="AB137" i="22"/>
  <c r="AB131" i="22"/>
  <c r="AB202" i="22"/>
  <c r="AB183" i="22"/>
  <c r="AB155" i="22"/>
  <c r="AB151" i="22"/>
  <c r="AB127" i="22"/>
  <c r="AB126" i="22"/>
  <c r="AB125" i="22"/>
  <c r="AB11" i="22"/>
  <c r="AB142" i="22"/>
  <c r="AB141" i="22"/>
  <c r="AB135" i="22"/>
  <c r="AB192" i="22"/>
  <c r="AB165" i="22"/>
  <c r="AB161" i="22"/>
  <c r="AB139" i="22"/>
  <c r="AB129" i="22"/>
  <c r="AB177" i="22"/>
  <c r="AB134" i="22"/>
  <c r="AB133" i="22"/>
  <c r="AB123" i="22"/>
  <c r="W16" i="22"/>
  <c r="V16" i="22"/>
  <c r="AB113" i="22"/>
  <c r="AB109" i="22"/>
  <c r="AB105" i="22"/>
  <c r="AB101" i="22"/>
  <c r="AB97" i="22"/>
  <c r="AB93" i="22"/>
  <c r="AB119" i="22"/>
  <c r="AB115" i="22"/>
  <c r="AB111" i="22"/>
  <c r="AB107" i="22"/>
  <c r="AB103" i="22"/>
  <c r="AB99" i="22"/>
  <c r="AB95" i="22"/>
  <c r="AB90" i="22"/>
  <c r="AB78" i="22"/>
  <c r="AB91" i="22"/>
  <c r="AB89" i="22"/>
  <c r="AB87" i="22"/>
  <c r="AB85" i="22"/>
  <c r="AB83" i="22"/>
  <c r="AB81" i="22"/>
  <c r="AB79" i="22"/>
  <c r="AB77" i="22"/>
  <c r="AB75" i="22"/>
  <c r="AB73" i="22"/>
  <c r="AB69" i="22"/>
  <c r="AB57" i="22"/>
  <c r="AB100" i="22"/>
  <c r="AB102" i="22"/>
  <c r="AB94" i="22"/>
  <c r="AB54" i="22"/>
  <c r="AB50" i="22"/>
  <c r="AB42" i="22"/>
  <c r="AB38" i="22"/>
  <c r="AB27" i="22"/>
  <c r="AB24" i="22"/>
  <c r="AB21" i="22"/>
  <c r="AB17" i="22"/>
  <c r="AB13" i="22"/>
  <c r="AB10" i="22"/>
  <c r="AD9" i="22"/>
  <c r="AB63" i="22"/>
  <c r="AB55" i="22"/>
  <c r="AB53" i="22"/>
  <c r="AB49" i="22"/>
  <c r="AB47" i="22"/>
  <c r="AB45" i="22"/>
  <c r="AB41" i="22"/>
  <c r="AB39" i="22"/>
  <c r="AB37" i="22"/>
  <c r="AB66" i="22"/>
  <c r="AB16" i="22"/>
  <c r="AB112" i="22"/>
  <c r="AB71" i="22"/>
  <c r="AB67" i="22"/>
  <c r="AB59" i="22"/>
  <c r="AB51" i="22"/>
  <c r="AB43" i="22"/>
  <c r="AB35" i="22"/>
  <c r="AB31" i="22"/>
  <c r="AB23" i="22"/>
  <c r="AB18" i="22"/>
  <c r="AB15" i="22"/>
  <c r="AB22" i="22"/>
  <c r="AB12" i="22"/>
  <c r="AB33" i="22"/>
  <c r="AB28" i="22"/>
  <c r="AB19" i="22"/>
  <c r="AB14" i="22"/>
  <c r="AB25" i="22"/>
  <c r="AB26" i="22"/>
  <c r="J48" i="21"/>
  <c r="L48" i="21" s="1"/>
  <c r="N55" i="21"/>
  <c r="P55" i="21" s="1"/>
  <c r="K50" i="21"/>
  <c r="N113" i="21"/>
  <c r="M113" i="21"/>
  <c r="N118" i="21"/>
  <c r="M118" i="21"/>
  <c r="N105" i="21"/>
  <c r="M105" i="21"/>
  <c r="N117" i="21"/>
  <c r="M117" i="21"/>
  <c r="R33" i="21"/>
  <c r="Q33" i="21"/>
  <c r="Y86" i="21"/>
  <c r="Y80" i="21"/>
  <c r="Y76" i="21"/>
  <c r="Y82" i="21"/>
  <c r="Y78" i="21"/>
  <c r="Y73" i="21"/>
  <c r="Y87" i="21"/>
  <c r="Y72" i="21"/>
  <c r="Y89" i="21"/>
  <c r="Y71" i="21"/>
  <c r="Y55" i="21"/>
  <c r="Y77" i="21"/>
  <c r="Y64" i="21"/>
  <c r="Y54" i="21"/>
  <c r="Y44" i="21"/>
  <c r="Y75" i="21"/>
  <c r="Y52" i="21"/>
  <c r="Y47" i="21"/>
  <c r="Y45" i="21"/>
  <c r="AA31" i="21"/>
  <c r="Y32" i="21"/>
  <c r="Y74" i="21"/>
  <c r="Y85" i="21"/>
  <c r="Y56" i="21"/>
  <c r="Y46" i="21"/>
  <c r="Y43" i="21"/>
  <c r="N103" i="21"/>
  <c r="M103" i="21"/>
  <c r="N100" i="21"/>
  <c r="M100" i="21"/>
  <c r="N112" i="21"/>
  <c r="M112" i="21"/>
  <c r="N109" i="21"/>
  <c r="M109" i="21"/>
  <c r="N116" i="21"/>
  <c r="M116" i="21"/>
  <c r="V81" i="21"/>
  <c r="U81" i="21"/>
  <c r="N108" i="21"/>
  <c r="M108" i="21"/>
  <c r="N115" i="21"/>
  <c r="M115" i="21"/>
  <c r="N119" i="21"/>
  <c r="M119" i="21"/>
  <c r="N121" i="21"/>
  <c r="M121" i="21"/>
  <c r="N122" i="21"/>
  <c r="M122" i="21"/>
  <c r="N120" i="21"/>
  <c r="M120" i="21"/>
  <c r="P42" i="21"/>
  <c r="O42" i="21"/>
  <c r="V79" i="21"/>
  <c r="U79" i="21"/>
  <c r="N106" i="21"/>
  <c r="M106" i="21"/>
  <c r="N110" i="21"/>
  <c r="M110" i="21"/>
  <c r="R92" i="21"/>
  <c r="Q92" i="21"/>
  <c r="O55" i="21"/>
  <c r="N111" i="21"/>
  <c r="M111" i="21"/>
  <c r="N114" i="21"/>
  <c r="M114" i="21"/>
  <c r="N107" i="21"/>
  <c r="M107" i="21"/>
  <c r="N102" i="21"/>
  <c r="M102" i="21"/>
  <c r="N101" i="21"/>
  <c r="M101" i="21"/>
  <c r="N104" i="21"/>
  <c r="M104" i="21"/>
  <c r="N53" i="17"/>
  <c r="P53" i="17" s="1"/>
  <c r="P54" i="17"/>
  <c r="I30" i="20"/>
  <c r="L30" i="20"/>
  <c r="L6" i="20"/>
  <c r="F50" i="20"/>
  <c r="I6" i="20"/>
  <c r="H39" i="20"/>
  <c r="I39" i="20" s="1"/>
  <c r="I10" i="20"/>
  <c r="L10" i="20"/>
  <c r="F56" i="20"/>
  <c r="F43" i="20"/>
  <c r="D23" i="20"/>
  <c r="F9" i="20"/>
  <c r="H53" i="20"/>
  <c r="I53" i="20" s="1"/>
  <c r="H42" i="20"/>
  <c r="I42" i="20" s="1"/>
  <c r="I11" i="20"/>
  <c r="L11" i="20"/>
  <c r="F61" i="20"/>
  <c r="F59" i="20"/>
  <c r="I29" i="20"/>
  <c r="L29" i="20"/>
  <c r="L7" i="20"/>
  <c r="I7" i="20"/>
  <c r="F33" i="20"/>
  <c r="F51" i="20"/>
  <c r="I5" i="20"/>
  <c r="F36" i="20"/>
  <c r="L5" i="20"/>
  <c r="F55" i="20"/>
  <c r="F37" i="20"/>
  <c r="F57" i="20"/>
  <c r="H54" i="20"/>
  <c r="I54" i="20" s="1"/>
  <c r="G26" i="20"/>
  <c r="G24" i="20"/>
  <c r="G25" i="20" s="1"/>
  <c r="I27" i="20"/>
  <c r="L27" i="20"/>
  <c r="I4" i="19"/>
  <c r="D7" i="19"/>
  <c r="D5" i="19"/>
  <c r="G8" i="19"/>
  <c r="G5" i="19" s="1"/>
  <c r="F8" i="19"/>
  <c r="D22" i="19"/>
  <c r="F22" i="19" s="1"/>
  <c r="L22" i="19" s="1"/>
  <c r="D28" i="19"/>
  <c r="F28" i="19" s="1"/>
  <c r="L28" i="19" s="1"/>
  <c r="D61" i="1"/>
  <c r="J46" i="17"/>
  <c r="J47" i="17" s="1"/>
  <c r="J48" i="17" s="1"/>
  <c r="J49" i="17" s="1"/>
  <c r="J44" i="17"/>
  <c r="J43" i="17" s="1"/>
  <c r="J42" i="17" s="1"/>
  <c r="J41" i="17" s="1"/>
  <c r="J40" i="17" s="1"/>
  <c r="J39" i="17" s="1"/>
  <c r="D44" i="17"/>
  <c r="D43" i="17" s="1"/>
  <c r="D42" i="17" s="1"/>
  <c r="D41" i="17" s="1"/>
  <c r="D40" i="17" s="1"/>
  <c r="D39" i="17" s="1"/>
  <c r="P52" i="17"/>
  <c r="P51" i="17"/>
  <c r="I46" i="17"/>
  <c r="I47" i="17" s="1"/>
  <c r="I48" i="17" s="1"/>
  <c r="I49" i="17" s="1"/>
  <c r="I50" i="17" s="1"/>
  <c r="I51" i="17" s="1"/>
  <c r="I52" i="17" s="1"/>
  <c r="P45" i="17"/>
  <c r="P44" i="17"/>
  <c r="N44" i="17"/>
  <c r="I44" i="17"/>
  <c r="I43" i="17" s="1"/>
  <c r="I42" i="17" s="1"/>
  <c r="I41" i="17" s="1"/>
  <c r="I40" i="17" s="1"/>
  <c r="I39" i="17" s="1"/>
  <c r="N43" i="17"/>
  <c r="P43" i="17" s="1"/>
  <c r="D46" i="17"/>
  <c r="D47" i="17" s="1"/>
  <c r="D48" i="17" s="1"/>
  <c r="D49" i="17" s="1"/>
  <c r="D50" i="17" s="1"/>
  <c r="D52" i="17" s="1"/>
  <c r="H36" i="21" l="1"/>
  <c r="N36" i="21"/>
  <c r="X67" i="21"/>
  <c r="W67" i="21"/>
  <c r="M54" i="21"/>
  <c r="H54" i="21"/>
  <c r="N54" i="21"/>
  <c r="H55" i="21"/>
  <c r="M55" i="21"/>
  <c r="M59" i="21"/>
  <c r="H59" i="21"/>
  <c r="N59" i="21"/>
  <c r="O35" i="21"/>
  <c r="P35" i="21"/>
  <c r="S34" i="21"/>
  <c r="T34" i="21"/>
  <c r="H56" i="21"/>
  <c r="N56" i="21"/>
  <c r="M56" i="21"/>
  <c r="P51" i="21"/>
  <c r="O51" i="21"/>
  <c r="N53" i="21"/>
  <c r="H53" i="21"/>
  <c r="M53" i="21"/>
  <c r="N37" i="21"/>
  <c r="H37" i="21"/>
  <c r="M37" i="21"/>
  <c r="T40" i="21"/>
  <c r="S40" i="21"/>
  <c r="N57" i="21"/>
  <c r="H57" i="21"/>
  <c r="R23" i="21"/>
  <c r="M57" i="21"/>
  <c r="P43" i="21"/>
  <c r="O43" i="21"/>
  <c r="H61" i="21"/>
  <c r="M61" i="21"/>
  <c r="N61" i="21"/>
  <c r="S60" i="21"/>
  <c r="T60" i="21"/>
  <c r="P62" i="21"/>
  <c r="O62" i="21"/>
  <c r="N39" i="21"/>
  <c r="H39" i="21"/>
  <c r="M39" i="21"/>
  <c r="K48" i="21"/>
  <c r="N48" i="21" s="1"/>
  <c r="P48" i="21" s="1"/>
  <c r="AA228" i="22"/>
  <c r="Z228" i="22"/>
  <c r="AA231" i="22"/>
  <c r="Z231" i="22"/>
  <c r="Y230" i="22"/>
  <c r="X230" i="22"/>
  <c r="AA194" i="22"/>
  <c r="Z194" i="22"/>
  <c r="AA170" i="22"/>
  <c r="Z170" i="22"/>
  <c r="AA209" i="22"/>
  <c r="Z209" i="22"/>
  <c r="AA205" i="22"/>
  <c r="Z205" i="22"/>
  <c r="AA136" i="22"/>
  <c r="Z136" i="22"/>
  <c r="AA178" i="22"/>
  <c r="Z178" i="22"/>
  <c r="AA174" i="22"/>
  <c r="Z174" i="22"/>
  <c r="AA152" i="22"/>
  <c r="Z152" i="22"/>
  <c r="Y90" i="22"/>
  <c r="X90" i="22"/>
  <c r="Y96" i="22"/>
  <c r="X96" i="22"/>
  <c r="Y121" i="22"/>
  <c r="X121" i="22"/>
  <c r="AA158" i="22"/>
  <c r="Z158" i="22"/>
  <c r="Y85" i="22"/>
  <c r="AA85" i="22" s="1"/>
  <c r="AC85" i="22" s="1"/>
  <c r="AE85" i="22" s="1"/>
  <c r="AG85" i="22" s="1"/>
  <c r="AI85" i="22" s="1"/>
  <c r="X85" i="22"/>
  <c r="Y40" i="22"/>
  <c r="X40" i="22"/>
  <c r="Y61" i="22"/>
  <c r="X61" i="22"/>
  <c r="AA154" i="22"/>
  <c r="Z154" i="22"/>
  <c r="Y130" i="22"/>
  <c r="X130" i="22"/>
  <c r="Y124" i="22"/>
  <c r="X124" i="22"/>
  <c r="Y65" i="22"/>
  <c r="X65" i="22"/>
  <c r="Y64" i="22"/>
  <c r="X64" i="22"/>
  <c r="Y117" i="22"/>
  <c r="X117" i="22"/>
  <c r="Y39" i="22"/>
  <c r="AA39" i="22" s="1"/>
  <c r="AC39" i="22" s="1"/>
  <c r="AE39" i="22" s="1"/>
  <c r="AG39" i="22" s="1"/>
  <c r="AI39" i="22" s="1"/>
  <c r="X39" i="22"/>
  <c r="Y182" i="22"/>
  <c r="X182" i="22"/>
  <c r="Y213" i="22"/>
  <c r="X213" i="22"/>
  <c r="Y127" i="22"/>
  <c r="AA127" i="22" s="1"/>
  <c r="AC127" i="22" s="1"/>
  <c r="AE127" i="22" s="1"/>
  <c r="AG127" i="22" s="1"/>
  <c r="AI127" i="22" s="1"/>
  <c r="X127" i="22"/>
  <c r="AA177" i="22"/>
  <c r="AC177" i="22" s="1"/>
  <c r="AE177" i="22" s="1"/>
  <c r="AG177" i="22" s="1"/>
  <c r="AI177" i="22" s="1"/>
  <c r="Z177" i="22"/>
  <c r="Y197" i="22"/>
  <c r="X197" i="22"/>
  <c r="AA217" i="22"/>
  <c r="Z217" i="22"/>
  <c r="Y118" i="22"/>
  <c r="X118" i="22"/>
  <c r="Y36" i="22"/>
  <c r="X36" i="22"/>
  <c r="Y32" i="22"/>
  <c r="X32" i="22"/>
  <c r="Y82" i="22"/>
  <c r="X82" i="22"/>
  <c r="Y84" i="22"/>
  <c r="X84" i="22"/>
  <c r="Y68" i="22"/>
  <c r="X68" i="22"/>
  <c r="AA184" i="22"/>
  <c r="Z184" i="22"/>
  <c r="Y211" i="22"/>
  <c r="X211" i="22"/>
  <c r="AA215" i="22"/>
  <c r="Z215" i="22"/>
  <c r="AA148" i="22"/>
  <c r="Z148" i="22"/>
  <c r="Y144" i="22"/>
  <c r="X144" i="22"/>
  <c r="AA191" i="22"/>
  <c r="Z191" i="22"/>
  <c r="Y57" i="22"/>
  <c r="AA57" i="22" s="1"/>
  <c r="AC57" i="22" s="1"/>
  <c r="AE57" i="22" s="1"/>
  <c r="AG57" i="22" s="1"/>
  <c r="AI57" i="22" s="1"/>
  <c r="X57" i="22"/>
  <c r="Y86" i="22"/>
  <c r="X86" i="22"/>
  <c r="Y106" i="22"/>
  <c r="X106" i="22"/>
  <c r="Y116" i="22"/>
  <c r="X116" i="22"/>
  <c r="Y74" i="22"/>
  <c r="X74" i="22"/>
  <c r="Y66" i="22"/>
  <c r="AA66" i="22" s="1"/>
  <c r="AC66" i="22" s="1"/>
  <c r="AE66" i="22" s="1"/>
  <c r="AG66" i="22" s="1"/>
  <c r="AI66" i="22" s="1"/>
  <c r="X66" i="22"/>
  <c r="Y44" i="22"/>
  <c r="X44" i="22"/>
  <c r="Y30" i="22"/>
  <c r="X30" i="22"/>
  <c r="AA186" i="22"/>
  <c r="Z186" i="22"/>
  <c r="AA225" i="22"/>
  <c r="Z225" i="22"/>
  <c r="Y166" i="22"/>
  <c r="X166" i="22"/>
  <c r="Y58" i="22"/>
  <c r="X58" i="22"/>
  <c r="Y88" i="22"/>
  <c r="X88" i="22"/>
  <c r="Y221" i="22"/>
  <c r="X221" i="22"/>
  <c r="AA132" i="22"/>
  <c r="Z132" i="22"/>
  <c r="Y128" i="22"/>
  <c r="X128" i="22"/>
  <c r="Y149" i="22"/>
  <c r="X149" i="22"/>
  <c r="AA190" i="22"/>
  <c r="Z190" i="22"/>
  <c r="Y153" i="22"/>
  <c r="X153" i="22"/>
  <c r="AA193" i="22"/>
  <c r="Z193" i="22"/>
  <c r="AA122" i="22"/>
  <c r="Z122" i="22"/>
  <c r="AA168" i="22"/>
  <c r="Z168" i="22"/>
  <c r="Y146" i="22"/>
  <c r="X146" i="22"/>
  <c r="AA203" i="22"/>
  <c r="Z203" i="22"/>
  <c r="Y195" i="22"/>
  <c r="X195" i="22"/>
  <c r="Y72" i="22"/>
  <c r="X72" i="22"/>
  <c r="Y98" i="22"/>
  <c r="X98" i="22"/>
  <c r="Y59" i="22"/>
  <c r="AA59" i="22" s="1"/>
  <c r="AC59" i="22" s="1"/>
  <c r="AE59" i="22" s="1"/>
  <c r="AG59" i="22" s="1"/>
  <c r="AI59" i="22" s="1"/>
  <c r="X59" i="22"/>
  <c r="Y114" i="22"/>
  <c r="X114" i="22"/>
  <c r="Y31" i="22"/>
  <c r="AA31" i="22" s="1"/>
  <c r="AC31" i="22" s="1"/>
  <c r="AE31" i="22" s="1"/>
  <c r="AG31" i="22" s="1"/>
  <c r="AI31" i="22" s="1"/>
  <c r="X31" i="22"/>
  <c r="Y93" i="22"/>
  <c r="X93" i="22"/>
  <c r="Y223" i="22"/>
  <c r="X223" i="22"/>
  <c r="Y192" i="22"/>
  <c r="X192" i="22"/>
  <c r="Y138" i="22"/>
  <c r="X138" i="22"/>
  <c r="AA207" i="22"/>
  <c r="Z207" i="22"/>
  <c r="AA150" i="22"/>
  <c r="Z150" i="22"/>
  <c r="Y164" i="22"/>
  <c r="X164" i="22"/>
  <c r="AA156" i="22"/>
  <c r="Z156" i="22"/>
  <c r="Y173" i="22"/>
  <c r="X173" i="22"/>
  <c r="AA219" i="22"/>
  <c r="Z219" i="22"/>
  <c r="Y76" i="22"/>
  <c r="X76" i="22"/>
  <c r="Y70" i="22"/>
  <c r="X70" i="22"/>
  <c r="Y78" i="22"/>
  <c r="AA78" i="22" s="1"/>
  <c r="AC78" i="22" s="1"/>
  <c r="AE78" i="22" s="1"/>
  <c r="AG78" i="22" s="1"/>
  <c r="AI78" i="22" s="1"/>
  <c r="X78" i="22"/>
  <c r="Y77" i="22"/>
  <c r="AA77" i="22" s="1"/>
  <c r="AC77" i="22" s="1"/>
  <c r="AE77" i="22" s="1"/>
  <c r="AG77" i="22" s="1"/>
  <c r="AI77" i="22" s="1"/>
  <c r="X77" i="22"/>
  <c r="Y46" i="22"/>
  <c r="X46" i="22"/>
  <c r="Y104" i="22"/>
  <c r="X104" i="22"/>
  <c r="Y108" i="22"/>
  <c r="X108" i="22"/>
  <c r="Y34" i="22"/>
  <c r="X34" i="22"/>
  <c r="Y107" i="22"/>
  <c r="AA107" i="22" s="1"/>
  <c r="AC107" i="22" s="1"/>
  <c r="AE107" i="22" s="1"/>
  <c r="AG107" i="22" s="1"/>
  <c r="AI107" i="22" s="1"/>
  <c r="X107" i="22"/>
  <c r="Y92" i="22"/>
  <c r="X92" i="22"/>
  <c r="Y101" i="22"/>
  <c r="X101" i="22"/>
  <c r="Y60" i="22"/>
  <c r="X60" i="22"/>
  <c r="Y48" i="22"/>
  <c r="X48" i="22"/>
  <c r="Y67" i="22"/>
  <c r="AA67" i="22" s="1"/>
  <c r="AC67" i="22" s="1"/>
  <c r="AE67" i="22" s="1"/>
  <c r="AG67" i="22" s="1"/>
  <c r="AI67" i="22" s="1"/>
  <c r="X67" i="22"/>
  <c r="Y105" i="22"/>
  <c r="X105" i="22"/>
  <c r="AA199" i="22"/>
  <c r="Z199" i="22"/>
  <c r="AA162" i="22"/>
  <c r="Z162" i="22"/>
  <c r="Y120" i="22"/>
  <c r="X120" i="22"/>
  <c r="AA188" i="22"/>
  <c r="Z188" i="22"/>
  <c r="AA160" i="22"/>
  <c r="Z160" i="22"/>
  <c r="AA201" i="22"/>
  <c r="Z201" i="22"/>
  <c r="Y109" i="22"/>
  <c r="AA109" i="22" s="1"/>
  <c r="AC109" i="22" s="1"/>
  <c r="AE109" i="22" s="1"/>
  <c r="AG109" i="22" s="1"/>
  <c r="AI109" i="22" s="1"/>
  <c r="X109" i="22"/>
  <c r="Y56" i="22"/>
  <c r="X56" i="22"/>
  <c r="Y29" i="22"/>
  <c r="X29" i="22"/>
  <c r="Y52" i="22"/>
  <c r="X52" i="22"/>
  <c r="Y80" i="22"/>
  <c r="X80" i="22"/>
  <c r="Y62" i="22"/>
  <c r="X62" i="22"/>
  <c r="Y110" i="22"/>
  <c r="X110" i="22"/>
  <c r="AD235" i="22"/>
  <c r="AD234" i="22"/>
  <c r="AD229" i="22"/>
  <c r="AD225" i="22"/>
  <c r="AD219" i="22"/>
  <c r="AD218" i="22"/>
  <c r="AD230" i="22"/>
  <c r="AD224" i="22"/>
  <c r="AD222" i="22"/>
  <c r="AD209" i="22"/>
  <c r="AD208" i="22"/>
  <c r="AD202" i="22"/>
  <c r="AD237" i="22"/>
  <c r="AD232" i="22"/>
  <c r="AD228" i="22"/>
  <c r="AD226" i="22"/>
  <c r="AD216" i="22"/>
  <c r="AD214" i="22"/>
  <c r="AD212" i="22"/>
  <c r="AD207" i="22"/>
  <c r="AD206" i="22"/>
  <c r="AD236" i="22"/>
  <c r="AD233" i="22"/>
  <c r="AD213" i="22"/>
  <c r="AD204" i="22"/>
  <c r="AD194" i="22"/>
  <c r="AD189" i="22"/>
  <c r="AD227" i="22"/>
  <c r="AD215" i="22"/>
  <c r="AD196" i="22"/>
  <c r="AD193" i="22"/>
  <c r="AD192" i="22"/>
  <c r="AD231" i="22"/>
  <c r="AD223" i="22"/>
  <c r="AD221" i="22"/>
  <c r="AD198" i="22"/>
  <c r="AD191" i="22"/>
  <c r="AD178" i="22"/>
  <c r="AD172" i="22"/>
  <c r="AD167" i="22"/>
  <c r="AD163" i="22"/>
  <c r="AD148" i="22"/>
  <c r="AD220" i="22"/>
  <c r="AD183" i="22"/>
  <c r="AD181" i="22"/>
  <c r="AD177" i="22"/>
  <c r="AD176" i="22"/>
  <c r="AD165" i="22"/>
  <c r="AD161" i="22"/>
  <c r="AD153" i="22"/>
  <c r="AD147" i="22"/>
  <c r="AD217" i="22"/>
  <c r="AD200" i="22"/>
  <c r="AD179" i="22"/>
  <c r="AD175" i="22"/>
  <c r="AD171" i="22"/>
  <c r="AD170" i="22"/>
  <c r="AD159" i="22"/>
  <c r="AD157" i="22"/>
  <c r="AD149" i="22"/>
  <c r="AD143" i="22"/>
  <c r="AD137" i="22"/>
  <c r="AD131" i="22"/>
  <c r="AD130" i="22"/>
  <c r="AD185" i="22"/>
  <c r="AD180" i="22"/>
  <c r="AD142" i="22"/>
  <c r="AD135" i="22"/>
  <c r="AD134" i="22"/>
  <c r="AD129" i="22"/>
  <c r="AD127" i="22"/>
  <c r="AD126" i="22"/>
  <c r="AD123" i="22"/>
  <c r="AD146" i="22"/>
  <c r="AD145" i="22"/>
  <c r="AD140" i="22"/>
  <c r="AD139" i="22"/>
  <c r="AD11" i="22"/>
  <c r="AD173" i="22"/>
  <c r="AD187" i="22"/>
  <c r="AD155" i="22"/>
  <c r="AD151" i="22"/>
  <c r="AD150" i="22"/>
  <c r="AD125" i="22"/>
  <c r="AD210" i="22"/>
  <c r="AD141" i="22"/>
  <c r="AD133" i="22"/>
  <c r="AD122" i="22"/>
  <c r="AD169" i="22"/>
  <c r="Y20" i="22"/>
  <c r="X20" i="22"/>
  <c r="Y16" i="22"/>
  <c r="X16" i="22"/>
  <c r="AA13" i="22"/>
  <c r="AC13" i="22" s="1"/>
  <c r="AE13" i="22" s="1"/>
  <c r="AG13" i="22" s="1"/>
  <c r="AI13" i="22" s="1"/>
  <c r="Z13" i="22"/>
  <c r="AD119" i="22"/>
  <c r="AD115" i="22"/>
  <c r="AD111" i="22"/>
  <c r="AD107" i="22"/>
  <c r="AD103" i="22"/>
  <c r="AD99" i="22"/>
  <c r="AD95" i="22"/>
  <c r="AD113" i="22"/>
  <c r="AD109" i="22"/>
  <c r="AD105" i="22"/>
  <c r="AD101" i="22"/>
  <c r="AD102" i="22"/>
  <c r="AD94" i="22"/>
  <c r="AD84" i="22"/>
  <c r="AD117" i="22"/>
  <c r="AD100" i="22"/>
  <c r="AD97" i="22"/>
  <c r="AD71" i="22"/>
  <c r="AD67" i="22"/>
  <c r="AD63" i="22"/>
  <c r="AD59" i="22"/>
  <c r="AD90" i="22"/>
  <c r="AD78" i="22"/>
  <c r="AD74" i="22"/>
  <c r="AD66" i="22"/>
  <c r="AD62" i="22"/>
  <c r="AD54" i="22"/>
  <c r="AD50" i="22"/>
  <c r="AD42" i="22"/>
  <c r="AD38" i="22"/>
  <c r="AD87" i="22"/>
  <c r="AD85" i="22"/>
  <c r="AD79" i="22"/>
  <c r="AD77" i="22"/>
  <c r="AD53" i="22"/>
  <c r="AD49" i="22"/>
  <c r="AD45" i="22"/>
  <c r="AD41" i="22"/>
  <c r="AD37" i="22"/>
  <c r="AD33" i="22"/>
  <c r="AD26" i="22"/>
  <c r="AD23" i="22"/>
  <c r="AD19" i="22"/>
  <c r="AD15" i="22"/>
  <c r="AD12" i="22"/>
  <c r="AD81" i="22"/>
  <c r="AD112" i="22"/>
  <c r="AD93" i="22"/>
  <c r="AD55" i="22"/>
  <c r="AD51" i="22"/>
  <c r="AD47" i="22"/>
  <c r="AD43" i="22"/>
  <c r="AD39" i="22"/>
  <c r="AD35" i="22"/>
  <c r="AD31" i="22"/>
  <c r="AD28" i="22"/>
  <c r="AD25" i="22"/>
  <c r="AD22" i="22"/>
  <c r="AD18" i="22"/>
  <c r="AD14" i="22"/>
  <c r="AD91" i="22"/>
  <c r="AD89" i="22"/>
  <c r="AD83" i="22"/>
  <c r="AD75" i="22"/>
  <c r="AD24" i="22"/>
  <c r="AD10" i="22"/>
  <c r="AD69" i="22"/>
  <c r="AD27" i="22"/>
  <c r="AF9" i="22"/>
  <c r="AD73" i="22"/>
  <c r="AD65" i="22"/>
  <c r="AD57" i="22"/>
  <c r="AD21" i="22"/>
  <c r="AD118" i="22"/>
  <c r="AD17" i="22"/>
  <c r="AD61" i="22"/>
  <c r="AD16" i="22"/>
  <c r="AD13" i="22"/>
  <c r="N50" i="21"/>
  <c r="M50" i="21"/>
  <c r="P121" i="21"/>
  <c r="O121" i="21"/>
  <c r="P109" i="21"/>
  <c r="O109" i="21"/>
  <c r="P117" i="21"/>
  <c r="O117" i="21"/>
  <c r="P107" i="21"/>
  <c r="O107" i="21"/>
  <c r="R55" i="21"/>
  <c r="Q55" i="21"/>
  <c r="P110" i="21"/>
  <c r="O110" i="21"/>
  <c r="X79" i="21"/>
  <c r="W79" i="21"/>
  <c r="P122" i="21"/>
  <c r="O122" i="21"/>
  <c r="P119" i="21"/>
  <c r="O119" i="21"/>
  <c r="P108" i="21"/>
  <c r="O108" i="21"/>
  <c r="P116" i="21"/>
  <c r="O116" i="21"/>
  <c r="P112" i="21"/>
  <c r="O112" i="21"/>
  <c r="P103" i="21"/>
  <c r="O103" i="21"/>
  <c r="P105" i="21"/>
  <c r="O105" i="21"/>
  <c r="P113" i="21"/>
  <c r="O113" i="21"/>
  <c r="P120" i="21"/>
  <c r="O120" i="21"/>
  <c r="P115" i="21"/>
  <c r="O115" i="21"/>
  <c r="P100" i="21"/>
  <c r="O100" i="21"/>
  <c r="P118" i="21"/>
  <c r="O118" i="21"/>
  <c r="P101" i="21"/>
  <c r="O101" i="21"/>
  <c r="P111" i="21"/>
  <c r="O111" i="21"/>
  <c r="AA82" i="21"/>
  <c r="AA78" i="21"/>
  <c r="AA77" i="21"/>
  <c r="AA75" i="21"/>
  <c r="AA85" i="21"/>
  <c r="AA74" i="21"/>
  <c r="AA73" i="21"/>
  <c r="AA61" i="21"/>
  <c r="AA53" i="21"/>
  <c r="AA86" i="21"/>
  <c r="AA76" i="21"/>
  <c r="AA72" i="21"/>
  <c r="AA60" i="21"/>
  <c r="AA56" i="21"/>
  <c r="AA52" i="21"/>
  <c r="AA51" i="21"/>
  <c r="AA46" i="21"/>
  <c r="AA38" i="21"/>
  <c r="AA50" i="21"/>
  <c r="AA44" i="21"/>
  <c r="AA37" i="21"/>
  <c r="AA32" i="21"/>
  <c r="AA71" i="21"/>
  <c r="AA48" i="21"/>
  <c r="AA87" i="21"/>
  <c r="AA80" i="21"/>
  <c r="AA64" i="21"/>
  <c r="AA59" i="21"/>
  <c r="AA54" i="21"/>
  <c r="AA45" i="21"/>
  <c r="AA43" i="21"/>
  <c r="AA89" i="21"/>
  <c r="AA47" i="21"/>
  <c r="AA49" i="21"/>
  <c r="AC31" i="21"/>
  <c r="AA55" i="21"/>
  <c r="T33" i="21"/>
  <c r="S33" i="21"/>
  <c r="P104" i="21"/>
  <c r="O104" i="21"/>
  <c r="P102" i="21"/>
  <c r="O102" i="21"/>
  <c r="P114" i="21"/>
  <c r="O114" i="21"/>
  <c r="T92" i="21"/>
  <c r="S92" i="21"/>
  <c r="P106" i="21"/>
  <c r="O106" i="21"/>
  <c r="R42" i="21"/>
  <c r="Q42" i="21"/>
  <c r="X81" i="21"/>
  <c r="W81" i="21"/>
  <c r="N42" i="17"/>
  <c r="P42" i="17" s="1"/>
  <c r="H37" i="20"/>
  <c r="I37" i="20" s="1"/>
  <c r="H36" i="20"/>
  <c r="I36" i="20" s="1"/>
  <c r="H51" i="20"/>
  <c r="I51" i="20" s="1"/>
  <c r="H43" i="20"/>
  <c r="I43" i="20" s="1"/>
  <c r="H55" i="20"/>
  <c r="I55" i="20" s="1"/>
  <c r="H59" i="20"/>
  <c r="I59" i="20" s="1"/>
  <c r="H56" i="20"/>
  <c r="I56" i="20" s="1"/>
  <c r="H33" i="20"/>
  <c r="I33" i="20" s="1"/>
  <c r="H61" i="20"/>
  <c r="I61" i="20" s="1"/>
  <c r="F48" i="20"/>
  <c r="I9" i="20"/>
  <c r="L9" i="20"/>
  <c r="H50" i="20"/>
  <c r="I50" i="20" s="1"/>
  <c r="H57" i="20"/>
  <c r="I57" i="20" s="1"/>
  <c r="D25" i="20"/>
  <c r="F25" i="20" s="1"/>
  <c r="F23" i="20"/>
  <c r="D26" i="20"/>
  <c r="F26" i="20" s="1"/>
  <c r="D24" i="20"/>
  <c r="F24" i="20" s="1"/>
  <c r="L8" i="19"/>
  <c r="G9" i="19"/>
  <c r="G23" i="19" s="1"/>
  <c r="G10" i="19"/>
  <c r="G11" i="19" s="1"/>
  <c r="G29" i="19"/>
  <c r="G30" i="19" s="1"/>
  <c r="G6" i="19"/>
  <c r="D6" i="19"/>
  <c r="F6" i="19" s="1"/>
  <c r="F5" i="19"/>
  <c r="L5" i="19" s="1"/>
  <c r="G7" i="19"/>
  <c r="G27" i="19" s="1"/>
  <c r="F7" i="19"/>
  <c r="D27" i="19"/>
  <c r="F27" i="19" s="1"/>
  <c r="I28" i="19"/>
  <c r="D9" i="19"/>
  <c r="D11" i="19"/>
  <c r="F11" i="19" s="1"/>
  <c r="D30" i="19"/>
  <c r="F30" i="19" s="1"/>
  <c r="D10" i="19"/>
  <c r="F10" i="19" s="1"/>
  <c r="I22" i="19"/>
  <c r="J51" i="17"/>
  <c r="J50" i="17"/>
  <c r="J52" i="17" s="1"/>
  <c r="N41" i="17"/>
  <c r="D51" i="17"/>
  <c r="N47" i="17"/>
  <c r="P46" i="17"/>
  <c r="L92" i="8"/>
  <c r="L92" i="7"/>
  <c r="L92" i="1"/>
  <c r="L93" i="9"/>
  <c r="O36" i="21" l="1"/>
  <c r="P36" i="21"/>
  <c r="O54" i="21"/>
  <c r="P54" i="21"/>
  <c r="Z67" i="21"/>
  <c r="Y67" i="21"/>
  <c r="R62" i="21"/>
  <c r="Q62" i="21"/>
  <c r="P37" i="21"/>
  <c r="O37" i="21"/>
  <c r="U60" i="21"/>
  <c r="V60" i="21"/>
  <c r="D91" i="21"/>
  <c r="F91" i="21" s="1"/>
  <c r="K91" i="21" s="1"/>
  <c r="D23" i="21"/>
  <c r="V40" i="21"/>
  <c r="U40" i="21"/>
  <c r="R51" i="21"/>
  <c r="Q51" i="21"/>
  <c r="V34" i="21"/>
  <c r="U34" i="21"/>
  <c r="P59" i="21"/>
  <c r="O59" i="21"/>
  <c r="P39" i="21"/>
  <c r="O39" i="21"/>
  <c r="P61" i="21"/>
  <c r="O61" i="21"/>
  <c r="R43" i="21"/>
  <c r="Q43" i="21"/>
  <c r="O57" i="21"/>
  <c r="P57" i="21"/>
  <c r="P53" i="21"/>
  <c r="O53" i="21"/>
  <c r="P56" i="21"/>
  <c r="O56" i="21"/>
  <c r="R35" i="21"/>
  <c r="Q35" i="21"/>
  <c r="O48" i="21"/>
  <c r="H48" i="21"/>
  <c r="M48" i="21"/>
  <c r="AC231" i="22"/>
  <c r="AE231" i="22" s="1"/>
  <c r="AG231" i="22" s="1"/>
  <c r="AI231" i="22" s="1"/>
  <c r="AB231" i="22"/>
  <c r="AA230" i="22"/>
  <c r="Z230" i="22"/>
  <c r="AC228" i="22"/>
  <c r="AE228" i="22" s="1"/>
  <c r="AG228" i="22" s="1"/>
  <c r="AI228" i="22" s="1"/>
  <c r="AB228" i="22"/>
  <c r="AC160" i="22"/>
  <c r="AB160" i="22"/>
  <c r="AA120" i="22"/>
  <c r="Z120" i="22"/>
  <c r="AC199" i="22"/>
  <c r="AB199" i="22"/>
  <c r="AC219" i="22"/>
  <c r="AE219" i="22" s="1"/>
  <c r="AG219" i="22" s="1"/>
  <c r="AI219" i="22" s="1"/>
  <c r="AB219" i="22"/>
  <c r="AC150" i="22"/>
  <c r="AE150" i="22" s="1"/>
  <c r="AG150" i="22" s="1"/>
  <c r="AI150" i="22" s="1"/>
  <c r="AB150" i="22"/>
  <c r="AA223" i="22"/>
  <c r="Z223" i="22"/>
  <c r="AC203" i="22"/>
  <c r="AB203" i="22"/>
  <c r="AC193" i="22"/>
  <c r="AE193" i="22" s="1"/>
  <c r="AG193" i="22" s="1"/>
  <c r="AI193" i="22" s="1"/>
  <c r="AB193" i="22"/>
  <c r="AA128" i="22"/>
  <c r="Z128" i="22"/>
  <c r="AA221" i="22"/>
  <c r="Z221" i="22"/>
  <c r="AA58" i="22"/>
  <c r="Z58" i="22"/>
  <c r="AC225" i="22"/>
  <c r="AE225" i="22" s="1"/>
  <c r="AG225" i="22" s="1"/>
  <c r="AI225" i="22" s="1"/>
  <c r="AB225" i="22"/>
  <c r="AA30" i="22"/>
  <c r="Z30" i="22"/>
  <c r="AA116" i="22"/>
  <c r="Z116" i="22"/>
  <c r="AC191" i="22"/>
  <c r="AE191" i="22" s="1"/>
  <c r="AG191" i="22" s="1"/>
  <c r="AI191" i="22" s="1"/>
  <c r="AB191" i="22"/>
  <c r="AA211" i="22"/>
  <c r="Z211" i="22"/>
  <c r="AA82" i="22"/>
  <c r="Z82" i="22"/>
  <c r="AC217" i="22"/>
  <c r="AE217" i="22" s="1"/>
  <c r="AG217" i="22" s="1"/>
  <c r="AI217" i="22" s="1"/>
  <c r="AB217" i="22"/>
  <c r="AA124" i="22"/>
  <c r="Z124" i="22"/>
  <c r="AC154" i="22"/>
  <c r="AB154" i="22"/>
  <c r="AC158" i="22"/>
  <c r="AB158" i="22"/>
  <c r="AC178" i="22"/>
  <c r="AE178" i="22" s="1"/>
  <c r="AG178" i="22" s="1"/>
  <c r="AI178" i="22" s="1"/>
  <c r="AB178" i="22"/>
  <c r="AC205" i="22"/>
  <c r="AB205" i="22"/>
  <c r="AA110" i="22"/>
  <c r="Z110" i="22"/>
  <c r="AA80" i="22"/>
  <c r="Z80" i="22"/>
  <c r="AA29" i="22"/>
  <c r="Z29" i="22"/>
  <c r="AA60" i="22"/>
  <c r="Z60" i="22"/>
  <c r="AA92" i="22"/>
  <c r="Z92" i="22"/>
  <c r="AA34" i="22"/>
  <c r="Z34" i="22"/>
  <c r="AA104" i="22"/>
  <c r="Z104" i="22"/>
  <c r="AA70" i="22"/>
  <c r="Z70" i="22"/>
  <c r="AC156" i="22"/>
  <c r="AB156" i="22"/>
  <c r="AA138" i="22"/>
  <c r="Z138" i="22"/>
  <c r="AA72" i="22"/>
  <c r="Z72" i="22"/>
  <c r="AC168" i="22"/>
  <c r="AB168" i="22"/>
  <c r="AC190" i="22"/>
  <c r="AB190" i="22"/>
  <c r="AA86" i="22"/>
  <c r="Z86" i="22"/>
  <c r="AC148" i="22"/>
  <c r="AE148" i="22" s="1"/>
  <c r="AG148" i="22" s="1"/>
  <c r="AI148" i="22" s="1"/>
  <c r="AB148" i="22"/>
  <c r="AA68" i="22"/>
  <c r="Z68" i="22"/>
  <c r="AA36" i="22"/>
  <c r="Z36" i="22"/>
  <c r="AA213" i="22"/>
  <c r="Z213" i="22"/>
  <c r="AA64" i="22"/>
  <c r="Z64" i="22"/>
  <c r="AA40" i="22"/>
  <c r="Z40" i="22"/>
  <c r="AA96" i="22"/>
  <c r="Z96" i="22"/>
  <c r="AC152" i="22"/>
  <c r="AB152" i="22"/>
  <c r="AC170" i="22"/>
  <c r="AE170" i="22" s="1"/>
  <c r="AG170" i="22" s="1"/>
  <c r="AI170" i="22" s="1"/>
  <c r="AB170" i="22"/>
  <c r="AA62" i="22"/>
  <c r="Z62" i="22"/>
  <c r="AA52" i="22"/>
  <c r="Z52" i="22"/>
  <c r="AA56" i="22"/>
  <c r="Z56" i="22"/>
  <c r="AC201" i="22"/>
  <c r="AB201" i="22"/>
  <c r="AC188" i="22"/>
  <c r="AB188" i="22"/>
  <c r="AC162" i="22"/>
  <c r="AB162" i="22"/>
  <c r="AA105" i="22"/>
  <c r="AC105" i="22" s="1"/>
  <c r="AE105" i="22" s="1"/>
  <c r="AG105" i="22" s="1"/>
  <c r="AI105" i="22" s="1"/>
  <c r="Z105" i="22"/>
  <c r="AA48" i="22"/>
  <c r="Z48" i="22"/>
  <c r="AA101" i="22"/>
  <c r="AC101" i="22" s="1"/>
  <c r="AE101" i="22" s="1"/>
  <c r="AG101" i="22" s="1"/>
  <c r="AI101" i="22" s="1"/>
  <c r="Z101" i="22"/>
  <c r="AA108" i="22"/>
  <c r="Z108" i="22"/>
  <c r="AA46" i="22"/>
  <c r="Z46" i="22"/>
  <c r="AA76" i="22"/>
  <c r="Z76" i="22"/>
  <c r="AA173" i="22"/>
  <c r="AC173" i="22" s="1"/>
  <c r="AE173" i="22" s="1"/>
  <c r="AG173" i="22" s="1"/>
  <c r="AI173" i="22" s="1"/>
  <c r="Z173" i="22"/>
  <c r="AA164" i="22"/>
  <c r="Z164" i="22"/>
  <c r="AC207" i="22"/>
  <c r="AE207" i="22" s="1"/>
  <c r="AG207" i="22" s="1"/>
  <c r="AI207" i="22" s="1"/>
  <c r="AB207" i="22"/>
  <c r="AA192" i="22"/>
  <c r="AC192" i="22" s="1"/>
  <c r="AE192" i="22" s="1"/>
  <c r="AG192" i="22" s="1"/>
  <c r="AI192" i="22" s="1"/>
  <c r="Z192" i="22"/>
  <c r="AA93" i="22"/>
  <c r="AC93" i="22" s="1"/>
  <c r="AE93" i="22" s="1"/>
  <c r="AG93" i="22" s="1"/>
  <c r="AI93" i="22" s="1"/>
  <c r="Z93" i="22"/>
  <c r="AA114" i="22"/>
  <c r="Z114" i="22"/>
  <c r="AA98" i="22"/>
  <c r="Z98" i="22"/>
  <c r="AA195" i="22"/>
  <c r="Z195" i="22"/>
  <c r="AA146" i="22"/>
  <c r="Z146" i="22"/>
  <c r="AC122" i="22"/>
  <c r="AE122" i="22" s="1"/>
  <c r="AG122" i="22" s="1"/>
  <c r="AI122" i="22" s="1"/>
  <c r="AB122" i="22"/>
  <c r="AA153" i="22"/>
  <c r="AC153" i="22" s="1"/>
  <c r="AE153" i="22" s="1"/>
  <c r="AG153" i="22" s="1"/>
  <c r="AI153" i="22" s="1"/>
  <c r="Z153" i="22"/>
  <c r="AA149" i="22"/>
  <c r="Z149" i="22"/>
  <c r="AC132" i="22"/>
  <c r="AB132" i="22"/>
  <c r="AA88" i="22"/>
  <c r="Z88" i="22"/>
  <c r="AA166" i="22"/>
  <c r="Z166" i="22"/>
  <c r="AC186" i="22"/>
  <c r="AB186" i="22"/>
  <c r="AA44" i="22"/>
  <c r="Z44" i="22"/>
  <c r="AA74" i="22"/>
  <c r="Z74" i="22"/>
  <c r="AA106" i="22"/>
  <c r="Z106" i="22"/>
  <c r="AA144" i="22"/>
  <c r="Z144" i="22"/>
  <c r="AC215" i="22"/>
  <c r="AE215" i="22" s="1"/>
  <c r="AG215" i="22" s="1"/>
  <c r="AI215" i="22" s="1"/>
  <c r="AB215" i="22"/>
  <c r="AC184" i="22"/>
  <c r="AB184" i="22"/>
  <c r="AA84" i="22"/>
  <c r="Z84" i="22"/>
  <c r="AA32" i="22"/>
  <c r="Z32" i="22"/>
  <c r="AA118" i="22"/>
  <c r="Z118" i="22"/>
  <c r="AA197" i="22"/>
  <c r="Z197" i="22"/>
  <c r="AA182" i="22"/>
  <c r="Z182" i="22"/>
  <c r="AA117" i="22"/>
  <c r="Z117" i="22"/>
  <c r="AA65" i="22"/>
  <c r="Z65" i="22"/>
  <c r="AA130" i="22"/>
  <c r="Z130" i="22"/>
  <c r="AA61" i="22"/>
  <c r="Z61" i="22"/>
  <c r="AA121" i="22"/>
  <c r="Z121" i="22"/>
  <c r="AA90" i="22"/>
  <c r="AC90" i="22" s="1"/>
  <c r="AE90" i="22" s="1"/>
  <c r="AG90" i="22" s="1"/>
  <c r="AI90" i="22" s="1"/>
  <c r="Z90" i="22"/>
  <c r="AC174" i="22"/>
  <c r="AB174" i="22"/>
  <c r="AC136" i="22"/>
  <c r="AB136" i="22"/>
  <c r="AC209" i="22"/>
  <c r="AE209" i="22" s="1"/>
  <c r="AG209" i="22" s="1"/>
  <c r="AI209" i="22" s="1"/>
  <c r="AB209" i="22"/>
  <c r="AC194" i="22"/>
  <c r="AE194" i="22" s="1"/>
  <c r="AG194" i="22" s="1"/>
  <c r="AI194" i="22" s="1"/>
  <c r="AB194" i="22"/>
  <c r="AF233" i="22"/>
  <c r="AF224" i="22"/>
  <c r="AF223" i="22"/>
  <c r="AF217" i="22"/>
  <c r="AF216" i="22"/>
  <c r="AF213" i="22"/>
  <c r="AF237" i="22"/>
  <c r="AF234" i="22"/>
  <c r="AF232" i="22"/>
  <c r="AF228" i="22"/>
  <c r="AF226" i="22"/>
  <c r="AF219" i="22"/>
  <c r="AF214" i="22"/>
  <c r="AF212" i="22"/>
  <c r="AF207" i="22"/>
  <c r="AF206" i="22"/>
  <c r="AF236" i="22"/>
  <c r="AF229" i="22"/>
  <c r="AF221" i="22"/>
  <c r="AF220" i="22"/>
  <c r="AF218" i="22"/>
  <c r="AF205" i="22"/>
  <c r="AF230" i="22"/>
  <c r="AF227" i="22"/>
  <c r="AF225" i="22"/>
  <c r="AF215" i="22"/>
  <c r="AF209" i="22"/>
  <c r="AF196" i="22"/>
  <c r="AF193" i="22"/>
  <c r="AF192" i="22"/>
  <c r="AF235" i="22"/>
  <c r="AF222" i="22"/>
  <c r="AF210" i="22"/>
  <c r="AF203" i="22"/>
  <c r="AF202" i="22"/>
  <c r="AF200" i="22"/>
  <c r="AF204" i="22"/>
  <c r="AF194" i="22"/>
  <c r="AF211" i="22"/>
  <c r="AF183" i="22"/>
  <c r="AF181" i="22"/>
  <c r="AF177" i="22"/>
  <c r="AF176" i="22"/>
  <c r="AF165" i="22"/>
  <c r="AF161" i="22"/>
  <c r="AF153" i="22"/>
  <c r="AF147" i="22"/>
  <c r="AF144" i="22"/>
  <c r="AF189" i="22"/>
  <c r="AF187" i="22"/>
  <c r="AF180" i="22"/>
  <c r="AF179" i="22"/>
  <c r="AF175" i="22"/>
  <c r="AF171" i="22"/>
  <c r="AF166" i="22"/>
  <c r="AF164" i="22"/>
  <c r="AF159" i="22"/>
  <c r="AF157" i="22"/>
  <c r="AF155" i="22"/>
  <c r="AF151" i="22"/>
  <c r="AF146" i="22"/>
  <c r="AF231" i="22"/>
  <c r="AF185" i="22"/>
  <c r="AF172" i="22"/>
  <c r="AF163" i="22"/>
  <c r="AF142" i="22"/>
  <c r="AF135" i="22"/>
  <c r="AF134" i="22"/>
  <c r="AF129" i="22"/>
  <c r="AF127" i="22"/>
  <c r="AF126" i="22"/>
  <c r="AF123" i="22"/>
  <c r="AF191" i="22"/>
  <c r="AF190" i="22"/>
  <c r="AF182" i="22"/>
  <c r="AF173" i="22"/>
  <c r="AF169" i="22"/>
  <c r="AF150" i="22"/>
  <c r="AF141" i="22"/>
  <c r="AF139" i="22"/>
  <c r="AF133" i="22"/>
  <c r="AF125" i="22"/>
  <c r="AF124" i="22"/>
  <c r="AF122" i="22"/>
  <c r="AF11" i="22"/>
  <c r="AF208" i="22"/>
  <c r="AF198" i="22"/>
  <c r="AF136" i="22"/>
  <c r="AF132" i="22"/>
  <c r="AF128" i="22"/>
  <c r="AF178" i="22"/>
  <c r="AF174" i="22"/>
  <c r="AF170" i="22"/>
  <c r="AF149" i="22"/>
  <c r="AF148" i="22"/>
  <c r="AF145" i="22"/>
  <c r="AF143" i="22"/>
  <c r="AF140" i="22"/>
  <c r="AF138" i="22"/>
  <c r="AF131" i="22"/>
  <c r="AF167" i="22"/>
  <c r="AF130" i="22"/>
  <c r="AF168" i="22"/>
  <c r="AF158" i="22"/>
  <c r="AF137" i="22"/>
  <c r="AA20" i="22"/>
  <c r="Z20" i="22"/>
  <c r="AA16" i="22"/>
  <c r="AC16" i="22" s="1"/>
  <c r="AE16" i="22" s="1"/>
  <c r="AG16" i="22" s="1"/>
  <c r="AI16" i="22" s="1"/>
  <c r="Z16" i="22"/>
  <c r="AF119" i="22"/>
  <c r="AF118" i="22"/>
  <c r="AF117" i="22"/>
  <c r="AF113" i="22"/>
  <c r="AF109" i="22"/>
  <c r="AF105" i="22"/>
  <c r="AF101" i="22"/>
  <c r="AF97" i="22"/>
  <c r="AF93" i="22"/>
  <c r="AF114" i="22"/>
  <c r="AF112" i="22"/>
  <c r="AF110" i="22"/>
  <c r="AF106" i="22"/>
  <c r="AF104" i="22"/>
  <c r="AF102" i="22"/>
  <c r="AF100" i="22"/>
  <c r="AF90" i="22"/>
  <c r="AF86" i="22"/>
  <c r="AF82" i="22"/>
  <c r="AF78" i="22"/>
  <c r="AF94" i="22"/>
  <c r="AF73" i="22"/>
  <c r="AF69" i="22"/>
  <c r="AF65" i="22"/>
  <c r="AF61" i="22"/>
  <c r="AF57" i="22"/>
  <c r="AF111" i="22"/>
  <c r="AF103" i="22"/>
  <c r="AF99" i="22"/>
  <c r="AF91" i="22"/>
  <c r="AF89" i="22"/>
  <c r="AF87" i="22"/>
  <c r="AF85" i="22"/>
  <c r="AF83" i="22"/>
  <c r="AF81" i="22"/>
  <c r="AF79" i="22"/>
  <c r="AF77" i="22"/>
  <c r="AF75" i="22"/>
  <c r="AF72" i="22"/>
  <c r="AF68" i="22"/>
  <c r="AF64" i="22"/>
  <c r="AF60" i="22"/>
  <c r="AF56" i="22"/>
  <c r="AF52" i="22"/>
  <c r="AF48" i="22"/>
  <c r="AF40" i="22"/>
  <c r="AF36" i="22"/>
  <c r="AF32" i="22"/>
  <c r="AF115" i="22"/>
  <c r="AF71" i="22"/>
  <c r="AF67" i="22"/>
  <c r="AF63" i="22"/>
  <c r="AF59" i="22"/>
  <c r="AF27" i="22"/>
  <c r="AF24" i="22"/>
  <c r="AF21" i="22"/>
  <c r="AF17" i="22"/>
  <c r="AF13" i="22"/>
  <c r="AF10" i="22"/>
  <c r="AF88" i="22"/>
  <c r="AF80" i="22"/>
  <c r="AF54" i="22"/>
  <c r="AF50" i="22"/>
  <c r="AF42" i="22"/>
  <c r="AF38" i="22"/>
  <c r="AF34" i="22"/>
  <c r="AF20" i="22"/>
  <c r="AF16" i="22"/>
  <c r="AF107" i="22"/>
  <c r="AF98" i="22"/>
  <c r="AF96" i="22"/>
  <c r="AF92" i="22"/>
  <c r="AF74" i="22"/>
  <c r="AF66" i="22"/>
  <c r="AF58" i="22"/>
  <c r="AF55" i="22"/>
  <c r="AF53" i="22"/>
  <c r="AF39" i="22"/>
  <c r="AF37" i="22"/>
  <c r="AF33" i="22"/>
  <c r="AF29" i="22"/>
  <c r="AF25" i="22"/>
  <c r="AF15" i="22"/>
  <c r="AF23" i="22"/>
  <c r="AF95" i="22"/>
  <c r="AF31" i="22"/>
  <c r="AF19" i="22"/>
  <c r="AF84" i="22"/>
  <c r="AF51" i="22"/>
  <c r="AF49" i="22"/>
  <c r="AF35" i="22"/>
  <c r="AF26" i="22"/>
  <c r="AF22" i="22"/>
  <c r="AF12" i="22"/>
  <c r="AF76" i="22"/>
  <c r="AF70" i="22"/>
  <c r="AF62" i="22"/>
  <c r="AF47" i="22"/>
  <c r="AF45" i="22"/>
  <c r="AF18" i="22"/>
  <c r="AH9" i="22"/>
  <c r="AF43" i="22"/>
  <c r="AF41" i="22"/>
  <c r="AF28" i="22"/>
  <c r="AF14" i="22"/>
  <c r="P50" i="21"/>
  <c r="O50" i="21"/>
  <c r="R116" i="21"/>
  <c r="Q116" i="21"/>
  <c r="R110" i="21"/>
  <c r="Q110" i="21"/>
  <c r="R121" i="21"/>
  <c r="Q121" i="21"/>
  <c r="T42" i="21"/>
  <c r="S42" i="21"/>
  <c r="R100" i="21"/>
  <c r="Q100" i="21"/>
  <c r="R115" i="21"/>
  <c r="Q115" i="21"/>
  <c r="R119" i="21"/>
  <c r="Q119" i="21"/>
  <c r="R118" i="21"/>
  <c r="Q118" i="21"/>
  <c r="R112" i="21"/>
  <c r="Q112" i="21"/>
  <c r="Z79" i="21"/>
  <c r="Y79" i="21"/>
  <c r="R107" i="21"/>
  <c r="Q107" i="21"/>
  <c r="R117" i="21"/>
  <c r="Q117" i="21"/>
  <c r="R109" i="21"/>
  <c r="Q109" i="21"/>
  <c r="Z81" i="21"/>
  <c r="Y81" i="21"/>
  <c r="V33" i="21"/>
  <c r="U33" i="21"/>
  <c r="AC86" i="21"/>
  <c r="AC80" i="21"/>
  <c r="AC76" i="21"/>
  <c r="AC92" i="21"/>
  <c r="AC73" i="21"/>
  <c r="AC91" i="21"/>
  <c r="AC89" i="21"/>
  <c r="AC82" i="21"/>
  <c r="AC78" i="21"/>
  <c r="AC72" i="21"/>
  <c r="AC77" i="21"/>
  <c r="AC74" i="21"/>
  <c r="AC59" i="21"/>
  <c r="AC55" i="21"/>
  <c r="AC50" i="21"/>
  <c r="AC87" i="21"/>
  <c r="AC75" i="21"/>
  <c r="AC71" i="21"/>
  <c r="AC65" i="21"/>
  <c r="AC64" i="21"/>
  <c r="AC63" i="21"/>
  <c r="AC62" i="21"/>
  <c r="AC58" i="21"/>
  <c r="AC54" i="21"/>
  <c r="AC48" i="21"/>
  <c r="AC44" i="21"/>
  <c r="AC36" i="21"/>
  <c r="AC60" i="21"/>
  <c r="AC56" i="21"/>
  <c r="AC43" i="21"/>
  <c r="AC32" i="21"/>
  <c r="AE31" i="21"/>
  <c r="AC85" i="21"/>
  <c r="AC61" i="21"/>
  <c r="AC51" i="21"/>
  <c r="AC47" i="21"/>
  <c r="AC45" i="21"/>
  <c r="AC38" i="21"/>
  <c r="AC33" i="21"/>
  <c r="AC57" i="21"/>
  <c r="AC52" i="21"/>
  <c r="AC49" i="21"/>
  <c r="AC42" i="21"/>
  <c r="AC53" i="21"/>
  <c r="AC39" i="21"/>
  <c r="AC37" i="21"/>
  <c r="AC46" i="21"/>
  <c r="R103" i="21"/>
  <c r="Q103" i="21"/>
  <c r="T55" i="21"/>
  <c r="S55" i="21"/>
  <c r="R102" i="21"/>
  <c r="Q102" i="21"/>
  <c r="R111" i="21"/>
  <c r="Q111" i="21"/>
  <c r="R105" i="21"/>
  <c r="Q105" i="21"/>
  <c r="R106" i="21"/>
  <c r="Q106" i="21"/>
  <c r="V92" i="21"/>
  <c r="U92" i="21"/>
  <c r="R114" i="21"/>
  <c r="Q114" i="21"/>
  <c r="R104" i="21"/>
  <c r="Q104" i="21"/>
  <c r="R101" i="21"/>
  <c r="Q101" i="21"/>
  <c r="R120" i="21"/>
  <c r="Q120" i="21"/>
  <c r="R48" i="21"/>
  <c r="Q48" i="21"/>
  <c r="R113" i="21"/>
  <c r="Q113" i="21"/>
  <c r="R108" i="21"/>
  <c r="Q108" i="21"/>
  <c r="R122" i="21"/>
  <c r="Q122" i="21"/>
  <c r="L30" i="19"/>
  <c r="I25" i="20"/>
  <c r="L25" i="20"/>
  <c r="L24" i="20"/>
  <c r="I24" i="20"/>
  <c r="L26" i="20"/>
  <c r="I26" i="20"/>
  <c r="H48" i="20"/>
  <c r="I48" i="20" s="1"/>
  <c r="L23" i="20"/>
  <c r="I23" i="20"/>
  <c r="L6" i="19"/>
  <c r="D23" i="19"/>
  <c r="F23" i="19" s="1"/>
  <c r="L23" i="19" s="1"/>
  <c r="F9" i="19"/>
  <c r="L9" i="19" s="1"/>
  <c r="L10" i="19"/>
  <c r="L7" i="19"/>
  <c r="I7" i="19"/>
  <c r="F33" i="19"/>
  <c r="G26" i="19"/>
  <c r="G24" i="19"/>
  <c r="G25" i="19" s="1"/>
  <c r="L11" i="19"/>
  <c r="L27" i="19"/>
  <c r="I27" i="19"/>
  <c r="D29" i="19"/>
  <c r="I11" i="19"/>
  <c r="F59" i="19"/>
  <c r="H59" i="19" s="1"/>
  <c r="I59" i="19" s="1"/>
  <c r="F61" i="19"/>
  <c r="I10" i="19"/>
  <c r="F56" i="19"/>
  <c r="H56" i="19" s="1"/>
  <c r="I56" i="19" s="1"/>
  <c r="I30" i="19"/>
  <c r="F54" i="19"/>
  <c r="F42" i="19"/>
  <c r="F39" i="19"/>
  <c r="H39" i="19" s="1"/>
  <c r="I39" i="19" s="1"/>
  <c r="I8" i="19"/>
  <c r="F53" i="19"/>
  <c r="F46" i="19"/>
  <c r="F34" i="19"/>
  <c r="F40" i="19"/>
  <c r="H40" i="19" s="1"/>
  <c r="I40" i="19" s="1"/>
  <c r="I3" i="19"/>
  <c r="F51" i="19"/>
  <c r="H51" i="19" s="1"/>
  <c r="I51" i="19" s="1"/>
  <c r="F43" i="19"/>
  <c r="H43" i="19" s="1"/>
  <c r="I43" i="19" s="1"/>
  <c r="F35" i="19"/>
  <c r="H35" i="19" s="1"/>
  <c r="I35" i="19" s="1"/>
  <c r="F67" i="19"/>
  <c r="H67" i="19" s="1"/>
  <c r="I67" i="19" s="1"/>
  <c r="F64" i="19"/>
  <c r="H64" i="19" s="1"/>
  <c r="I64" i="19" s="1"/>
  <c r="F62" i="19"/>
  <c r="F60" i="19"/>
  <c r="H60" i="19" s="1"/>
  <c r="I60" i="19" s="1"/>
  <c r="F50" i="19"/>
  <c r="I6" i="19"/>
  <c r="F36" i="19"/>
  <c r="H36" i="19" s="1"/>
  <c r="I36" i="19" s="1"/>
  <c r="I5" i="19"/>
  <c r="F37" i="19"/>
  <c r="F55" i="19"/>
  <c r="H55" i="19" s="1"/>
  <c r="I55" i="19" s="1"/>
  <c r="F57" i="19"/>
  <c r="P41" i="17"/>
  <c r="N40" i="17"/>
  <c r="N48" i="17"/>
  <c r="P47" i="17"/>
  <c r="R36" i="21" l="1"/>
  <c r="Q36" i="21"/>
  <c r="AB67" i="21"/>
  <c r="AA67" i="21"/>
  <c r="R54" i="21"/>
  <c r="Q54" i="21"/>
  <c r="Q57" i="21"/>
  <c r="R57" i="21"/>
  <c r="D24" i="21"/>
  <c r="F24" i="21" s="1"/>
  <c r="D26" i="21"/>
  <c r="F26" i="21" s="1"/>
  <c r="D25" i="21"/>
  <c r="F25" i="21" s="1"/>
  <c r="F23" i="21"/>
  <c r="Q56" i="21"/>
  <c r="R56" i="21"/>
  <c r="Q61" i="21"/>
  <c r="R61" i="21"/>
  <c r="Q59" i="21"/>
  <c r="R59" i="21"/>
  <c r="T51" i="21"/>
  <c r="S51" i="21"/>
  <c r="M91" i="21"/>
  <c r="N91" i="21"/>
  <c r="Q37" i="21"/>
  <c r="R37" i="21"/>
  <c r="W60" i="21"/>
  <c r="X60" i="21"/>
  <c r="S35" i="21"/>
  <c r="T35" i="21"/>
  <c r="Q53" i="21"/>
  <c r="R53" i="21"/>
  <c r="S43" i="21"/>
  <c r="T43" i="21"/>
  <c r="Q39" i="21"/>
  <c r="R39" i="21"/>
  <c r="W34" i="21"/>
  <c r="X34" i="21"/>
  <c r="X40" i="21"/>
  <c r="W40" i="21"/>
  <c r="T62" i="21"/>
  <c r="S62" i="21"/>
  <c r="AC230" i="22"/>
  <c r="AE230" i="22" s="1"/>
  <c r="AG230" i="22" s="1"/>
  <c r="AI230" i="22" s="1"/>
  <c r="AB230" i="22"/>
  <c r="AE174" i="22"/>
  <c r="AG174" i="22" s="1"/>
  <c r="AI174" i="22" s="1"/>
  <c r="AD174" i="22"/>
  <c r="AC121" i="22"/>
  <c r="AB121" i="22"/>
  <c r="AC117" i="22"/>
  <c r="AE117" i="22" s="1"/>
  <c r="AG117" i="22" s="1"/>
  <c r="AI117" i="22" s="1"/>
  <c r="AB117" i="22"/>
  <c r="AC32" i="22"/>
  <c r="AB32" i="22"/>
  <c r="AC144" i="22"/>
  <c r="AB144" i="22"/>
  <c r="AE186" i="22"/>
  <c r="AD186" i="22"/>
  <c r="AC195" i="22"/>
  <c r="AB195" i="22"/>
  <c r="AC114" i="22"/>
  <c r="AB114" i="22"/>
  <c r="AC164" i="22"/>
  <c r="AB164" i="22"/>
  <c r="AC108" i="22"/>
  <c r="AB108" i="22"/>
  <c r="AE162" i="22"/>
  <c r="AD162" i="22"/>
  <c r="AE201" i="22"/>
  <c r="AD201" i="22"/>
  <c r="AC52" i="22"/>
  <c r="AB52" i="22"/>
  <c r="AC72" i="22"/>
  <c r="AB72" i="22"/>
  <c r="AE154" i="22"/>
  <c r="AD154" i="22"/>
  <c r="AC223" i="22"/>
  <c r="AE223" i="22" s="1"/>
  <c r="AG223" i="22" s="1"/>
  <c r="AI223" i="22" s="1"/>
  <c r="AB223" i="22"/>
  <c r="AC120" i="22"/>
  <c r="AB120" i="22"/>
  <c r="AC130" i="22"/>
  <c r="AE130" i="22" s="1"/>
  <c r="AG130" i="22" s="1"/>
  <c r="AI130" i="22" s="1"/>
  <c r="AB130" i="22"/>
  <c r="AC197" i="22"/>
  <c r="AB197" i="22"/>
  <c r="AE184" i="22"/>
  <c r="AD184" i="22"/>
  <c r="AC74" i="22"/>
  <c r="AE74" i="22" s="1"/>
  <c r="AG74" i="22" s="1"/>
  <c r="AI74" i="22" s="1"/>
  <c r="AB74" i="22"/>
  <c r="AC88" i="22"/>
  <c r="AB88" i="22"/>
  <c r="AC149" i="22"/>
  <c r="AE149" i="22" s="1"/>
  <c r="AG149" i="22" s="1"/>
  <c r="AI149" i="22" s="1"/>
  <c r="AB149" i="22"/>
  <c r="AC76" i="22"/>
  <c r="AB76" i="22"/>
  <c r="AC48" i="22"/>
  <c r="AB48" i="22"/>
  <c r="AC96" i="22"/>
  <c r="AB96" i="22"/>
  <c r="AC64" i="22"/>
  <c r="AB64" i="22"/>
  <c r="AC36" i="22"/>
  <c r="AB36" i="22"/>
  <c r="AE190" i="22"/>
  <c r="AG190" i="22" s="1"/>
  <c r="AI190" i="22" s="1"/>
  <c r="AD190" i="22"/>
  <c r="AE156" i="22"/>
  <c r="AD156" i="22"/>
  <c r="AC104" i="22"/>
  <c r="AB104" i="22"/>
  <c r="AC92" i="22"/>
  <c r="AB92" i="22"/>
  <c r="AC29" i="22"/>
  <c r="AB29" i="22"/>
  <c r="AC110" i="22"/>
  <c r="AB110" i="22"/>
  <c r="AC211" i="22"/>
  <c r="AB211" i="22"/>
  <c r="AC116" i="22"/>
  <c r="AB116" i="22"/>
  <c r="AC221" i="22"/>
  <c r="AE221" i="22" s="1"/>
  <c r="AG221" i="22" s="1"/>
  <c r="AI221" i="22" s="1"/>
  <c r="AB221" i="22"/>
  <c r="AE136" i="22"/>
  <c r="AG136" i="22" s="1"/>
  <c r="AI136" i="22" s="1"/>
  <c r="AD136" i="22"/>
  <c r="AC61" i="22"/>
  <c r="AE61" i="22" s="1"/>
  <c r="AG61" i="22" s="1"/>
  <c r="AI61" i="22" s="1"/>
  <c r="AB61" i="22"/>
  <c r="AC65" i="22"/>
  <c r="AE65" i="22" s="1"/>
  <c r="AG65" i="22" s="1"/>
  <c r="AI65" i="22" s="1"/>
  <c r="AB65" i="22"/>
  <c r="AC182" i="22"/>
  <c r="AB182" i="22"/>
  <c r="AC118" i="22"/>
  <c r="AE118" i="22" s="1"/>
  <c r="AG118" i="22" s="1"/>
  <c r="AI118" i="22" s="1"/>
  <c r="AB118" i="22"/>
  <c r="AC84" i="22"/>
  <c r="AE84" i="22" s="1"/>
  <c r="AG84" i="22" s="1"/>
  <c r="AI84" i="22" s="1"/>
  <c r="AB84" i="22"/>
  <c r="AC106" i="22"/>
  <c r="AB106" i="22"/>
  <c r="AC44" i="22"/>
  <c r="AB44" i="22"/>
  <c r="AC166" i="22"/>
  <c r="AB166" i="22"/>
  <c r="AE132" i="22"/>
  <c r="AG132" i="22" s="1"/>
  <c r="AI132" i="22" s="1"/>
  <c r="AD132" i="22"/>
  <c r="AC146" i="22"/>
  <c r="AE146" i="22" s="1"/>
  <c r="AG146" i="22" s="1"/>
  <c r="AI146" i="22" s="1"/>
  <c r="AB146" i="22"/>
  <c r="AC98" i="22"/>
  <c r="AB98" i="22"/>
  <c r="AC46" i="22"/>
  <c r="AB46" i="22"/>
  <c r="AE188" i="22"/>
  <c r="AD188" i="22"/>
  <c r="AC56" i="22"/>
  <c r="AB56" i="22"/>
  <c r="AC62" i="22"/>
  <c r="AE62" i="22" s="1"/>
  <c r="AG62" i="22" s="1"/>
  <c r="AI62" i="22" s="1"/>
  <c r="AB62" i="22"/>
  <c r="AE152" i="22"/>
  <c r="AD152" i="22"/>
  <c r="AC40" i="22"/>
  <c r="AB40" i="22"/>
  <c r="AC213" i="22"/>
  <c r="AE213" i="22" s="1"/>
  <c r="AG213" i="22" s="1"/>
  <c r="AI213" i="22" s="1"/>
  <c r="AB213" i="22"/>
  <c r="AC68" i="22"/>
  <c r="AB68" i="22"/>
  <c r="AC86" i="22"/>
  <c r="AB86" i="22"/>
  <c r="AE168" i="22"/>
  <c r="AG168" i="22" s="1"/>
  <c r="AI168" i="22" s="1"/>
  <c r="AD168" i="22"/>
  <c r="AC138" i="22"/>
  <c r="AB138" i="22"/>
  <c r="AC70" i="22"/>
  <c r="AB70" i="22"/>
  <c r="AC34" i="22"/>
  <c r="AB34" i="22"/>
  <c r="AC60" i="22"/>
  <c r="AB60" i="22"/>
  <c r="AC80" i="22"/>
  <c r="AB80" i="22"/>
  <c r="AE205" i="22"/>
  <c r="AG205" i="22" s="1"/>
  <c r="AI205" i="22" s="1"/>
  <c r="AD205" i="22"/>
  <c r="AE158" i="22"/>
  <c r="AG158" i="22" s="1"/>
  <c r="AI158" i="22" s="1"/>
  <c r="AD158" i="22"/>
  <c r="AC124" i="22"/>
  <c r="AB124" i="22"/>
  <c r="AC82" i="22"/>
  <c r="AB82" i="22"/>
  <c r="AC30" i="22"/>
  <c r="AB30" i="22"/>
  <c r="AC58" i="22"/>
  <c r="AB58" i="22"/>
  <c r="AC128" i="22"/>
  <c r="AB128" i="22"/>
  <c r="AE203" i="22"/>
  <c r="AG203" i="22" s="1"/>
  <c r="AI203" i="22" s="1"/>
  <c r="AD203" i="22"/>
  <c r="AE199" i="22"/>
  <c r="AD199" i="22"/>
  <c r="AE160" i="22"/>
  <c r="AD160" i="22"/>
  <c r="AC20" i="22"/>
  <c r="AB20" i="22"/>
  <c r="AH232" i="22"/>
  <c r="AH228" i="22"/>
  <c r="AH222" i="22"/>
  <c r="AH220" i="22"/>
  <c r="AH215" i="22"/>
  <c r="AH212" i="22"/>
  <c r="AH237" i="22"/>
  <c r="AH236" i="22"/>
  <c r="AH229" i="22"/>
  <c r="AH221" i="22"/>
  <c r="AH218" i="22"/>
  <c r="AH216" i="22"/>
  <c r="AH205" i="22"/>
  <c r="AH231" i="22"/>
  <c r="AH227" i="22"/>
  <c r="AH225" i="22"/>
  <c r="AH223" i="22"/>
  <c r="AH211" i="22"/>
  <c r="AH210" i="22"/>
  <c r="AH204" i="22"/>
  <c r="AH203" i="22"/>
  <c r="AH235" i="22"/>
  <c r="AH219" i="22"/>
  <c r="AH206" i="22"/>
  <c r="AH202" i="22"/>
  <c r="AH201" i="22"/>
  <c r="AH200" i="22"/>
  <c r="AH199" i="22"/>
  <c r="AH195" i="22"/>
  <c r="AH191" i="22"/>
  <c r="AH217" i="22"/>
  <c r="AH208" i="22"/>
  <c r="AH207" i="22"/>
  <c r="AH198" i="22"/>
  <c r="AH233" i="22"/>
  <c r="AH230" i="22"/>
  <c r="AH226" i="22"/>
  <c r="AH213" i="22"/>
  <c r="AH209" i="22"/>
  <c r="AH196" i="22"/>
  <c r="AH193" i="22"/>
  <c r="AH192" i="22"/>
  <c r="AH189" i="22"/>
  <c r="AH187" i="22"/>
  <c r="AH180" i="22"/>
  <c r="AH179" i="22"/>
  <c r="AH175" i="22"/>
  <c r="AH171" i="22"/>
  <c r="AH166" i="22"/>
  <c r="AH164" i="22"/>
  <c r="AH159" i="22"/>
  <c r="AH157" i="22"/>
  <c r="AH156" i="22"/>
  <c r="AH155" i="22"/>
  <c r="AH152" i="22"/>
  <c r="AH151" i="22"/>
  <c r="AH146" i="22"/>
  <c r="AH234" i="22"/>
  <c r="AH190" i="22"/>
  <c r="AH186" i="22"/>
  <c r="AH185" i="22"/>
  <c r="AH174" i="22"/>
  <c r="AH173" i="22"/>
  <c r="AH170" i="22"/>
  <c r="AH169" i="22"/>
  <c r="AH168" i="22"/>
  <c r="AH158" i="22"/>
  <c r="AH150" i="22"/>
  <c r="AH149" i="22"/>
  <c r="AH224" i="22"/>
  <c r="AH197" i="22"/>
  <c r="AH182" i="22"/>
  <c r="AH176" i="22"/>
  <c r="AH160" i="22"/>
  <c r="AH154" i="22"/>
  <c r="AH147" i="22"/>
  <c r="AH144" i="22"/>
  <c r="AH141" i="22"/>
  <c r="AH139" i="22"/>
  <c r="AH133" i="22"/>
  <c r="AH125" i="22"/>
  <c r="AH124" i="22"/>
  <c r="AH122" i="22"/>
  <c r="AH11" i="22"/>
  <c r="AH214" i="22"/>
  <c r="AH194" i="22"/>
  <c r="AH183" i="22"/>
  <c r="AH181" i="22"/>
  <c r="AH177" i="22"/>
  <c r="AH167" i="22"/>
  <c r="AH165" i="22"/>
  <c r="AH161" i="22"/>
  <c r="AH148" i="22"/>
  <c r="AH145" i="22"/>
  <c r="AH140" i="22"/>
  <c r="AH138" i="22"/>
  <c r="AH132" i="22"/>
  <c r="AH128" i="22"/>
  <c r="AH184" i="22"/>
  <c r="AH188" i="22"/>
  <c r="AH130" i="22"/>
  <c r="AH129" i="22"/>
  <c r="AH142" i="22"/>
  <c r="AH123" i="22"/>
  <c r="AH143" i="22"/>
  <c r="AH153" i="22"/>
  <c r="AH136" i="22"/>
  <c r="AH127" i="22"/>
  <c r="AH126" i="22"/>
  <c r="AH172" i="22"/>
  <c r="AH163" i="22"/>
  <c r="AH162" i="22"/>
  <c r="AH137" i="22"/>
  <c r="AH134" i="22"/>
  <c r="AH178" i="22"/>
  <c r="AH135" i="22"/>
  <c r="AH131" i="22"/>
  <c r="AH120" i="22"/>
  <c r="AH115" i="22"/>
  <c r="AH111" i="22"/>
  <c r="AH107" i="22"/>
  <c r="AH103" i="22"/>
  <c r="AH99" i="22"/>
  <c r="AH95" i="22"/>
  <c r="AH118" i="22"/>
  <c r="AH117" i="22"/>
  <c r="AH119" i="22"/>
  <c r="AH113" i="22"/>
  <c r="AH109" i="22"/>
  <c r="AH105" i="22"/>
  <c r="AH101" i="22"/>
  <c r="AH97" i="22"/>
  <c r="AH93" i="22"/>
  <c r="AH92" i="22"/>
  <c r="AH88" i="22"/>
  <c r="AH84" i="22"/>
  <c r="AH80" i="22"/>
  <c r="AH76" i="22"/>
  <c r="AH98" i="22"/>
  <c r="AH89" i="22"/>
  <c r="AH85" i="22"/>
  <c r="AH81" i="22"/>
  <c r="AH77" i="22"/>
  <c r="AH71" i="22"/>
  <c r="AH67" i="22"/>
  <c r="AH63" i="22"/>
  <c r="AH59" i="22"/>
  <c r="AH114" i="22"/>
  <c r="AH112" i="22"/>
  <c r="AH106" i="22"/>
  <c r="AH104" i="22"/>
  <c r="AH74" i="22"/>
  <c r="AH70" i="22"/>
  <c r="AH66" i="22"/>
  <c r="AH62" i="22"/>
  <c r="AH58" i="22"/>
  <c r="AH54" i="22"/>
  <c r="AH50" i="22"/>
  <c r="AH46" i="22"/>
  <c r="AH42" i="22"/>
  <c r="AH38" i="22"/>
  <c r="AH34" i="22"/>
  <c r="AH30" i="22"/>
  <c r="AH52" i="22"/>
  <c r="AH48" i="22"/>
  <c r="AH44" i="22"/>
  <c r="AH40" i="22"/>
  <c r="AH36" i="22"/>
  <c r="AH32" i="22"/>
  <c r="AH29" i="22"/>
  <c r="AH26" i="22"/>
  <c r="AH23" i="22"/>
  <c r="AH19" i="22"/>
  <c r="AH15" i="22"/>
  <c r="AH12" i="22"/>
  <c r="AH51" i="22"/>
  <c r="AH43" i="22"/>
  <c r="AH35" i="22"/>
  <c r="AH116" i="22"/>
  <c r="AH110" i="22"/>
  <c r="AH100" i="22"/>
  <c r="AH91" i="22"/>
  <c r="AH90" i="22"/>
  <c r="AH83" i="22"/>
  <c r="AH82" i="22"/>
  <c r="AH75" i="22"/>
  <c r="AH73" i="22"/>
  <c r="AH72" i="22"/>
  <c r="AH69" i="22"/>
  <c r="AH68" i="22"/>
  <c r="AH65" i="22"/>
  <c r="AH64" i="22"/>
  <c r="AH61" i="22"/>
  <c r="AH60" i="22"/>
  <c r="AH57" i="22"/>
  <c r="AH56" i="22"/>
  <c r="AH53" i="22"/>
  <c r="AH49" i="22"/>
  <c r="AH45" i="22"/>
  <c r="AH41" i="22"/>
  <c r="AH37" i="22"/>
  <c r="AH33" i="22"/>
  <c r="AH28" i="22"/>
  <c r="AH25" i="22"/>
  <c r="AH22" i="22"/>
  <c r="AH18" i="22"/>
  <c r="AH14" i="22"/>
  <c r="AJ9" i="22"/>
  <c r="AH121" i="22"/>
  <c r="AH96" i="22"/>
  <c r="AH94" i="22"/>
  <c r="AH55" i="22"/>
  <c r="AH47" i="22"/>
  <c r="AH39" i="22"/>
  <c r="AH20" i="22"/>
  <c r="AH17" i="22"/>
  <c r="AH24" i="22"/>
  <c r="AH102" i="22"/>
  <c r="AH108" i="22"/>
  <c r="AH27" i="22"/>
  <c r="AH16" i="22"/>
  <c r="AH13" i="22"/>
  <c r="AH87" i="22"/>
  <c r="AH86" i="22"/>
  <c r="AH31" i="22"/>
  <c r="AH10" i="22"/>
  <c r="AH79" i="22"/>
  <c r="AH78" i="22"/>
  <c r="AH21" i="22"/>
  <c r="R50" i="21"/>
  <c r="Q50" i="21"/>
  <c r="T113" i="21"/>
  <c r="S113" i="21"/>
  <c r="T121" i="21"/>
  <c r="S121" i="21"/>
  <c r="T110" i="21"/>
  <c r="S110" i="21"/>
  <c r="T114" i="21"/>
  <c r="S114" i="21"/>
  <c r="T106" i="21"/>
  <c r="S106" i="21"/>
  <c r="T111" i="21"/>
  <c r="S111" i="21"/>
  <c r="AB81" i="21"/>
  <c r="AA81" i="21"/>
  <c r="T117" i="21"/>
  <c r="S117" i="21"/>
  <c r="T112" i="21"/>
  <c r="S112" i="21"/>
  <c r="T108" i="21"/>
  <c r="S108" i="21"/>
  <c r="T118" i="21"/>
  <c r="S118" i="21"/>
  <c r="T100" i="21"/>
  <c r="S100" i="21"/>
  <c r="V42" i="21"/>
  <c r="U42" i="21"/>
  <c r="T116" i="21"/>
  <c r="S116" i="21"/>
  <c r="T122" i="21"/>
  <c r="S122" i="21"/>
  <c r="T120" i="21"/>
  <c r="S120" i="21"/>
  <c r="T101" i="21"/>
  <c r="S101" i="21"/>
  <c r="T102" i="21"/>
  <c r="S102" i="21"/>
  <c r="V55" i="21"/>
  <c r="X55" i="21" s="1"/>
  <c r="Z55" i="21" s="1"/>
  <c r="AB55" i="21" s="1"/>
  <c r="AD55" i="21" s="1"/>
  <c r="AF55" i="21" s="1"/>
  <c r="AH55" i="21" s="1"/>
  <c r="AJ55" i="21" s="1"/>
  <c r="U55" i="21"/>
  <c r="T119" i="21"/>
  <c r="S119" i="21"/>
  <c r="T115" i="21"/>
  <c r="S115" i="21"/>
  <c r="T103" i="21"/>
  <c r="S103" i="21"/>
  <c r="T48" i="21"/>
  <c r="S48" i="21"/>
  <c r="T105" i="21"/>
  <c r="S105" i="21"/>
  <c r="AE91" i="21"/>
  <c r="AE92" i="21"/>
  <c r="AE82" i="21"/>
  <c r="AE78" i="21"/>
  <c r="AE89" i="21"/>
  <c r="AE87" i="21"/>
  <c r="AE80" i="21"/>
  <c r="AE76" i="21"/>
  <c r="AE75" i="21"/>
  <c r="AE77" i="21"/>
  <c r="AE74" i="21"/>
  <c r="AE86" i="21"/>
  <c r="AE71" i="21"/>
  <c r="AE61" i="21"/>
  <c r="AE57" i="21"/>
  <c r="AE53" i="21"/>
  <c r="AE85" i="21"/>
  <c r="AE60" i="21"/>
  <c r="AE56" i="21"/>
  <c r="AE52" i="21"/>
  <c r="AE51" i="21"/>
  <c r="AE46" i="21"/>
  <c r="AE42" i="21"/>
  <c r="AE38" i="21"/>
  <c r="AE64" i="21"/>
  <c r="AE59" i="21"/>
  <c r="AE54" i="21"/>
  <c r="AE49" i="21"/>
  <c r="AE47" i="21"/>
  <c r="AE32" i="21"/>
  <c r="AE72" i="21"/>
  <c r="AE63" i="21"/>
  <c r="AE55" i="21"/>
  <c r="AE44" i="21"/>
  <c r="AE37" i="21"/>
  <c r="AG31" i="21"/>
  <c r="AE73" i="21"/>
  <c r="AE66" i="21"/>
  <c r="AE62" i="21"/>
  <c r="AE50" i="21"/>
  <c r="AE48" i="21"/>
  <c r="AE39" i="21"/>
  <c r="AE36" i="21"/>
  <c r="AE33" i="21"/>
  <c r="AE58" i="21"/>
  <c r="AE43" i="21"/>
  <c r="AE65" i="21"/>
  <c r="AE45" i="21"/>
  <c r="T104" i="21"/>
  <c r="S104" i="21"/>
  <c r="X92" i="21"/>
  <c r="W92" i="21"/>
  <c r="X33" i="21"/>
  <c r="W33" i="21"/>
  <c r="T109" i="21"/>
  <c r="S109" i="21"/>
  <c r="T107" i="21"/>
  <c r="S107" i="21"/>
  <c r="AB79" i="21"/>
  <c r="AA79" i="21"/>
  <c r="H37" i="19"/>
  <c r="I37" i="19" s="1"/>
  <c r="H62" i="19"/>
  <c r="I62" i="19" s="1"/>
  <c r="H57" i="19"/>
  <c r="I57" i="19" s="1"/>
  <c r="H54" i="19"/>
  <c r="I54" i="19" s="1"/>
  <c r="H46" i="19"/>
  <c r="I46" i="19" s="1"/>
  <c r="H53" i="19"/>
  <c r="I53" i="19" s="1"/>
  <c r="H42" i="19"/>
  <c r="I42" i="19" s="1"/>
  <c r="H61" i="19"/>
  <c r="I61" i="19" s="1"/>
  <c r="H50" i="19"/>
  <c r="I50" i="19" s="1"/>
  <c r="H34" i="19"/>
  <c r="I34" i="19" s="1"/>
  <c r="H33" i="19"/>
  <c r="I33" i="19" s="1"/>
  <c r="F29" i="19"/>
  <c r="F48" i="19"/>
  <c r="H48" i="19" s="1"/>
  <c r="I48" i="19" s="1"/>
  <c r="I9" i="19"/>
  <c r="N49" i="17"/>
  <c r="P48" i="17"/>
  <c r="P40" i="17"/>
  <c r="P39" i="17"/>
  <c r="E30" i="9"/>
  <c r="C30" i="9"/>
  <c r="B30" i="9"/>
  <c r="E29" i="9"/>
  <c r="C29" i="9"/>
  <c r="B29" i="9"/>
  <c r="E28" i="9"/>
  <c r="C28" i="9"/>
  <c r="B28" i="9"/>
  <c r="E27" i="9"/>
  <c r="C27" i="9"/>
  <c r="B27" i="9"/>
  <c r="E26" i="9"/>
  <c r="C26" i="9"/>
  <c r="B26" i="9"/>
  <c r="E25" i="9"/>
  <c r="C25" i="9"/>
  <c r="E24" i="9"/>
  <c r="C24" i="9"/>
  <c r="B24" i="9"/>
  <c r="E23" i="9"/>
  <c r="C23" i="9"/>
  <c r="B23" i="9"/>
  <c r="E22" i="9"/>
  <c r="C22" i="9"/>
  <c r="B22" i="9"/>
  <c r="E30" i="8"/>
  <c r="C30" i="8"/>
  <c r="B30" i="8"/>
  <c r="E29" i="8"/>
  <c r="C29" i="8"/>
  <c r="B29" i="8"/>
  <c r="E28" i="8"/>
  <c r="C28" i="8"/>
  <c r="B28" i="8"/>
  <c r="E27" i="8"/>
  <c r="C27" i="8"/>
  <c r="B27" i="8"/>
  <c r="E26" i="8"/>
  <c r="C26" i="8"/>
  <c r="B26" i="8"/>
  <c r="E25" i="8"/>
  <c r="C25" i="8"/>
  <c r="E24" i="8"/>
  <c r="C24" i="8"/>
  <c r="B24" i="8"/>
  <c r="E23" i="8"/>
  <c r="C23" i="8"/>
  <c r="B23" i="8"/>
  <c r="E22" i="8"/>
  <c r="C22" i="8"/>
  <c r="B22" i="8"/>
  <c r="C30" i="7"/>
  <c r="B30" i="7"/>
  <c r="C29" i="7"/>
  <c r="B29" i="7"/>
  <c r="C28" i="7"/>
  <c r="B28" i="7"/>
  <c r="C27" i="7"/>
  <c r="B27" i="7"/>
  <c r="C26" i="7"/>
  <c r="B26" i="7"/>
  <c r="C25" i="7"/>
  <c r="C24" i="7"/>
  <c r="B24" i="7"/>
  <c r="C23" i="7"/>
  <c r="B23" i="7"/>
  <c r="C22" i="7"/>
  <c r="B22" i="7"/>
  <c r="E30" i="7"/>
  <c r="E29" i="7"/>
  <c r="E28" i="7"/>
  <c r="E27" i="7"/>
  <c r="E26" i="7"/>
  <c r="E25" i="7"/>
  <c r="E24" i="7"/>
  <c r="E23" i="7"/>
  <c r="E22" i="7"/>
  <c r="E22" i="1"/>
  <c r="E28" i="1"/>
  <c r="E27" i="1"/>
  <c r="E21" i="1"/>
  <c r="E18" i="1"/>
  <c r="E12" i="1"/>
  <c r="E19" i="1" s="1"/>
  <c r="E11" i="1"/>
  <c r="E10" i="1"/>
  <c r="E9" i="1"/>
  <c r="E24" i="1" s="1"/>
  <c r="E8" i="1"/>
  <c r="E30" i="1" s="1"/>
  <c r="E15" i="1" l="1"/>
  <c r="E20" i="1" s="1"/>
  <c r="T36" i="21"/>
  <c r="S36" i="21"/>
  <c r="S54" i="21"/>
  <c r="T54" i="21"/>
  <c r="AD67" i="21"/>
  <c r="AC67" i="21"/>
  <c r="S39" i="21"/>
  <c r="T39" i="21"/>
  <c r="S53" i="21"/>
  <c r="T53" i="21"/>
  <c r="Z60" i="21"/>
  <c r="AB60" i="21" s="1"/>
  <c r="AD60" i="21" s="1"/>
  <c r="AF60" i="21" s="1"/>
  <c r="AH60" i="21" s="1"/>
  <c r="AJ60" i="21" s="1"/>
  <c r="Y60" i="21"/>
  <c r="P91" i="21"/>
  <c r="O91" i="21"/>
  <c r="S59" i="21"/>
  <c r="T59" i="21"/>
  <c r="T56" i="21"/>
  <c r="S56" i="21"/>
  <c r="J26" i="21"/>
  <c r="K26" i="21" s="1"/>
  <c r="N26" i="21"/>
  <c r="Z40" i="21"/>
  <c r="Y40" i="21"/>
  <c r="J24" i="21"/>
  <c r="K24" i="21" s="1"/>
  <c r="N24" i="21"/>
  <c r="P24" i="21" s="1"/>
  <c r="Z34" i="21"/>
  <c r="Y34" i="21"/>
  <c r="U43" i="21"/>
  <c r="V43" i="21"/>
  <c r="X43" i="21" s="1"/>
  <c r="Z43" i="21" s="1"/>
  <c r="AB43" i="21" s="1"/>
  <c r="AD43" i="21" s="1"/>
  <c r="AF43" i="21" s="1"/>
  <c r="AH43" i="21" s="1"/>
  <c r="AJ43" i="21" s="1"/>
  <c r="V35" i="21"/>
  <c r="U35" i="21"/>
  <c r="S37" i="21"/>
  <c r="T37" i="21"/>
  <c r="T61" i="21"/>
  <c r="S61" i="21"/>
  <c r="J23" i="21"/>
  <c r="K23" i="21" s="1"/>
  <c r="N23" i="21"/>
  <c r="P23" i="21" s="1"/>
  <c r="S57" i="21"/>
  <c r="T57" i="21"/>
  <c r="V62" i="21"/>
  <c r="U62" i="21"/>
  <c r="U51" i="21"/>
  <c r="V51" i="21"/>
  <c r="J25" i="21"/>
  <c r="K25" i="21" s="1"/>
  <c r="N25" i="21"/>
  <c r="P25" i="21" s="1"/>
  <c r="AG160" i="22"/>
  <c r="AI160" i="22" s="1"/>
  <c r="AF160" i="22"/>
  <c r="AE34" i="22"/>
  <c r="AG34" i="22" s="1"/>
  <c r="AI34" i="22" s="1"/>
  <c r="AD34" i="22"/>
  <c r="AE138" i="22"/>
  <c r="AG138" i="22" s="1"/>
  <c r="AI138" i="22" s="1"/>
  <c r="AD138" i="22"/>
  <c r="AE86" i="22"/>
  <c r="AG86" i="22" s="1"/>
  <c r="AI86" i="22" s="1"/>
  <c r="AD86" i="22"/>
  <c r="AE166" i="22"/>
  <c r="AG166" i="22" s="1"/>
  <c r="AI166" i="22" s="1"/>
  <c r="AD166" i="22"/>
  <c r="AE106" i="22"/>
  <c r="AG106" i="22" s="1"/>
  <c r="AI106" i="22" s="1"/>
  <c r="AD106" i="22"/>
  <c r="AE116" i="22"/>
  <c r="AD116" i="22"/>
  <c r="AE92" i="22"/>
  <c r="AG92" i="22" s="1"/>
  <c r="AI92" i="22" s="1"/>
  <c r="AD92" i="22"/>
  <c r="AE36" i="22"/>
  <c r="AG36" i="22" s="1"/>
  <c r="AI36" i="22" s="1"/>
  <c r="AD36" i="22"/>
  <c r="AE96" i="22"/>
  <c r="AG96" i="22" s="1"/>
  <c r="AI96" i="22" s="1"/>
  <c r="AD96" i="22"/>
  <c r="AE88" i="22"/>
  <c r="AG88" i="22" s="1"/>
  <c r="AI88" i="22" s="1"/>
  <c r="AD88" i="22"/>
  <c r="AG184" i="22"/>
  <c r="AI184" i="22" s="1"/>
  <c r="AF184" i="22"/>
  <c r="AE72" i="22"/>
  <c r="AG72" i="22" s="1"/>
  <c r="AI72" i="22" s="1"/>
  <c r="AD72" i="22"/>
  <c r="AE58" i="22"/>
  <c r="AG58" i="22" s="1"/>
  <c r="AI58" i="22" s="1"/>
  <c r="AD58" i="22"/>
  <c r="AE82" i="22"/>
  <c r="AG82" i="22" s="1"/>
  <c r="AI82" i="22" s="1"/>
  <c r="AD82" i="22"/>
  <c r="AE80" i="22"/>
  <c r="AG80" i="22" s="1"/>
  <c r="AI80" i="22" s="1"/>
  <c r="AD80" i="22"/>
  <c r="AG152" i="22"/>
  <c r="AI152" i="22" s="1"/>
  <c r="AF152" i="22"/>
  <c r="AE56" i="22"/>
  <c r="AG56" i="22" s="1"/>
  <c r="AI56" i="22" s="1"/>
  <c r="AD56" i="22"/>
  <c r="AE46" i="22"/>
  <c r="AD46" i="22"/>
  <c r="AE110" i="22"/>
  <c r="AG110" i="22" s="1"/>
  <c r="AI110" i="22" s="1"/>
  <c r="AD110" i="22"/>
  <c r="AG156" i="22"/>
  <c r="AI156" i="22" s="1"/>
  <c r="AF156" i="22"/>
  <c r="AE76" i="22"/>
  <c r="AG76" i="22" s="1"/>
  <c r="AI76" i="22" s="1"/>
  <c r="AD76" i="22"/>
  <c r="AG201" i="22"/>
  <c r="AI201" i="22" s="1"/>
  <c r="AF201" i="22"/>
  <c r="AE108" i="22"/>
  <c r="AD108" i="22"/>
  <c r="AE114" i="22"/>
  <c r="AG114" i="22" s="1"/>
  <c r="AI114" i="22" s="1"/>
  <c r="AD114" i="22"/>
  <c r="AG186" i="22"/>
  <c r="AI186" i="22" s="1"/>
  <c r="AF186" i="22"/>
  <c r="AE32" i="22"/>
  <c r="AG32" i="22" s="1"/>
  <c r="AI32" i="22" s="1"/>
  <c r="AD32" i="22"/>
  <c r="AE121" i="22"/>
  <c r="AD121" i="22"/>
  <c r="AG199" i="22"/>
  <c r="AI199" i="22" s="1"/>
  <c r="AF199" i="22"/>
  <c r="AE128" i="22"/>
  <c r="AG128" i="22" s="1"/>
  <c r="AI128" i="22" s="1"/>
  <c r="AD128" i="22"/>
  <c r="AE30" i="22"/>
  <c r="AD30" i="22"/>
  <c r="AE124" i="22"/>
  <c r="AG124" i="22" s="1"/>
  <c r="AI124" i="22" s="1"/>
  <c r="AD124" i="22"/>
  <c r="AE60" i="22"/>
  <c r="AG60" i="22" s="1"/>
  <c r="AI60" i="22" s="1"/>
  <c r="AD60" i="22"/>
  <c r="AE70" i="22"/>
  <c r="AG70" i="22" s="1"/>
  <c r="AI70" i="22" s="1"/>
  <c r="AD70" i="22"/>
  <c r="AE68" i="22"/>
  <c r="AG68" i="22" s="1"/>
  <c r="AI68" i="22" s="1"/>
  <c r="AD68" i="22"/>
  <c r="AE40" i="22"/>
  <c r="AG40" i="22" s="1"/>
  <c r="AI40" i="22" s="1"/>
  <c r="AD40" i="22"/>
  <c r="AG188" i="22"/>
  <c r="AI188" i="22" s="1"/>
  <c r="AF188" i="22"/>
  <c r="AE98" i="22"/>
  <c r="AG98" i="22" s="1"/>
  <c r="AI98" i="22" s="1"/>
  <c r="AD98" i="22"/>
  <c r="AE44" i="22"/>
  <c r="AD44" i="22"/>
  <c r="AE182" i="22"/>
  <c r="AG182" i="22" s="1"/>
  <c r="AI182" i="22" s="1"/>
  <c r="AD182" i="22"/>
  <c r="AE211" i="22"/>
  <c r="AG211" i="22" s="1"/>
  <c r="AI211" i="22" s="1"/>
  <c r="AD211" i="22"/>
  <c r="AE29" i="22"/>
  <c r="AG29" i="22" s="1"/>
  <c r="AI29" i="22" s="1"/>
  <c r="AD29" i="22"/>
  <c r="AE104" i="22"/>
  <c r="AG104" i="22" s="1"/>
  <c r="AI104" i="22" s="1"/>
  <c r="AD104" i="22"/>
  <c r="AE64" i="22"/>
  <c r="AG64" i="22" s="1"/>
  <c r="AI64" i="22" s="1"/>
  <c r="AD64" i="22"/>
  <c r="AE48" i="22"/>
  <c r="AG48" i="22" s="1"/>
  <c r="AI48" i="22" s="1"/>
  <c r="AD48" i="22"/>
  <c r="AE197" i="22"/>
  <c r="AD197" i="22"/>
  <c r="AE120" i="22"/>
  <c r="AD120" i="22"/>
  <c r="AG154" i="22"/>
  <c r="AI154" i="22" s="1"/>
  <c r="AF154" i="22"/>
  <c r="AE52" i="22"/>
  <c r="AG52" i="22" s="1"/>
  <c r="AI52" i="22" s="1"/>
  <c r="AD52" i="22"/>
  <c r="AG162" i="22"/>
  <c r="AI162" i="22" s="1"/>
  <c r="AF162" i="22"/>
  <c r="AE164" i="22"/>
  <c r="AG164" i="22" s="1"/>
  <c r="AI164" i="22" s="1"/>
  <c r="AD164" i="22"/>
  <c r="AE195" i="22"/>
  <c r="AD195" i="22"/>
  <c r="AE144" i="22"/>
  <c r="AG144" i="22" s="1"/>
  <c r="AI144" i="22" s="1"/>
  <c r="AD144" i="22"/>
  <c r="AE20" i="22"/>
  <c r="AG20" i="22" s="1"/>
  <c r="AI20" i="22" s="1"/>
  <c r="AD20" i="22"/>
  <c r="AJ237" i="22"/>
  <c r="H237" i="22" s="1"/>
  <c r="AJ236" i="22"/>
  <c r="H236" i="22" s="1"/>
  <c r="AJ231" i="22"/>
  <c r="H231" i="22" s="1"/>
  <c r="AJ230" i="22"/>
  <c r="H230" i="22" s="1"/>
  <c r="AJ227" i="22"/>
  <c r="H227" i="22" s="1"/>
  <c r="AJ226" i="22"/>
  <c r="H226" i="22" s="1"/>
  <c r="AJ221" i="22"/>
  <c r="H221" i="22" s="1"/>
  <c r="AJ214" i="22"/>
  <c r="H214" i="22" s="1"/>
  <c r="AJ211" i="22"/>
  <c r="AJ225" i="22"/>
  <c r="H225" i="22" s="1"/>
  <c r="AJ223" i="22"/>
  <c r="H223" i="22" s="1"/>
  <c r="AJ220" i="22"/>
  <c r="H220" i="22" s="1"/>
  <c r="AJ210" i="22"/>
  <c r="H210" i="22" s="1"/>
  <c r="AJ204" i="22"/>
  <c r="H204" i="22" s="1"/>
  <c r="AJ203" i="22"/>
  <c r="H203" i="22" s="1"/>
  <c r="AJ235" i="22"/>
  <c r="H235" i="22" s="1"/>
  <c r="AJ233" i="22"/>
  <c r="H233" i="22" s="1"/>
  <c r="AJ217" i="22"/>
  <c r="H217" i="22" s="1"/>
  <c r="AJ215" i="22"/>
  <c r="H215" i="22" s="1"/>
  <c r="AJ213" i="22"/>
  <c r="H213" i="22" s="1"/>
  <c r="AJ209" i="22"/>
  <c r="H209" i="22" s="1"/>
  <c r="AJ208" i="22"/>
  <c r="H208" i="22" s="1"/>
  <c r="AJ229" i="22"/>
  <c r="H229" i="22" s="1"/>
  <c r="AJ222" i="22"/>
  <c r="H222" i="22" s="1"/>
  <c r="AJ218" i="22"/>
  <c r="H218" i="22" s="1"/>
  <c r="AJ207" i="22"/>
  <c r="H207" i="22" s="1"/>
  <c r="AJ198" i="22"/>
  <c r="H198" i="22" s="1"/>
  <c r="AJ190" i="22"/>
  <c r="H190" i="22" s="1"/>
  <c r="AJ234" i="22"/>
  <c r="H234" i="22" s="1"/>
  <c r="AJ232" i="22"/>
  <c r="H232" i="22" s="1"/>
  <c r="AJ224" i="22"/>
  <c r="H224" i="22" s="1"/>
  <c r="AJ212" i="22"/>
  <c r="H212" i="22" s="1"/>
  <c r="AJ197" i="22"/>
  <c r="AJ194" i="22"/>
  <c r="H194" i="22" s="1"/>
  <c r="AJ228" i="22"/>
  <c r="H228" i="22" s="1"/>
  <c r="AJ219" i="22"/>
  <c r="H219" i="22" s="1"/>
  <c r="AJ216" i="22"/>
  <c r="H216" i="22" s="1"/>
  <c r="AJ206" i="22"/>
  <c r="H206" i="22" s="1"/>
  <c r="AJ205" i="22"/>
  <c r="H205" i="22" s="1"/>
  <c r="AJ202" i="22"/>
  <c r="H202" i="22" s="1"/>
  <c r="AJ201" i="22"/>
  <c r="AJ200" i="22"/>
  <c r="H200" i="22" s="1"/>
  <c r="AJ199" i="22"/>
  <c r="AJ195" i="22"/>
  <c r="AJ191" i="22"/>
  <c r="H191" i="22" s="1"/>
  <c r="AJ186" i="22"/>
  <c r="AJ185" i="22"/>
  <c r="H185" i="22" s="1"/>
  <c r="AJ174" i="22"/>
  <c r="H174" i="22" s="1"/>
  <c r="AJ173" i="22"/>
  <c r="H173" i="22" s="1"/>
  <c r="AJ170" i="22"/>
  <c r="H170" i="22" s="1"/>
  <c r="AJ169" i="22"/>
  <c r="H169" i="22" s="1"/>
  <c r="AJ168" i="22"/>
  <c r="H168" i="22" s="1"/>
  <c r="AJ158" i="22"/>
  <c r="H158" i="22" s="1"/>
  <c r="AJ150" i="22"/>
  <c r="H150" i="22" s="1"/>
  <c r="AJ149" i="22"/>
  <c r="H149" i="22" s="1"/>
  <c r="AJ145" i="22"/>
  <c r="H145" i="22" s="1"/>
  <c r="AJ143" i="22"/>
  <c r="H143" i="22" s="1"/>
  <c r="AJ184" i="22"/>
  <c r="AJ182" i="22"/>
  <c r="AJ178" i="22"/>
  <c r="H178" i="22" s="1"/>
  <c r="AJ172" i="22"/>
  <c r="H172" i="22" s="1"/>
  <c r="AJ167" i="22"/>
  <c r="H167" i="22" s="1"/>
  <c r="AJ163" i="22"/>
  <c r="H163" i="22" s="1"/>
  <c r="AJ154" i="22"/>
  <c r="H154" i="22" s="1"/>
  <c r="AJ148" i="22"/>
  <c r="H148" i="22" s="1"/>
  <c r="AJ189" i="22"/>
  <c r="H189" i="22" s="1"/>
  <c r="AJ183" i="22"/>
  <c r="H183" i="22" s="1"/>
  <c r="AJ181" i="22"/>
  <c r="H181" i="22" s="1"/>
  <c r="AJ180" i="22"/>
  <c r="H180" i="22" s="1"/>
  <c r="AJ177" i="22"/>
  <c r="H177" i="22" s="1"/>
  <c r="AJ165" i="22"/>
  <c r="H165" i="22" s="1"/>
  <c r="AJ164" i="22"/>
  <c r="AJ161" i="22"/>
  <c r="H161" i="22" s="1"/>
  <c r="AJ140" i="22"/>
  <c r="H140" i="22" s="1"/>
  <c r="AJ138" i="22"/>
  <c r="AJ132" i="22"/>
  <c r="H132" i="22" s="1"/>
  <c r="AJ128" i="22"/>
  <c r="AJ192" i="22"/>
  <c r="H192" i="22" s="1"/>
  <c r="AJ187" i="22"/>
  <c r="H187" i="22" s="1"/>
  <c r="AJ162" i="22"/>
  <c r="H162" i="22" s="1"/>
  <c r="AJ155" i="22"/>
  <c r="H155" i="22" s="1"/>
  <c r="AJ151" i="22"/>
  <c r="H151" i="22" s="1"/>
  <c r="AJ137" i="22"/>
  <c r="H137" i="22" s="1"/>
  <c r="AJ136" i="22"/>
  <c r="H136" i="22" s="1"/>
  <c r="AJ131" i="22"/>
  <c r="H131" i="22" s="1"/>
  <c r="AJ130" i="22"/>
  <c r="H130" i="22" s="1"/>
  <c r="AJ188" i="22"/>
  <c r="AJ196" i="22"/>
  <c r="H196" i="22" s="1"/>
  <c r="AJ166" i="22"/>
  <c r="AJ160" i="22"/>
  <c r="H160" i="22" s="1"/>
  <c r="AJ142" i="22"/>
  <c r="H142" i="22" s="1"/>
  <c r="AJ141" i="22"/>
  <c r="H141" i="22" s="1"/>
  <c r="AJ134" i="22"/>
  <c r="H134" i="22" s="1"/>
  <c r="AJ133" i="22"/>
  <c r="H133" i="22" s="1"/>
  <c r="AJ123" i="22"/>
  <c r="H123" i="22" s="1"/>
  <c r="AJ122" i="22"/>
  <c r="H122" i="22" s="1"/>
  <c r="AJ176" i="22"/>
  <c r="H176" i="22" s="1"/>
  <c r="AJ124" i="22"/>
  <c r="AJ175" i="22"/>
  <c r="H175" i="22" s="1"/>
  <c r="AJ147" i="22"/>
  <c r="H147" i="22" s="1"/>
  <c r="AJ193" i="22"/>
  <c r="H193" i="22" s="1"/>
  <c r="AJ179" i="22"/>
  <c r="H179" i="22" s="1"/>
  <c r="AJ157" i="22"/>
  <c r="H157" i="22" s="1"/>
  <c r="AJ156" i="22"/>
  <c r="AJ152" i="22"/>
  <c r="AJ146" i="22"/>
  <c r="H146" i="22" s="1"/>
  <c r="AJ139" i="22"/>
  <c r="H139" i="22" s="1"/>
  <c r="AJ129" i="22"/>
  <c r="H129" i="22" s="1"/>
  <c r="AJ11" i="22"/>
  <c r="H11" i="22" s="1"/>
  <c r="AJ159" i="22"/>
  <c r="H159" i="22" s="1"/>
  <c r="AJ144" i="22"/>
  <c r="AJ135" i="22"/>
  <c r="H135" i="22" s="1"/>
  <c r="AJ171" i="22"/>
  <c r="H171" i="22" s="1"/>
  <c r="AJ153" i="22"/>
  <c r="H153" i="22" s="1"/>
  <c r="AJ127" i="22"/>
  <c r="H127" i="22" s="1"/>
  <c r="AJ126" i="22"/>
  <c r="H126" i="22" s="1"/>
  <c r="AJ125" i="22"/>
  <c r="H125" i="22" s="1"/>
  <c r="AJ118" i="22"/>
  <c r="H118" i="22" s="1"/>
  <c r="AJ121" i="22"/>
  <c r="AJ119" i="22"/>
  <c r="H119" i="22" s="1"/>
  <c r="AJ117" i="22"/>
  <c r="H117" i="22" s="1"/>
  <c r="AJ113" i="22"/>
  <c r="H113" i="22" s="1"/>
  <c r="AJ109" i="22"/>
  <c r="H109" i="22" s="1"/>
  <c r="AJ105" i="22"/>
  <c r="H105" i="22" s="1"/>
  <c r="AJ101" i="22"/>
  <c r="H101" i="22" s="1"/>
  <c r="AJ97" i="22"/>
  <c r="H97" i="22" s="1"/>
  <c r="AJ93" i="22"/>
  <c r="H93" i="22" s="1"/>
  <c r="AJ116" i="22"/>
  <c r="AJ114" i="22"/>
  <c r="AJ112" i="22"/>
  <c r="H112" i="22" s="1"/>
  <c r="AJ110" i="22"/>
  <c r="AJ108" i="22"/>
  <c r="AJ106" i="22"/>
  <c r="AJ104" i="22"/>
  <c r="H104" i="22" s="1"/>
  <c r="AJ102" i="22"/>
  <c r="H102" i="22" s="1"/>
  <c r="AJ100" i="22"/>
  <c r="H100" i="22" s="1"/>
  <c r="AJ98" i="22"/>
  <c r="AJ96" i="22"/>
  <c r="AJ94" i="22"/>
  <c r="H94" i="22" s="1"/>
  <c r="AJ90" i="22"/>
  <c r="H90" i="22" s="1"/>
  <c r="AJ86" i="22"/>
  <c r="AJ82" i="22"/>
  <c r="H82" i="22" s="1"/>
  <c r="AJ78" i="22"/>
  <c r="H78" i="22" s="1"/>
  <c r="AJ120" i="22"/>
  <c r="AJ111" i="22"/>
  <c r="H111" i="22" s="1"/>
  <c r="AJ103" i="22"/>
  <c r="H103" i="22" s="1"/>
  <c r="AJ92" i="22"/>
  <c r="AJ88" i="22"/>
  <c r="AJ84" i="22"/>
  <c r="H84" i="22" s="1"/>
  <c r="AJ80" i="22"/>
  <c r="AJ76" i="22"/>
  <c r="AJ73" i="22"/>
  <c r="H73" i="22" s="1"/>
  <c r="AJ69" i="22"/>
  <c r="H69" i="22" s="1"/>
  <c r="AJ65" i="22"/>
  <c r="H65" i="22" s="1"/>
  <c r="AJ61" i="22"/>
  <c r="H61" i="22" s="1"/>
  <c r="AJ57" i="22"/>
  <c r="H57" i="22" s="1"/>
  <c r="AJ95" i="22"/>
  <c r="H95" i="22" s="1"/>
  <c r="AJ72" i="22"/>
  <c r="H72" i="22" s="1"/>
  <c r="AJ68" i="22"/>
  <c r="AJ64" i="22"/>
  <c r="H64" i="22" s="1"/>
  <c r="AJ60" i="22"/>
  <c r="AJ56" i="22"/>
  <c r="AJ52" i="22"/>
  <c r="AJ48" i="22"/>
  <c r="AJ44" i="22"/>
  <c r="AJ40" i="22"/>
  <c r="AJ36" i="22"/>
  <c r="AJ32" i="22"/>
  <c r="AJ99" i="22"/>
  <c r="H99" i="22" s="1"/>
  <c r="AJ91" i="22"/>
  <c r="H91" i="22" s="1"/>
  <c r="AJ83" i="22"/>
  <c r="H83" i="22" s="1"/>
  <c r="AJ75" i="22"/>
  <c r="H75" i="22" s="1"/>
  <c r="AJ55" i="22"/>
  <c r="H55" i="22" s="1"/>
  <c r="AJ53" i="22"/>
  <c r="H53" i="22" s="1"/>
  <c r="AJ51" i="22"/>
  <c r="H51" i="22" s="1"/>
  <c r="AJ49" i="22"/>
  <c r="H49" i="22" s="1"/>
  <c r="AJ47" i="22"/>
  <c r="H47" i="22" s="1"/>
  <c r="AJ45" i="22"/>
  <c r="H45" i="22" s="1"/>
  <c r="AJ43" i="22"/>
  <c r="H43" i="22" s="1"/>
  <c r="AJ41" i="22"/>
  <c r="H41" i="22" s="1"/>
  <c r="AJ39" i="22"/>
  <c r="H39" i="22" s="1"/>
  <c r="AJ37" i="22"/>
  <c r="H37" i="22" s="1"/>
  <c r="AJ35" i="22"/>
  <c r="H35" i="22" s="1"/>
  <c r="AJ33" i="22"/>
  <c r="H33" i="22" s="1"/>
  <c r="AJ31" i="22"/>
  <c r="H31" i="22" s="1"/>
  <c r="AJ27" i="22"/>
  <c r="H27" i="22" s="1"/>
  <c r="AJ24" i="22"/>
  <c r="H24" i="22" s="1"/>
  <c r="AJ21" i="22"/>
  <c r="H21" i="22" s="1"/>
  <c r="AJ17" i="22"/>
  <c r="H17" i="22" s="1"/>
  <c r="AJ13" i="22"/>
  <c r="H13" i="22" s="1"/>
  <c r="AJ10" i="22"/>
  <c r="H10" i="22" s="1"/>
  <c r="AJ59" i="22"/>
  <c r="H59" i="22" s="1"/>
  <c r="AJ54" i="22"/>
  <c r="H54" i="22" s="1"/>
  <c r="AJ46" i="22"/>
  <c r="AJ42" i="22"/>
  <c r="H42" i="22" s="1"/>
  <c r="AJ38" i="22"/>
  <c r="H38" i="22" s="1"/>
  <c r="AJ107" i="22"/>
  <c r="H107" i="22" s="1"/>
  <c r="AJ85" i="22"/>
  <c r="H85" i="22" s="1"/>
  <c r="AJ77" i="22"/>
  <c r="H77" i="22" s="1"/>
  <c r="AJ74" i="22"/>
  <c r="H74" i="22" s="1"/>
  <c r="AJ70" i="22"/>
  <c r="AJ66" i="22"/>
  <c r="H66" i="22" s="1"/>
  <c r="AJ62" i="22"/>
  <c r="H62" i="22" s="1"/>
  <c r="AJ58" i="22"/>
  <c r="H58" i="22" s="1"/>
  <c r="AJ20" i="22"/>
  <c r="AJ16" i="22"/>
  <c r="H16" i="22" s="1"/>
  <c r="AJ87" i="22"/>
  <c r="H87" i="22" s="1"/>
  <c r="AJ79" i="22"/>
  <c r="H79" i="22" s="1"/>
  <c r="AJ71" i="22"/>
  <c r="H71" i="22" s="1"/>
  <c r="AJ67" i="22"/>
  <c r="H67" i="22" s="1"/>
  <c r="AJ63" i="22"/>
  <c r="H63" i="22" s="1"/>
  <c r="AJ50" i="22"/>
  <c r="H50" i="22" s="1"/>
  <c r="AJ115" i="22"/>
  <c r="H115" i="22" s="1"/>
  <c r="AJ30" i="22"/>
  <c r="AJ23" i="22"/>
  <c r="H23" i="22" s="1"/>
  <c r="AJ18" i="22"/>
  <c r="H18" i="22" s="1"/>
  <c r="AJ25" i="22"/>
  <c r="H25" i="22" s="1"/>
  <c r="AJ81" i="22"/>
  <c r="H81" i="22" s="1"/>
  <c r="AJ26" i="22"/>
  <c r="H26" i="22" s="1"/>
  <c r="AJ22" i="22"/>
  <c r="H22" i="22" s="1"/>
  <c r="AJ28" i="22"/>
  <c r="H28" i="22" s="1"/>
  <c r="AJ19" i="22"/>
  <c r="H19" i="22" s="1"/>
  <c r="AJ14" i="22"/>
  <c r="H14" i="22" s="1"/>
  <c r="AJ89" i="22"/>
  <c r="H89" i="22" s="1"/>
  <c r="AJ34" i="22"/>
  <c r="AJ29" i="22"/>
  <c r="AJ15" i="22"/>
  <c r="H15" i="22" s="1"/>
  <c r="AJ12" i="22"/>
  <c r="H12" i="22" s="1"/>
  <c r="S50" i="21"/>
  <c r="T50" i="21"/>
  <c r="V109" i="21"/>
  <c r="U109" i="21"/>
  <c r="V48" i="21"/>
  <c r="U48" i="21"/>
  <c r="Z92" i="21"/>
  <c r="Y92" i="21"/>
  <c r="V103" i="21"/>
  <c r="U103" i="21"/>
  <c r="V119" i="21"/>
  <c r="U119" i="21"/>
  <c r="V101" i="21"/>
  <c r="U101" i="21"/>
  <c r="V118" i="21"/>
  <c r="U118" i="21"/>
  <c r="V106" i="21"/>
  <c r="U106" i="21"/>
  <c r="Z33" i="21"/>
  <c r="Y33" i="21"/>
  <c r="V105" i="21"/>
  <c r="U105" i="21"/>
  <c r="V112" i="21"/>
  <c r="U112" i="21"/>
  <c r="V110" i="21"/>
  <c r="U110" i="21"/>
  <c r="AD79" i="21"/>
  <c r="AC79" i="21"/>
  <c r="V117" i="21"/>
  <c r="U117" i="21"/>
  <c r="AD81" i="21"/>
  <c r="AC81" i="21"/>
  <c r="V121" i="21"/>
  <c r="U121" i="21"/>
  <c r="V122" i="21"/>
  <c r="U122" i="21"/>
  <c r="V107" i="21"/>
  <c r="U107" i="21"/>
  <c r="V104" i="21"/>
  <c r="U104" i="21"/>
  <c r="AG117" i="21"/>
  <c r="AG120" i="21"/>
  <c r="AG116" i="21"/>
  <c r="AG114" i="21"/>
  <c r="AG110" i="21"/>
  <c r="AG104" i="21"/>
  <c r="AG118" i="21"/>
  <c r="AG122" i="21"/>
  <c r="AG112" i="21"/>
  <c r="AG111" i="21"/>
  <c r="AG91" i="21"/>
  <c r="AG89" i="21"/>
  <c r="AG86" i="21"/>
  <c r="AG80" i="21"/>
  <c r="AG76" i="21"/>
  <c r="AG109" i="21"/>
  <c r="AG108" i="21"/>
  <c r="AG107" i="21"/>
  <c r="AG105" i="21"/>
  <c r="AG103" i="21"/>
  <c r="AG101" i="21"/>
  <c r="AG100" i="21"/>
  <c r="AG119" i="21"/>
  <c r="AG113" i="21"/>
  <c r="AG85" i="21"/>
  <c r="AG81" i="21"/>
  <c r="AG79" i="21"/>
  <c r="AG77" i="21"/>
  <c r="AG73" i="21"/>
  <c r="AG102" i="21"/>
  <c r="AG95" i="21"/>
  <c r="AG72" i="21"/>
  <c r="AG87" i="21"/>
  <c r="AG82" i="21"/>
  <c r="AG59" i="21"/>
  <c r="AG55" i="21"/>
  <c r="AG50" i="21"/>
  <c r="AG115" i="21"/>
  <c r="AG69" i="21"/>
  <c r="AG68" i="21"/>
  <c r="AG67" i="21"/>
  <c r="AG66" i="21"/>
  <c r="AG65" i="21"/>
  <c r="AG64" i="21"/>
  <c r="AG63" i="21"/>
  <c r="AG62" i="21"/>
  <c r="AG58" i="21"/>
  <c r="AG54" i="21"/>
  <c r="AG48" i="21"/>
  <c r="AG44" i="21"/>
  <c r="AG40" i="21"/>
  <c r="AG36" i="21"/>
  <c r="AG78" i="21"/>
  <c r="AG57" i="21"/>
  <c r="AG52" i="21"/>
  <c r="AG46" i="21"/>
  <c r="AG39" i="21"/>
  <c r="AG37" i="21"/>
  <c r="AI31" i="21"/>
  <c r="AG38" i="21"/>
  <c r="AG32" i="21"/>
  <c r="AG74" i="21"/>
  <c r="AG53" i="21"/>
  <c r="AG43" i="21"/>
  <c r="AG41" i="21"/>
  <c r="AG33" i="21"/>
  <c r="AG121" i="21"/>
  <c r="AG75" i="21"/>
  <c r="AG71" i="21"/>
  <c r="AG60" i="21"/>
  <c r="AG56" i="21"/>
  <c r="AG47" i="21"/>
  <c r="AG45" i="21"/>
  <c r="AG106" i="21"/>
  <c r="AG92" i="21"/>
  <c r="AG61" i="21"/>
  <c r="AG51" i="21"/>
  <c r="AG49" i="21"/>
  <c r="AG42" i="21"/>
  <c r="V115" i="21"/>
  <c r="U115" i="21"/>
  <c r="V102" i="21"/>
  <c r="U102" i="21"/>
  <c r="V120" i="21"/>
  <c r="U120" i="21"/>
  <c r="V116" i="21"/>
  <c r="U116" i="21"/>
  <c r="X42" i="21"/>
  <c r="W42" i="21"/>
  <c r="V100" i="21"/>
  <c r="U100" i="21"/>
  <c r="V108" i="21"/>
  <c r="U108" i="21"/>
  <c r="V111" i="21"/>
  <c r="U111" i="21"/>
  <c r="V114" i="21"/>
  <c r="U114" i="21"/>
  <c r="V113" i="21"/>
  <c r="U113" i="21"/>
  <c r="E26" i="1"/>
  <c r="E25" i="1"/>
  <c r="E29" i="1"/>
  <c r="L29" i="19"/>
  <c r="I29" i="19"/>
  <c r="P49" i="17"/>
  <c r="N50" i="17"/>
  <c r="P50" i="17" s="1"/>
  <c r="E13" i="1"/>
  <c r="E23" i="1"/>
  <c r="B59" i="9"/>
  <c r="L58" i="9"/>
  <c r="B58" i="9"/>
  <c r="B59" i="8"/>
  <c r="L58" i="8"/>
  <c r="B58" i="8"/>
  <c r="B59" i="7"/>
  <c r="B58" i="7"/>
  <c r="L58" i="7"/>
  <c r="D58" i="1"/>
  <c r="L58" i="1"/>
  <c r="V36" i="21" l="1"/>
  <c r="U36" i="21"/>
  <c r="V54" i="21"/>
  <c r="X54" i="21" s="1"/>
  <c r="Z54" i="21" s="1"/>
  <c r="AB54" i="21" s="1"/>
  <c r="AD54" i="21" s="1"/>
  <c r="AF54" i="21" s="1"/>
  <c r="AH54" i="21" s="1"/>
  <c r="AJ54" i="21" s="1"/>
  <c r="U54" i="21"/>
  <c r="AF67" i="21"/>
  <c r="AH67" i="21" s="1"/>
  <c r="AJ67" i="21" s="1"/>
  <c r="AE67" i="21"/>
  <c r="X62" i="21"/>
  <c r="W62" i="21"/>
  <c r="U37" i="21"/>
  <c r="V37" i="21"/>
  <c r="AB40" i="21"/>
  <c r="AA40" i="21"/>
  <c r="U53" i="21"/>
  <c r="V53" i="21"/>
  <c r="X51" i="21"/>
  <c r="W51" i="21"/>
  <c r="V57" i="21"/>
  <c r="U57" i="21"/>
  <c r="V56" i="21"/>
  <c r="X56" i="21" s="1"/>
  <c r="Z56" i="21" s="1"/>
  <c r="AB56" i="21" s="1"/>
  <c r="AD56" i="21" s="1"/>
  <c r="AF56" i="21" s="1"/>
  <c r="AH56" i="21" s="1"/>
  <c r="AJ56" i="21" s="1"/>
  <c r="U56" i="21"/>
  <c r="R91" i="21"/>
  <c r="Q91" i="21"/>
  <c r="V59" i="21"/>
  <c r="U59" i="21"/>
  <c r="V39" i="21"/>
  <c r="U39" i="21"/>
  <c r="V61" i="21"/>
  <c r="U61" i="21"/>
  <c r="X35" i="21"/>
  <c r="W35" i="21"/>
  <c r="AA34" i="21"/>
  <c r="AB34" i="21"/>
  <c r="H156" i="22"/>
  <c r="H164" i="22"/>
  <c r="H36" i="22"/>
  <c r="H52" i="22"/>
  <c r="H68" i="22"/>
  <c r="H144" i="22"/>
  <c r="H188" i="22"/>
  <c r="H138" i="22"/>
  <c r="H199" i="22"/>
  <c r="H114" i="22"/>
  <c r="H152" i="22"/>
  <c r="H166" i="22"/>
  <c r="H201" i="22"/>
  <c r="H211" i="22"/>
  <c r="H88" i="22"/>
  <c r="H60" i="22"/>
  <c r="H48" i="22"/>
  <c r="H32" i="22"/>
  <c r="H76" i="22"/>
  <c r="H92" i="22"/>
  <c r="H110" i="22"/>
  <c r="H182" i="22"/>
  <c r="AG195" i="22"/>
  <c r="AI195" i="22" s="1"/>
  <c r="AF195" i="22"/>
  <c r="H195" i="22" s="1"/>
  <c r="AG197" i="22"/>
  <c r="AI197" i="22" s="1"/>
  <c r="AF197" i="22"/>
  <c r="H197" i="22" s="1"/>
  <c r="AG108" i="22"/>
  <c r="AI108" i="22" s="1"/>
  <c r="AF108" i="22"/>
  <c r="H108" i="22" s="1"/>
  <c r="H29" i="22"/>
  <c r="H40" i="22"/>
  <c r="H56" i="22"/>
  <c r="H80" i="22"/>
  <c r="H96" i="22"/>
  <c r="H124" i="22"/>
  <c r="H184" i="22"/>
  <c r="H186" i="22"/>
  <c r="AG121" i="22"/>
  <c r="AI121" i="22" s="1"/>
  <c r="AF121" i="22"/>
  <c r="H121" i="22" s="1"/>
  <c r="H34" i="22"/>
  <c r="H70" i="22"/>
  <c r="H86" i="22"/>
  <c r="H98" i="22"/>
  <c r="H106" i="22"/>
  <c r="H128" i="22"/>
  <c r="AG120" i="22"/>
  <c r="AI120" i="22" s="1"/>
  <c r="AF120" i="22"/>
  <c r="H120" i="22" s="1"/>
  <c r="AG44" i="22"/>
  <c r="AI44" i="22" s="1"/>
  <c r="AF44" i="22"/>
  <c r="H44" i="22" s="1"/>
  <c r="AG30" i="22"/>
  <c r="AI30" i="22" s="1"/>
  <c r="AF30" i="22"/>
  <c r="H30" i="22" s="1"/>
  <c r="AG46" i="22"/>
  <c r="AI46" i="22" s="1"/>
  <c r="AF46" i="22"/>
  <c r="H46" i="22" s="1"/>
  <c r="AG116" i="22"/>
  <c r="AI116" i="22" s="1"/>
  <c r="AF116" i="22"/>
  <c r="H116" i="22" s="1"/>
  <c r="H20" i="22"/>
  <c r="U50" i="21"/>
  <c r="V50" i="21"/>
  <c r="X105" i="21"/>
  <c r="W105" i="21"/>
  <c r="X101" i="21"/>
  <c r="W101" i="21"/>
  <c r="X103" i="21"/>
  <c r="W103" i="21"/>
  <c r="X114" i="21"/>
  <c r="W114" i="21"/>
  <c r="X116" i="21"/>
  <c r="W116" i="21"/>
  <c r="X107" i="21"/>
  <c r="W107" i="21"/>
  <c r="AF81" i="21"/>
  <c r="AH81" i="21" s="1"/>
  <c r="AJ81" i="21" s="1"/>
  <c r="AE81" i="21"/>
  <c r="AF79" i="21"/>
  <c r="AH79" i="21" s="1"/>
  <c r="AJ79" i="21" s="1"/>
  <c r="AE79" i="21"/>
  <c r="X110" i="21"/>
  <c r="W110" i="21"/>
  <c r="X112" i="21"/>
  <c r="W112" i="21"/>
  <c r="AB33" i="21"/>
  <c r="AD33" i="21" s="1"/>
  <c r="AF33" i="21" s="1"/>
  <c r="AH33" i="21" s="1"/>
  <c r="AJ33" i="21" s="1"/>
  <c r="AA33" i="21"/>
  <c r="X118" i="21"/>
  <c r="W118" i="21"/>
  <c r="X119" i="21"/>
  <c r="W119" i="21"/>
  <c r="X109" i="21"/>
  <c r="W109" i="21"/>
  <c r="X122" i="21"/>
  <c r="W122" i="21"/>
  <c r="X121" i="21"/>
  <c r="W121" i="21"/>
  <c r="X117" i="21"/>
  <c r="W117" i="21"/>
  <c r="X108" i="21"/>
  <c r="W108" i="21"/>
  <c r="X100" i="21"/>
  <c r="W100" i="21"/>
  <c r="X102" i="21"/>
  <c r="W102" i="21"/>
  <c r="AI121" i="21"/>
  <c r="AI119" i="21"/>
  <c r="AI115" i="21"/>
  <c r="AI113" i="21"/>
  <c r="AI111" i="21"/>
  <c r="AI122" i="21"/>
  <c r="AI118" i="21"/>
  <c r="AI108" i="21"/>
  <c r="AI106" i="21"/>
  <c r="AI102" i="21"/>
  <c r="AI100" i="21"/>
  <c r="AI95" i="21"/>
  <c r="AI91" i="21"/>
  <c r="AI120" i="21"/>
  <c r="AI117" i="21"/>
  <c r="AI116" i="21"/>
  <c r="AI110" i="21"/>
  <c r="AI107" i="21"/>
  <c r="AI103" i="21"/>
  <c r="AI82" i="21"/>
  <c r="AI78" i="21"/>
  <c r="AI114" i="21"/>
  <c r="AI86" i="21"/>
  <c r="AI75" i="21"/>
  <c r="AI105" i="21"/>
  <c r="AI104" i="21"/>
  <c r="AI92" i="21"/>
  <c r="AI87" i="21"/>
  <c r="AI80" i="21"/>
  <c r="AI76" i="21"/>
  <c r="AI74" i="21"/>
  <c r="AI68" i="21"/>
  <c r="AI109" i="21"/>
  <c r="AI85" i="21"/>
  <c r="AI73" i="21"/>
  <c r="AI72" i="21"/>
  <c r="AI61" i="21"/>
  <c r="AI57" i="21"/>
  <c r="AI53" i="21"/>
  <c r="AI112" i="21"/>
  <c r="AI101" i="21"/>
  <c r="AI89" i="21"/>
  <c r="AI77" i="21"/>
  <c r="AI71" i="21"/>
  <c r="AI60" i="21"/>
  <c r="AI56" i="21"/>
  <c r="AI52" i="21"/>
  <c r="AI51" i="21"/>
  <c r="AI46" i="21"/>
  <c r="AI42" i="21"/>
  <c r="AI38" i="21"/>
  <c r="AI66" i="21"/>
  <c r="AI62" i="21"/>
  <c r="AI50" i="21"/>
  <c r="AI45" i="21"/>
  <c r="AI43" i="21"/>
  <c r="AI36" i="21"/>
  <c r="AI32" i="21"/>
  <c r="AI44" i="21"/>
  <c r="AI37" i="21"/>
  <c r="AI81" i="21"/>
  <c r="AI65" i="21"/>
  <c r="AI58" i="21"/>
  <c r="AI49" i="21"/>
  <c r="AI47" i="21"/>
  <c r="AI40" i="21"/>
  <c r="AI79" i="21"/>
  <c r="AI69" i="21"/>
  <c r="AI64" i="21"/>
  <c r="AI59" i="21"/>
  <c r="AI54" i="21"/>
  <c r="AI67" i="21"/>
  <c r="AI48" i="21"/>
  <c r="AI39" i="21"/>
  <c r="AI55" i="21"/>
  <c r="AI33" i="21"/>
  <c r="AI63" i="21"/>
  <c r="AK31" i="21"/>
  <c r="AI41" i="21"/>
  <c r="X106" i="21"/>
  <c r="W106" i="21"/>
  <c r="X113" i="21"/>
  <c r="W113" i="21"/>
  <c r="X111" i="21"/>
  <c r="W111" i="21"/>
  <c r="Z42" i="21"/>
  <c r="Y42" i="21"/>
  <c r="X120" i="21"/>
  <c r="W120" i="21"/>
  <c r="X115" i="21"/>
  <c r="W115" i="21"/>
  <c r="X104" i="21"/>
  <c r="W104" i="21"/>
  <c r="AB92" i="21"/>
  <c r="AD92" i="21" s="1"/>
  <c r="AF92" i="21" s="1"/>
  <c r="AH92" i="21" s="1"/>
  <c r="AJ92" i="21" s="1"/>
  <c r="AA92" i="21"/>
  <c r="X48" i="21"/>
  <c r="W48" i="21"/>
  <c r="D25" i="19"/>
  <c r="F25" i="19" s="1"/>
  <c r="L25" i="19" s="1"/>
  <c r="D24" i="19"/>
  <c r="F24" i="19" s="1"/>
  <c r="L24" i="19" s="1"/>
  <c r="D26" i="19"/>
  <c r="F26" i="19" s="1"/>
  <c r="L26" i="19" s="1"/>
  <c r="E14" i="1"/>
  <c r="E17" i="1"/>
  <c r="F4" i="18"/>
  <c r="D82" i="18"/>
  <c r="D81" i="18" s="1"/>
  <c r="C81" i="18"/>
  <c r="F79" i="18"/>
  <c r="I79" i="18" s="1"/>
  <c r="L79" i="18" s="1"/>
  <c r="N79" i="18" s="1"/>
  <c r="P79" i="18" s="1"/>
  <c r="R79" i="18" s="1"/>
  <c r="T79" i="18" s="1"/>
  <c r="V79" i="18" s="1"/>
  <c r="X79" i="18" s="1"/>
  <c r="Z79" i="18" s="1"/>
  <c r="AB79" i="18" s="1"/>
  <c r="AD79" i="18" s="1"/>
  <c r="AF79" i="18" s="1"/>
  <c r="AH79" i="18" s="1"/>
  <c r="F78" i="18"/>
  <c r="I78" i="18" s="1"/>
  <c r="L78" i="18" s="1"/>
  <c r="N78" i="18" s="1"/>
  <c r="P78" i="18" s="1"/>
  <c r="R78" i="18" s="1"/>
  <c r="T78" i="18" s="1"/>
  <c r="V78" i="18" s="1"/>
  <c r="X78" i="18" s="1"/>
  <c r="Z78" i="18" s="1"/>
  <c r="AB78" i="18" s="1"/>
  <c r="AD78" i="18" s="1"/>
  <c r="AF78" i="18" s="1"/>
  <c r="AH78" i="18" s="1"/>
  <c r="F77" i="18"/>
  <c r="I77" i="18" s="1"/>
  <c r="L77" i="18" s="1"/>
  <c r="N77" i="18" s="1"/>
  <c r="P77" i="18" s="1"/>
  <c r="R77" i="18" s="1"/>
  <c r="T77" i="18" s="1"/>
  <c r="V77" i="18" s="1"/>
  <c r="X77" i="18" s="1"/>
  <c r="Z77" i="18" s="1"/>
  <c r="AB77" i="18" s="1"/>
  <c r="AD77" i="18" s="1"/>
  <c r="AF77" i="18" s="1"/>
  <c r="AH77" i="18" s="1"/>
  <c r="F70" i="18"/>
  <c r="I70" i="18" s="1"/>
  <c r="L70" i="18" s="1"/>
  <c r="N70" i="18" s="1"/>
  <c r="P70" i="18" s="1"/>
  <c r="R70" i="18" s="1"/>
  <c r="T70" i="18" s="1"/>
  <c r="V70" i="18" s="1"/>
  <c r="X70" i="18" s="1"/>
  <c r="Z70" i="18" s="1"/>
  <c r="AB70" i="18" s="1"/>
  <c r="AD70" i="18" s="1"/>
  <c r="AF70" i="18" s="1"/>
  <c r="AH70" i="18" s="1"/>
  <c r="F69" i="18"/>
  <c r="I69" i="18" s="1"/>
  <c r="L69" i="18" s="1"/>
  <c r="N69" i="18" s="1"/>
  <c r="P69" i="18" s="1"/>
  <c r="R69" i="18" s="1"/>
  <c r="T69" i="18" s="1"/>
  <c r="V69" i="18" s="1"/>
  <c r="X69" i="18" s="1"/>
  <c r="Z69" i="18" s="1"/>
  <c r="AB69" i="18" s="1"/>
  <c r="AD69" i="18" s="1"/>
  <c r="AF69" i="18" s="1"/>
  <c r="AH69" i="18" s="1"/>
  <c r="F68" i="18"/>
  <c r="I68" i="18" s="1"/>
  <c r="L68" i="18" s="1"/>
  <c r="N68" i="18" s="1"/>
  <c r="P68" i="18" s="1"/>
  <c r="R68" i="18" s="1"/>
  <c r="T68" i="18" s="1"/>
  <c r="V68" i="18" s="1"/>
  <c r="X68" i="18" s="1"/>
  <c r="Z68" i="18" s="1"/>
  <c r="AB68" i="18" s="1"/>
  <c r="AD68" i="18" s="1"/>
  <c r="AF68" i="18" s="1"/>
  <c r="AH68" i="18" s="1"/>
  <c r="C61" i="18"/>
  <c r="C60" i="18"/>
  <c r="B60" i="18"/>
  <c r="D59" i="18"/>
  <c r="C59" i="18"/>
  <c r="B59" i="18"/>
  <c r="C58" i="18"/>
  <c r="B58" i="18"/>
  <c r="C57" i="18"/>
  <c r="B57" i="18"/>
  <c r="D56" i="18"/>
  <c r="C56" i="18"/>
  <c r="B56" i="18"/>
  <c r="C55" i="18"/>
  <c r="B55" i="18"/>
  <c r="D54" i="18"/>
  <c r="C54" i="18"/>
  <c r="B54" i="18"/>
  <c r="D53" i="18"/>
  <c r="C53" i="18"/>
  <c r="B53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C48" i="18"/>
  <c r="B48" i="18"/>
  <c r="D47" i="18"/>
  <c r="C47" i="18"/>
  <c r="B47" i="18"/>
  <c r="D46" i="18"/>
  <c r="C46" i="18"/>
  <c r="B46" i="18"/>
  <c r="C45" i="18"/>
  <c r="B45" i="18"/>
  <c r="D44" i="18"/>
  <c r="C44" i="18"/>
  <c r="B44" i="18"/>
  <c r="C43" i="18"/>
  <c r="B43" i="18"/>
  <c r="D42" i="18"/>
  <c r="C42" i="18"/>
  <c r="B42" i="18"/>
  <c r="C41" i="18"/>
  <c r="B41" i="18"/>
  <c r="C40" i="18"/>
  <c r="B40" i="18"/>
  <c r="D39" i="18"/>
  <c r="C39" i="18"/>
  <c r="B39" i="18"/>
  <c r="D38" i="18"/>
  <c r="C38" i="18"/>
  <c r="B38" i="18"/>
  <c r="C37" i="18"/>
  <c r="B37" i="18"/>
  <c r="D36" i="18"/>
  <c r="C36" i="18"/>
  <c r="B36" i="18"/>
  <c r="D35" i="18"/>
  <c r="C35" i="18"/>
  <c r="B35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M27" i="18"/>
  <c r="J27" i="18"/>
  <c r="I27" i="18"/>
  <c r="H27" i="18"/>
  <c r="C27" i="18"/>
  <c r="J21" i="18"/>
  <c r="B21" i="18"/>
  <c r="B20" i="18"/>
  <c r="J19" i="18"/>
  <c r="B19" i="18"/>
  <c r="J18" i="18"/>
  <c r="B18" i="18"/>
  <c r="J17" i="18"/>
  <c r="B17" i="18"/>
  <c r="B16" i="18"/>
  <c r="J15" i="18"/>
  <c r="B15" i="18"/>
  <c r="B14" i="18"/>
  <c r="J13" i="18"/>
  <c r="B13" i="18"/>
  <c r="J12" i="18"/>
  <c r="B12" i="18"/>
  <c r="B11" i="18"/>
  <c r="B10" i="18"/>
  <c r="B9" i="18"/>
  <c r="B8" i="18"/>
  <c r="B7" i="18"/>
  <c r="B6" i="18"/>
  <c r="B5" i="18"/>
  <c r="J4" i="18"/>
  <c r="B4" i="18"/>
  <c r="J3" i="18"/>
  <c r="B3" i="18"/>
  <c r="B2" i="18"/>
  <c r="C1" i="18"/>
  <c r="X36" i="21" l="1"/>
  <c r="W36" i="21"/>
  <c r="Z35" i="21"/>
  <c r="Y35" i="21"/>
  <c r="X39" i="21"/>
  <c r="W39" i="21"/>
  <c r="X53" i="21"/>
  <c r="W53" i="21"/>
  <c r="X37" i="21"/>
  <c r="W37" i="21"/>
  <c r="AC34" i="21"/>
  <c r="AD34" i="21"/>
  <c r="T91" i="21"/>
  <c r="S91" i="21"/>
  <c r="X57" i="21"/>
  <c r="W57" i="21"/>
  <c r="X61" i="21"/>
  <c r="W61" i="21"/>
  <c r="X59" i="21"/>
  <c r="W59" i="21"/>
  <c r="F3" i="18"/>
  <c r="F42" i="18" s="1"/>
  <c r="I42" i="18" s="1"/>
  <c r="L42" i="18" s="1"/>
  <c r="N42" i="18" s="1"/>
  <c r="P42" i="18" s="1"/>
  <c r="R42" i="18" s="1"/>
  <c r="T42" i="18" s="1"/>
  <c r="V42" i="18" s="1"/>
  <c r="X42" i="18" s="1"/>
  <c r="Z42" i="18" s="1"/>
  <c r="AB42" i="18" s="1"/>
  <c r="AD42" i="18" s="1"/>
  <c r="AF42" i="18" s="1"/>
  <c r="AH42" i="18" s="1"/>
  <c r="Z51" i="21"/>
  <c r="AB51" i="21" s="1"/>
  <c r="AD51" i="21" s="1"/>
  <c r="AF51" i="21" s="1"/>
  <c r="AH51" i="21" s="1"/>
  <c r="AJ51" i="21" s="1"/>
  <c r="Y51" i="21"/>
  <c r="AD40" i="21"/>
  <c r="AC40" i="21"/>
  <c r="Z62" i="21"/>
  <c r="Y62" i="21"/>
  <c r="W50" i="21"/>
  <c r="X50" i="21"/>
  <c r="Z119" i="21"/>
  <c r="Y119" i="21"/>
  <c r="Z118" i="21"/>
  <c r="Y118" i="21"/>
  <c r="Z117" i="21"/>
  <c r="Y117" i="21"/>
  <c r="Z122" i="21"/>
  <c r="Y122" i="21"/>
  <c r="Z102" i="21"/>
  <c r="Y102" i="21"/>
  <c r="Z108" i="21"/>
  <c r="Y108" i="21"/>
  <c r="Z110" i="21"/>
  <c r="Y110" i="21"/>
  <c r="Z106" i="21"/>
  <c r="Y106" i="21"/>
  <c r="Z100" i="21"/>
  <c r="Y100" i="21"/>
  <c r="Z112" i="21"/>
  <c r="Y112" i="21"/>
  <c r="Z107" i="21"/>
  <c r="Y107" i="21"/>
  <c r="Z120" i="21"/>
  <c r="Y120" i="21"/>
  <c r="Z111" i="21"/>
  <c r="Y111" i="21"/>
  <c r="Z103" i="21"/>
  <c r="Y103" i="21"/>
  <c r="Z113" i="21"/>
  <c r="Y113" i="21"/>
  <c r="Z48" i="21"/>
  <c r="AB48" i="21" s="1"/>
  <c r="AD48" i="21" s="1"/>
  <c r="AF48" i="21" s="1"/>
  <c r="AH48" i="21" s="1"/>
  <c r="AJ48" i="21" s="1"/>
  <c r="Y48" i="21"/>
  <c r="Z104" i="21"/>
  <c r="Y104" i="21"/>
  <c r="Z115" i="21"/>
  <c r="Y115" i="21"/>
  <c r="AB42" i="21"/>
  <c r="AD42" i="21" s="1"/>
  <c r="AF42" i="21" s="1"/>
  <c r="AH42" i="21" s="1"/>
  <c r="AJ42" i="21" s="1"/>
  <c r="AA42" i="21"/>
  <c r="AK117" i="21"/>
  <c r="AK120" i="21"/>
  <c r="AK116" i="21"/>
  <c r="AK114" i="21"/>
  <c r="AK122" i="21"/>
  <c r="AK119" i="21"/>
  <c r="AK115" i="21"/>
  <c r="AK113" i="21"/>
  <c r="AK112" i="21"/>
  <c r="AK110" i="21"/>
  <c r="AK104" i="21"/>
  <c r="AK121" i="21"/>
  <c r="AK106" i="21"/>
  <c r="AK102" i="21"/>
  <c r="AK95" i="21"/>
  <c r="AK86" i="21"/>
  <c r="G86" i="21" s="1"/>
  <c r="AK80" i="21"/>
  <c r="G80" i="21" s="1"/>
  <c r="AK76" i="21"/>
  <c r="G76" i="21" s="1"/>
  <c r="AK105" i="21"/>
  <c r="AK100" i="21"/>
  <c r="AK92" i="21"/>
  <c r="G92" i="21" s="1"/>
  <c r="AK91" i="21"/>
  <c r="AK89" i="21"/>
  <c r="G89" i="21" s="1"/>
  <c r="AK87" i="21"/>
  <c r="G87" i="21" s="1"/>
  <c r="AK73" i="21"/>
  <c r="G73" i="21" s="1"/>
  <c r="AK118" i="21"/>
  <c r="AK109" i="21"/>
  <c r="AK107" i="21"/>
  <c r="AK85" i="21"/>
  <c r="G85" i="21" s="1"/>
  <c r="AK81" i="21"/>
  <c r="G81" i="21" s="1"/>
  <c r="AK79" i="21"/>
  <c r="G79" i="21" s="1"/>
  <c r="AK77" i="21"/>
  <c r="G77" i="21" s="1"/>
  <c r="AK72" i="21"/>
  <c r="G72" i="21" s="1"/>
  <c r="AK101" i="21"/>
  <c r="AK74" i="21"/>
  <c r="G74" i="21" s="1"/>
  <c r="AK59" i="21"/>
  <c r="AK55" i="21"/>
  <c r="G55" i="21" s="1"/>
  <c r="AK50" i="21"/>
  <c r="AK78" i="21"/>
  <c r="G78" i="21" s="1"/>
  <c r="AK75" i="21"/>
  <c r="G75" i="21" s="1"/>
  <c r="AK67" i="21"/>
  <c r="G67" i="21" s="1"/>
  <c r="AK66" i="21"/>
  <c r="AK65" i="21"/>
  <c r="AK64" i="21"/>
  <c r="G64" i="21" s="1"/>
  <c r="AK63" i="21"/>
  <c r="AK62" i="21"/>
  <c r="AK58" i="21"/>
  <c r="AK54" i="21"/>
  <c r="G54" i="21" s="1"/>
  <c r="AK48" i="21"/>
  <c r="AK44" i="21"/>
  <c r="AK40" i="21"/>
  <c r="AK36" i="21"/>
  <c r="AK111" i="21"/>
  <c r="AK103" i="21"/>
  <c r="AK60" i="21"/>
  <c r="G60" i="21" s="1"/>
  <c r="AK56" i="21"/>
  <c r="G56" i="21" s="1"/>
  <c r="AK49" i="21"/>
  <c r="AK42" i="21"/>
  <c r="AK32" i="21"/>
  <c r="G32" i="21" s="1"/>
  <c r="AK68" i="21"/>
  <c r="AK108" i="21"/>
  <c r="AK71" i="21"/>
  <c r="G71" i="21" s="1"/>
  <c r="AK69" i="21"/>
  <c r="AK61" i="21"/>
  <c r="AK51" i="21"/>
  <c r="AK46" i="21"/>
  <c r="G46" i="21" s="1"/>
  <c r="AK39" i="21"/>
  <c r="AK37" i="21"/>
  <c r="AK33" i="21"/>
  <c r="G33" i="21" s="1"/>
  <c r="AK57" i="21"/>
  <c r="AK52" i="21"/>
  <c r="AK43" i="21"/>
  <c r="G43" i="21" s="1"/>
  <c r="AK41" i="21"/>
  <c r="AK82" i="21"/>
  <c r="G82" i="21" s="1"/>
  <c r="AK53" i="21"/>
  <c r="AK47" i="21"/>
  <c r="AK45" i="21"/>
  <c r="AK38" i="21"/>
  <c r="Z121" i="21"/>
  <c r="Y121" i="21"/>
  <c r="Z109" i="21"/>
  <c r="Y109" i="21"/>
  <c r="Z116" i="21"/>
  <c r="Y116" i="21"/>
  <c r="Z114" i="21"/>
  <c r="Y114" i="21"/>
  <c r="Z101" i="21"/>
  <c r="Y101" i="21"/>
  <c r="Z105" i="21"/>
  <c r="Y105" i="21"/>
  <c r="I25" i="19"/>
  <c r="I23" i="19"/>
  <c r="I24" i="19"/>
  <c r="I26" i="19"/>
  <c r="F22" i="18"/>
  <c r="M70" i="18"/>
  <c r="F59" i="18"/>
  <c r="I59" i="18" s="1"/>
  <c r="F71" i="18"/>
  <c r="I71" i="18" s="1"/>
  <c r="L71" i="18" s="1"/>
  <c r="N71" i="18" s="1"/>
  <c r="P71" i="18" s="1"/>
  <c r="R71" i="18" s="1"/>
  <c r="T71" i="18" s="1"/>
  <c r="V71" i="18" s="1"/>
  <c r="X71" i="18" s="1"/>
  <c r="Z71" i="18" s="1"/>
  <c r="AB71" i="18" s="1"/>
  <c r="AD71" i="18" s="1"/>
  <c r="AF71" i="18" s="1"/>
  <c r="AH71" i="18" s="1"/>
  <c r="F67" i="18"/>
  <c r="I67" i="18" s="1"/>
  <c r="L67" i="18" s="1"/>
  <c r="N67" i="18" s="1"/>
  <c r="P67" i="18" s="1"/>
  <c r="R67" i="18" s="1"/>
  <c r="T67" i="18" s="1"/>
  <c r="V67" i="18" s="1"/>
  <c r="X67" i="18" s="1"/>
  <c r="Z67" i="18" s="1"/>
  <c r="AB67" i="18" s="1"/>
  <c r="AD67" i="18" s="1"/>
  <c r="AF67" i="18" s="1"/>
  <c r="AH67" i="18" s="1"/>
  <c r="F73" i="18"/>
  <c r="I73" i="18" s="1"/>
  <c r="L73" i="18" s="1"/>
  <c r="N73" i="18" s="1"/>
  <c r="P73" i="18" s="1"/>
  <c r="R73" i="18" s="1"/>
  <c r="T73" i="18" s="1"/>
  <c r="V73" i="18" s="1"/>
  <c r="X73" i="18" s="1"/>
  <c r="Z73" i="18" s="1"/>
  <c r="AB73" i="18" s="1"/>
  <c r="AD73" i="18" s="1"/>
  <c r="AF73" i="18" s="1"/>
  <c r="AH73" i="18" s="1"/>
  <c r="F64" i="18"/>
  <c r="I64" i="18" s="1"/>
  <c r="L64" i="18" s="1"/>
  <c r="N64" i="18" s="1"/>
  <c r="P64" i="18" s="1"/>
  <c r="R64" i="18" s="1"/>
  <c r="T64" i="18" s="1"/>
  <c r="V64" i="18" s="1"/>
  <c r="X64" i="18" s="1"/>
  <c r="Z64" i="18" s="1"/>
  <c r="AB64" i="18" s="1"/>
  <c r="AD64" i="18" s="1"/>
  <c r="AF64" i="18" s="1"/>
  <c r="AH64" i="18" s="1"/>
  <c r="F63" i="18"/>
  <c r="I63" i="18" s="1"/>
  <c r="L63" i="18" s="1"/>
  <c r="N63" i="18" s="1"/>
  <c r="P63" i="18" s="1"/>
  <c r="R63" i="18" s="1"/>
  <c r="T63" i="18" s="1"/>
  <c r="V63" i="18" s="1"/>
  <c r="X63" i="18" s="1"/>
  <c r="Z63" i="18" s="1"/>
  <c r="AB63" i="18" s="1"/>
  <c r="AD63" i="18" s="1"/>
  <c r="AF63" i="18" s="1"/>
  <c r="AH63" i="18" s="1"/>
  <c r="F74" i="18"/>
  <c r="I74" i="18" s="1"/>
  <c r="F72" i="18"/>
  <c r="I72" i="18" s="1"/>
  <c r="L72" i="18" s="1"/>
  <c r="N72" i="18" s="1"/>
  <c r="P72" i="18" s="1"/>
  <c r="R72" i="18" s="1"/>
  <c r="T72" i="18" s="1"/>
  <c r="V72" i="18" s="1"/>
  <c r="X72" i="18" s="1"/>
  <c r="Z72" i="18" s="1"/>
  <c r="AB72" i="18" s="1"/>
  <c r="AD72" i="18" s="1"/>
  <c r="AF72" i="18" s="1"/>
  <c r="AH72" i="18" s="1"/>
  <c r="F66" i="18"/>
  <c r="I66" i="18" s="1"/>
  <c r="F65" i="18"/>
  <c r="I65" i="18" s="1"/>
  <c r="F28" i="18"/>
  <c r="I28" i="18" s="1"/>
  <c r="K78" i="18"/>
  <c r="M79" i="18"/>
  <c r="M69" i="18"/>
  <c r="M78" i="18"/>
  <c r="M68" i="18"/>
  <c r="K79" i="18"/>
  <c r="K77" i="18"/>
  <c r="K69" i="18"/>
  <c r="O27" i="18"/>
  <c r="K68" i="18"/>
  <c r="K70" i="18"/>
  <c r="M77" i="18"/>
  <c r="G51" i="21" l="1"/>
  <c r="F30" i="18"/>
  <c r="I30" i="18" s="1"/>
  <c r="Z36" i="21"/>
  <c r="Y36" i="21"/>
  <c r="AF40" i="21"/>
  <c r="AH40" i="21" s="1"/>
  <c r="AJ40" i="21" s="1"/>
  <c r="AE40" i="21"/>
  <c r="G40" i="21" s="1"/>
  <c r="F16" i="18"/>
  <c r="F20" i="18" s="1"/>
  <c r="F17" i="18" s="1"/>
  <c r="F26" i="18"/>
  <c r="Y61" i="21"/>
  <c r="G61" i="21" s="1"/>
  <c r="Z61" i="21"/>
  <c r="AB61" i="21" s="1"/>
  <c r="AD61" i="21" s="1"/>
  <c r="AF61" i="21" s="1"/>
  <c r="AH61" i="21" s="1"/>
  <c r="AJ61" i="21" s="1"/>
  <c r="U91" i="21"/>
  <c r="V91" i="21"/>
  <c r="Z37" i="21"/>
  <c r="AB37" i="21" s="1"/>
  <c r="AD37" i="21" s="1"/>
  <c r="AF37" i="21" s="1"/>
  <c r="AH37" i="21" s="1"/>
  <c r="AJ37" i="21" s="1"/>
  <c r="Y37" i="21"/>
  <c r="G37" i="21" s="1"/>
  <c r="Z39" i="21"/>
  <c r="Y39" i="21"/>
  <c r="I3" i="18"/>
  <c r="AF34" i="21"/>
  <c r="AE34" i="21"/>
  <c r="F36" i="18"/>
  <c r="I36" i="18" s="1"/>
  <c r="K36" i="18" s="1"/>
  <c r="L3" i="18"/>
  <c r="N3" i="18" s="1"/>
  <c r="AB62" i="21"/>
  <c r="AD62" i="21" s="1"/>
  <c r="AF62" i="21" s="1"/>
  <c r="AH62" i="21" s="1"/>
  <c r="AJ62" i="21" s="1"/>
  <c r="AA62" i="21"/>
  <c r="G62" i="21" s="1"/>
  <c r="Y59" i="21"/>
  <c r="G59" i="21" s="1"/>
  <c r="Z59" i="21"/>
  <c r="AB59" i="21" s="1"/>
  <c r="AD59" i="21" s="1"/>
  <c r="AF59" i="21" s="1"/>
  <c r="AH59" i="21" s="1"/>
  <c r="AJ59" i="21" s="1"/>
  <c r="Z57" i="21"/>
  <c r="Y57" i="21"/>
  <c r="Y53" i="21"/>
  <c r="G53" i="21" s="1"/>
  <c r="Z53" i="21"/>
  <c r="AB53" i="21" s="1"/>
  <c r="AD53" i="21" s="1"/>
  <c r="AF53" i="21" s="1"/>
  <c r="AH53" i="21" s="1"/>
  <c r="AJ53" i="21" s="1"/>
  <c r="AA35" i="21"/>
  <c r="AB35" i="21"/>
  <c r="F81" i="18"/>
  <c r="I81" i="18" s="1"/>
  <c r="L81" i="18" s="1"/>
  <c r="N81" i="18" s="1"/>
  <c r="P81" i="18" s="1"/>
  <c r="R81" i="18" s="1"/>
  <c r="T81" i="18" s="1"/>
  <c r="V81" i="18" s="1"/>
  <c r="X81" i="18" s="1"/>
  <c r="Z81" i="18" s="1"/>
  <c r="AB81" i="18" s="1"/>
  <c r="AD81" i="18" s="1"/>
  <c r="AF81" i="18" s="1"/>
  <c r="AH81" i="18" s="1"/>
  <c r="F56" i="18"/>
  <c r="I56" i="18" s="1"/>
  <c r="L56" i="18" s="1"/>
  <c r="N56" i="18" s="1"/>
  <c r="P56" i="18" s="1"/>
  <c r="R56" i="18" s="1"/>
  <c r="T56" i="18" s="1"/>
  <c r="V56" i="18" s="1"/>
  <c r="X56" i="18" s="1"/>
  <c r="Z56" i="18" s="1"/>
  <c r="AB56" i="18" s="1"/>
  <c r="AD56" i="18" s="1"/>
  <c r="AF56" i="18" s="1"/>
  <c r="AH56" i="18" s="1"/>
  <c r="Y50" i="21"/>
  <c r="G50" i="21" s="1"/>
  <c r="Z50" i="21"/>
  <c r="AB50" i="21" s="1"/>
  <c r="AD50" i="21" s="1"/>
  <c r="AF50" i="21" s="1"/>
  <c r="AH50" i="21" s="1"/>
  <c r="AJ50" i="21" s="1"/>
  <c r="AB116" i="21"/>
  <c r="AA116" i="21"/>
  <c r="AB104" i="21"/>
  <c r="AA104" i="21"/>
  <c r="AB113" i="21"/>
  <c r="AA113" i="21"/>
  <c r="G48" i="21"/>
  <c r="AB103" i="21"/>
  <c r="AA103" i="21"/>
  <c r="AB108" i="21"/>
  <c r="AA108" i="21"/>
  <c r="AB117" i="21"/>
  <c r="AA117" i="21"/>
  <c r="AB118" i="21"/>
  <c r="AA118" i="21"/>
  <c r="AB105" i="21"/>
  <c r="AA105" i="21"/>
  <c r="AB114" i="21"/>
  <c r="AA114" i="21"/>
  <c r="AB115" i="21"/>
  <c r="AA115" i="21"/>
  <c r="AB111" i="21"/>
  <c r="AA111" i="21"/>
  <c r="AB120" i="21"/>
  <c r="AA120" i="21"/>
  <c r="AB100" i="21"/>
  <c r="AA100" i="21"/>
  <c r="AB106" i="21"/>
  <c r="AA106" i="21"/>
  <c r="AB110" i="21"/>
  <c r="AA110" i="21"/>
  <c r="AB101" i="21"/>
  <c r="AA101" i="21"/>
  <c r="AB121" i="21"/>
  <c r="AA121" i="21"/>
  <c r="AB109" i="21"/>
  <c r="AA109" i="21"/>
  <c r="G42" i="21"/>
  <c r="AB107" i="21"/>
  <c r="AA107" i="21"/>
  <c r="AB112" i="21"/>
  <c r="AA112" i="21"/>
  <c r="AB102" i="21"/>
  <c r="AA102" i="21"/>
  <c r="AB122" i="21"/>
  <c r="AA122" i="21"/>
  <c r="AB119" i="21"/>
  <c r="AA119" i="21"/>
  <c r="K67" i="18"/>
  <c r="K63" i="18"/>
  <c r="K71" i="18"/>
  <c r="M64" i="18"/>
  <c r="K64" i="18"/>
  <c r="K72" i="18"/>
  <c r="M73" i="18"/>
  <c r="K42" i="18"/>
  <c r="K73" i="18"/>
  <c r="M72" i="18"/>
  <c r="M42" i="18"/>
  <c r="L30" i="18"/>
  <c r="K30" i="18"/>
  <c r="L74" i="18"/>
  <c r="K74" i="18"/>
  <c r="L28" i="18"/>
  <c r="K28" i="18"/>
  <c r="M67" i="18"/>
  <c r="L66" i="18"/>
  <c r="K66" i="18"/>
  <c r="O77" i="18"/>
  <c r="O71" i="18"/>
  <c r="O67" i="18"/>
  <c r="O72" i="18"/>
  <c r="O70" i="18"/>
  <c r="O68" i="18"/>
  <c r="O64" i="18"/>
  <c r="O63" i="18"/>
  <c r="O78" i="18"/>
  <c r="O73" i="18"/>
  <c r="O42" i="18"/>
  <c r="O69" i="18"/>
  <c r="Q27" i="18"/>
  <c r="O79" i="18"/>
  <c r="L59" i="18"/>
  <c r="K59" i="18"/>
  <c r="K65" i="18"/>
  <c r="L65" i="18"/>
  <c r="M63" i="18"/>
  <c r="M71" i="18"/>
  <c r="L88" i="9"/>
  <c r="F88" i="9"/>
  <c r="K88" i="9" s="1"/>
  <c r="N88" i="9" s="1"/>
  <c r="P88" i="9" s="1"/>
  <c r="R88" i="9" s="1"/>
  <c r="T88" i="9" s="1"/>
  <c r="V88" i="9" s="1"/>
  <c r="X88" i="9" s="1"/>
  <c r="Z88" i="9" s="1"/>
  <c r="AB88" i="9" s="1"/>
  <c r="AD88" i="9" s="1"/>
  <c r="AF88" i="9" s="1"/>
  <c r="AH88" i="9" s="1"/>
  <c r="AJ88" i="9" s="1"/>
  <c r="L87" i="8"/>
  <c r="F87" i="8"/>
  <c r="K87" i="8" s="1"/>
  <c r="N87" i="8" s="1"/>
  <c r="P87" i="8" s="1"/>
  <c r="R87" i="8" s="1"/>
  <c r="T87" i="8" s="1"/>
  <c r="V87" i="8" s="1"/>
  <c r="X87" i="8" s="1"/>
  <c r="Z87" i="8" s="1"/>
  <c r="AB87" i="8" s="1"/>
  <c r="AD87" i="8" s="1"/>
  <c r="AF87" i="8" s="1"/>
  <c r="AH87" i="8" s="1"/>
  <c r="AJ87" i="8" s="1"/>
  <c r="L87" i="7"/>
  <c r="F87" i="7"/>
  <c r="K87" i="7" s="1"/>
  <c r="N87" i="7" s="1"/>
  <c r="P87" i="7" s="1"/>
  <c r="R87" i="7" s="1"/>
  <c r="T87" i="7" s="1"/>
  <c r="V87" i="7" s="1"/>
  <c r="X87" i="7" s="1"/>
  <c r="Z87" i="7" s="1"/>
  <c r="AB87" i="7" s="1"/>
  <c r="AD87" i="7" s="1"/>
  <c r="AF87" i="7" s="1"/>
  <c r="AH87" i="7" s="1"/>
  <c r="AJ87" i="7" s="1"/>
  <c r="F87" i="1"/>
  <c r="K87" i="1" s="1"/>
  <c r="L87" i="1"/>
  <c r="L36" i="18" l="1"/>
  <c r="N36" i="18" s="1"/>
  <c r="M81" i="18"/>
  <c r="AB36" i="21"/>
  <c r="AD36" i="21" s="1"/>
  <c r="AF36" i="21" s="1"/>
  <c r="AH36" i="21" s="1"/>
  <c r="AJ36" i="21" s="1"/>
  <c r="AA36" i="21"/>
  <c r="G36" i="21" s="1"/>
  <c r="M56" i="18"/>
  <c r="K56" i="18"/>
  <c r="X91" i="21"/>
  <c r="W91" i="21"/>
  <c r="L26" i="18"/>
  <c r="N26" i="18" s="1"/>
  <c r="I26" i="18"/>
  <c r="O81" i="18"/>
  <c r="AC35" i="21"/>
  <c r="AD35" i="21"/>
  <c r="AB39" i="21"/>
  <c r="AD39" i="21" s="1"/>
  <c r="AF39" i="21" s="1"/>
  <c r="AH39" i="21" s="1"/>
  <c r="AJ39" i="21" s="1"/>
  <c r="AA39" i="21"/>
  <c r="G39" i="21" s="1"/>
  <c r="O56" i="18"/>
  <c r="K81" i="18"/>
  <c r="AB57" i="21"/>
  <c r="AD57" i="21" s="1"/>
  <c r="AF57" i="21" s="1"/>
  <c r="AH57" i="21" s="1"/>
  <c r="AJ57" i="21" s="1"/>
  <c r="AA57" i="21"/>
  <c r="G57" i="21" s="1"/>
  <c r="AG34" i="21"/>
  <c r="AH34" i="21"/>
  <c r="F13" i="18"/>
  <c r="L13" i="18" s="1"/>
  <c r="N13" i="18" s="1"/>
  <c r="F5" i="18"/>
  <c r="AD105" i="21"/>
  <c r="AC105" i="21"/>
  <c r="AD117" i="21"/>
  <c r="AC117" i="21"/>
  <c r="AD113" i="21"/>
  <c r="AC113" i="21"/>
  <c r="AD109" i="21"/>
  <c r="AC109" i="21"/>
  <c r="AD106" i="21"/>
  <c r="AC106" i="21"/>
  <c r="AD111" i="21"/>
  <c r="AC111" i="21"/>
  <c r="AD103" i="21"/>
  <c r="AC103" i="21"/>
  <c r="AD102" i="21"/>
  <c r="AC102" i="21"/>
  <c r="AD107" i="21"/>
  <c r="AC107" i="21"/>
  <c r="AD114" i="21"/>
  <c r="AC114" i="21"/>
  <c r="AD118" i="21"/>
  <c r="AC118" i="21"/>
  <c r="AD108" i="21"/>
  <c r="AC108" i="21"/>
  <c r="AD104" i="21"/>
  <c r="AC104" i="21"/>
  <c r="AD119" i="21"/>
  <c r="AC119" i="21"/>
  <c r="AD122" i="21"/>
  <c r="AC122" i="21"/>
  <c r="AD112" i="21"/>
  <c r="AC112" i="21"/>
  <c r="AD116" i="21"/>
  <c r="AC116" i="21"/>
  <c r="AD121" i="21"/>
  <c r="AC121" i="21"/>
  <c r="AD101" i="21"/>
  <c r="AC101" i="21"/>
  <c r="AD110" i="21"/>
  <c r="AC110" i="21"/>
  <c r="AD100" i="21"/>
  <c r="AC100" i="21"/>
  <c r="AD120" i="21"/>
  <c r="AC120" i="21"/>
  <c r="AD115" i="21"/>
  <c r="AC115" i="21"/>
  <c r="L22" i="18"/>
  <c r="N22" i="18" s="1"/>
  <c r="I22" i="18"/>
  <c r="N59" i="18"/>
  <c r="M59" i="18"/>
  <c r="N30" i="18"/>
  <c r="M30" i="18"/>
  <c r="M36" i="18"/>
  <c r="I4" i="18"/>
  <c r="L4" i="18"/>
  <c r="N4" i="18" s="1"/>
  <c r="F54" i="18"/>
  <c r="I54" i="18" s="1"/>
  <c r="F31" i="18"/>
  <c r="I31" i="18" s="1"/>
  <c r="N74" i="18"/>
  <c r="M74" i="18"/>
  <c r="N65" i="18"/>
  <c r="M65" i="18"/>
  <c r="Q79" i="18"/>
  <c r="Q81" i="18"/>
  <c r="Q73" i="18"/>
  <c r="Q69" i="18"/>
  <c r="Q77" i="18"/>
  <c r="Q56" i="18"/>
  <c r="Q42" i="18"/>
  <c r="Q78" i="18"/>
  <c r="Q71" i="18"/>
  <c r="Q67" i="18"/>
  <c r="Q72" i="18"/>
  <c r="Q68" i="18"/>
  <c r="Q70" i="18"/>
  <c r="Q64" i="18"/>
  <c r="Q63" i="18"/>
  <c r="S27" i="18"/>
  <c r="N66" i="18"/>
  <c r="M66" i="18"/>
  <c r="N28" i="18"/>
  <c r="M28" i="18"/>
  <c r="N87" i="1"/>
  <c r="M87" i="1"/>
  <c r="AJ34" i="21" l="1"/>
  <c r="AK34" i="21" s="1"/>
  <c r="AI34" i="21"/>
  <c r="AF35" i="21"/>
  <c r="AE35" i="21"/>
  <c r="Z91" i="21"/>
  <c r="Y91" i="21"/>
  <c r="I13" i="18"/>
  <c r="F8" i="18"/>
  <c r="F7" i="18" s="1"/>
  <c r="F11" i="18"/>
  <c r="I11" i="18" s="1"/>
  <c r="F9" i="18"/>
  <c r="I9" i="18" s="1"/>
  <c r="F10" i="18"/>
  <c r="F21" i="18"/>
  <c r="I17" i="18"/>
  <c r="F18" i="18"/>
  <c r="I16" i="18"/>
  <c r="L16" i="18"/>
  <c r="N16" i="18" s="1"/>
  <c r="L17" i="18"/>
  <c r="N17" i="18" s="1"/>
  <c r="F14" i="18"/>
  <c r="F12" i="18"/>
  <c r="AF116" i="21"/>
  <c r="AH116" i="21" s="1"/>
  <c r="AJ116" i="21" s="1"/>
  <c r="AE116" i="21"/>
  <c r="G116" i="21" s="1"/>
  <c r="AF122" i="21"/>
  <c r="AH122" i="21" s="1"/>
  <c r="AJ122" i="21" s="1"/>
  <c r="AE122" i="21"/>
  <c r="G122" i="21" s="1"/>
  <c r="AF104" i="21"/>
  <c r="AH104" i="21" s="1"/>
  <c r="AJ104" i="21" s="1"/>
  <c r="AE104" i="21"/>
  <c r="G104" i="21" s="1"/>
  <c r="AF118" i="21"/>
  <c r="AH118" i="21" s="1"/>
  <c r="AJ118" i="21" s="1"/>
  <c r="AE118" i="21"/>
  <c r="G118" i="21" s="1"/>
  <c r="AF111" i="21"/>
  <c r="AH111" i="21" s="1"/>
  <c r="AJ111" i="21" s="1"/>
  <c r="AE111" i="21"/>
  <c r="G111" i="21" s="1"/>
  <c r="AF109" i="21"/>
  <c r="AH109" i="21" s="1"/>
  <c r="AJ109" i="21" s="1"/>
  <c r="AE109" i="21"/>
  <c r="G109" i="21" s="1"/>
  <c r="AF113" i="21"/>
  <c r="AH113" i="21" s="1"/>
  <c r="AJ113" i="21" s="1"/>
  <c r="AE113" i="21"/>
  <c r="G113" i="21" s="1"/>
  <c r="AF105" i="21"/>
  <c r="AH105" i="21" s="1"/>
  <c r="AJ105" i="21" s="1"/>
  <c r="AE105" i="21"/>
  <c r="G105" i="21" s="1"/>
  <c r="AF115" i="21"/>
  <c r="AH115" i="21" s="1"/>
  <c r="AJ115" i="21" s="1"/>
  <c r="AE115" i="21"/>
  <c r="G115" i="21" s="1"/>
  <c r="AF100" i="21"/>
  <c r="AH100" i="21" s="1"/>
  <c r="AJ100" i="21" s="1"/>
  <c r="AE100" i="21"/>
  <c r="G100" i="21" s="1"/>
  <c r="AF101" i="21"/>
  <c r="AH101" i="21" s="1"/>
  <c r="AJ101" i="21" s="1"/>
  <c r="AE101" i="21"/>
  <c r="G101" i="21" s="1"/>
  <c r="AF102" i="21"/>
  <c r="AH102" i="21" s="1"/>
  <c r="AJ102" i="21" s="1"/>
  <c r="AE102" i="21"/>
  <c r="G102" i="21" s="1"/>
  <c r="AF112" i="21"/>
  <c r="AH112" i="21" s="1"/>
  <c r="AJ112" i="21" s="1"/>
  <c r="AE112" i="21"/>
  <c r="G112" i="21" s="1"/>
  <c r="AF119" i="21"/>
  <c r="AH119" i="21" s="1"/>
  <c r="AJ119" i="21" s="1"/>
  <c r="AE119" i="21"/>
  <c r="G119" i="21" s="1"/>
  <c r="AF108" i="21"/>
  <c r="AH108" i="21" s="1"/>
  <c r="AJ108" i="21" s="1"/>
  <c r="AE108" i="21"/>
  <c r="G108" i="21" s="1"/>
  <c r="AF114" i="21"/>
  <c r="AH114" i="21" s="1"/>
  <c r="AJ114" i="21" s="1"/>
  <c r="AE114" i="21"/>
  <c r="G114" i="21" s="1"/>
  <c r="AF103" i="21"/>
  <c r="AH103" i="21" s="1"/>
  <c r="AJ103" i="21" s="1"/>
  <c r="AE103" i="21"/>
  <c r="G103" i="21" s="1"/>
  <c r="AF106" i="21"/>
  <c r="AH106" i="21" s="1"/>
  <c r="AJ106" i="21" s="1"/>
  <c r="AE106" i="21"/>
  <c r="G106" i="21" s="1"/>
  <c r="AF117" i="21"/>
  <c r="AH117" i="21" s="1"/>
  <c r="AJ117" i="21" s="1"/>
  <c r="AE117" i="21"/>
  <c r="G117" i="21" s="1"/>
  <c r="AF120" i="21"/>
  <c r="AH120" i="21" s="1"/>
  <c r="AJ120" i="21" s="1"/>
  <c r="AE120" i="21"/>
  <c r="G120" i="21" s="1"/>
  <c r="AF110" i="21"/>
  <c r="AH110" i="21" s="1"/>
  <c r="AJ110" i="21" s="1"/>
  <c r="AE110" i="21"/>
  <c r="G110" i="21" s="1"/>
  <c r="AF121" i="21"/>
  <c r="AH121" i="21" s="1"/>
  <c r="AJ121" i="21" s="1"/>
  <c r="AE121" i="21"/>
  <c r="G121" i="21" s="1"/>
  <c r="AF107" i="21"/>
  <c r="AH107" i="21" s="1"/>
  <c r="AJ107" i="21" s="1"/>
  <c r="AE107" i="21"/>
  <c r="G107" i="21" s="1"/>
  <c r="S78" i="18"/>
  <c r="S77" i="18"/>
  <c r="S71" i="18"/>
  <c r="S67" i="18"/>
  <c r="S64" i="18"/>
  <c r="S72" i="18"/>
  <c r="S70" i="18"/>
  <c r="S68" i="18"/>
  <c r="S63" i="18"/>
  <c r="U27" i="18"/>
  <c r="S79" i="18"/>
  <c r="S69" i="18"/>
  <c r="S56" i="18"/>
  <c r="S42" i="18"/>
  <c r="S81" i="18"/>
  <c r="S73" i="18"/>
  <c r="I6" i="18"/>
  <c r="F46" i="18"/>
  <c r="I46" i="18" s="1"/>
  <c r="L6" i="18"/>
  <c r="N6" i="18" s="1"/>
  <c r="L54" i="18"/>
  <c r="K54" i="18"/>
  <c r="P36" i="18"/>
  <c r="O36" i="18"/>
  <c r="I5" i="18"/>
  <c r="L5" i="18"/>
  <c r="N5" i="18" s="1"/>
  <c r="F32" i="18"/>
  <c r="I32" i="18" s="1"/>
  <c r="F33" i="18"/>
  <c r="I33" i="18" s="1"/>
  <c r="P74" i="18"/>
  <c r="O74" i="18"/>
  <c r="P30" i="18"/>
  <c r="O30" i="18"/>
  <c r="P59" i="18"/>
  <c r="O59" i="18"/>
  <c r="P66" i="18"/>
  <c r="O66" i="18"/>
  <c r="P28" i="18"/>
  <c r="O28" i="18"/>
  <c r="P65" i="18"/>
  <c r="O65" i="18"/>
  <c r="L31" i="18"/>
  <c r="K31" i="18"/>
  <c r="P87" i="1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H136" i="16"/>
  <c r="H137" i="16" s="1"/>
  <c r="K137" i="16" s="1"/>
  <c r="N137" i="16" s="1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K135" i="16"/>
  <c r="M135" i="16" s="1"/>
  <c r="L187" i="16"/>
  <c r="L9" i="18" l="1"/>
  <c r="N9" i="18" s="1"/>
  <c r="F53" i="18"/>
  <c r="I53" i="18" s="1"/>
  <c r="K53" i="18" s="1"/>
  <c r="L11" i="18"/>
  <c r="N11" i="18" s="1"/>
  <c r="L8" i="18"/>
  <c r="N8" i="18" s="1"/>
  <c r="F51" i="18"/>
  <c r="I51" i="18" s="1"/>
  <c r="L51" i="18" s="1"/>
  <c r="F50" i="18"/>
  <c r="I50" i="18" s="1"/>
  <c r="K50" i="18" s="1"/>
  <c r="F35" i="18"/>
  <c r="I35" i="18" s="1"/>
  <c r="K35" i="18" s="1"/>
  <c r="F38" i="18"/>
  <c r="I38" i="18" s="1"/>
  <c r="K38" i="18" s="1"/>
  <c r="F44" i="18"/>
  <c r="I44" i="18" s="1"/>
  <c r="L44" i="18" s="1"/>
  <c r="F49" i="18"/>
  <c r="I49" i="18" s="1"/>
  <c r="L49" i="18" s="1"/>
  <c r="I8" i="18"/>
  <c r="F39" i="18"/>
  <c r="I39" i="18" s="1"/>
  <c r="I10" i="18"/>
  <c r="L10" i="18"/>
  <c r="N10" i="18" s="1"/>
  <c r="F52" i="18"/>
  <c r="I52" i="18" s="1"/>
  <c r="K52" i="18" s="1"/>
  <c r="AG35" i="21"/>
  <c r="AH35" i="21"/>
  <c r="F23" i="18"/>
  <c r="F1" i="23"/>
  <c r="F2" i="23"/>
  <c r="G34" i="21"/>
  <c r="AB91" i="21"/>
  <c r="AD91" i="21" s="1"/>
  <c r="AF91" i="21" s="1"/>
  <c r="AH91" i="21" s="1"/>
  <c r="AJ91" i="21" s="1"/>
  <c r="AA91" i="21"/>
  <c r="G91" i="21" s="1"/>
  <c r="F29" i="18"/>
  <c r="I29" i="18" s="1"/>
  <c r="F47" i="18"/>
  <c r="I47" i="18" s="1"/>
  <c r="I7" i="18"/>
  <c r="L7" i="18"/>
  <c r="N7" i="18" s="1"/>
  <c r="L18" i="18"/>
  <c r="N18" i="18" s="1"/>
  <c r="I18" i="18"/>
  <c r="F19" i="18"/>
  <c r="L12" i="18"/>
  <c r="N12" i="18" s="1"/>
  <c r="I12" i="18"/>
  <c r="F15" i="18"/>
  <c r="L14" i="18"/>
  <c r="N14" i="18" s="1"/>
  <c r="I14" i="18"/>
  <c r="I21" i="18"/>
  <c r="L21" i="18"/>
  <c r="N21" i="18" s="1"/>
  <c r="R59" i="18"/>
  <c r="Q59" i="18"/>
  <c r="R28" i="18"/>
  <c r="Q28" i="18"/>
  <c r="L50" i="18"/>
  <c r="R65" i="18"/>
  <c r="Q65" i="18"/>
  <c r="R66" i="18"/>
  <c r="Q66" i="18"/>
  <c r="N54" i="18"/>
  <c r="M54" i="18"/>
  <c r="L46" i="18"/>
  <c r="K46" i="18"/>
  <c r="K32" i="18"/>
  <c r="L32" i="18"/>
  <c r="R36" i="18"/>
  <c r="Q36" i="18"/>
  <c r="N31" i="18"/>
  <c r="M31" i="18"/>
  <c r="R30" i="18"/>
  <c r="Q30" i="18"/>
  <c r="R74" i="18"/>
  <c r="Q74" i="18"/>
  <c r="L33" i="18"/>
  <c r="K33" i="18"/>
  <c r="K44" i="18"/>
  <c r="U79" i="18"/>
  <c r="U81" i="18"/>
  <c r="U73" i="18"/>
  <c r="U69" i="18"/>
  <c r="U70" i="18"/>
  <c r="U56" i="18"/>
  <c r="U52" i="18"/>
  <c r="U51" i="18"/>
  <c r="U50" i="18"/>
  <c r="U48" i="18"/>
  <c r="U43" i="18"/>
  <c r="U42" i="18"/>
  <c r="U41" i="18"/>
  <c r="U40" i="18"/>
  <c r="U39" i="18"/>
  <c r="U77" i="18"/>
  <c r="U68" i="18"/>
  <c r="U67" i="18"/>
  <c r="U64" i="18"/>
  <c r="U63" i="18"/>
  <c r="W27" i="18"/>
  <c r="U72" i="18"/>
  <c r="U71" i="18"/>
  <c r="U78" i="18"/>
  <c r="R87" i="1"/>
  <c r="K136" i="16"/>
  <c r="N136" i="16" s="1"/>
  <c r="P136" i="16" s="1"/>
  <c r="H138" i="16"/>
  <c r="H139" i="16" s="1"/>
  <c r="H140" i="16" s="1"/>
  <c r="H141" i="16" s="1"/>
  <c r="H142" i="16" s="1"/>
  <c r="H143" i="16" s="1"/>
  <c r="H144" i="16" s="1"/>
  <c r="H145" i="16" s="1"/>
  <c r="H146" i="16" s="1"/>
  <c r="H147" i="16" s="1"/>
  <c r="P137" i="16"/>
  <c r="M137" i="16"/>
  <c r="N135" i="16"/>
  <c r="P135" i="16" s="1"/>
  <c r="F143" i="9"/>
  <c r="F142" i="9"/>
  <c r="D97" i="1"/>
  <c r="L97" i="1"/>
  <c r="L98" i="1"/>
  <c r="D98" i="1"/>
  <c r="D96" i="1"/>
  <c r="F96" i="1" s="1"/>
  <c r="L96" i="1"/>
  <c r="L38" i="18" l="1"/>
  <c r="L35" i="18"/>
  <c r="L53" i="18"/>
  <c r="N53" i="18" s="1"/>
  <c r="K51" i="18"/>
  <c r="K49" i="18"/>
  <c r="L52" i="18"/>
  <c r="M52" i="18" s="1"/>
  <c r="L47" i="18"/>
  <c r="K47" i="18"/>
  <c r="K29" i="18"/>
  <c r="L29" i="18"/>
  <c r="F4" i="23"/>
  <c r="AI35" i="21"/>
  <c r="AJ35" i="21"/>
  <c r="AK35" i="21" s="1"/>
  <c r="F24" i="18"/>
  <c r="F3" i="23" s="1"/>
  <c r="F25" i="18"/>
  <c r="L25" i="18" s="1"/>
  <c r="N25" i="18" s="1"/>
  <c r="K39" i="18"/>
  <c r="L39" i="18"/>
  <c r="I15" i="18"/>
  <c r="L15" i="18"/>
  <c r="N15" i="18" s="1"/>
  <c r="I19" i="18"/>
  <c r="L19" i="18"/>
  <c r="N19" i="18" s="1"/>
  <c r="I23" i="18"/>
  <c r="L23" i="18"/>
  <c r="N23" i="18" s="1"/>
  <c r="K96" i="1"/>
  <c r="M96" i="1" s="1"/>
  <c r="F97" i="1"/>
  <c r="F98" i="1" s="1"/>
  <c r="K98" i="1" s="1"/>
  <c r="T74" i="18"/>
  <c r="S74" i="18"/>
  <c r="T59" i="18"/>
  <c r="S59" i="18"/>
  <c r="N51" i="18"/>
  <c r="M51" i="18"/>
  <c r="T66" i="18"/>
  <c r="S66" i="18"/>
  <c r="W81" i="18"/>
  <c r="W79" i="18"/>
  <c r="W77" i="18"/>
  <c r="W71" i="18"/>
  <c r="W67" i="18"/>
  <c r="W73" i="18"/>
  <c r="W69" i="18"/>
  <c r="W64" i="18"/>
  <c r="W63" i="18"/>
  <c r="W72" i="18"/>
  <c r="W41" i="18"/>
  <c r="W43" i="18"/>
  <c r="W78" i="18"/>
  <c r="W51" i="18"/>
  <c r="W40" i="18"/>
  <c r="W39" i="18"/>
  <c r="W56" i="18"/>
  <c r="W50" i="18"/>
  <c r="W48" i="18"/>
  <c r="Y27" i="18"/>
  <c r="W70" i="18"/>
  <c r="W42" i="18"/>
  <c r="W68" i="18"/>
  <c r="W52" i="18"/>
  <c r="N44" i="18"/>
  <c r="M44" i="18"/>
  <c r="T30" i="18"/>
  <c r="S30" i="18"/>
  <c r="P31" i="18"/>
  <c r="O31" i="18"/>
  <c r="T28" i="18"/>
  <c r="S28" i="18"/>
  <c r="N35" i="18"/>
  <c r="M35" i="18"/>
  <c r="T36" i="18"/>
  <c r="S36" i="18"/>
  <c r="N50" i="18"/>
  <c r="M50" i="18"/>
  <c r="N38" i="18"/>
  <c r="M38" i="18"/>
  <c r="N33" i="18"/>
  <c r="M33" i="18"/>
  <c r="N32" i="18"/>
  <c r="M32" i="18"/>
  <c r="P54" i="18"/>
  <c r="O54" i="18"/>
  <c r="N49" i="18"/>
  <c r="M49" i="18"/>
  <c r="T65" i="18"/>
  <c r="S65" i="18"/>
  <c r="N46" i="18"/>
  <c r="M46" i="18"/>
  <c r="M53" i="18"/>
  <c r="T87" i="1"/>
  <c r="M136" i="16"/>
  <c r="K147" i="16"/>
  <c r="N147" i="16" s="1"/>
  <c r="P147" i="16" s="1"/>
  <c r="R147" i="16" s="1"/>
  <c r="T147" i="16" s="1"/>
  <c r="V147" i="16" s="1"/>
  <c r="X147" i="16" s="1"/>
  <c r="Z147" i="16" s="1"/>
  <c r="AB147" i="16" s="1"/>
  <c r="AD147" i="16" s="1"/>
  <c r="AF147" i="16" s="1"/>
  <c r="AH147" i="16" s="1"/>
  <c r="AJ147" i="16" s="1"/>
  <c r="H148" i="16"/>
  <c r="K141" i="16"/>
  <c r="N141" i="16" s="1"/>
  <c r="K146" i="16"/>
  <c r="N146" i="16" s="1"/>
  <c r="K143" i="16"/>
  <c r="M143" i="16" s="1"/>
  <c r="K142" i="16"/>
  <c r="M142" i="16" s="1"/>
  <c r="K144" i="16"/>
  <c r="M144" i="16" s="1"/>
  <c r="K139" i="16"/>
  <c r="M139" i="16" s="1"/>
  <c r="M147" i="16"/>
  <c r="K145" i="16"/>
  <c r="N145" i="16" s="1"/>
  <c r="K140" i="16"/>
  <c r="M140" i="16" s="1"/>
  <c r="K138" i="16"/>
  <c r="R137" i="16"/>
  <c r="T137" i="16" s="1"/>
  <c r="V137" i="16" s="1"/>
  <c r="X137" i="16" s="1"/>
  <c r="Z137" i="16" s="1"/>
  <c r="AB137" i="16" s="1"/>
  <c r="AD137" i="16" s="1"/>
  <c r="AF137" i="16" s="1"/>
  <c r="AH137" i="16" s="1"/>
  <c r="AJ137" i="16" s="1"/>
  <c r="R136" i="16"/>
  <c r="T136" i="16" s="1"/>
  <c r="V136" i="16" s="1"/>
  <c r="X136" i="16" s="1"/>
  <c r="Z136" i="16" s="1"/>
  <c r="AB136" i="16" s="1"/>
  <c r="AD136" i="16" s="1"/>
  <c r="AF136" i="16" s="1"/>
  <c r="AH136" i="16" s="1"/>
  <c r="AJ136" i="16" s="1"/>
  <c r="R135" i="16"/>
  <c r="T135" i="16" s="1"/>
  <c r="V135" i="16" s="1"/>
  <c r="X135" i="16" s="1"/>
  <c r="Z135" i="16" s="1"/>
  <c r="AB135" i="16" s="1"/>
  <c r="AD135" i="16" s="1"/>
  <c r="AF135" i="16" s="1"/>
  <c r="AH135" i="16" s="1"/>
  <c r="AJ135" i="16" s="1"/>
  <c r="E29" i="10"/>
  <c r="N52" i="18" l="1"/>
  <c r="O52" i="18" s="1"/>
  <c r="L24" i="18"/>
  <c r="N24" i="18" s="1"/>
  <c r="I24" i="18"/>
  <c r="I25" i="18"/>
  <c r="N39" i="18"/>
  <c r="M39" i="18"/>
  <c r="G35" i="21"/>
  <c r="F87" i="18"/>
  <c r="I87" i="18" s="1"/>
  <c r="F88" i="18"/>
  <c r="I88" i="18" s="1"/>
  <c r="F85" i="18"/>
  <c r="F86" i="18"/>
  <c r="I86" i="18" s="1"/>
  <c r="Y89" i="18"/>
  <c r="Y88" i="18"/>
  <c r="Y86" i="18"/>
  <c r="Y87" i="18"/>
  <c r="Y85" i="18"/>
  <c r="M29" i="18"/>
  <c r="N29" i="18"/>
  <c r="N47" i="18"/>
  <c r="M47" i="18"/>
  <c r="L20" i="18"/>
  <c r="N20" i="18" s="1"/>
  <c r="I20" i="18"/>
  <c r="N96" i="1"/>
  <c r="P96" i="1" s="1"/>
  <c r="M98" i="1"/>
  <c r="N98" i="1"/>
  <c r="P98" i="1" s="1"/>
  <c r="K97" i="1"/>
  <c r="P38" i="18"/>
  <c r="O38" i="18"/>
  <c r="R54" i="18"/>
  <c r="Q54" i="18"/>
  <c r="P51" i="18"/>
  <c r="O51" i="18"/>
  <c r="P53" i="18"/>
  <c r="O53" i="18"/>
  <c r="P52" i="18"/>
  <c r="P50" i="18"/>
  <c r="O50" i="18"/>
  <c r="R31" i="18"/>
  <c r="Q31" i="18"/>
  <c r="P46" i="18"/>
  <c r="O46" i="18"/>
  <c r="V30" i="18"/>
  <c r="U30" i="18"/>
  <c r="P44" i="18"/>
  <c r="O44" i="18"/>
  <c r="V59" i="18"/>
  <c r="U59" i="18"/>
  <c r="V65" i="18"/>
  <c r="U65" i="18"/>
  <c r="P33" i="18"/>
  <c r="O33" i="18"/>
  <c r="V36" i="18"/>
  <c r="U36" i="18"/>
  <c r="V28" i="18"/>
  <c r="U28" i="18"/>
  <c r="P49" i="18"/>
  <c r="O49" i="18"/>
  <c r="P32" i="18"/>
  <c r="O32" i="18"/>
  <c r="P35" i="18"/>
  <c r="O35" i="18"/>
  <c r="Y79" i="18"/>
  <c r="Y73" i="18"/>
  <c r="Y69" i="18"/>
  <c r="Y72" i="18"/>
  <c r="Y68" i="18"/>
  <c r="Y56" i="18"/>
  <c r="Y53" i="18"/>
  <c r="Y52" i="18"/>
  <c r="Y51" i="18"/>
  <c r="Y50" i="18"/>
  <c r="Y49" i="18"/>
  <c r="Y48" i="18"/>
  <c r="Y47" i="18"/>
  <c r="Y46" i="18"/>
  <c r="Y45" i="18"/>
  <c r="Y44" i="18"/>
  <c r="Y43" i="18"/>
  <c r="Y42" i="18"/>
  <c r="Y41" i="18"/>
  <c r="Y40" i="18"/>
  <c r="Y39" i="18"/>
  <c r="Y34" i="18"/>
  <c r="Y33" i="18"/>
  <c r="Y78" i="18"/>
  <c r="Y70" i="18"/>
  <c r="Y71" i="18"/>
  <c r="Y81" i="18"/>
  <c r="Y63" i="18"/>
  <c r="Y64" i="18"/>
  <c r="Y77" i="18"/>
  <c r="AA27" i="18"/>
  <c r="Y67" i="18"/>
  <c r="V66" i="18"/>
  <c r="U66" i="18"/>
  <c r="V74" i="18"/>
  <c r="U74" i="18"/>
  <c r="V87" i="1"/>
  <c r="H149" i="16"/>
  <c r="K148" i="16"/>
  <c r="N139" i="16"/>
  <c r="P139" i="16" s="1"/>
  <c r="M141" i="16"/>
  <c r="N142" i="16"/>
  <c r="P142" i="16" s="1"/>
  <c r="N143" i="16"/>
  <c r="P143" i="16" s="1"/>
  <c r="M145" i="16"/>
  <c r="M146" i="16"/>
  <c r="N140" i="16"/>
  <c r="P140" i="16" s="1"/>
  <c r="N144" i="16"/>
  <c r="P144" i="16" s="1"/>
  <c r="N138" i="16"/>
  <c r="M138" i="16"/>
  <c r="P141" i="16"/>
  <c r="P146" i="16"/>
  <c r="P145" i="16"/>
  <c r="P129" i="17"/>
  <c r="P128" i="17"/>
  <c r="L87" i="18" l="1"/>
  <c r="K87" i="18"/>
  <c r="P47" i="18"/>
  <c r="O47" i="18"/>
  <c r="L86" i="18"/>
  <c r="K86" i="18"/>
  <c r="P29" i="18"/>
  <c r="O29" i="18"/>
  <c r="I85" i="18"/>
  <c r="F89" i="18"/>
  <c r="I89" i="18" s="1"/>
  <c r="AA89" i="18"/>
  <c r="AA88" i="18"/>
  <c r="AA86" i="18"/>
  <c r="AA87" i="18"/>
  <c r="AA85" i="18"/>
  <c r="L88" i="18"/>
  <c r="K88" i="18"/>
  <c r="P39" i="18"/>
  <c r="O39" i="18"/>
  <c r="M97" i="1"/>
  <c r="N97" i="1"/>
  <c r="P97" i="1" s="1"/>
  <c r="R97" i="1" s="1"/>
  <c r="R46" i="18"/>
  <c r="Q46" i="18"/>
  <c r="T31" i="18"/>
  <c r="S31" i="18"/>
  <c r="R52" i="18"/>
  <c r="Q52" i="18"/>
  <c r="AA81" i="18"/>
  <c r="AA79" i="18"/>
  <c r="AA77" i="18"/>
  <c r="AA71" i="18"/>
  <c r="AA67" i="18"/>
  <c r="AA78" i="18"/>
  <c r="AA64" i="18"/>
  <c r="AA73" i="18"/>
  <c r="AA69" i="18"/>
  <c r="AA63" i="18"/>
  <c r="AA46" i="18"/>
  <c r="AA42" i="18"/>
  <c r="AA38" i="18"/>
  <c r="AA34" i="18"/>
  <c r="AC27" i="18"/>
  <c r="AA70" i="18"/>
  <c r="AA40" i="18"/>
  <c r="AA32" i="18"/>
  <c r="AA56" i="18"/>
  <c r="AA54" i="18"/>
  <c r="AA52" i="18"/>
  <c r="AA50" i="18"/>
  <c r="AA48" i="18"/>
  <c r="AA45" i="18"/>
  <c r="AA41" i="18"/>
  <c r="AA33" i="18"/>
  <c r="AA68" i="18"/>
  <c r="AA44" i="18"/>
  <c r="AA29" i="18"/>
  <c r="AA39" i="18"/>
  <c r="AA35" i="18"/>
  <c r="AA51" i="18"/>
  <c r="AA49" i="18"/>
  <c r="AA72" i="18"/>
  <c r="AA47" i="18"/>
  <c r="AA57" i="18"/>
  <c r="AA55" i="18"/>
  <c r="AA53" i="18"/>
  <c r="AA43" i="18"/>
  <c r="R32" i="18"/>
  <c r="Q32" i="18"/>
  <c r="X36" i="18"/>
  <c r="W36" i="18"/>
  <c r="X59" i="18"/>
  <c r="W59" i="18"/>
  <c r="R44" i="18"/>
  <c r="Q44" i="18"/>
  <c r="R50" i="18"/>
  <c r="Q50" i="18"/>
  <c r="R38" i="18"/>
  <c r="Q38" i="18"/>
  <c r="R53" i="18"/>
  <c r="Q53" i="18"/>
  <c r="R33" i="18"/>
  <c r="Q33" i="18"/>
  <c r="X65" i="18"/>
  <c r="W65" i="18"/>
  <c r="X74" i="18"/>
  <c r="W74" i="18"/>
  <c r="X66" i="18"/>
  <c r="W66" i="18"/>
  <c r="R35" i="18"/>
  <c r="Q35" i="18"/>
  <c r="R49" i="18"/>
  <c r="Q49" i="18"/>
  <c r="X28" i="18"/>
  <c r="W28" i="18"/>
  <c r="X30" i="18"/>
  <c r="W30" i="18"/>
  <c r="R51" i="18"/>
  <c r="Q51" i="18"/>
  <c r="T54" i="18"/>
  <c r="S54" i="18"/>
  <c r="X87" i="1"/>
  <c r="H150" i="16"/>
  <c r="K149" i="16"/>
  <c r="M148" i="16"/>
  <c r="N148" i="16"/>
  <c r="P138" i="16"/>
  <c r="R142" i="16"/>
  <c r="T142" i="16" s="1"/>
  <c r="V142" i="16" s="1"/>
  <c r="X142" i="16" s="1"/>
  <c r="Z142" i="16" s="1"/>
  <c r="AB142" i="16" s="1"/>
  <c r="AD142" i="16" s="1"/>
  <c r="AF142" i="16" s="1"/>
  <c r="AH142" i="16" s="1"/>
  <c r="AJ142" i="16" s="1"/>
  <c r="R146" i="16"/>
  <c r="T146" i="16" s="1"/>
  <c r="V146" i="16" s="1"/>
  <c r="X146" i="16" s="1"/>
  <c r="Z146" i="16" s="1"/>
  <c r="AB146" i="16" s="1"/>
  <c r="AD146" i="16" s="1"/>
  <c r="AF146" i="16" s="1"/>
  <c r="AH146" i="16" s="1"/>
  <c r="AJ146" i="16" s="1"/>
  <c r="R143" i="16"/>
  <c r="T143" i="16" s="1"/>
  <c r="V143" i="16" s="1"/>
  <c r="X143" i="16" s="1"/>
  <c r="Z143" i="16" s="1"/>
  <c r="AB143" i="16" s="1"/>
  <c r="AD143" i="16" s="1"/>
  <c r="AF143" i="16" s="1"/>
  <c r="AH143" i="16" s="1"/>
  <c r="AJ143" i="16" s="1"/>
  <c r="R144" i="16"/>
  <c r="T144" i="16" s="1"/>
  <c r="V144" i="16" s="1"/>
  <c r="X144" i="16" s="1"/>
  <c r="Z144" i="16" s="1"/>
  <c r="AB144" i="16" s="1"/>
  <c r="AD144" i="16" s="1"/>
  <c r="AF144" i="16" s="1"/>
  <c r="AH144" i="16" s="1"/>
  <c r="AJ144" i="16" s="1"/>
  <c r="R145" i="16"/>
  <c r="T145" i="16" s="1"/>
  <c r="V145" i="16" s="1"/>
  <c r="X145" i="16" s="1"/>
  <c r="Z145" i="16" s="1"/>
  <c r="AB145" i="16" s="1"/>
  <c r="AD145" i="16" s="1"/>
  <c r="AF145" i="16" s="1"/>
  <c r="AH145" i="16" s="1"/>
  <c r="AJ145" i="16" s="1"/>
  <c r="R139" i="16"/>
  <c r="T139" i="16" s="1"/>
  <c r="V139" i="16" s="1"/>
  <c r="X139" i="16" s="1"/>
  <c r="Z139" i="16" s="1"/>
  <c r="AB139" i="16" s="1"/>
  <c r="AD139" i="16" s="1"/>
  <c r="AF139" i="16" s="1"/>
  <c r="AH139" i="16" s="1"/>
  <c r="AJ139" i="16" s="1"/>
  <c r="R140" i="16"/>
  <c r="T140" i="16" s="1"/>
  <c r="V140" i="16" s="1"/>
  <c r="X140" i="16" s="1"/>
  <c r="Z140" i="16" s="1"/>
  <c r="AB140" i="16" s="1"/>
  <c r="AD140" i="16" s="1"/>
  <c r="AF140" i="16" s="1"/>
  <c r="AH140" i="16" s="1"/>
  <c r="AJ140" i="16" s="1"/>
  <c r="R141" i="16"/>
  <c r="T141" i="16" s="1"/>
  <c r="V141" i="16" s="1"/>
  <c r="X141" i="16" s="1"/>
  <c r="Z141" i="16" s="1"/>
  <c r="AB141" i="16" s="1"/>
  <c r="AD141" i="16" s="1"/>
  <c r="AF141" i="16" s="1"/>
  <c r="AH141" i="16" s="1"/>
  <c r="AJ141" i="16" s="1"/>
  <c r="R98" i="1"/>
  <c r="R96" i="1"/>
  <c r="L46" i="9"/>
  <c r="C46" i="9"/>
  <c r="B46" i="9"/>
  <c r="L45" i="9"/>
  <c r="C45" i="9"/>
  <c r="B45" i="9"/>
  <c r="L46" i="8"/>
  <c r="C46" i="8"/>
  <c r="B46" i="8"/>
  <c r="L45" i="8"/>
  <c r="C45" i="8"/>
  <c r="B45" i="8"/>
  <c r="L46" i="7"/>
  <c r="C46" i="7"/>
  <c r="B46" i="7"/>
  <c r="L46" i="1"/>
  <c r="L45" i="7"/>
  <c r="C45" i="7"/>
  <c r="B45" i="7"/>
  <c r="L45" i="1"/>
  <c r="D45" i="1"/>
  <c r="AL130" i="9"/>
  <c r="AL126" i="9"/>
  <c r="L126" i="9"/>
  <c r="AL132" i="9"/>
  <c r="L132" i="9"/>
  <c r="AL140" i="9"/>
  <c r="AL139" i="9"/>
  <c r="AL138" i="9"/>
  <c r="AL127" i="9"/>
  <c r="AL125" i="9"/>
  <c r="D92" i="9"/>
  <c r="D91" i="9" s="1"/>
  <c r="L91" i="9"/>
  <c r="C91" i="9"/>
  <c r="D91" i="8"/>
  <c r="D90" i="8" s="1"/>
  <c r="L90" i="8"/>
  <c r="C90" i="8"/>
  <c r="D40" i="28" l="1"/>
  <c r="F40" i="28" s="1"/>
  <c r="H40" i="28" s="1"/>
  <c r="I40" i="28" s="1"/>
  <c r="D40" i="27"/>
  <c r="F40" i="27" s="1"/>
  <c r="I40" i="27" s="1"/>
  <c r="D45" i="24"/>
  <c r="F45" i="24" s="1"/>
  <c r="J45" i="24" s="1"/>
  <c r="L45" i="24" s="1"/>
  <c r="D45" i="26"/>
  <c r="AC89" i="18"/>
  <c r="AC87" i="18"/>
  <c r="AC85" i="18"/>
  <c r="AC88" i="18"/>
  <c r="AC86" i="18"/>
  <c r="N88" i="18"/>
  <c r="M88" i="18"/>
  <c r="R29" i="18"/>
  <c r="Q29" i="18"/>
  <c r="Q47" i="18"/>
  <c r="R47" i="18"/>
  <c r="D44" i="19"/>
  <c r="F44" i="19" s="1"/>
  <c r="H44" i="19" s="1"/>
  <c r="I44" i="19" s="1"/>
  <c r="D44" i="21"/>
  <c r="F44" i="21" s="1"/>
  <c r="D44" i="20"/>
  <c r="F44" i="20" s="1"/>
  <c r="H44" i="20" s="1"/>
  <c r="I44" i="20" s="1"/>
  <c r="R39" i="18"/>
  <c r="Q39" i="18"/>
  <c r="L89" i="18"/>
  <c r="K89" i="18"/>
  <c r="D45" i="19"/>
  <c r="F45" i="19" s="1"/>
  <c r="H45" i="19" s="1"/>
  <c r="I45" i="19" s="1"/>
  <c r="D45" i="21"/>
  <c r="F45" i="21" s="1"/>
  <c r="D45" i="20"/>
  <c r="F45" i="20" s="1"/>
  <c r="H45" i="20" s="1"/>
  <c r="I45" i="20" s="1"/>
  <c r="L85" i="18"/>
  <c r="K85" i="18"/>
  <c r="N86" i="18"/>
  <c r="M86" i="18"/>
  <c r="N87" i="18"/>
  <c r="M87" i="18"/>
  <c r="D46" i="8"/>
  <c r="D41" i="18"/>
  <c r="F41" i="18" s="1"/>
  <c r="I41" i="18" s="1"/>
  <c r="D45" i="9"/>
  <c r="D40" i="18"/>
  <c r="F40" i="18" s="1"/>
  <c r="I40" i="18" s="1"/>
  <c r="AC79" i="18"/>
  <c r="AC78" i="18"/>
  <c r="AC73" i="18"/>
  <c r="AC69" i="18"/>
  <c r="AC71" i="18"/>
  <c r="AC67" i="18"/>
  <c r="AC58" i="18"/>
  <c r="AC57" i="18"/>
  <c r="AC56" i="18"/>
  <c r="AC55" i="18"/>
  <c r="AC54" i="18"/>
  <c r="AC53" i="18"/>
  <c r="AC52" i="18"/>
  <c r="AC51" i="18"/>
  <c r="AC50" i="18"/>
  <c r="AC49" i="18"/>
  <c r="AC48" i="18"/>
  <c r="AC47" i="18"/>
  <c r="AC46" i="18"/>
  <c r="AC45" i="18"/>
  <c r="AC44" i="18"/>
  <c r="AC43" i="18"/>
  <c r="AC42" i="18"/>
  <c r="AC41" i="18"/>
  <c r="AC40" i="18"/>
  <c r="AC39" i="18"/>
  <c r="AC38" i="18"/>
  <c r="AC35" i="18"/>
  <c r="AC34" i="18"/>
  <c r="AC33" i="18"/>
  <c r="AC32" i="18"/>
  <c r="AC72" i="18"/>
  <c r="AC68" i="18"/>
  <c r="AC64" i="18"/>
  <c r="AC63" i="18"/>
  <c r="AC29" i="18"/>
  <c r="AE27" i="18"/>
  <c r="AC81" i="18"/>
  <c r="AC70" i="18"/>
  <c r="AC77" i="18"/>
  <c r="V31" i="18"/>
  <c r="U31" i="18"/>
  <c r="Z74" i="18"/>
  <c r="Y74" i="18"/>
  <c r="Z59" i="18"/>
  <c r="Y59" i="18"/>
  <c r="Z30" i="18"/>
  <c r="Y30" i="18"/>
  <c r="Z28" i="18"/>
  <c r="Y28" i="18"/>
  <c r="T49" i="18"/>
  <c r="S49" i="18"/>
  <c r="T35" i="18"/>
  <c r="S35" i="18"/>
  <c r="Z65" i="18"/>
  <c r="Y65" i="18"/>
  <c r="T50" i="18"/>
  <c r="V50" i="18" s="1"/>
  <c r="X50" i="18" s="1"/>
  <c r="Z50" i="18" s="1"/>
  <c r="AB50" i="18" s="1"/>
  <c r="AD50" i="18" s="1"/>
  <c r="AF50" i="18" s="1"/>
  <c r="AH50" i="18" s="1"/>
  <c r="S50" i="18"/>
  <c r="T52" i="18"/>
  <c r="V52" i="18" s="1"/>
  <c r="X52" i="18" s="1"/>
  <c r="Z52" i="18" s="1"/>
  <c r="AB52" i="18" s="1"/>
  <c r="AD52" i="18" s="1"/>
  <c r="AF52" i="18" s="1"/>
  <c r="AH52" i="18" s="1"/>
  <c r="S52" i="18"/>
  <c r="T33" i="18"/>
  <c r="S33" i="18"/>
  <c r="T38" i="18"/>
  <c r="S38" i="18"/>
  <c r="T46" i="18"/>
  <c r="S46" i="18"/>
  <c r="T53" i="18"/>
  <c r="S53" i="18"/>
  <c r="Z36" i="18"/>
  <c r="Y36" i="18"/>
  <c r="V54" i="18"/>
  <c r="U54" i="18"/>
  <c r="T51" i="18"/>
  <c r="V51" i="18" s="1"/>
  <c r="X51" i="18" s="1"/>
  <c r="Z51" i="18" s="1"/>
  <c r="AB51" i="18" s="1"/>
  <c r="AD51" i="18" s="1"/>
  <c r="AF51" i="18" s="1"/>
  <c r="AH51" i="18" s="1"/>
  <c r="S51" i="18"/>
  <c r="Z66" i="18"/>
  <c r="Y66" i="18"/>
  <c r="T44" i="18"/>
  <c r="S44" i="18"/>
  <c r="T32" i="18"/>
  <c r="S32" i="18"/>
  <c r="Z87" i="1"/>
  <c r="M149" i="16"/>
  <c r="N149" i="16"/>
  <c r="P148" i="16"/>
  <c r="H151" i="16"/>
  <c r="K150" i="16"/>
  <c r="R138" i="16"/>
  <c r="T138" i="16" s="1"/>
  <c r="V138" i="16" s="1"/>
  <c r="X138" i="16" s="1"/>
  <c r="Z138" i="16" s="1"/>
  <c r="AB138" i="16" s="1"/>
  <c r="AD138" i="16" s="1"/>
  <c r="AF138" i="16" s="1"/>
  <c r="AH138" i="16" s="1"/>
  <c r="AJ138" i="16" s="1"/>
  <c r="T97" i="1"/>
  <c r="T98" i="1"/>
  <c r="T96" i="1"/>
  <c r="D46" i="9"/>
  <c r="D46" i="7"/>
  <c r="D45" i="8"/>
  <c r="D45" i="7"/>
  <c r="L129" i="9"/>
  <c r="L139" i="9"/>
  <c r="L135" i="9"/>
  <c r="L119" i="9"/>
  <c r="K40" i="27" l="1"/>
  <c r="L40" i="27"/>
  <c r="K45" i="24"/>
  <c r="N45" i="24" s="1"/>
  <c r="P45" i="24" s="1"/>
  <c r="M89" i="18"/>
  <c r="N89" i="18"/>
  <c r="J44" i="21"/>
  <c r="L44" i="21" s="1"/>
  <c r="P86" i="18"/>
  <c r="O86" i="18"/>
  <c r="J45" i="21"/>
  <c r="L45" i="21" s="1"/>
  <c r="T29" i="18"/>
  <c r="S29" i="18"/>
  <c r="T39" i="18"/>
  <c r="V39" i="18" s="1"/>
  <c r="X39" i="18" s="1"/>
  <c r="Z39" i="18" s="1"/>
  <c r="AB39" i="18" s="1"/>
  <c r="AD39" i="18" s="1"/>
  <c r="AF39" i="18" s="1"/>
  <c r="AH39" i="18" s="1"/>
  <c r="S39" i="18"/>
  <c r="S47" i="18"/>
  <c r="T47" i="18"/>
  <c r="AE89" i="18"/>
  <c r="AE87" i="18"/>
  <c r="AE85" i="18"/>
  <c r="AE88" i="18"/>
  <c r="AE86" i="18"/>
  <c r="P87" i="18"/>
  <c r="O87" i="18"/>
  <c r="N85" i="18"/>
  <c r="M85" i="18"/>
  <c r="O88" i="18"/>
  <c r="P88" i="18"/>
  <c r="L40" i="18"/>
  <c r="K40" i="18"/>
  <c r="L41" i="18"/>
  <c r="K41" i="18"/>
  <c r="AB59" i="18"/>
  <c r="AA59" i="18"/>
  <c r="X31" i="18"/>
  <c r="W31" i="18"/>
  <c r="V49" i="18"/>
  <c r="U49" i="18"/>
  <c r="AB30" i="18"/>
  <c r="AA30" i="18"/>
  <c r="AB74" i="18"/>
  <c r="AA74" i="18"/>
  <c r="X54" i="18"/>
  <c r="W54" i="18"/>
  <c r="AB36" i="18"/>
  <c r="AA36" i="18"/>
  <c r="V46" i="18"/>
  <c r="U46" i="18"/>
  <c r="V33" i="18"/>
  <c r="U33" i="18"/>
  <c r="AB65" i="18"/>
  <c r="AA65" i="18"/>
  <c r="AE77" i="18"/>
  <c r="AE71" i="18"/>
  <c r="AE67" i="18"/>
  <c r="AE74" i="18"/>
  <c r="AE72" i="18"/>
  <c r="AE70" i="18"/>
  <c r="AE68" i="18"/>
  <c r="AE66" i="18"/>
  <c r="AE64" i="18"/>
  <c r="AE81" i="18"/>
  <c r="AE79" i="18"/>
  <c r="AE63" i="18"/>
  <c r="AE69" i="18"/>
  <c r="AE65" i="18"/>
  <c r="AE47" i="18"/>
  <c r="AE43" i="18"/>
  <c r="AE39" i="18"/>
  <c r="AE35" i="18"/>
  <c r="AE73" i="18"/>
  <c r="AE45" i="18"/>
  <c r="AE29" i="18"/>
  <c r="AE59" i="18"/>
  <c r="AE57" i="18"/>
  <c r="AE55" i="18"/>
  <c r="AE53" i="18"/>
  <c r="AE51" i="18"/>
  <c r="AE49" i="18"/>
  <c r="AE46" i="18"/>
  <c r="AE42" i="18"/>
  <c r="AE38" i="18"/>
  <c r="AE34" i="18"/>
  <c r="AE61" i="18"/>
  <c r="AE41" i="18"/>
  <c r="AE37" i="18"/>
  <c r="AE33" i="18"/>
  <c r="AE78" i="18"/>
  <c r="AE36" i="18"/>
  <c r="AE28" i="18"/>
  <c r="AG27" i="18"/>
  <c r="AE40" i="18"/>
  <c r="AE32" i="18"/>
  <c r="AE60" i="18"/>
  <c r="AE58" i="18"/>
  <c r="AE56" i="18"/>
  <c r="AE54" i="18"/>
  <c r="AE52" i="18"/>
  <c r="AE50" i="18"/>
  <c r="AE48" i="18"/>
  <c r="AE44" i="18"/>
  <c r="V53" i="18"/>
  <c r="U53" i="18"/>
  <c r="V38" i="18"/>
  <c r="U38" i="18"/>
  <c r="V32" i="18"/>
  <c r="U32" i="18"/>
  <c r="AB66" i="18"/>
  <c r="AA66" i="18"/>
  <c r="V44" i="18"/>
  <c r="U44" i="18"/>
  <c r="V35" i="18"/>
  <c r="U35" i="18"/>
  <c r="AB28" i="18"/>
  <c r="AA28" i="18"/>
  <c r="AB87" i="1"/>
  <c r="H152" i="16"/>
  <c r="K151" i="16"/>
  <c r="R148" i="16"/>
  <c r="T148" i="16" s="1"/>
  <c r="V148" i="16" s="1"/>
  <c r="X148" i="16" s="1"/>
  <c r="Z148" i="16" s="1"/>
  <c r="AB148" i="16" s="1"/>
  <c r="AD148" i="16" s="1"/>
  <c r="AF148" i="16" s="1"/>
  <c r="AH148" i="16" s="1"/>
  <c r="AJ148" i="16" s="1"/>
  <c r="M150" i="16"/>
  <c r="N150" i="16"/>
  <c r="P149" i="16"/>
  <c r="V97" i="1"/>
  <c r="V98" i="1"/>
  <c r="V96" i="1"/>
  <c r="N79" i="17"/>
  <c r="P79" i="17" s="1"/>
  <c r="P77" i="17"/>
  <c r="M40" i="27" l="1"/>
  <c r="N40" i="27"/>
  <c r="M45" i="24"/>
  <c r="O45" i="24"/>
  <c r="H45" i="24"/>
  <c r="R45" i="24"/>
  <c r="Q45" i="24"/>
  <c r="R87" i="18"/>
  <c r="Q87" i="18"/>
  <c r="K45" i="21"/>
  <c r="K44" i="21"/>
  <c r="R88" i="18"/>
  <c r="Q88" i="18"/>
  <c r="V29" i="18"/>
  <c r="U29" i="18"/>
  <c r="R86" i="18"/>
  <c r="Q86" i="18"/>
  <c r="AG89" i="18"/>
  <c r="AG88" i="18"/>
  <c r="AG86" i="18"/>
  <c r="AG87" i="18"/>
  <c r="AG85" i="18"/>
  <c r="P85" i="18"/>
  <c r="O85" i="18"/>
  <c r="V47" i="18"/>
  <c r="U47" i="18"/>
  <c r="O89" i="18"/>
  <c r="P89" i="18"/>
  <c r="N41" i="18"/>
  <c r="M41" i="18"/>
  <c r="M40" i="18"/>
  <c r="N40" i="18"/>
  <c r="X44" i="18"/>
  <c r="Z44" i="18" s="1"/>
  <c r="AB44" i="18" s="1"/>
  <c r="AD44" i="18" s="1"/>
  <c r="AF44" i="18" s="1"/>
  <c r="AH44" i="18" s="1"/>
  <c r="W44" i="18"/>
  <c r="AD65" i="18"/>
  <c r="AF65" i="18" s="1"/>
  <c r="AH65" i="18" s="1"/>
  <c r="AC65" i="18"/>
  <c r="X38" i="18"/>
  <c r="W38" i="18"/>
  <c r="X46" i="18"/>
  <c r="Z46" i="18" s="1"/>
  <c r="AB46" i="18" s="1"/>
  <c r="AD46" i="18" s="1"/>
  <c r="AF46" i="18" s="1"/>
  <c r="AH46" i="18" s="1"/>
  <c r="W46" i="18"/>
  <c r="AD66" i="18"/>
  <c r="AF66" i="18" s="1"/>
  <c r="AH66" i="18" s="1"/>
  <c r="AC66" i="18"/>
  <c r="AD30" i="18"/>
  <c r="AC30" i="18"/>
  <c r="AD59" i="18"/>
  <c r="AF59" i="18" s="1"/>
  <c r="AH59" i="18" s="1"/>
  <c r="AC59" i="18"/>
  <c r="X32" i="18"/>
  <c r="W32" i="18"/>
  <c r="AD74" i="18"/>
  <c r="AF74" i="18" s="1"/>
  <c r="AH74" i="18" s="1"/>
  <c r="AC74" i="18"/>
  <c r="X49" i="18"/>
  <c r="Z49" i="18" s="1"/>
  <c r="AB49" i="18" s="1"/>
  <c r="AD49" i="18" s="1"/>
  <c r="AF49" i="18" s="1"/>
  <c r="AH49" i="18" s="1"/>
  <c r="W49" i="18"/>
  <c r="Z31" i="18"/>
  <c r="Y31" i="18"/>
  <c r="AD28" i="18"/>
  <c r="AF28" i="18" s="1"/>
  <c r="AH28" i="18" s="1"/>
  <c r="AC28" i="18"/>
  <c r="X53" i="18"/>
  <c r="Z53" i="18" s="1"/>
  <c r="AB53" i="18" s="1"/>
  <c r="AD53" i="18" s="1"/>
  <c r="AF53" i="18" s="1"/>
  <c r="AH53" i="18" s="1"/>
  <c r="W53" i="18"/>
  <c r="Z54" i="18"/>
  <c r="AB54" i="18" s="1"/>
  <c r="AD54" i="18" s="1"/>
  <c r="AF54" i="18" s="1"/>
  <c r="AH54" i="18" s="1"/>
  <c r="Y54" i="18"/>
  <c r="X35" i="18"/>
  <c r="W35" i="18"/>
  <c r="AG79" i="18"/>
  <c r="AG81" i="18"/>
  <c r="AG73" i="18"/>
  <c r="AG69" i="18"/>
  <c r="AG78" i="18"/>
  <c r="AG77" i="18"/>
  <c r="AG60" i="18"/>
  <c r="AG59" i="18"/>
  <c r="AG58" i="18"/>
  <c r="AG57" i="18"/>
  <c r="AG56" i="18"/>
  <c r="AG55" i="18"/>
  <c r="AG54" i="18"/>
  <c r="AG53" i="18"/>
  <c r="AG52" i="18"/>
  <c r="AG51" i="18"/>
  <c r="AG50" i="18"/>
  <c r="AG49" i="18"/>
  <c r="AG48" i="18"/>
  <c r="AG47" i="18"/>
  <c r="AG46" i="18"/>
  <c r="AG45" i="18"/>
  <c r="AG44" i="18"/>
  <c r="AG43" i="18"/>
  <c r="AG42" i="18"/>
  <c r="AG41" i="18"/>
  <c r="AG40" i="18"/>
  <c r="AG39" i="18"/>
  <c r="AG38" i="18"/>
  <c r="AG37" i="18"/>
  <c r="AG36" i="18"/>
  <c r="AG35" i="18"/>
  <c r="AG34" i="18"/>
  <c r="AG33" i="18"/>
  <c r="AG32" i="18"/>
  <c r="AG71" i="18"/>
  <c r="AG67" i="18"/>
  <c r="AG65" i="18"/>
  <c r="AG61" i="18"/>
  <c r="AG72" i="18"/>
  <c r="AG70" i="18"/>
  <c r="AG29" i="18"/>
  <c r="AG28" i="18"/>
  <c r="AG74" i="18"/>
  <c r="AG64" i="18"/>
  <c r="AG63" i="18"/>
  <c r="AI27" i="18"/>
  <c r="AG68" i="18"/>
  <c r="AG66" i="18"/>
  <c r="X33" i="18"/>
  <c r="Z33" i="18" s="1"/>
  <c r="AB33" i="18" s="1"/>
  <c r="AD33" i="18" s="1"/>
  <c r="AF33" i="18" s="1"/>
  <c r="AH33" i="18" s="1"/>
  <c r="W33" i="18"/>
  <c r="AD36" i="18"/>
  <c r="AF36" i="18" s="1"/>
  <c r="AH36" i="18" s="1"/>
  <c r="AC36" i="18"/>
  <c r="AD87" i="1"/>
  <c r="R149" i="16"/>
  <c r="T149" i="16" s="1"/>
  <c r="V149" i="16" s="1"/>
  <c r="X149" i="16" s="1"/>
  <c r="Z149" i="16" s="1"/>
  <c r="AB149" i="16" s="1"/>
  <c r="AD149" i="16" s="1"/>
  <c r="AF149" i="16" s="1"/>
  <c r="AH149" i="16" s="1"/>
  <c r="AJ149" i="16" s="1"/>
  <c r="N151" i="16"/>
  <c r="M151" i="16"/>
  <c r="H153" i="16"/>
  <c r="K152" i="16"/>
  <c r="P150" i="16"/>
  <c r="X97" i="1"/>
  <c r="X98" i="1"/>
  <c r="X96" i="1"/>
  <c r="P124" i="17"/>
  <c r="P123" i="17"/>
  <c r="P122" i="17"/>
  <c r="P119" i="17"/>
  <c r="P120" i="17"/>
  <c r="P121" i="17"/>
  <c r="P110" i="17"/>
  <c r="P111" i="17"/>
  <c r="N113" i="17"/>
  <c r="I114" i="17"/>
  <c r="I117" i="17" s="1"/>
  <c r="I118" i="17" s="1"/>
  <c r="P109" i="17"/>
  <c r="P108" i="17"/>
  <c r="N98" i="17"/>
  <c r="P98" i="17" s="1"/>
  <c r="N102" i="17"/>
  <c r="I102" i="17"/>
  <c r="I103" i="17" s="1"/>
  <c r="I104" i="17" s="1"/>
  <c r="I105" i="17" s="1"/>
  <c r="I106" i="17" s="1"/>
  <c r="I107" i="17" s="1"/>
  <c r="P101" i="17"/>
  <c r="N100" i="17"/>
  <c r="P100" i="17" s="1"/>
  <c r="I100" i="17"/>
  <c r="I99" i="17" s="1"/>
  <c r="I98" i="17" s="1"/>
  <c r="I97" i="17" s="1"/>
  <c r="I96" i="17" s="1"/>
  <c r="I95" i="17" s="1"/>
  <c r="P99" i="17"/>
  <c r="D96" i="17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P40" i="27" l="1"/>
  <c r="O40" i="27"/>
  <c r="S45" i="24"/>
  <c r="T45" i="24"/>
  <c r="AI89" i="18"/>
  <c r="AI88" i="18"/>
  <c r="AI86" i="18"/>
  <c r="AI87" i="18"/>
  <c r="AI85" i="18"/>
  <c r="Q85" i="18"/>
  <c r="R85" i="18"/>
  <c r="M44" i="21"/>
  <c r="H44" i="21"/>
  <c r="N44" i="21"/>
  <c r="X29" i="18"/>
  <c r="W29" i="18"/>
  <c r="M45" i="21"/>
  <c r="N45" i="21"/>
  <c r="H45" i="21"/>
  <c r="X47" i="18"/>
  <c r="Z47" i="18" s="1"/>
  <c r="AB47" i="18" s="1"/>
  <c r="AD47" i="18" s="1"/>
  <c r="AF47" i="18" s="1"/>
  <c r="AH47" i="18" s="1"/>
  <c r="W47" i="18"/>
  <c r="Q89" i="18"/>
  <c r="R89" i="18"/>
  <c r="T86" i="18"/>
  <c r="S86" i="18"/>
  <c r="T88" i="18"/>
  <c r="S88" i="18"/>
  <c r="T87" i="18"/>
  <c r="S87" i="18"/>
  <c r="P40" i="18"/>
  <c r="O40" i="18"/>
  <c r="O41" i="18"/>
  <c r="P41" i="18"/>
  <c r="AF30" i="18"/>
  <c r="AE30" i="18"/>
  <c r="AI78" i="18"/>
  <c r="G78" i="18" s="1"/>
  <c r="AI77" i="18"/>
  <c r="G77" i="18" s="1"/>
  <c r="AI71" i="18"/>
  <c r="G71" i="18" s="1"/>
  <c r="AI67" i="18"/>
  <c r="G67" i="18" s="1"/>
  <c r="AI81" i="18"/>
  <c r="G81" i="18" s="1"/>
  <c r="AI79" i="18"/>
  <c r="G79" i="18" s="1"/>
  <c r="AI64" i="18"/>
  <c r="G64" i="18" s="1"/>
  <c r="AI74" i="18"/>
  <c r="G74" i="18" s="1"/>
  <c r="AI72" i="18"/>
  <c r="G72" i="18" s="1"/>
  <c r="AI70" i="18"/>
  <c r="G70" i="18" s="1"/>
  <c r="AI68" i="18"/>
  <c r="G68" i="18" s="1"/>
  <c r="AI66" i="18"/>
  <c r="G66" i="18" s="1"/>
  <c r="AI63" i="18"/>
  <c r="G63" i="18" s="1"/>
  <c r="AI61" i="18"/>
  <c r="AI44" i="18"/>
  <c r="G44" i="18" s="1"/>
  <c r="AI40" i="18"/>
  <c r="AI36" i="18"/>
  <c r="G36" i="18" s="1"/>
  <c r="AI32" i="18"/>
  <c r="AI65" i="18"/>
  <c r="G65" i="18" s="1"/>
  <c r="AI38" i="18"/>
  <c r="AI34" i="18"/>
  <c r="AI29" i="18"/>
  <c r="AI73" i="18"/>
  <c r="AI60" i="18"/>
  <c r="AI58" i="18"/>
  <c r="AI56" i="18"/>
  <c r="G56" i="18" s="1"/>
  <c r="AI54" i="18"/>
  <c r="G54" i="18" s="1"/>
  <c r="AI52" i="18"/>
  <c r="G52" i="18" s="1"/>
  <c r="AI50" i="18"/>
  <c r="G50" i="18" s="1"/>
  <c r="AI48" i="18"/>
  <c r="AI47" i="18"/>
  <c r="AI43" i="18"/>
  <c r="AI39" i="18"/>
  <c r="G39" i="18" s="1"/>
  <c r="AI35" i="18"/>
  <c r="AI46" i="18"/>
  <c r="G46" i="18" s="1"/>
  <c r="AI42" i="18"/>
  <c r="G42" i="18" s="1"/>
  <c r="AI45" i="18"/>
  <c r="AI69" i="18"/>
  <c r="G69" i="18" s="1"/>
  <c r="AI41" i="18"/>
  <c r="AI59" i="18"/>
  <c r="G59" i="18" s="1"/>
  <c r="AI57" i="18"/>
  <c r="AI55" i="18"/>
  <c r="AI53" i="18"/>
  <c r="G53" i="18" s="1"/>
  <c r="AI51" i="18"/>
  <c r="G51" i="18" s="1"/>
  <c r="AI49" i="18"/>
  <c r="G49" i="18" s="1"/>
  <c r="AI37" i="18"/>
  <c r="AI28" i="18"/>
  <c r="G28" i="18" s="1"/>
  <c r="AI33" i="18"/>
  <c r="G33" i="18" s="1"/>
  <c r="Z35" i="18"/>
  <c r="AB35" i="18" s="1"/>
  <c r="AD35" i="18" s="1"/>
  <c r="AF35" i="18" s="1"/>
  <c r="AH35" i="18" s="1"/>
  <c r="Y35" i="18"/>
  <c r="G35" i="18" s="1"/>
  <c r="Z32" i="18"/>
  <c r="AB32" i="18" s="1"/>
  <c r="AD32" i="18" s="1"/>
  <c r="AF32" i="18" s="1"/>
  <c r="AH32" i="18" s="1"/>
  <c r="Y32" i="18"/>
  <c r="AB31" i="18"/>
  <c r="AA31" i="18"/>
  <c r="G73" i="18"/>
  <c r="Z38" i="18"/>
  <c r="AB38" i="18" s="1"/>
  <c r="AD38" i="18" s="1"/>
  <c r="AF38" i="18" s="1"/>
  <c r="AH38" i="18" s="1"/>
  <c r="Y38" i="18"/>
  <c r="AF87" i="1"/>
  <c r="P151" i="16"/>
  <c r="M152" i="16"/>
  <c r="N152" i="16"/>
  <c r="R150" i="16"/>
  <c r="T150" i="16" s="1"/>
  <c r="V150" i="16" s="1"/>
  <c r="X150" i="16" s="1"/>
  <c r="Z150" i="16" s="1"/>
  <c r="AB150" i="16" s="1"/>
  <c r="AD150" i="16" s="1"/>
  <c r="AF150" i="16" s="1"/>
  <c r="AH150" i="16" s="1"/>
  <c r="AJ150" i="16" s="1"/>
  <c r="H154" i="16"/>
  <c r="K153" i="16"/>
  <c r="Z97" i="1"/>
  <c r="Z98" i="1"/>
  <c r="Z96" i="1"/>
  <c r="N114" i="17"/>
  <c r="P115" i="17" s="1"/>
  <c r="P113" i="17"/>
  <c r="P112" i="17"/>
  <c r="N97" i="17"/>
  <c r="P97" i="17" s="1"/>
  <c r="N103" i="17"/>
  <c r="P102" i="17"/>
  <c r="D83" i="17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P94" i="17"/>
  <c r="N89" i="17"/>
  <c r="N90" i="17" s="1"/>
  <c r="N91" i="17" s="1"/>
  <c r="P91" i="17" s="1"/>
  <c r="I89" i="17"/>
  <c r="I90" i="17" s="1"/>
  <c r="I91" i="17" s="1"/>
  <c r="I92" i="17" s="1"/>
  <c r="I93" i="17" s="1"/>
  <c r="I94" i="17" s="1"/>
  <c r="P88" i="17"/>
  <c r="N87" i="17"/>
  <c r="I87" i="17"/>
  <c r="I86" i="17" s="1"/>
  <c r="I85" i="17" s="1"/>
  <c r="I84" i="17" s="1"/>
  <c r="I83" i="17" s="1"/>
  <c r="I82" i="17" s="1"/>
  <c r="N74" i="17"/>
  <c r="P74" i="17" s="1"/>
  <c r="I74" i="17"/>
  <c r="I75" i="17" s="1"/>
  <c r="I76" i="17" s="1"/>
  <c r="I78" i="17" s="1"/>
  <c r="I80" i="17" s="1"/>
  <c r="I81" i="17" s="1"/>
  <c r="P73" i="17"/>
  <c r="N72" i="17"/>
  <c r="P72" i="17" s="1"/>
  <c r="I72" i="17"/>
  <c r="I71" i="17" s="1"/>
  <c r="I70" i="17" s="1"/>
  <c r="I69" i="17" s="1"/>
  <c r="I68" i="17" s="1"/>
  <c r="I67" i="17" s="1"/>
  <c r="D68" i="17"/>
  <c r="D69" i="17" s="1"/>
  <c r="D70" i="17" s="1"/>
  <c r="D71" i="17" s="1"/>
  <c r="D72" i="17" s="1"/>
  <c r="D73" i="17" s="1"/>
  <c r="D74" i="17" s="1"/>
  <c r="D75" i="17" s="1"/>
  <c r="D76" i="17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N29" i="17"/>
  <c r="N28" i="17" s="1"/>
  <c r="I29" i="17"/>
  <c r="I28" i="17" s="1"/>
  <c r="I27" i="17" s="1"/>
  <c r="I26" i="17" s="1"/>
  <c r="I25" i="17" s="1"/>
  <c r="I24" i="17" s="1"/>
  <c r="I31" i="17"/>
  <c r="I32" i="17" s="1"/>
  <c r="I33" i="17" s="1"/>
  <c r="I34" i="17" s="1"/>
  <c r="N31" i="17"/>
  <c r="N32" i="17" s="1"/>
  <c r="P30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D21" i="17"/>
  <c r="B21" i="17"/>
  <c r="D20" i="17"/>
  <c r="B20" i="17"/>
  <c r="D19" i="17"/>
  <c r="B19" i="17"/>
  <c r="D18" i="17"/>
  <c r="B18" i="17"/>
  <c r="D17" i="17"/>
  <c r="B17" i="17"/>
  <c r="D16" i="17"/>
  <c r="B16" i="17"/>
  <c r="D15" i="17"/>
  <c r="B15" i="17"/>
  <c r="D14" i="17"/>
  <c r="B14" i="17"/>
  <c r="D13" i="17"/>
  <c r="B13" i="17"/>
  <c r="D12" i="17"/>
  <c r="B12" i="17"/>
  <c r="D11" i="17"/>
  <c r="B11" i="17"/>
  <c r="D10" i="17"/>
  <c r="B10" i="17"/>
  <c r="D9" i="17"/>
  <c r="B9" i="17"/>
  <c r="D8" i="17"/>
  <c r="B8" i="17"/>
  <c r="D7" i="17"/>
  <c r="B7" i="17"/>
  <c r="D6" i="17"/>
  <c r="B6" i="17"/>
  <c r="D5" i="17"/>
  <c r="B5" i="17"/>
  <c r="D4" i="17"/>
  <c r="B4" i="17"/>
  <c r="D3" i="17"/>
  <c r="B3" i="17"/>
  <c r="D2" i="17"/>
  <c r="B2" i="17"/>
  <c r="P134" i="17"/>
  <c r="P133" i="17"/>
  <c r="P132" i="17"/>
  <c r="P127" i="17"/>
  <c r="P126" i="17"/>
  <c r="P125" i="17"/>
  <c r="S23" i="17"/>
  <c r="Q40" i="27" l="1"/>
  <c r="R40" i="27"/>
  <c r="U45" i="24"/>
  <c r="G45" i="24" s="1"/>
  <c r="V45" i="24"/>
  <c r="X45" i="24" s="1"/>
  <c r="Z45" i="24" s="1"/>
  <c r="AB45" i="24" s="1"/>
  <c r="AD45" i="24" s="1"/>
  <c r="AF45" i="24" s="1"/>
  <c r="AH45" i="24" s="1"/>
  <c r="AJ45" i="24" s="1"/>
  <c r="G47" i="18"/>
  <c r="V87" i="18"/>
  <c r="U87" i="18"/>
  <c r="V86" i="18"/>
  <c r="U86" i="18"/>
  <c r="T89" i="18"/>
  <c r="S89" i="18"/>
  <c r="Y29" i="18"/>
  <c r="G29" i="18" s="1"/>
  <c r="Z29" i="18"/>
  <c r="AB29" i="18" s="1"/>
  <c r="AD29" i="18" s="1"/>
  <c r="AF29" i="18" s="1"/>
  <c r="AH29" i="18" s="1"/>
  <c r="T85" i="18"/>
  <c r="S85" i="18"/>
  <c r="V88" i="18"/>
  <c r="U88" i="18"/>
  <c r="P45" i="21"/>
  <c r="O45" i="21"/>
  <c r="P44" i="21"/>
  <c r="O44" i="21"/>
  <c r="G38" i="18"/>
  <c r="R41" i="18"/>
  <c r="Q41" i="18"/>
  <c r="R40" i="18"/>
  <c r="Q40" i="18"/>
  <c r="G32" i="18"/>
  <c r="AD31" i="18"/>
  <c r="AC31" i="18"/>
  <c r="AH30" i="18"/>
  <c r="AI30" i="18" s="1"/>
  <c r="AG30" i="18"/>
  <c r="I36" i="17"/>
  <c r="I37" i="17" s="1"/>
  <c r="I38" i="17" s="1"/>
  <c r="D36" i="17"/>
  <c r="D38" i="17" s="1"/>
  <c r="D37" i="17"/>
  <c r="AH87" i="1"/>
  <c r="N153" i="16"/>
  <c r="M153" i="16"/>
  <c r="P152" i="16"/>
  <c r="H155" i="16"/>
  <c r="K154" i="16"/>
  <c r="R151" i="16"/>
  <c r="T151" i="16" s="1"/>
  <c r="V151" i="16" s="1"/>
  <c r="X151" i="16" s="1"/>
  <c r="Z151" i="16" s="1"/>
  <c r="AB151" i="16" s="1"/>
  <c r="AD151" i="16" s="1"/>
  <c r="AF151" i="16" s="1"/>
  <c r="AH151" i="16" s="1"/>
  <c r="AJ151" i="16" s="1"/>
  <c r="AB97" i="1"/>
  <c r="AB98" i="1"/>
  <c r="AB96" i="1"/>
  <c r="D78" i="17"/>
  <c r="D80" i="17" s="1"/>
  <c r="D81" i="17" s="1"/>
  <c r="D77" i="17"/>
  <c r="D79" i="17" s="1"/>
  <c r="P89" i="17"/>
  <c r="N96" i="17"/>
  <c r="N95" i="17" s="1"/>
  <c r="P95" i="17" s="1"/>
  <c r="P90" i="17"/>
  <c r="N116" i="17"/>
  <c r="P114" i="17"/>
  <c r="N92" i="17"/>
  <c r="N93" i="17" s="1"/>
  <c r="P93" i="17" s="1"/>
  <c r="P103" i="17"/>
  <c r="N104" i="17"/>
  <c r="P87" i="17"/>
  <c r="N86" i="17"/>
  <c r="N75" i="17"/>
  <c r="N71" i="17"/>
  <c r="P29" i="17"/>
  <c r="P32" i="17"/>
  <c r="N33" i="17"/>
  <c r="N27" i="17"/>
  <c r="P28" i="17"/>
  <c r="P31" i="17"/>
  <c r="U23" i="17"/>
  <c r="H15" i="16"/>
  <c r="C3" i="16"/>
  <c r="C4" i="16" s="1"/>
  <c r="C5" i="16" s="1"/>
  <c r="C7" i="16" s="1"/>
  <c r="C8" i="16" s="1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B4" i="16"/>
  <c r="B5" i="16" s="1"/>
  <c r="B7" i="16" s="1"/>
  <c r="B8" i="16" s="1"/>
  <c r="L18" i="16"/>
  <c r="O17" i="16"/>
  <c r="T40" i="27" l="1"/>
  <c r="V40" i="27" s="1"/>
  <c r="X40" i="27" s="1"/>
  <c r="Z40" i="27" s="1"/>
  <c r="AB40" i="27" s="1"/>
  <c r="AD40" i="27" s="1"/>
  <c r="AF40" i="27" s="1"/>
  <c r="AH40" i="27" s="1"/>
  <c r="S40" i="27"/>
  <c r="G40" i="27" s="1"/>
  <c r="C10" i="16"/>
  <c r="C11" i="16" s="1"/>
  <c r="C12" i="16" s="1"/>
  <c r="C15" i="16" s="1"/>
  <c r="C9" i="16"/>
  <c r="B10" i="16"/>
  <c r="B11" i="16" s="1"/>
  <c r="B12" i="16" s="1"/>
  <c r="B9" i="16"/>
  <c r="R45" i="21"/>
  <c r="Q45" i="21"/>
  <c r="U85" i="18"/>
  <c r="V85" i="18"/>
  <c r="V89" i="18"/>
  <c r="U89" i="18"/>
  <c r="X86" i="18"/>
  <c r="Z86" i="18" s="1"/>
  <c r="AB86" i="18" s="1"/>
  <c r="AD86" i="18" s="1"/>
  <c r="AF86" i="18" s="1"/>
  <c r="AH86" i="18" s="1"/>
  <c r="W86" i="18"/>
  <c r="G86" i="18" s="1"/>
  <c r="O148" i="16"/>
  <c r="O149" i="16"/>
  <c r="O150" i="16"/>
  <c r="O151" i="16"/>
  <c r="O152" i="16"/>
  <c r="Q44" i="21"/>
  <c r="R44" i="21"/>
  <c r="X88" i="18"/>
  <c r="Z88" i="18" s="1"/>
  <c r="AB88" i="18" s="1"/>
  <c r="AD88" i="18" s="1"/>
  <c r="AF88" i="18" s="1"/>
  <c r="AH88" i="18" s="1"/>
  <c r="W88" i="18"/>
  <c r="G88" i="18" s="1"/>
  <c r="W87" i="18"/>
  <c r="G87" i="18" s="1"/>
  <c r="X87" i="18"/>
  <c r="Z87" i="18" s="1"/>
  <c r="AB87" i="18" s="1"/>
  <c r="AD87" i="18" s="1"/>
  <c r="AF87" i="18" s="1"/>
  <c r="AH87" i="18" s="1"/>
  <c r="T41" i="18"/>
  <c r="V41" i="18" s="1"/>
  <c r="X41" i="18" s="1"/>
  <c r="Z41" i="18" s="1"/>
  <c r="AB41" i="18" s="1"/>
  <c r="AD41" i="18" s="1"/>
  <c r="AF41" i="18" s="1"/>
  <c r="AH41" i="18" s="1"/>
  <c r="S41" i="18"/>
  <c r="G41" i="18" s="1"/>
  <c r="S40" i="18"/>
  <c r="G40" i="18" s="1"/>
  <c r="T40" i="18"/>
  <c r="V40" i="18" s="1"/>
  <c r="X40" i="18" s="1"/>
  <c r="Z40" i="18" s="1"/>
  <c r="AB40" i="18" s="1"/>
  <c r="AD40" i="18" s="1"/>
  <c r="AF40" i="18" s="1"/>
  <c r="AH40" i="18" s="1"/>
  <c r="G30" i="18"/>
  <c r="AF31" i="18"/>
  <c r="AE31" i="18"/>
  <c r="AJ87" i="1"/>
  <c r="R152" i="16"/>
  <c r="T152" i="16" s="1"/>
  <c r="V152" i="16" s="1"/>
  <c r="X152" i="16" s="1"/>
  <c r="Z152" i="16" s="1"/>
  <c r="AB152" i="16" s="1"/>
  <c r="AD152" i="16" s="1"/>
  <c r="AF152" i="16" s="1"/>
  <c r="AH152" i="16" s="1"/>
  <c r="AJ152" i="16" s="1"/>
  <c r="M154" i="16"/>
  <c r="N154" i="16"/>
  <c r="H156" i="16"/>
  <c r="K155" i="16"/>
  <c r="O153" i="16"/>
  <c r="P153" i="16"/>
  <c r="O137" i="16"/>
  <c r="O136" i="16"/>
  <c r="O147" i="16"/>
  <c r="O141" i="16"/>
  <c r="O146" i="16"/>
  <c r="O145" i="16"/>
  <c r="O139" i="16"/>
  <c r="O144" i="16"/>
  <c r="O143" i="16"/>
  <c r="O138" i="16"/>
  <c r="O142" i="16"/>
  <c r="O140" i="16"/>
  <c r="H130" i="16"/>
  <c r="H126" i="16"/>
  <c r="H122" i="16"/>
  <c r="H118" i="16"/>
  <c r="H114" i="16"/>
  <c r="H110" i="16"/>
  <c r="H106" i="16"/>
  <c r="H102" i="16"/>
  <c r="H98" i="16"/>
  <c r="H94" i="16"/>
  <c r="H90" i="16"/>
  <c r="H86" i="16"/>
  <c r="H82" i="16"/>
  <c r="H78" i="16"/>
  <c r="H74" i="16"/>
  <c r="H70" i="16"/>
  <c r="H66" i="16"/>
  <c r="H62" i="16"/>
  <c r="H58" i="16"/>
  <c r="H54" i="16"/>
  <c r="H50" i="16"/>
  <c r="H46" i="16"/>
  <c r="H42" i="16"/>
  <c r="H38" i="16"/>
  <c r="H34" i="16"/>
  <c r="H30" i="16"/>
  <c r="H26" i="16"/>
  <c r="K26" i="16" s="1"/>
  <c r="N26" i="16" s="1"/>
  <c r="O26" i="16" s="1"/>
  <c r="H22" i="16"/>
  <c r="K22" i="16" s="1"/>
  <c r="N22" i="16" s="1"/>
  <c r="P22" i="16" s="1"/>
  <c r="H18" i="16"/>
  <c r="H129" i="16"/>
  <c r="H125" i="16"/>
  <c r="H121" i="16"/>
  <c r="H113" i="16"/>
  <c r="H105" i="16"/>
  <c r="H97" i="16"/>
  <c r="H89" i="16"/>
  <c r="H132" i="16"/>
  <c r="H128" i="16"/>
  <c r="H124" i="16"/>
  <c r="H120" i="16"/>
  <c r="H116" i="16"/>
  <c r="H112" i="16"/>
  <c r="H108" i="16"/>
  <c r="H104" i="16"/>
  <c r="H100" i="16"/>
  <c r="H96" i="16"/>
  <c r="H92" i="16"/>
  <c r="H88" i="16"/>
  <c r="H84" i="16"/>
  <c r="H80" i="16"/>
  <c r="H76" i="16"/>
  <c r="H72" i="16"/>
  <c r="H68" i="16"/>
  <c r="H64" i="16"/>
  <c r="H60" i="16"/>
  <c r="H56" i="16"/>
  <c r="H52" i="16"/>
  <c r="H48" i="16"/>
  <c r="H44" i="16"/>
  <c r="H40" i="16"/>
  <c r="H36" i="16"/>
  <c r="H32" i="16"/>
  <c r="H28" i="16"/>
  <c r="K28" i="16" s="1"/>
  <c r="N28" i="16" s="1"/>
  <c r="P28" i="16" s="1"/>
  <c r="H24" i="16"/>
  <c r="K24" i="16" s="1"/>
  <c r="N24" i="16" s="1"/>
  <c r="O24" i="16" s="1"/>
  <c r="H20" i="16"/>
  <c r="K20" i="16" s="1"/>
  <c r="N20" i="16" s="1"/>
  <c r="P20" i="16" s="1"/>
  <c r="H131" i="16"/>
  <c r="H127" i="16"/>
  <c r="H123" i="16"/>
  <c r="H119" i="16"/>
  <c r="H115" i="16"/>
  <c r="H111" i="16"/>
  <c r="H107" i="16"/>
  <c r="H103" i="16"/>
  <c r="H99" i="16"/>
  <c r="H95" i="16"/>
  <c r="H91" i="16"/>
  <c r="H87" i="16"/>
  <c r="H83" i="16"/>
  <c r="H79" i="16"/>
  <c r="H75" i="16"/>
  <c r="H71" i="16"/>
  <c r="H67" i="16"/>
  <c r="H63" i="16"/>
  <c r="H59" i="16"/>
  <c r="H55" i="16"/>
  <c r="H51" i="16"/>
  <c r="H47" i="16"/>
  <c r="H43" i="16"/>
  <c r="H39" i="16"/>
  <c r="H35" i="16"/>
  <c r="H31" i="16"/>
  <c r="H27" i="16"/>
  <c r="H23" i="16"/>
  <c r="H19" i="16"/>
  <c r="K19" i="16" s="1"/>
  <c r="N19" i="16" s="1"/>
  <c r="O19" i="16" s="1"/>
  <c r="H117" i="16"/>
  <c r="H109" i="16"/>
  <c r="H101" i="16"/>
  <c r="H93" i="16"/>
  <c r="H73" i="16"/>
  <c r="H57" i="16"/>
  <c r="H41" i="16"/>
  <c r="H25" i="16"/>
  <c r="K25" i="16" s="1"/>
  <c r="H85" i="16"/>
  <c r="H69" i="16"/>
  <c r="H53" i="16"/>
  <c r="H37" i="16"/>
  <c r="H21" i="16"/>
  <c r="K21" i="16" s="1"/>
  <c r="H77" i="16"/>
  <c r="H61" i="16"/>
  <c r="H45" i="16"/>
  <c r="H29" i="16"/>
  <c r="H81" i="16"/>
  <c r="H65" i="16"/>
  <c r="H49" i="16"/>
  <c r="H33" i="16"/>
  <c r="O135" i="16"/>
  <c r="AD97" i="1"/>
  <c r="AD98" i="1"/>
  <c r="AD96" i="1"/>
  <c r="P96" i="17"/>
  <c r="P92" i="17"/>
  <c r="N117" i="17"/>
  <c r="P116" i="17"/>
  <c r="N105" i="17"/>
  <c r="P104" i="17"/>
  <c r="P86" i="17"/>
  <c r="N70" i="17"/>
  <c r="P71" i="17"/>
  <c r="P75" i="17"/>
  <c r="N76" i="17"/>
  <c r="N26" i="17"/>
  <c r="P27" i="17"/>
  <c r="N34" i="17"/>
  <c r="P37" i="17" s="1"/>
  <c r="P33" i="17"/>
  <c r="W23" i="17"/>
  <c r="C14" i="16"/>
  <c r="K23" i="16"/>
  <c r="N23" i="16" s="1"/>
  <c r="O23" i="16" s="1"/>
  <c r="K18" i="16"/>
  <c r="N18" i="16" s="1"/>
  <c r="P18" i="16" s="1"/>
  <c r="R18" i="16" s="1"/>
  <c r="T18" i="16" s="1"/>
  <c r="V18" i="16" s="1"/>
  <c r="X18" i="16" s="1"/>
  <c r="Z18" i="16" s="1"/>
  <c r="AB18" i="16" s="1"/>
  <c r="AD18" i="16" s="1"/>
  <c r="AF18" i="16" s="1"/>
  <c r="AH18" i="16" s="1"/>
  <c r="AJ18" i="16" s="1"/>
  <c r="B15" i="16"/>
  <c r="B14" i="16"/>
  <c r="B13" i="16"/>
  <c r="Q17" i="16"/>
  <c r="Q152" i="16" s="1"/>
  <c r="F88" i="1"/>
  <c r="F88" i="7"/>
  <c r="F88" i="8"/>
  <c r="F89" i="9"/>
  <c r="C13" i="16" l="1"/>
  <c r="S44" i="21"/>
  <c r="T44" i="21"/>
  <c r="X89" i="18"/>
  <c r="Z89" i="18" s="1"/>
  <c r="AB89" i="18" s="1"/>
  <c r="AD89" i="18" s="1"/>
  <c r="AF89" i="18" s="1"/>
  <c r="AH89" i="18" s="1"/>
  <c r="W89" i="18"/>
  <c r="G89" i="18" s="1"/>
  <c r="T45" i="21"/>
  <c r="S45" i="21"/>
  <c r="Q148" i="16"/>
  <c r="Q149" i="16"/>
  <c r="Q150" i="16"/>
  <c r="Q151" i="16"/>
  <c r="W85" i="18"/>
  <c r="G85" i="18" s="1"/>
  <c r="X85" i="18"/>
  <c r="Z85" i="18" s="1"/>
  <c r="AB85" i="18" s="1"/>
  <c r="AD85" i="18" s="1"/>
  <c r="AF85" i="18" s="1"/>
  <c r="AH85" i="18" s="1"/>
  <c r="AH31" i="18"/>
  <c r="AI31" i="18" s="1"/>
  <c r="AG31" i="18"/>
  <c r="O154" i="16"/>
  <c r="P154" i="16"/>
  <c r="N155" i="16"/>
  <c r="M155" i="16"/>
  <c r="Q153" i="16"/>
  <c r="R153" i="16"/>
  <c r="T153" i="16" s="1"/>
  <c r="V153" i="16" s="1"/>
  <c r="X153" i="16" s="1"/>
  <c r="Z153" i="16" s="1"/>
  <c r="AB153" i="16" s="1"/>
  <c r="AD153" i="16" s="1"/>
  <c r="AF153" i="16" s="1"/>
  <c r="AH153" i="16" s="1"/>
  <c r="AJ153" i="16" s="1"/>
  <c r="H157" i="16"/>
  <c r="K156" i="16"/>
  <c r="Q136" i="16"/>
  <c r="Q137" i="16"/>
  <c r="Q147" i="16"/>
  <c r="Q144" i="16"/>
  <c r="Q142" i="16"/>
  <c r="Q143" i="16"/>
  <c r="Q145" i="16"/>
  <c r="Q140" i="16"/>
  <c r="Q146" i="16"/>
  <c r="Q139" i="16"/>
  <c r="Q141" i="16"/>
  <c r="Q138" i="16"/>
  <c r="N21" i="16"/>
  <c r="P21" i="16" s="1"/>
  <c r="R21" i="16" s="1"/>
  <c r="M21" i="16"/>
  <c r="Q135" i="16"/>
  <c r="AF97" i="1"/>
  <c r="AF98" i="1"/>
  <c r="AF96" i="1"/>
  <c r="N118" i="17"/>
  <c r="P118" i="17" s="1"/>
  <c r="P117" i="17"/>
  <c r="P105" i="17"/>
  <c r="N106" i="17"/>
  <c r="P85" i="17"/>
  <c r="N84" i="17"/>
  <c r="P76" i="17"/>
  <c r="N78" i="17"/>
  <c r="P70" i="17"/>
  <c r="N69" i="17"/>
  <c r="N36" i="17"/>
  <c r="P34" i="17"/>
  <c r="N25" i="17"/>
  <c r="P26" i="17"/>
  <c r="Y23" i="17"/>
  <c r="M22" i="16"/>
  <c r="M18" i="16"/>
  <c r="P19" i="16"/>
  <c r="R19" i="16" s="1"/>
  <c r="O18" i="16"/>
  <c r="O22" i="16"/>
  <c r="N25" i="16"/>
  <c r="P25" i="16" s="1"/>
  <c r="Q25" i="16" s="1"/>
  <c r="M25" i="16"/>
  <c r="M19" i="16"/>
  <c r="M23" i="16"/>
  <c r="P23" i="16"/>
  <c r="R23" i="16" s="1"/>
  <c r="M26" i="16"/>
  <c r="P24" i="16"/>
  <c r="R24" i="16" s="1"/>
  <c r="P26" i="16"/>
  <c r="R26" i="16" s="1"/>
  <c r="K31" i="16"/>
  <c r="M28" i="16"/>
  <c r="M24" i="16"/>
  <c r="M20" i="16"/>
  <c r="O20" i="16"/>
  <c r="O28" i="16"/>
  <c r="K27" i="16"/>
  <c r="K29" i="16"/>
  <c r="R28" i="16"/>
  <c r="Q28" i="16"/>
  <c r="R22" i="16"/>
  <c r="Q22" i="16"/>
  <c r="R20" i="16"/>
  <c r="Q20" i="16"/>
  <c r="S17" i="16"/>
  <c r="Q18" i="16"/>
  <c r="L87" i="9"/>
  <c r="F87" i="9"/>
  <c r="K87" i="9" s="1"/>
  <c r="N87" i="9" s="1"/>
  <c r="P87" i="9" s="1"/>
  <c r="L86" i="8"/>
  <c r="F86" i="8"/>
  <c r="K86" i="8" s="1"/>
  <c r="N86" i="8" s="1"/>
  <c r="P86" i="8" s="1"/>
  <c r="R86" i="8" s="1"/>
  <c r="T86" i="8" s="1"/>
  <c r="V86" i="8" s="1"/>
  <c r="X86" i="8" s="1"/>
  <c r="Z86" i="8" s="1"/>
  <c r="AB86" i="8" s="1"/>
  <c r="AD86" i="8" s="1"/>
  <c r="AF86" i="8" s="1"/>
  <c r="AH86" i="8" s="1"/>
  <c r="AJ86" i="8" s="1"/>
  <c r="L86" i="7"/>
  <c r="F86" i="7"/>
  <c r="K86" i="7" s="1"/>
  <c r="N86" i="7" s="1"/>
  <c r="P86" i="7" s="1"/>
  <c r="R86" i="7" s="1"/>
  <c r="T86" i="7" s="1"/>
  <c r="V86" i="7" s="1"/>
  <c r="X86" i="7" s="1"/>
  <c r="Z86" i="7" s="1"/>
  <c r="AB86" i="7" s="1"/>
  <c r="AD86" i="7" s="1"/>
  <c r="AF86" i="7" s="1"/>
  <c r="AH86" i="7" s="1"/>
  <c r="AJ86" i="7" s="1"/>
  <c r="L86" i="1"/>
  <c r="F86" i="1"/>
  <c r="K86" i="1" s="1"/>
  <c r="M86" i="1" s="1"/>
  <c r="L89" i="9"/>
  <c r="K89" i="9"/>
  <c r="L88" i="8"/>
  <c r="K88" i="8"/>
  <c r="N88" i="8" s="1"/>
  <c r="P88" i="8" s="1"/>
  <c r="R88" i="8" s="1"/>
  <c r="T88" i="8" s="1"/>
  <c r="V88" i="8" s="1"/>
  <c r="X88" i="8" s="1"/>
  <c r="Z88" i="8" s="1"/>
  <c r="AB88" i="8" s="1"/>
  <c r="AD88" i="8" s="1"/>
  <c r="AF88" i="8" s="1"/>
  <c r="AH88" i="8" s="1"/>
  <c r="AJ88" i="8" s="1"/>
  <c r="L88" i="7"/>
  <c r="K88" i="7"/>
  <c r="N88" i="7" s="1"/>
  <c r="P88" i="7" s="1"/>
  <c r="R88" i="7" s="1"/>
  <c r="T88" i="7" s="1"/>
  <c r="V88" i="7" s="1"/>
  <c r="X88" i="7" s="1"/>
  <c r="Z88" i="7" s="1"/>
  <c r="AB88" i="7" s="1"/>
  <c r="AD88" i="7" s="1"/>
  <c r="AF88" i="7" s="1"/>
  <c r="AH88" i="7" s="1"/>
  <c r="AJ88" i="7" s="1"/>
  <c r="L83" i="1"/>
  <c r="F83" i="1"/>
  <c r="K83" i="1" s="1"/>
  <c r="L15" i="9"/>
  <c r="L14" i="9"/>
  <c r="C15" i="9"/>
  <c r="C14" i="9"/>
  <c r="B15" i="9"/>
  <c r="B14" i="9"/>
  <c r="L15" i="8"/>
  <c r="L14" i="8"/>
  <c r="C15" i="8"/>
  <c r="C14" i="8"/>
  <c r="B15" i="8"/>
  <c r="B14" i="8"/>
  <c r="L15" i="7"/>
  <c r="L14" i="7"/>
  <c r="C15" i="7"/>
  <c r="C14" i="7"/>
  <c r="B15" i="7"/>
  <c r="B14" i="7"/>
  <c r="D91" i="1"/>
  <c r="D90" i="1" s="1"/>
  <c r="L90" i="1"/>
  <c r="C90" i="1"/>
  <c r="C90" i="7"/>
  <c r="D91" i="7"/>
  <c r="D90" i="7" s="1"/>
  <c r="L90" i="7"/>
  <c r="L120" i="9"/>
  <c r="L128" i="9"/>
  <c r="L140" i="9"/>
  <c r="L138" i="9"/>
  <c r="L137" i="9"/>
  <c r="L136" i="9"/>
  <c r="L134" i="9"/>
  <c r="L133" i="9"/>
  <c r="L131" i="9"/>
  <c r="L130" i="9"/>
  <c r="L127" i="9"/>
  <c r="L125" i="9"/>
  <c r="L124" i="9"/>
  <c r="L123" i="9"/>
  <c r="L122" i="9"/>
  <c r="L121" i="9"/>
  <c r="L118" i="9"/>
  <c r="L21" i="9"/>
  <c r="L20" i="9"/>
  <c r="L19" i="9"/>
  <c r="L18" i="9"/>
  <c r="L17" i="9"/>
  <c r="L16" i="9"/>
  <c r="L13" i="9"/>
  <c r="L12" i="9"/>
  <c r="L11" i="9"/>
  <c r="L10" i="9"/>
  <c r="L9" i="9"/>
  <c r="L8" i="9"/>
  <c r="L7" i="9"/>
  <c r="L6" i="9"/>
  <c r="L5" i="9"/>
  <c r="L4" i="9"/>
  <c r="L3" i="9"/>
  <c r="C21" i="9"/>
  <c r="B21" i="9"/>
  <c r="C20" i="9"/>
  <c r="B20" i="9"/>
  <c r="C19" i="9"/>
  <c r="B19" i="9"/>
  <c r="C18" i="9"/>
  <c r="C17" i="9"/>
  <c r="B17" i="9"/>
  <c r="B18" i="9"/>
  <c r="L21" i="8"/>
  <c r="L20" i="8"/>
  <c r="L19" i="8"/>
  <c r="L18" i="8"/>
  <c r="L17" i="8"/>
  <c r="L16" i="8"/>
  <c r="L13" i="8"/>
  <c r="L12" i="8"/>
  <c r="L11" i="8"/>
  <c r="L10" i="8"/>
  <c r="L9" i="8"/>
  <c r="L8" i="8"/>
  <c r="L7" i="8"/>
  <c r="L6" i="8"/>
  <c r="L5" i="8"/>
  <c r="L4" i="8"/>
  <c r="L3" i="8"/>
  <c r="C21" i="8"/>
  <c r="B21" i="8"/>
  <c r="C20" i="8"/>
  <c r="B20" i="8"/>
  <c r="C19" i="8"/>
  <c r="B19" i="8"/>
  <c r="C18" i="8"/>
  <c r="C17" i="8"/>
  <c r="B17" i="8"/>
  <c r="B18" i="8"/>
  <c r="L21" i="7"/>
  <c r="L20" i="7"/>
  <c r="L19" i="7"/>
  <c r="L18" i="7"/>
  <c r="L17" i="7"/>
  <c r="L16" i="7"/>
  <c r="L13" i="7"/>
  <c r="L12" i="7"/>
  <c r="L11" i="7"/>
  <c r="L10" i="7"/>
  <c r="L9" i="7"/>
  <c r="L8" i="7"/>
  <c r="L7" i="7"/>
  <c r="L6" i="7"/>
  <c r="L5" i="7"/>
  <c r="L4" i="7"/>
  <c r="L3" i="7"/>
  <c r="C21" i="7"/>
  <c r="B21" i="7"/>
  <c r="C20" i="7"/>
  <c r="B20" i="7"/>
  <c r="C19" i="7"/>
  <c r="B19" i="7"/>
  <c r="C18" i="7"/>
  <c r="B18" i="7"/>
  <c r="C17" i="7"/>
  <c r="B17" i="7"/>
  <c r="C16" i="7"/>
  <c r="L71" i="1"/>
  <c r="L31" i="9"/>
  <c r="L31" i="8"/>
  <c r="L31" i="7"/>
  <c r="J66" i="12"/>
  <c r="D53" i="12"/>
  <c r="D54" i="12" s="1"/>
  <c r="J54" i="12"/>
  <c r="J53" i="12"/>
  <c r="L109" i="9"/>
  <c r="L108" i="9"/>
  <c r="D63" i="12"/>
  <c r="D64" i="12" s="1"/>
  <c r="D61" i="12"/>
  <c r="J64" i="12"/>
  <c r="J63" i="12"/>
  <c r="J62" i="12"/>
  <c r="D62" i="12"/>
  <c r="J61" i="12"/>
  <c r="J60" i="12"/>
  <c r="D60" i="12"/>
  <c r="J59" i="12"/>
  <c r="J58" i="12"/>
  <c r="J57" i="12"/>
  <c r="D58" i="12"/>
  <c r="J42" i="12"/>
  <c r="J41" i="12"/>
  <c r="J24" i="12"/>
  <c r="D24" i="12"/>
  <c r="J23" i="12"/>
  <c r="D55" i="12"/>
  <c r="D56" i="12" s="1"/>
  <c r="J56" i="12"/>
  <c r="J55" i="12"/>
  <c r="D51" i="12"/>
  <c r="D52" i="12" s="1"/>
  <c r="J52" i="12"/>
  <c r="J51" i="12"/>
  <c r="J50" i="12"/>
  <c r="J49" i="12"/>
  <c r="D50" i="12"/>
  <c r="J48" i="12"/>
  <c r="D48" i="12"/>
  <c r="J47" i="12"/>
  <c r="J46" i="12"/>
  <c r="J45" i="12"/>
  <c r="J44" i="12"/>
  <c r="J43" i="12"/>
  <c r="J40" i="12"/>
  <c r="J39" i="12"/>
  <c r="J38" i="12"/>
  <c r="J37" i="12"/>
  <c r="D31" i="12"/>
  <c r="D37" i="12" s="1"/>
  <c r="D25" i="12"/>
  <c r="D26" i="12" s="1"/>
  <c r="J36" i="12"/>
  <c r="J35" i="12"/>
  <c r="J34" i="12"/>
  <c r="J33" i="12"/>
  <c r="J32" i="12"/>
  <c r="J31" i="12"/>
  <c r="D33" i="12"/>
  <c r="D43" i="12" s="1"/>
  <c r="D44" i="12" s="1"/>
  <c r="J30" i="12"/>
  <c r="J29" i="12"/>
  <c r="J28" i="12"/>
  <c r="J27" i="12"/>
  <c r="D27" i="12"/>
  <c r="D29" i="12" s="1"/>
  <c r="D30" i="12" s="1"/>
  <c r="J26" i="12"/>
  <c r="J25" i="12"/>
  <c r="J22" i="12"/>
  <c r="J21" i="12"/>
  <c r="D19" i="12"/>
  <c r="D20" i="12" s="1"/>
  <c r="D18" i="12"/>
  <c r="J20" i="12"/>
  <c r="J19" i="12"/>
  <c r="J18" i="12"/>
  <c r="J17" i="12"/>
  <c r="M16" i="12"/>
  <c r="R2" i="9"/>
  <c r="M2" i="9"/>
  <c r="R2" i="8"/>
  <c r="M2" i="8"/>
  <c r="L107" i="9"/>
  <c r="F96" i="8"/>
  <c r="L96" i="8"/>
  <c r="L57" i="9"/>
  <c r="D57" i="9"/>
  <c r="B57" i="9"/>
  <c r="L57" i="8"/>
  <c r="D57" i="8"/>
  <c r="B57" i="8"/>
  <c r="D62" i="7"/>
  <c r="D57" i="7"/>
  <c r="B57" i="7"/>
  <c r="L57" i="7"/>
  <c r="L57" i="1"/>
  <c r="C53" i="9"/>
  <c r="B53" i="9"/>
  <c r="C53" i="8"/>
  <c r="B53" i="8"/>
  <c r="C53" i="7"/>
  <c r="B53" i="7"/>
  <c r="L53" i="7"/>
  <c r="L53" i="1"/>
  <c r="D53" i="1"/>
  <c r="D53" i="24" s="1"/>
  <c r="F53" i="24" s="1"/>
  <c r="L53" i="9"/>
  <c r="L53" i="8"/>
  <c r="C49" i="9"/>
  <c r="C49" i="8"/>
  <c r="L84" i="9"/>
  <c r="L83" i="9"/>
  <c r="L82" i="9"/>
  <c r="L81" i="9"/>
  <c r="L80" i="9"/>
  <c r="L79" i="9"/>
  <c r="L78" i="9"/>
  <c r="L77" i="9"/>
  <c r="L76" i="9"/>
  <c r="L75" i="9"/>
  <c r="L74" i="9"/>
  <c r="L73" i="9"/>
  <c r="L71" i="9"/>
  <c r="L70" i="9"/>
  <c r="L69" i="9"/>
  <c r="L68" i="9"/>
  <c r="L66" i="9"/>
  <c r="L65" i="9"/>
  <c r="L64" i="9"/>
  <c r="L56" i="9"/>
  <c r="L55" i="9"/>
  <c r="L54" i="9"/>
  <c r="L52" i="9"/>
  <c r="L51" i="9"/>
  <c r="L50" i="9"/>
  <c r="L49" i="9"/>
  <c r="L48" i="9"/>
  <c r="L47" i="9"/>
  <c r="L44" i="9"/>
  <c r="L42" i="9"/>
  <c r="L41" i="9"/>
  <c r="L40" i="9"/>
  <c r="L39" i="9"/>
  <c r="L38" i="9"/>
  <c r="L37" i="9"/>
  <c r="L36" i="9"/>
  <c r="L35" i="9"/>
  <c r="L34" i="9"/>
  <c r="L33" i="9"/>
  <c r="L32" i="9"/>
  <c r="L83" i="8"/>
  <c r="L82" i="8"/>
  <c r="L81" i="8"/>
  <c r="L80" i="8"/>
  <c r="L79" i="8"/>
  <c r="L78" i="8"/>
  <c r="L77" i="8"/>
  <c r="L76" i="8"/>
  <c r="L75" i="8"/>
  <c r="L74" i="8"/>
  <c r="L73" i="8"/>
  <c r="L72" i="8"/>
  <c r="L70" i="8"/>
  <c r="L69" i="8"/>
  <c r="L68" i="8"/>
  <c r="L67" i="8"/>
  <c r="L66" i="8"/>
  <c r="L65" i="8"/>
  <c r="L64" i="8"/>
  <c r="L63" i="8"/>
  <c r="L62" i="8"/>
  <c r="L56" i="8"/>
  <c r="L55" i="8"/>
  <c r="L54" i="8"/>
  <c r="L52" i="8"/>
  <c r="L51" i="8"/>
  <c r="L50" i="8"/>
  <c r="L49" i="8"/>
  <c r="L48" i="8"/>
  <c r="L47" i="8"/>
  <c r="L44" i="8"/>
  <c r="L42" i="8"/>
  <c r="L41" i="8"/>
  <c r="L40" i="8"/>
  <c r="L39" i="8"/>
  <c r="L38" i="8"/>
  <c r="L37" i="8"/>
  <c r="L36" i="8"/>
  <c r="L35" i="8"/>
  <c r="L34" i="8"/>
  <c r="L33" i="8"/>
  <c r="L32" i="8"/>
  <c r="L83" i="7"/>
  <c r="L82" i="7"/>
  <c r="L81" i="7"/>
  <c r="L80" i="7"/>
  <c r="L79" i="7"/>
  <c r="L78" i="7"/>
  <c r="L77" i="7"/>
  <c r="L76" i="7"/>
  <c r="L75" i="7"/>
  <c r="L74" i="7"/>
  <c r="L73" i="7"/>
  <c r="L72" i="7"/>
  <c r="L70" i="7"/>
  <c r="L69" i="7"/>
  <c r="L68" i="7"/>
  <c r="L67" i="7"/>
  <c r="L66" i="7"/>
  <c r="L65" i="7"/>
  <c r="L64" i="7"/>
  <c r="L63" i="7"/>
  <c r="L62" i="7"/>
  <c r="L56" i="7"/>
  <c r="L55" i="7"/>
  <c r="L54" i="7"/>
  <c r="L52" i="7"/>
  <c r="L51" i="7"/>
  <c r="L50" i="7"/>
  <c r="L49" i="7"/>
  <c r="L48" i="7"/>
  <c r="L47" i="7"/>
  <c r="L44" i="7"/>
  <c r="L42" i="7"/>
  <c r="L41" i="7"/>
  <c r="L40" i="7"/>
  <c r="L39" i="7"/>
  <c r="L38" i="7"/>
  <c r="L37" i="7"/>
  <c r="L36" i="7"/>
  <c r="L35" i="7"/>
  <c r="L34" i="7"/>
  <c r="L33" i="7"/>
  <c r="L32" i="7"/>
  <c r="L88" i="1"/>
  <c r="L82" i="1"/>
  <c r="L81" i="1"/>
  <c r="L80" i="1"/>
  <c r="L79" i="1"/>
  <c r="L78" i="1"/>
  <c r="L77" i="1"/>
  <c r="L76" i="1"/>
  <c r="L75" i="1"/>
  <c r="L74" i="1"/>
  <c r="L73" i="1"/>
  <c r="L72" i="1"/>
  <c r="L70" i="1"/>
  <c r="L69" i="1"/>
  <c r="L68" i="1"/>
  <c r="L67" i="1"/>
  <c r="L66" i="1"/>
  <c r="L65" i="1"/>
  <c r="L64" i="1"/>
  <c r="L63" i="1"/>
  <c r="L62" i="1"/>
  <c r="L56" i="1"/>
  <c r="L55" i="1"/>
  <c r="L54" i="1"/>
  <c r="L52" i="1"/>
  <c r="L51" i="1"/>
  <c r="L50" i="1"/>
  <c r="L49" i="1"/>
  <c r="L48" i="1"/>
  <c r="L47" i="1"/>
  <c r="L44" i="1"/>
  <c r="L42" i="1"/>
  <c r="L41" i="1"/>
  <c r="L40" i="1"/>
  <c r="L39" i="1"/>
  <c r="L38" i="1"/>
  <c r="L37" i="1"/>
  <c r="L36" i="1"/>
  <c r="L35" i="1"/>
  <c r="L34" i="1"/>
  <c r="L33" i="1"/>
  <c r="L32" i="1"/>
  <c r="K31" i="9"/>
  <c r="J31" i="9"/>
  <c r="K31" i="8"/>
  <c r="J31" i="8"/>
  <c r="K31" i="7"/>
  <c r="J31" i="7"/>
  <c r="C71" i="9"/>
  <c r="C70" i="9"/>
  <c r="B70" i="9"/>
  <c r="D69" i="9"/>
  <c r="C69" i="9"/>
  <c r="B69" i="9"/>
  <c r="C68" i="9"/>
  <c r="C66" i="9"/>
  <c r="B66" i="9"/>
  <c r="D65" i="9"/>
  <c r="C65" i="9"/>
  <c r="B65" i="9"/>
  <c r="B64" i="9"/>
  <c r="D56" i="9"/>
  <c r="B56" i="9"/>
  <c r="D55" i="9"/>
  <c r="D115" i="9" s="1"/>
  <c r="C55" i="9"/>
  <c r="B55" i="9"/>
  <c r="D54" i="9"/>
  <c r="D60" i="9" s="1"/>
  <c r="C54" i="9"/>
  <c r="B54" i="9"/>
  <c r="D52" i="9"/>
  <c r="C52" i="9"/>
  <c r="B52" i="9"/>
  <c r="D51" i="9"/>
  <c r="C51" i="9"/>
  <c r="B51" i="9"/>
  <c r="C50" i="9"/>
  <c r="B50" i="9"/>
  <c r="D49" i="9"/>
  <c r="B49" i="9"/>
  <c r="C48" i="9"/>
  <c r="B48" i="9"/>
  <c r="D47" i="9"/>
  <c r="C47" i="9"/>
  <c r="B47" i="9"/>
  <c r="D44" i="9"/>
  <c r="C44" i="9"/>
  <c r="B44" i="9"/>
  <c r="D42" i="9"/>
  <c r="C42" i="9"/>
  <c r="B42" i="9"/>
  <c r="C41" i="9"/>
  <c r="B41" i="9"/>
  <c r="D40" i="9"/>
  <c r="C40" i="9"/>
  <c r="B40" i="9"/>
  <c r="D39" i="9"/>
  <c r="C39" i="9"/>
  <c r="B39" i="9"/>
  <c r="C38" i="9"/>
  <c r="B38" i="9"/>
  <c r="D37" i="9"/>
  <c r="C37" i="9"/>
  <c r="B37" i="9"/>
  <c r="D36" i="9"/>
  <c r="C36" i="9"/>
  <c r="B36" i="9"/>
  <c r="D35" i="9"/>
  <c r="D16" i="9" s="1"/>
  <c r="F16" i="9" s="1"/>
  <c r="M16" i="24" s="1"/>
  <c r="C35" i="9"/>
  <c r="B35" i="9"/>
  <c r="D34" i="9"/>
  <c r="D3" i="9" s="1"/>
  <c r="C34" i="9"/>
  <c r="B34" i="9"/>
  <c r="D33" i="9"/>
  <c r="D7" i="9" s="1"/>
  <c r="C33" i="9"/>
  <c r="B33" i="9"/>
  <c r="D32" i="9"/>
  <c r="F32" i="9" s="1"/>
  <c r="C32" i="9"/>
  <c r="B32" i="9"/>
  <c r="C70" i="8"/>
  <c r="B70" i="8"/>
  <c r="C69" i="8"/>
  <c r="B69" i="8"/>
  <c r="D68" i="8"/>
  <c r="C68" i="8"/>
  <c r="B68" i="8"/>
  <c r="C67" i="8"/>
  <c r="B67" i="8"/>
  <c r="C66" i="8"/>
  <c r="B66" i="8"/>
  <c r="D65" i="8"/>
  <c r="C65" i="8"/>
  <c r="B65" i="8"/>
  <c r="C64" i="8"/>
  <c r="B64" i="8"/>
  <c r="D63" i="8"/>
  <c r="B63" i="8"/>
  <c r="D62" i="8"/>
  <c r="B62" i="8"/>
  <c r="D56" i="8"/>
  <c r="B56" i="8"/>
  <c r="D55" i="8"/>
  <c r="B55" i="8"/>
  <c r="D54" i="8"/>
  <c r="D60" i="8" s="1"/>
  <c r="C54" i="8"/>
  <c r="B54" i="8"/>
  <c r="D52" i="8"/>
  <c r="C52" i="8"/>
  <c r="B52" i="8"/>
  <c r="D51" i="8"/>
  <c r="C51" i="8"/>
  <c r="B51" i="8"/>
  <c r="C50" i="8"/>
  <c r="B50" i="8"/>
  <c r="D49" i="8"/>
  <c r="B49" i="8"/>
  <c r="C48" i="8"/>
  <c r="B48" i="8"/>
  <c r="D47" i="8"/>
  <c r="C47" i="8"/>
  <c r="B47" i="8"/>
  <c r="D44" i="8"/>
  <c r="C44" i="8"/>
  <c r="B44" i="8"/>
  <c r="D42" i="8"/>
  <c r="C42" i="8"/>
  <c r="B42" i="8"/>
  <c r="C41" i="8"/>
  <c r="B41" i="8"/>
  <c r="D40" i="8"/>
  <c r="C40" i="8"/>
  <c r="B40" i="8"/>
  <c r="D39" i="8"/>
  <c r="C39" i="8"/>
  <c r="B39" i="8"/>
  <c r="C38" i="8"/>
  <c r="B38" i="8"/>
  <c r="D37" i="8"/>
  <c r="C37" i="8"/>
  <c r="B37" i="8"/>
  <c r="D36" i="8"/>
  <c r="D58" i="8" s="1"/>
  <c r="C36" i="8"/>
  <c r="B36" i="8"/>
  <c r="D35" i="8"/>
  <c r="D16" i="8" s="1"/>
  <c r="F16" i="8" s="1"/>
  <c r="K16" i="8" s="1"/>
  <c r="C35" i="8"/>
  <c r="B35" i="8"/>
  <c r="D34" i="8"/>
  <c r="C34" i="8"/>
  <c r="B34" i="8"/>
  <c r="D33" i="8"/>
  <c r="D7" i="8" s="1"/>
  <c r="C33" i="8"/>
  <c r="B33" i="8"/>
  <c r="D32" i="8"/>
  <c r="F82" i="8" s="1"/>
  <c r="K82" i="8" s="1"/>
  <c r="C32" i="8"/>
  <c r="B32" i="8"/>
  <c r="C70" i="7"/>
  <c r="B70" i="7"/>
  <c r="C69" i="7"/>
  <c r="B69" i="7"/>
  <c r="D68" i="7"/>
  <c r="C68" i="7"/>
  <c r="B68" i="7"/>
  <c r="C67" i="7"/>
  <c r="B67" i="7"/>
  <c r="C66" i="7"/>
  <c r="B66" i="7"/>
  <c r="D65" i="7"/>
  <c r="C65" i="7"/>
  <c r="B65" i="7"/>
  <c r="C64" i="7"/>
  <c r="B64" i="7"/>
  <c r="D63" i="7"/>
  <c r="B63" i="7"/>
  <c r="B62" i="7"/>
  <c r="D56" i="7"/>
  <c r="C56" i="7"/>
  <c r="B56" i="7"/>
  <c r="D55" i="7"/>
  <c r="C55" i="7"/>
  <c r="B55" i="7"/>
  <c r="D54" i="7"/>
  <c r="C54" i="7"/>
  <c r="B54" i="7"/>
  <c r="D52" i="7"/>
  <c r="C52" i="7"/>
  <c r="B52" i="7"/>
  <c r="D51" i="7"/>
  <c r="C51" i="7"/>
  <c r="B51" i="7"/>
  <c r="C50" i="7"/>
  <c r="B50" i="7"/>
  <c r="D49" i="7"/>
  <c r="C49" i="7"/>
  <c r="B49" i="7"/>
  <c r="C48" i="7"/>
  <c r="B48" i="7"/>
  <c r="D47" i="7"/>
  <c r="C47" i="7"/>
  <c r="B47" i="7"/>
  <c r="D44" i="7"/>
  <c r="C44" i="7"/>
  <c r="B44" i="7"/>
  <c r="D42" i="7"/>
  <c r="C42" i="7"/>
  <c r="B42" i="7"/>
  <c r="C41" i="7"/>
  <c r="B41" i="7"/>
  <c r="D40" i="7"/>
  <c r="D3" i="7" s="1"/>
  <c r="C40" i="7"/>
  <c r="B40" i="7"/>
  <c r="D39" i="7"/>
  <c r="C39" i="7"/>
  <c r="B39" i="7"/>
  <c r="C38" i="7"/>
  <c r="B38" i="7"/>
  <c r="D37" i="7"/>
  <c r="C37" i="7"/>
  <c r="B37" i="7"/>
  <c r="D36" i="7"/>
  <c r="C36" i="7"/>
  <c r="B36" i="7"/>
  <c r="D35" i="7"/>
  <c r="D16" i="7" s="1"/>
  <c r="F16" i="7" s="1"/>
  <c r="K16" i="7" s="1"/>
  <c r="C35" i="7"/>
  <c r="B35" i="7"/>
  <c r="D34" i="7"/>
  <c r="C34" i="7"/>
  <c r="B34" i="7"/>
  <c r="D33" i="7"/>
  <c r="D7" i="7" s="1"/>
  <c r="C33" i="7"/>
  <c r="B33" i="7"/>
  <c r="D32" i="7"/>
  <c r="F32" i="7" s="1"/>
  <c r="C32" i="7"/>
  <c r="B16" i="9"/>
  <c r="B13" i="9"/>
  <c r="B12" i="9"/>
  <c r="B11" i="9"/>
  <c r="B10" i="9"/>
  <c r="B9" i="9"/>
  <c r="B8" i="9"/>
  <c r="B7" i="9"/>
  <c r="B6" i="9"/>
  <c r="B5" i="9"/>
  <c r="B4" i="9"/>
  <c r="B3" i="9"/>
  <c r="B2" i="9"/>
  <c r="B16" i="8"/>
  <c r="B13" i="8"/>
  <c r="B12" i="8"/>
  <c r="B11" i="8"/>
  <c r="B10" i="8"/>
  <c r="B9" i="8"/>
  <c r="B8" i="8"/>
  <c r="B7" i="8"/>
  <c r="B6" i="8"/>
  <c r="B5" i="8"/>
  <c r="B4" i="8"/>
  <c r="B3" i="8"/>
  <c r="B2" i="8"/>
  <c r="B16" i="7"/>
  <c r="B13" i="7"/>
  <c r="B12" i="7"/>
  <c r="B11" i="7"/>
  <c r="B10" i="7"/>
  <c r="B9" i="7"/>
  <c r="B8" i="7"/>
  <c r="B7" i="7"/>
  <c r="B6" i="7"/>
  <c r="B5" i="7"/>
  <c r="B4" i="7"/>
  <c r="B3" i="7"/>
  <c r="B2" i="7"/>
  <c r="D16" i="1"/>
  <c r="C31" i="7"/>
  <c r="C31" i="8"/>
  <c r="C31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C13" i="8"/>
  <c r="C12" i="8"/>
  <c r="C11" i="8"/>
  <c r="C10" i="8"/>
  <c r="C9" i="8"/>
  <c r="C8" i="8"/>
  <c r="C7" i="8"/>
  <c r="C6" i="8"/>
  <c r="C5" i="8"/>
  <c r="C4" i="8"/>
  <c r="C3" i="8"/>
  <c r="C2" i="8"/>
  <c r="C1" i="8"/>
  <c r="D2" i="8"/>
  <c r="F4" i="8" s="1"/>
  <c r="C13" i="7"/>
  <c r="C12" i="7"/>
  <c r="C11" i="7"/>
  <c r="C10" i="7"/>
  <c r="C9" i="7"/>
  <c r="C8" i="7"/>
  <c r="C7" i="7"/>
  <c r="C6" i="7"/>
  <c r="C5" i="7"/>
  <c r="C4" i="7"/>
  <c r="C3" i="7"/>
  <c r="C2" i="7"/>
  <c r="C1" i="7"/>
  <c r="D69" i="1"/>
  <c r="D69" i="24" s="1"/>
  <c r="F69" i="24" s="1"/>
  <c r="B32" i="7"/>
  <c r="D38" i="1"/>
  <c r="F80" i="9"/>
  <c r="K80" i="9" s="1"/>
  <c r="F79" i="9"/>
  <c r="K79" i="9" s="1"/>
  <c r="F78" i="9"/>
  <c r="K78" i="9" s="1"/>
  <c r="O31" i="9"/>
  <c r="F79" i="8"/>
  <c r="K79" i="8" s="1"/>
  <c r="F78" i="8"/>
  <c r="K78" i="8" s="1"/>
  <c r="F77" i="8"/>
  <c r="K77" i="8" s="1"/>
  <c r="O31" i="8"/>
  <c r="Q31" i="8" s="1"/>
  <c r="S31" i="8" s="1"/>
  <c r="F79" i="7"/>
  <c r="K79" i="7" s="1"/>
  <c r="F78" i="7"/>
  <c r="K78" i="7" s="1"/>
  <c r="F77" i="7"/>
  <c r="K77" i="7" s="1"/>
  <c r="O31" i="7"/>
  <c r="O31" i="1"/>
  <c r="F79" i="1"/>
  <c r="K79" i="1" s="1"/>
  <c r="M79" i="1" s="1"/>
  <c r="F74" i="1"/>
  <c r="K74" i="1" s="1"/>
  <c r="M74" i="1" s="1"/>
  <c r="K88" i="1"/>
  <c r="M88" i="1" s="1"/>
  <c r="F75" i="1"/>
  <c r="K75" i="1" s="1"/>
  <c r="M75" i="1" s="1"/>
  <c r="F73" i="1"/>
  <c r="K73" i="1" s="1"/>
  <c r="M73" i="1" s="1"/>
  <c r="F72" i="1"/>
  <c r="F82" i="1"/>
  <c r="K82" i="1" s="1"/>
  <c r="M82" i="1" s="1"/>
  <c r="F81" i="1"/>
  <c r="K81" i="1" s="1"/>
  <c r="M81" i="1" s="1"/>
  <c r="F80" i="1"/>
  <c r="K80" i="1" s="1"/>
  <c r="M80" i="1" s="1"/>
  <c r="F78" i="1"/>
  <c r="K78" i="1" s="1"/>
  <c r="M78" i="1" s="1"/>
  <c r="F77" i="1"/>
  <c r="K77" i="1" s="1"/>
  <c r="M77" i="1" s="1"/>
  <c r="F76" i="1"/>
  <c r="K76" i="1" s="1"/>
  <c r="M76" i="1" s="1"/>
  <c r="D66" i="1"/>
  <c r="D66" i="24" s="1"/>
  <c r="F66" i="24" s="1"/>
  <c r="F32" i="1"/>
  <c r="K32" i="1" s="1"/>
  <c r="D12" i="1"/>
  <c r="F12" i="1" s="1"/>
  <c r="K12" i="1" s="1"/>
  <c r="D7" i="1"/>
  <c r="D3" i="1"/>
  <c r="D4" i="1" s="1"/>
  <c r="D50" i="1"/>
  <c r="D48" i="1"/>
  <c r="D67" i="1"/>
  <c r="D67" i="24" s="1"/>
  <c r="F67" i="24" s="1"/>
  <c r="D64" i="24"/>
  <c r="F64" i="24" s="1"/>
  <c r="D50" i="24" l="1"/>
  <c r="F50" i="24" s="1"/>
  <c r="D45" i="28"/>
  <c r="F45" i="28" s="1"/>
  <c r="H45" i="28" s="1"/>
  <c r="I45" i="28" s="1"/>
  <c r="D45" i="27"/>
  <c r="F45" i="27" s="1"/>
  <c r="I45" i="27" s="1"/>
  <c r="D50" i="26"/>
  <c r="D38" i="24"/>
  <c r="F38" i="24" s="1"/>
  <c r="D34" i="28"/>
  <c r="F34" i="28" s="1"/>
  <c r="H34" i="28" s="1"/>
  <c r="I34" i="28" s="1"/>
  <c r="D34" i="27"/>
  <c r="F34" i="27" s="1"/>
  <c r="I34" i="27" s="1"/>
  <c r="D38" i="26"/>
  <c r="D43" i="28"/>
  <c r="F43" i="28" s="1"/>
  <c r="H43" i="28" s="1"/>
  <c r="I43" i="28" s="1"/>
  <c r="D43" i="27"/>
  <c r="F43" i="27" s="1"/>
  <c r="I43" i="27" s="1"/>
  <c r="L71" i="24"/>
  <c r="L71" i="26"/>
  <c r="D48" i="24"/>
  <c r="F48" i="24" s="1"/>
  <c r="J48" i="24" s="1"/>
  <c r="L48" i="24" s="1"/>
  <c r="D48" i="26"/>
  <c r="F48" i="26" s="1"/>
  <c r="K48" i="26" s="1"/>
  <c r="O16" i="24"/>
  <c r="N16" i="24"/>
  <c r="L38" i="24"/>
  <c r="J50" i="24"/>
  <c r="K50" i="24" s="1"/>
  <c r="J64" i="24"/>
  <c r="L64" i="24" s="1"/>
  <c r="J66" i="24"/>
  <c r="L66" i="24" s="1"/>
  <c r="J69" i="24"/>
  <c r="L69" i="24" s="1"/>
  <c r="J53" i="24"/>
  <c r="L53" i="24" s="1"/>
  <c r="J67" i="24"/>
  <c r="L67" i="24" s="1"/>
  <c r="O84" i="1"/>
  <c r="Q84" i="8"/>
  <c r="O84" i="8"/>
  <c r="M84" i="8"/>
  <c r="S84" i="8"/>
  <c r="U84" i="8"/>
  <c r="W84" i="8"/>
  <c r="Y84" i="8"/>
  <c r="AA84" i="8"/>
  <c r="AC84" i="8"/>
  <c r="AE84" i="8"/>
  <c r="AG84" i="8"/>
  <c r="AI84" i="8"/>
  <c r="K72" i="1"/>
  <c r="M72" i="1" s="1"/>
  <c r="F85" i="1"/>
  <c r="Q84" i="7"/>
  <c r="M84" i="7"/>
  <c r="O84" i="7"/>
  <c r="S84" i="7"/>
  <c r="U84" i="7"/>
  <c r="W84" i="7"/>
  <c r="Y84" i="7"/>
  <c r="AA84" i="7"/>
  <c r="AC84" i="7"/>
  <c r="AE84" i="7"/>
  <c r="AG84" i="7"/>
  <c r="AI84" i="7"/>
  <c r="M85" i="9"/>
  <c r="Q85" i="9"/>
  <c r="O85" i="9"/>
  <c r="S85" i="9"/>
  <c r="U85" i="9"/>
  <c r="W85" i="9"/>
  <c r="Y85" i="9"/>
  <c r="AA85" i="9"/>
  <c r="AC85" i="9"/>
  <c r="AE85" i="9"/>
  <c r="AG85" i="9"/>
  <c r="AI85" i="9"/>
  <c r="F31" i="10"/>
  <c r="D63" i="19"/>
  <c r="F63" i="19" s="1"/>
  <c r="H63" i="19" s="1"/>
  <c r="I63" i="19" s="1"/>
  <c r="D63" i="21"/>
  <c r="F63" i="21" s="1"/>
  <c r="D63" i="20"/>
  <c r="F63" i="20" s="1"/>
  <c r="H63" i="20" s="1"/>
  <c r="I63" i="20" s="1"/>
  <c r="D65" i="19"/>
  <c r="F65" i="19" s="1"/>
  <c r="H65" i="19" s="1"/>
  <c r="I65" i="19" s="1"/>
  <c r="D65" i="21"/>
  <c r="F65" i="21" s="1"/>
  <c r="D65" i="20"/>
  <c r="F65" i="20" s="1"/>
  <c r="H65" i="20" s="1"/>
  <c r="I65" i="20" s="1"/>
  <c r="K96" i="8"/>
  <c r="F95" i="21"/>
  <c r="K95" i="21" s="1"/>
  <c r="D66" i="19"/>
  <c r="F66" i="19" s="1"/>
  <c r="H66" i="19" s="1"/>
  <c r="I66" i="19" s="1"/>
  <c r="D66" i="21"/>
  <c r="F66" i="21" s="1"/>
  <c r="D66" i="20"/>
  <c r="F66" i="20" s="1"/>
  <c r="H66" i="20" s="1"/>
  <c r="I66" i="20" s="1"/>
  <c r="S185" i="16"/>
  <c r="S181" i="16"/>
  <c r="S177" i="16"/>
  <c r="S173" i="16"/>
  <c r="S169" i="16"/>
  <c r="S165" i="16"/>
  <c r="S161" i="16"/>
  <c r="S157" i="16"/>
  <c r="S186" i="16"/>
  <c r="S183" i="16"/>
  <c r="S182" i="16"/>
  <c r="S175" i="16"/>
  <c r="S174" i="16"/>
  <c r="S167" i="16"/>
  <c r="S166" i="16"/>
  <c r="S159" i="16"/>
  <c r="S158" i="16"/>
  <c r="S155" i="16"/>
  <c r="S151" i="16"/>
  <c r="S179" i="16"/>
  <c r="S178" i="16"/>
  <c r="S171" i="16"/>
  <c r="S170" i="16"/>
  <c r="S163" i="16"/>
  <c r="S162" i="16"/>
  <c r="S153" i="16"/>
  <c r="S149" i="16"/>
  <c r="S176" i="16"/>
  <c r="S164" i="16"/>
  <c r="S154" i="16"/>
  <c r="S152" i="16"/>
  <c r="S184" i="16"/>
  <c r="S168" i="16"/>
  <c r="S160" i="16"/>
  <c r="S180" i="16"/>
  <c r="S172" i="16"/>
  <c r="S156" i="16"/>
  <c r="S150" i="16"/>
  <c r="S148" i="16"/>
  <c r="U44" i="21"/>
  <c r="G44" i="21" s="1"/>
  <c r="V44" i="21"/>
  <c r="X44" i="21" s="1"/>
  <c r="Z44" i="21" s="1"/>
  <c r="AB44" i="21" s="1"/>
  <c r="AD44" i="21" s="1"/>
  <c r="AF44" i="21" s="1"/>
  <c r="AH44" i="21" s="1"/>
  <c r="AJ44" i="21" s="1"/>
  <c r="D68" i="19"/>
  <c r="F68" i="19" s="1"/>
  <c r="H68" i="19" s="1"/>
  <c r="I68" i="19" s="1"/>
  <c r="D68" i="21"/>
  <c r="F68" i="21" s="1"/>
  <c r="D68" i="20"/>
  <c r="F68" i="20" s="1"/>
  <c r="H68" i="20" s="1"/>
  <c r="I68" i="20" s="1"/>
  <c r="F16" i="1"/>
  <c r="K16" i="1" s="1"/>
  <c r="D41" i="1"/>
  <c r="D47" i="19"/>
  <c r="F47" i="19" s="1"/>
  <c r="H47" i="19" s="1"/>
  <c r="I47" i="19" s="1"/>
  <c r="D47" i="21"/>
  <c r="F47" i="21" s="1"/>
  <c r="D47" i="20"/>
  <c r="F47" i="20" s="1"/>
  <c r="D38" i="19"/>
  <c r="F38" i="19" s="1"/>
  <c r="H38" i="19" s="1"/>
  <c r="I38" i="19" s="1"/>
  <c r="D38" i="21"/>
  <c r="F38" i="21" s="1"/>
  <c r="D38" i="20"/>
  <c r="F38" i="20" s="1"/>
  <c r="H38" i="20" s="1"/>
  <c r="I38" i="20" s="1"/>
  <c r="F96" i="21"/>
  <c r="K96" i="21" s="1"/>
  <c r="G4" i="21"/>
  <c r="V45" i="21"/>
  <c r="X45" i="21" s="1"/>
  <c r="Z45" i="21" s="1"/>
  <c r="AB45" i="21" s="1"/>
  <c r="AD45" i="21" s="1"/>
  <c r="AF45" i="21" s="1"/>
  <c r="AH45" i="21" s="1"/>
  <c r="AJ45" i="21" s="1"/>
  <c r="U45" i="21"/>
  <c r="G45" i="21" s="1"/>
  <c r="D52" i="19"/>
  <c r="F52" i="19" s="1"/>
  <c r="H52" i="19" s="1"/>
  <c r="I52" i="19" s="1"/>
  <c r="D52" i="21"/>
  <c r="F52" i="21" s="1"/>
  <c r="D52" i="20"/>
  <c r="F52" i="20" s="1"/>
  <c r="H52" i="20" s="1"/>
  <c r="I52" i="20" s="1"/>
  <c r="D49" i="19"/>
  <c r="F49" i="19" s="1"/>
  <c r="H49" i="19" s="1"/>
  <c r="I49" i="19" s="1"/>
  <c r="D49" i="21"/>
  <c r="F49" i="21" s="1"/>
  <c r="D49" i="20"/>
  <c r="F49" i="20" s="1"/>
  <c r="L71" i="7"/>
  <c r="L70" i="21"/>
  <c r="M32" i="1"/>
  <c r="H32" i="1"/>
  <c r="D28" i="1"/>
  <c r="F28" i="1" s="1"/>
  <c r="N28" i="1" s="1"/>
  <c r="P28" i="1" s="1"/>
  <c r="D22" i="1"/>
  <c r="F22" i="1" s="1"/>
  <c r="D61" i="8"/>
  <c r="D61" i="9"/>
  <c r="D60" i="7"/>
  <c r="F7" i="9"/>
  <c r="M7" i="24" s="1"/>
  <c r="F7" i="8"/>
  <c r="F33" i="8" s="1"/>
  <c r="K33" i="8" s="1"/>
  <c r="H33" i="8" s="1"/>
  <c r="F7" i="7"/>
  <c r="N7" i="7" s="1"/>
  <c r="P7" i="7" s="1"/>
  <c r="F7" i="1"/>
  <c r="F33" i="1" s="1"/>
  <c r="K33" i="1" s="1"/>
  <c r="D27" i="1"/>
  <c r="F27" i="1" s="1"/>
  <c r="D64" i="9"/>
  <c r="D55" i="18"/>
  <c r="F55" i="18" s="1"/>
  <c r="I55" i="18" s="1"/>
  <c r="D66" i="9"/>
  <c r="D57" i="18"/>
  <c r="F57" i="18" s="1"/>
  <c r="I57" i="18" s="1"/>
  <c r="D70" i="1"/>
  <c r="D60" i="18"/>
  <c r="F60" i="18" s="1"/>
  <c r="I60" i="18" s="1"/>
  <c r="O87" i="1"/>
  <c r="O97" i="1"/>
  <c r="O96" i="1"/>
  <c r="O98" i="1"/>
  <c r="D48" i="7"/>
  <c r="D43" i="18"/>
  <c r="F43" i="18" s="1"/>
  <c r="I43" i="18" s="1"/>
  <c r="D38" i="7"/>
  <c r="D34" i="18"/>
  <c r="F34" i="18" s="1"/>
  <c r="I34" i="18" s="1"/>
  <c r="D53" i="9"/>
  <c r="D48" i="18"/>
  <c r="F48" i="18" s="1"/>
  <c r="I48" i="18" s="1"/>
  <c r="D58" i="18"/>
  <c r="F58" i="18" s="1"/>
  <c r="I58" i="18" s="1"/>
  <c r="D50" i="9"/>
  <c r="D45" i="18"/>
  <c r="F45" i="18" s="1"/>
  <c r="I45" i="18" s="1"/>
  <c r="D53" i="7"/>
  <c r="D12" i="9"/>
  <c r="F12" i="9" s="1"/>
  <c r="D58" i="9"/>
  <c r="D12" i="7"/>
  <c r="D15" i="7" s="1"/>
  <c r="F15" i="7" s="1"/>
  <c r="D58" i="7"/>
  <c r="D4" i="8"/>
  <c r="D27" i="8" s="1"/>
  <c r="F27" i="8" s="1"/>
  <c r="G31" i="18"/>
  <c r="M88" i="9"/>
  <c r="O88" i="9"/>
  <c r="S87" i="8"/>
  <c r="O87" i="8"/>
  <c r="Q87" i="8"/>
  <c r="M87" i="8"/>
  <c r="M87" i="7"/>
  <c r="O87" i="7"/>
  <c r="H158" i="16"/>
  <c r="K157" i="16"/>
  <c r="O155" i="16"/>
  <c r="P155" i="16"/>
  <c r="Q154" i="16"/>
  <c r="R154" i="16"/>
  <c r="T154" i="16" s="1"/>
  <c r="V154" i="16" s="1"/>
  <c r="X154" i="16" s="1"/>
  <c r="Z154" i="16" s="1"/>
  <c r="AB154" i="16" s="1"/>
  <c r="AD154" i="16" s="1"/>
  <c r="AF154" i="16" s="1"/>
  <c r="AH154" i="16" s="1"/>
  <c r="AJ154" i="16" s="1"/>
  <c r="N156" i="16"/>
  <c r="M156" i="16"/>
  <c r="S145" i="16"/>
  <c r="S141" i="16"/>
  <c r="S137" i="16"/>
  <c r="S147" i="16"/>
  <c r="S143" i="16"/>
  <c r="S139" i="16"/>
  <c r="S144" i="16"/>
  <c r="S140" i="16"/>
  <c r="S142" i="16"/>
  <c r="S146" i="16"/>
  <c r="S138" i="16"/>
  <c r="S136" i="16"/>
  <c r="O21" i="16"/>
  <c r="Q21" i="16"/>
  <c r="S187" i="16"/>
  <c r="S135" i="16"/>
  <c r="AH97" i="1"/>
  <c r="AH98" i="1"/>
  <c r="AH96" i="1"/>
  <c r="N86" i="1"/>
  <c r="P86" i="1" s="1"/>
  <c r="D21" i="1"/>
  <c r="F21" i="1" s="1"/>
  <c r="K21" i="1" s="1"/>
  <c r="Q31" i="9"/>
  <c r="M87" i="9"/>
  <c r="K16" i="9"/>
  <c r="E16" i="17"/>
  <c r="G16" i="17" s="1"/>
  <c r="P106" i="17"/>
  <c r="N107" i="17"/>
  <c r="P107" i="17" s="1"/>
  <c r="N83" i="17"/>
  <c r="P84" i="17"/>
  <c r="N68" i="17"/>
  <c r="P69" i="17"/>
  <c r="P78" i="17"/>
  <c r="N80" i="17"/>
  <c r="P36" i="17"/>
  <c r="P38" i="17"/>
  <c r="N24" i="17"/>
  <c r="P24" i="17" s="1"/>
  <c r="P25" i="17"/>
  <c r="AA23" i="17"/>
  <c r="Q19" i="16"/>
  <c r="Q23" i="16"/>
  <c r="R25" i="16"/>
  <c r="T25" i="16" s="1"/>
  <c r="O25" i="16"/>
  <c r="Q24" i="16"/>
  <c r="Q26" i="16"/>
  <c r="K30" i="16"/>
  <c r="N29" i="16"/>
  <c r="M29" i="16"/>
  <c r="K32" i="16"/>
  <c r="M31" i="16"/>
  <c r="N31" i="16"/>
  <c r="N27" i="16"/>
  <c r="M27" i="16"/>
  <c r="K34" i="16"/>
  <c r="T19" i="16"/>
  <c r="S19" i="16"/>
  <c r="T21" i="16"/>
  <c r="S21" i="16"/>
  <c r="T26" i="16"/>
  <c r="S26" i="16"/>
  <c r="S20" i="16"/>
  <c r="T20" i="16"/>
  <c r="T23" i="16"/>
  <c r="S23" i="16"/>
  <c r="S28" i="16"/>
  <c r="T28" i="16"/>
  <c r="S24" i="16"/>
  <c r="T24" i="16"/>
  <c r="T22" i="16"/>
  <c r="S22" i="16"/>
  <c r="S18" i="16"/>
  <c r="U17" i="16"/>
  <c r="R87" i="9"/>
  <c r="O87" i="9"/>
  <c r="O86" i="8"/>
  <c r="S86" i="8"/>
  <c r="M86" i="8"/>
  <c r="Q86" i="8"/>
  <c r="O86" i="7"/>
  <c r="M86" i="7"/>
  <c r="R86" i="1"/>
  <c r="D39" i="12"/>
  <c r="D40" i="12" s="1"/>
  <c r="D41" i="12"/>
  <c r="D42" i="12" s="1"/>
  <c r="N89" i="9"/>
  <c r="M89" i="9"/>
  <c r="M88" i="8"/>
  <c r="O88" i="8"/>
  <c r="Q88" i="8"/>
  <c r="S88" i="8"/>
  <c r="F107" i="9"/>
  <c r="K107" i="9" s="1"/>
  <c r="N107" i="9" s="1"/>
  <c r="M88" i="7"/>
  <c r="O88" i="7"/>
  <c r="D67" i="7"/>
  <c r="D69" i="7"/>
  <c r="D38" i="8"/>
  <c r="D48" i="8"/>
  <c r="D67" i="8"/>
  <c r="D69" i="8"/>
  <c r="F69" i="8" s="1"/>
  <c r="K69" i="8" s="1"/>
  <c r="D38" i="9"/>
  <c r="D48" i="9"/>
  <c r="D70" i="9"/>
  <c r="D53" i="8"/>
  <c r="D18" i="1"/>
  <c r="F18" i="1" s="1"/>
  <c r="D50" i="7"/>
  <c r="D64" i="7"/>
  <c r="D66" i="7"/>
  <c r="D70" i="7"/>
  <c r="F70" i="7" s="1"/>
  <c r="K70" i="7" s="1"/>
  <c r="D50" i="8"/>
  <c r="D64" i="8"/>
  <c r="D66" i="8"/>
  <c r="D70" i="8"/>
  <c r="F70" i="8" s="1"/>
  <c r="K70" i="8" s="1"/>
  <c r="N12" i="1"/>
  <c r="P12" i="1" s="1"/>
  <c r="N16" i="1"/>
  <c r="P16" i="1" s="1"/>
  <c r="D19" i="1"/>
  <c r="D15" i="1"/>
  <c r="F15" i="1" s="1"/>
  <c r="N15" i="1" s="1"/>
  <c r="P15" i="1" s="1"/>
  <c r="N83" i="1"/>
  <c r="M83" i="1"/>
  <c r="F32" i="8"/>
  <c r="K32" i="8" s="1"/>
  <c r="H32" i="8" s="1"/>
  <c r="D8" i="13"/>
  <c r="D10" i="13" s="1"/>
  <c r="D11" i="13" s="1"/>
  <c r="D13" i="13" s="1"/>
  <c r="F84" i="9"/>
  <c r="K84" i="9" s="1"/>
  <c r="M84" i="9" s="1"/>
  <c r="F82" i="7"/>
  <c r="K82" i="7" s="1"/>
  <c r="N82" i="7" s="1"/>
  <c r="P82" i="7" s="1"/>
  <c r="R82" i="7" s="1"/>
  <c r="T82" i="7" s="1"/>
  <c r="V82" i="7" s="1"/>
  <c r="X82" i="7" s="1"/>
  <c r="Z82" i="7" s="1"/>
  <c r="AB82" i="7" s="1"/>
  <c r="AD82" i="7" s="1"/>
  <c r="AF82" i="7" s="1"/>
  <c r="AH82" i="7" s="1"/>
  <c r="AJ82" i="7" s="1"/>
  <c r="N16" i="7"/>
  <c r="P16" i="7" s="1"/>
  <c r="N4" i="8"/>
  <c r="P4" i="8" s="1"/>
  <c r="N16" i="8"/>
  <c r="P16" i="8" s="1"/>
  <c r="N16" i="9"/>
  <c r="P16" i="9" s="1"/>
  <c r="F14" i="12"/>
  <c r="I14" i="12" s="1"/>
  <c r="L71" i="8"/>
  <c r="L72" i="9"/>
  <c r="D46" i="12"/>
  <c r="D21" i="12"/>
  <c r="D22" i="12" s="1"/>
  <c r="D38" i="12"/>
  <c r="D35" i="12"/>
  <c r="D36" i="12" s="1"/>
  <c r="D34" i="12"/>
  <c r="D32" i="12"/>
  <c r="D28" i="12"/>
  <c r="O16" i="12"/>
  <c r="N96" i="8"/>
  <c r="M96" i="8"/>
  <c r="D12" i="8"/>
  <c r="F73" i="7"/>
  <c r="K73" i="7" s="1"/>
  <c r="M73" i="7" s="1"/>
  <c r="F83" i="7"/>
  <c r="K83" i="7" s="1"/>
  <c r="N83" i="7" s="1"/>
  <c r="P83" i="7" s="1"/>
  <c r="R83" i="7" s="1"/>
  <c r="T83" i="7" s="1"/>
  <c r="V83" i="7" s="1"/>
  <c r="X83" i="7" s="1"/>
  <c r="Z83" i="7" s="1"/>
  <c r="AB83" i="7" s="1"/>
  <c r="AD83" i="7" s="1"/>
  <c r="AF83" i="7" s="1"/>
  <c r="AH83" i="7" s="1"/>
  <c r="AJ83" i="7" s="1"/>
  <c r="F75" i="8"/>
  <c r="K75" i="8" s="1"/>
  <c r="N75" i="8" s="1"/>
  <c r="P75" i="8" s="1"/>
  <c r="R75" i="8" s="1"/>
  <c r="T75" i="8" s="1"/>
  <c r="V75" i="8" s="1"/>
  <c r="X75" i="8" s="1"/>
  <c r="Z75" i="8" s="1"/>
  <c r="AB75" i="8" s="1"/>
  <c r="AD75" i="8" s="1"/>
  <c r="AF75" i="8" s="1"/>
  <c r="AH75" i="8" s="1"/>
  <c r="AJ75" i="8" s="1"/>
  <c r="F81" i="8"/>
  <c r="K81" i="8" s="1"/>
  <c r="N81" i="8" s="1"/>
  <c r="P81" i="8" s="1"/>
  <c r="R81" i="8" s="1"/>
  <c r="T81" i="8" s="1"/>
  <c r="V81" i="8" s="1"/>
  <c r="X81" i="8" s="1"/>
  <c r="Z81" i="8" s="1"/>
  <c r="AB81" i="8" s="1"/>
  <c r="AD81" i="8" s="1"/>
  <c r="AF81" i="8" s="1"/>
  <c r="AH81" i="8" s="1"/>
  <c r="AJ81" i="8" s="1"/>
  <c r="F75" i="9"/>
  <c r="K75" i="9" s="1"/>
  <c r="M75" i="9" s="1"/>
  <c r="F83" i="9"/>
  <c r="K83" i="9" s="1"/>
  <c r="M83" i="9" s="1"/>
  <c r="Q31" i="1"/>
  <c r="N73" i="1"/>
  <c r="P73" i="1" s="1"/>
  <c r="R73" i="1" s="1"/>
  <c r="T73" i="1" s="1"/>
  <c r="V73" i="1" s="1"/>
  <c r="X73" i="1" s="1"/>
  <c r="Z73" i="1" s="1"/>
  <c r="AB73" i="1" s="1"/>
  <c r="AD73" i="1" s="1"/>
  <c r="AF73" i="1" s="1"/>
  <c r="AH73" i="1" s="1"/>
  <c r="AJ73" i="1" s="1"/>
  <c r="N74" i="1"/>
  <c r="P74" i="1" s="1"/>
  <c r="R74" i="1" s="1"/>
  <c r="T74" i="1" s="1"/>
  <c r="V74" i="1" s="1"/>
  <c r="X74" i="1" s="1"/>
  <c r="Z74" i="1" s="1"/>
  <c r="AB74" i="1" s="1"/>
  <c r="AD74" i="1" s="1"/>
  <c r="AF74" i="1" s="1"/>
  <c r="AH74" i="1" s="1"/>
  <c r="AJ74" i="1" s="1"/>
  <c r="N75" i="1"/>
  <c r="P75" i="1" s="1"/>
  <c r="R75" i="1" s="1"/>
  <c r="T75" i="1" s="1"/>
  <c r="V75" i="1" s="1"/>
  <c r="X75" i="1" s="1"/>
  <c r="Z75" i="1" s="1"/>
  <c r="AB75" i="1" s="1"/>
  <c r="AD75" i="1" s="1"/>
  <c r="AF75" i="1" s="1"/>
  <c r="AH75" i="1" s="1"/>
  <c r="AJ75" i="1" s="1"/>
  <c r="N76" i="1"/>
  <c r="P76" i="1" s="1"/>
  <c r="R76" i="1" s="1"/>
  <c r="T76" i="1" s="1"/>
  <c r="V76" i="1" s="1"/>
  <c r="X76" i="1" s="1"/>
  <c r="Z76" i="1" s="1"/>
  <c r="AB76" i="1" s="1"/>
  <c r="AD76" i="1" s="1"/>
  <c r="AF76" i="1" s="1"/>
  <c r="AH76" i="1" s="1"/>
  <c r="AJ76" i="1" s="1"/>
  <c r="N77" i="1"/>
  <c r="P77" i="1" s="1"/>
  <c r="R77" i="1" s="1"/>
  <c r="T77" i="1" s="1"/>
  <c r="V77" i="1" s="1"/>
  <c r="X77" i="1" s="1"/>
  <c r="Z77" i="1" s="1"/>
  <c r="AB77" i="1" s="1"/>
  <c r="AD77" i="1" s="1"/>
  <c r="AF77" i="1" s="1"/>
  <c r="AH77" i="1" s="1"/>
  <c r="AJ77" i="1" s="1"/>
  <c r="N78" i="1"/>
  <c r="P78" i="1" s="1"/>
  <c r="R78" i="1" s="1"/>
  <c r="T78" i="1" s="1"/>
  <c r="V78" i="1" s="1"/>
  <c r="X78" i="1" s="1"/>
  <c r="Z78" i="1" s="1"/>
  <c r="AB78" i="1" s="1"/>
  <c r="AD78" i="1" s="1"/>
  <c r="AF78" i="1" s="1"/>
  <c r="AH78" i="1" s="1"/>
  <c r="AJ78" i="1" s="1"/>
  <c r="N79" i="1"/>
  <c r="P79" i="1" s="1"/>
  <c r="R79" i="1" s="1"/>
  <c r="T79" i="1" s="1"/>
  <c r="V79" i="1" s="1"/>
  <c r="X79" i="1" s="1"/>
  <c r="Z79" i="1" s="1"/>
  <c r="AB79" i="1" s="1"/>
  <c r="AD79" i="1" s="1"/>
  <c r="AF79" i="1" s="1"/>
  <c r="AH79" i="1" s="1"/>
  <c r="AJ79" i="1" s="1"/>
  <c r="N80" i="1"/>
  <c r="P80" i="1" s="1"/>
  <c r="R80" i="1" s="1"/>
  <c r="T80" i="1" s="1"/>
  <c r="V80" i="1" s="1"/>
  <c r="X80" i="1" s="1"/>
  <c r="Z80" i="1" s="1"/>
  <c r="AB80" i="1" s="1"/>
  <c r="AD80" i="1" s="1"/>
  <c r="AF80" i="1" s="1"/>
  <c r="AH80" i="1" s="1"/>
  <c r="AJ80" i="1" s="1"/>
  <c r="N81" i="1"/>
  <c r="P81" i="1" s="1"/>
  <c r="R81" i="1" s="1"/>
  <c r="T81" i="1" s="1"/>
  <c r="V81" i="1" s="1"/>
  <c r="X81" i="1" s="1"/>
  <c r="Z81" i="1" s="1"/>
  <c r="AB81" i="1" s="1"/>
  <c r="AD81" i="1" s="1"/>
  <c r="AF81" i="1" s="1"/>
  <c r="AH81" i="1" s="1"/>
  <c r="AJ81" i="1" s="1"/>
  <c r="N82" i="1"/>
  <c r="P82" i="1" s="1"/>
  <c r="R82" i="1" s="1"/>
  <c r="T82" i="1" s="1"/>
  <c r="V82" i="1" s="1"/>
  <c r="X82" i="1" s="1"/>
  <c r="Z82" i="1" s="1"/>
  <c r="AB82" i="1" s="1"/>
  <c r="AD82" i="1" s="1"/>
  <c r="AF82" i="1" s="1"/>
  <c r="AH82" i="1" s="1"/>
  <c r="AJ82" i="1" s="1"/>
  <c r="N88" i="1"/>
  <c r="P88" i="1" s="1"/>
  <c r="R88" i="1" s="1"/>
  <c r="T88" i="1" s="1"/>
  <c r="V88" i="1" s="1"/>
  <c r="X88" i="1" s="1"/>
  <c r="Z88" i="1" s="1"/>
  <c r="AB88" i="1" s="1"/>
  <c r="AD88" i="1" s="1"/>
  <c r="AF88" i="1" s="1"/>
  <c r="AH88" i="1" s="1"/>
  <c r="AJ88" i="1" s="1"/>
  <c r="D4" i="9"/>
  <c r="K32" i="7"/>
  <c r="H32" i="7" s="1"/>
  <c r="F75" i="7"/>
  <c r="K75" i="7" s="1"/>
  <c r="M75" i="7" s="1"/>
  <c r="F81" i="7"/>
  <c r="K81" i="7" s="1"/>
  <c r="N81" i="7" s="1"/>
  <c r="P81" i="7" s="1"/>
  <c r="R81" i="7" s="1"/>
  <c r="T81" i="7" s="1"/>
  <c r="V81" i="7" s="1"/>
  <c r="X81" i="7" s="1"/>
  <c r="Z81" i="7" s="1"/>
  <c r="AB81" i="7" s="1"/>
  <c r="AD81" i="7" s="1"/>
  <c r="AF81" i="7" s="1"/>
  <c r="AH81" i="7" s="1"/>
  <c r="AJ81" i="7" s="1"/>
  <c r="F72" i="7"/>
  <c r="F74" i="7"/>
  <c r="K74" i="7" s="1"/>
  <c r="N74" i="7" s="1"/>
  <c r="P74" i="7" s="1"/>
  <c r="R74" i="7" s="1"/>
  <c r="T74" i="7" s="1"/>
  <c r="V74" i="7" s="1"/>
  <c r="X74" i="7" s="1"/>
  <c r="Z74" i="7" s="1"/>
  <c r="AB74" i="7" s="1"/>
  <c r="AD74" i="7" s="1"/>
  <c r="AF74" i="7" s="1"/>
  <c r="AH74" i="7" s="1"/>
  <c r="AJ74" i="7" s="1"/>
  <c r="F76" i="7"/>
  <c r="K76" i="7" s="1"/>
  <c r="N76" i="7" s="1"/>
  <c r="P76" i="7" s="1"/>
  <c r="R76" i="7" s="1"/>
  <c r="T76" i="7" s="1"/>
  <c r="V76" i="7" s="1"/>
  <c r="X76" i="7" s="1"/>
  <c r="Z76" i="7" s="1"/>
  <c r="AB76" i="7" s="1"/>
  <c r="AD76" i="7" s="1"/>
  <c r="AF76" i="7" s="1"/>
  <c r="AH76" i="7" s="1"/>
  <c r="AJ76" i="7" s="1"/>
  <c r="F80" i="7"/>
  <c r="K80" i="7" s="1"/>
  <c r="N80" i="7" s="1"/>
  <c r="P80" i="7" s="1"/>
  <c r="R80" i="7" s="1"/>
  <c r="T80" i="7" s="1"/>
  <c r="V80" i="7" s="1"/>
  <c r="X80" i="7" s="1"/>
  <c r="Z80" i="7" s="1"/>
  <c r="AB80" i="7" s="1"/>
  <c r="AD80" i="7" s="1"/>
  <c r="AF80" i="7" s="1"/>
  <c r="AH80" i="7" s="1"/>
  <c r="AJ80" i="7" s="1"/>
  <c r="F73" i="8"/>
  <c r="K73" i="8" s="1"/>
  <c r="N73" i="8" s="1"/>
  <c r="P73" i="8" s="1"/>
  <c r="R73" i="8" s="1"/>
  <c r="T73" i="8" s="1"/>
  <c r="V73" i="8" s="1"/>
  <c r="X73" i="8" s="1"/>
  <c r="Z73" i="8" s="1"/>
  <c r="AB73" i="8" s="1"/>
  <c r="AD73" i="8" s="1"/>
  <c r="AF73" i="8" s="1"/>
  <c r="AH73" i="8" s="1"/>
  <c r="AJ73" i="8" s="1"/>
  <c r="F83" i="8"/>
  <c r="K83" i="8" s="1"/>
  <c r="M83" i="8" s="1"/>
  <c r="F73" i="9"/>
  <c r="F77" i="9"/>
  <c r="K77" i="9" s="1"/>
  <c r="M77" i="9" s="1"/>
  <c r="F81" i="9"/>
  <c r="K81" i="9" s="1"/>
  <c r="M81" i="9" s="1"/>
  <c r="F72" i="8"/>
  <c r="F74" i="8"/>
  <c r="K74" i="8" s="1"/>
  <c r="M74" i="8" s="1"/>
  <c r="F76" i="8"/>
  <c r="K76" i="8" s="1"/>
  <c r="N76" i="8" s="1"/>
  <c r="P76" i="8" s="1"/>
  <c r="R76" i="8" s="1"/>
  <c r="T76" i="8" s="1"/>
  <c r="V76" i="8" s="1"/>
  <c r="X76" i="8" s="1"/>
  <c r="Z76" i="8" s="1"/>
  <c r="AB76" i="8" s="1"/>
  <c r="AD76" i="8" s="1"/>
  <c r="AF76" i="8" s="1"/>
  <c r="AH76" i="8" s="1"/>
  <c r="AJ76" i="8" s="1"/>
  <c r="F80" i="8"/>
  <c r="K80" i="8" s="1"/>
  <c r="M80" i="8" s="1"/>
  <c r="K32" i="9"/>
  <c r="H32" i="9" s="1"/>
  <c r="F74" i="9"/>
  <c r="K74" i="9" s="1"/>
  <c r="M74" i="9" s="1"/>
  <c r="F76" i="9"/>
  <c r="K76" i="9" s="1"/>
  <c r="M76" i="9" s="1"/>
  <c r="F82" i="9"/>
  <c r="K82" i="9" s="1"/>
  <c r="M82" i="9" s="1"/>
  <c r="F3" i="7"/>
  <c r="D4" i="7"/>
  <c r="F3" i="9"/>
  <c r="N78" i="9"/>
  <c r="P78" i="9" s="1"/>
  <c r="R78" i="9" s="1"/>
  <c r="T78" i="9" s="1"/>
  <c r="V78" i="9" s="1"/>
  <c r="X78" i="9" s="1"/>
  <c r="Z78" i="9" s="1"/>
  <c r="AB78" i="9" s="1"/>
  <c r="AD78" i="9" s="1"/>
  <c r="AF78" i="9" s="1"/>
  <c r="AH78" i="9" s="1"/>
  <c r="AJ78" i="9" s="1"/>
  <c r="M78" i="9"/>
  <c r="N80" i="9"/>
  <c r="P80" i="9" s="1"/>
  <c r="R80" i="9" s="1"/>
  <c r="T80" i="9" s="1"/>
  <c r="V80" i="9" s="1"/>
  <c r="X80" i="9" s="1"/>
  <c r="Z80" i="9" s="1"/>
  <c r="AB80" i="9" s="1"/>
  <c r="AD80" i="9" s="1"/>
  <c r="AF80" i="9" s="1"/>
  <c r="AH80" i="9" s="1"/>
  <c r="AJ80" i="9" s="1"/>
  <c r="M80" i="9"/>
  <c r="N79" i="9"/>
  <c r="P79" i="9" s="1"/>
  <c r="R79" i="9" s="1"/>
  <c r="T79" i="9" s="1"/>
  <c r="V79" i="9" s="1"/>
  <c r="X79" i="9" s="1"/>
  <c r="Z79" i="9" s="1"/>
  <c r="AB79" i="9" s="1"/>
  <c r="AD79" i="9" s="1"/>
  <c r="AF79" i="9" s="1"/>
  <c r="AH79" i="9" s="1"/>
  <c r="AJ79" i="9" s="1"/>
  <c r="M79" i="9"/>
  <c r="U31" i="8"/>
  <c r="U88" i="8" s="1"/>
  <c r="K4" i="8"/>
  <c r="N77" i="8"/>
  <c r="P77" i="8" s="1"/>
  <c r="R77" i="8" s="1"/>
  <c r="T77" i="8" s="1"/>
  <c r="V77" i="8" s="1"/>
  <c r="X77" i="8" s="1"/>
  <c r="Z77" i="8" s="1"/>
  <c r="AB77" i="8" s="1"/>
  <c r="AD77" i="8" s="1"/>
  <c r="AF77" i="8" s="1"/>
  <c r="AH77" i="8" s="1"/>
  <c r="AJ77" i="8" s="1"/>
  <c r="M77" i="8"/>
  <c r="N79" i="8"/>
  <c r="P79" i="8" s="1"/>
  <c r="R79" i="8" s="1"/>
  <c r="T79" i="8" s="1"/>
  <c r="V79" i="8" s="1"/>
  <c r="X79" i="8" s="1"/>
  <c r="Z79" i="8" s="1"/>
  <c r="AB79" i="8" s="1"/>
  <c r="AD79" i="8" s="1"/>
  <c r="AF79" i="8" s="1"/>
  <c r="AH79" i="8" s="1"/>
  <c r="AJ79" i="8" s="1"/>
  <c r="M79" i="8"/>
  <c r="N78" i="8"/>
  <c r="P78" i="8" s="1"/>
  <c r="R78" i="8" s="1"/>
  <c r="T78" i="8" s="1"/>
  <c r="V78" i="8" s="1"/>
  <c r="X78" i="8" s="1"/>
  <c r="Z78" i="8" s="1"/>
  <c r="AB78" i="8" s="1"/>
  <c r="AD78" i="8" s="1"/>
  <c r="AF78" i="8" s="1"/>
  <c r="AH78" i="8" s="1"/>
  <c r="AJ78" i="8" s="1"/>
  <c r="M78" i="8"/>
  <c r="N82" i="8"/>
  <c r="P82" i="8" s="1"/>
  <c r="R82" i="8" s="1"/>
  <c r="T82" i="8" s="1"/>
  <c r="V82" i="8" s="1"/>
  <c r="X82" i="8" s="1"/>
  <c r="Z82" i="8" s="1"/>
  <c r="AB82" i="8" s="1"/>
  <c r="AD82" i="8" s="1"/>
  <c r="AF82" i="8" s="1"/>
  <c r="AH82" i="8" s="1"/>
  <c r="AJ82" i="8" s="1"/>
  <c r="M82" i="8"/>
  <c r="Q31" i="7"/>
  <c r="Q88" i="7" s="1"/>
  <c r="N77" i="7"/>
  <c r="P77" i="7" s="1"/>
  <c r="R77" i="7" s="1"/>
  <c r="T77" i="7" s="1"/>
  <c r="V77" i="7" s="1"/>
  <c r="X77" i="7" s="1"/>
  <c r="Z77" i="7" s="1"/>
  <c r="AB77" i="7" s="1"/>
  <c r="AD77" i="7" s="1"/>
  <c r="AF77" i="7" s="1"/>
  <c r="AH77" i="7" s="1"/>
  <c r="AJ77" i="7" s="1"/>
  <c r="M77" i="7"/>
  <c r="N79" i="7"/>
  <c r="P79" i="7" s="1"/>
  <c r="R79" i="7" s="1"/>
  <c r="T79" i="7" s="1"/>
  <c r="V79" i="7" s="1"/>
  <c r="X79" i="7" s="1"/>
  <c r="Z79" i="7" s="1"/>
  <c r="AB79" i="7" s="1"/>
  <c r="AD79" i="7" s="1"/>
  <c r="AF79" i="7" s="1"/>
  <c r="AH79" i="7" s="1"/>
  <c r="AJ79" i="7" s="1"/>
  <c r="M79" i="7"/>
  <c r="N78" i="7"/>
  <c r="P78" i="7" s="1"/>
  <c r="R78" i="7" s="1"/>
  <c r="T78" i="7" s="1"/>
  <c r="V78" i="7" s="1"/>
  <c r="X78" i="7" s="1"/>
  <c r="Z78" i="7" s="1"/>
  <c r="AB78" i="7" s="1"/>
  <c r="AD78" i="7" s="1"/>
  <c r="AF78" i="7" s="1"/>
  <c r="AH78" i="7" s="1"/>
  <c r="AJ78" i="7" s="1"/>
  <c r="M78" i="7"/>
  <c r="N32" i="1"/>
  <c r="P32" i="1" s="1"/>
  <c r="R32" i="1" s="1"/>
  <c r="T32" i="1" s="1"/>
  <c r="V32" i="1" s="1"/>
  <c r="X32" i="1" s="1"/>
  <c r="Z32" i="1" s="1"/>
  <c r="AB32" i="1" s="1"/>
  <c r="AD32" i="1" s="1"/>
  <c r="AF32" i="1" s="1"/>
  <c r="AH32" i="1" s="1"/>
  <c r="AJ32" i="1" s="1"/>
  <c r="F3" i="1"/>
  <c r="F61" i="1" s="1"/>
  <c r="K61" i="1" s="1"/>
  <c r="H61" i="1" s="1"/>
  <c r="D5" i="1"/>
  <c r="D13" i="1"/>
  <c r="F4" i="1"/>
  <c r="F112" i="9" l="1"/>
  <c r="K112" i="9" s="1"/>
  <c r="N112" i="9" s="1"/>
  <c r="P112" i="9" s="1"/>
  <c r="R112" i="9" s="1"/>
  <c r="T112" i="9" s="1"/>
  <c r="V112" i="9" s="1"/>
  <c r="X112" i="9" s="1"/>
  <c r="Z112" i="9" s="1"/>
  <c r="AB112" i="9" s="1"/>
  <c r="AD112" i="9" s="1"/>
  <c r="AF112" i="9" s="1"/>
  <c r="AH112" i="9" s="1"/>
  <c r="AJ112" i="9" s="1"/>
  <c r="F67" i="9"/>
  <c r="K67" i="9" s="1"/>
  <c r="L45" i="27"/>
  <c r="K45" i="27"/>
  <c r="M112" i="9"/>
  <c r="L34" i="27"/>
  <c r="K34" i="27"/>
  <c r="D41" i="24"/>
  <c r="D37" i="28"/>
  <c r="D37" i="27"/>
  <c r="D41" i="26"/>
  <c r="L43" i="27"/>
  <c r="K43" i="27"/>
  <c r="N48" i="26"/>
  <c r="M48" i="26"/>
  <c r="H48" i="26"/>
  <c r="AC112" i="9"/>
  <c r="AA112" i="9"/>
  <c r="Y112" i="9"/>
  <c r="Q112" i="9"/>
  <c r="O112" i="9"/>
  <c r="B13" i="23"/>
  <c r="D13" i="23" s="1"/>
  <c r="M3" i="24"/>
  <c r="E12" i="17"/>
  <c r="G12" i="17" s="1"/>
  <c r="M12" i="24"/>
  <c r="D104" i="9"/>
  <c r="O7" i="24"/>
  <c r="N7" i="24"/>
  <c r="K66" i="24"/>
  <c r="N66" i="24" s="1"/>
  <c r="K48" i="24"/>
  <c r="M48" i="24" s="1"/>
  <c r="G85" i="9"/>
  <c r="M50" i="24"/>
  <c r="H50" i="24"/>
  <c r="K53" i="24"/>
  <c r="M53" i="24" s="1"/>
  <c r="N50" i="24"/>
  <c r="P50" i="24" s="1"/>
  <c r="K67" i="24"/>
  <c r="K69" i="24"/>
  <c r="K64" i="24"/>
  <c r="K38" i="24"/>
  <c r="Q84" i="1"/>
  <c r="K73" i="9"/>
  <c r="M73" i="9" s="1"/>
  <c r="F86" i="9"/>
  <c r="K86" i="9" s="1"/>
  <c r="F69" i="21"/>
  <c r="J69" i="21" s="1"/>
  <c r="L69" i="21" s="1"/>
  <c r="D70" i="24"/>
  <c r="F70" i="24" s="1"/>
  <c r="K70" i="24" s="1"/>
  <c r="D59" i="24"/>
  <c r="F59" i="24" s="1"/>
  <c r="F41" i="24"/>
  <c r="K72" i="8"/>
  <c r="N72" i="8" s="1"/>
  <c r="P72" i="8" s="1"/>
  <c r="R72" i="8" s="1"/>
  <c r="T72" i="8" s="1"/>
  <c r="V72" i="8" s="1"/>
  <c r="X72" i="8" s="1"/>
  <c r="Z72" i="8" s="1"/>
  <c r="AB72" i="8" s="1"/>
  <c r="AD72" i="8" s="1"/>
  <c r="AF72" i="8" s="1"/>
  <c r="AH72" i="8" s="1"/>
  <c r="AJ72" i="8" s="1"/>
  <c r="F85" i="8"/>
  <c r="K85" i="8" s="1"/>
  <c r="K28" i="1"/>
  <c r="G84" i="8"/>
  <c r="F41" i="1"/>
  <c r="K41" i="1" s="1"/>
  <c r="H41" i="1" s="1"/>
  <c r="K72" i="7"/>
  <c r="N72" i="7" s="1"/>
  <c r="P72" i="7" s="1"/>
  <c r="R72" i="7" s="1"/>
  <c r="T72" i="7" s="1"/>
  <c r="V72" i="7" s="1"/>
  <c r="X72" i="7" s="1"/>
  <c r="Z72" i="7" s="1"/>
  <c r="AB72" i="7" s="1"/>
  <c r="AD72" i="7" s="1"/>
  <c r="AF72" i="7" s="1"/>
  <c r="AH72" i="7" s="1"/>
  <c r="AJ72" i="7" s="1"/>
  <c r="F85" i="7"/>
  <c r="K85" i="7" s="1"/>
  <c r="N72" i="1"/>
  <c r="P72" i="1" s="1"/>
  <c r="R72" i="1" s="1"/>
  <c r="T72" i="1" s="1"/>
  <c r="V72" i="1" s="1"/>
  <c r="X72" i="1" s="1"/>
  <c r="Z72" i="1" s="1"/>
  <c r="AB72" i="1" s="1"/>
  <c r="AD72" i="1" s="1"/>
  <c r="AF72" i="1" s="1"/>
  <c r="AH72" i="1" s="1"/>
  <c r="AJ72" i="1" s="1"/>
  <c r="D61" i="18"/>
  <c r="F61" i="18" s="1"/>
  <c r="I61" i="18" s="1"/>
  <c r="G84" i="7"/>
  <c r="D100" i="1"/>
  <c r="D40" i="10" s="1"/>
  <c r="K85" i="1"/>
  <c r="F93" i="1"/>
  <c r="K93" i="1" s="1"/>
  <c r="D94" i="1"/>
  <c r="H47" i="20"/>
  <c r="I47" i="20" s="1"/>
  <c r="N95" i="21"/>
  <c r="M95" i="21"/>
  <c r="J38" i="21"/>
  <c r="L38" i="21" s="1"/>
  <c r="J47" i="21"/>
  <c r="L47" i="21" s="1"/>
  <c r="J66" i="21"/>
  <c r="L66" i="21" s="1"/>
  <c r="U186" i="16"/>
  <c r="U182" i="16"/>
  <c r="U178" i="16"/>
  <c r="U174" i="16"/>
  <c r="U170" i="16"/>
  <c r="U166" i="16"/>
  <c r="U162" i="16"/>
  <c r="U158" i="16"/>
  <c r="U181" i="16"/>
  <c r="U180" i="16"/>
  <c r="U173" i="16"/>
  <c r="U172" i="16"/>
  <c r="U165" i="16"/>
  <c r="U164" i="16"/>
  <c r="U157" i="16"/>
  <c r="U156" i="16"/>
  <c r="U152" i="16"/>
  <c r="U148" i="16"/>
  <c r="U185" i="16"/>
  <c r="U184" i="16"/>
  <c r="U177" i="16"/>
  <c r="U176" i="16"/>
  <c r="U169" i="16"/>
  <c r="U168" i="16"/>
  <c r="U161" i="16"/>
  <c r="U160" i="16"/>
  <c r="U154" i="16"/>
  <c r="U150" i="16"/>
  <c r="U179" i="16"/>
  <c r="U171" i="16"/>
  <c r="U163" i="16"/>
  <c r="U151" i="16"/>
  <c r="U149" i="16"/>
  <c r="U155" i="16"/>
  <c r="U153" i="16"/>
  <c r="U183" i="16"/>
  <c r="U175" i="16"/>
  <c r="U167" i="16"/>
  <c r="U159" i="16"/>
  <c r="J52" i="21"/>
  <c r="L52" i="21" s="1"/>
  <c r="J68" i="21"/>
  <c r="L68" i="21" s="1"/>
  <c r="J63" i="21"/>
  <c r="L63" i="21" s="1"/>
  <c r="N7" i="1"/>
  <c r="P7" i="1" s="1"/>
  <c r="N96" i="21"/>
  <c r="M96" i="21"/>
  <c r="D41" i="21"/>
  <c r="D41" i="20"/>
  <c r="D41" i="19"/>
  <c r="D59" i="1"/>
  <c r="D37" i="18"/>
  <c r="F37" i="18" s="1"/>
  <c r="I37" i="18" s="1"/>
  <c r="D41" i="8"/>
  <c r="D59" i="8" s="1"/>
  <c r="D41" i="9"/>
  <c r="D41" i="7"/>
  <c r="D59" i="7" s="1"/>
  <c r="J65" i="21"/>
  <c r="L65" i="21" s="1"/>
  <c r="Q88" i="9"/>
  <c r="E7" i="17"/>
  <c r="G7" i="17" s="1"/>
  <c r="J49" i="21"/>
  <c r="L49" i="21" s="1"/>
  <c r="H49" i="20"/>
  <c r="I49" i="20" s="1"/>
  <c r="Q87" i="9"/>
  <c r="U87" i="8"/>
  <c r="Q87" i="7"/>
  <c r="N33" i="1"/>
  <c r="P33" i="1" s="1"/>
  <c r="H33" i="1"/>
  <c r="K7" i="1"/>
  <c r="N32" i="8"/>
  <c r="O32" i="8" s="1"/>
  <c r="N32" i="7"/>
  <c r="P32" i="7" s="1"/>
  <c r="R32" i="7" s="1"/>
  <c r="T32" i="7" s="1"/>
  <c r="V32" i="7" s="1"/>
  <c r="X32" i="7" s="1"/>
  <c r="Z32" i="7" s="1"/>
  <c r="AB32" i="7" s="1"/>
  <c r="AD32" i="7" s="1"/>
  <c r="AF32" i="7" s="1"/>
  <c r="AH32" i="7" s="1"/>
  <c r="AJ32" i="7" s="1"/>
  <c r="N61" i="1"/>
  <c r="M61" i="1"/>
  <c r="F70" i="1"/>
  <c r="K70" i="1" s="1"/>
  <c r="N22" i="1"/>
  <c r="P22" i="1" s="1"/>
  <c r="K22" i="1"/>
  <c r="M32" i="9"/>
  <c r="F61" i="9"/>
  <c r="K61" i="9" s="1"/>
  <c r="H61" i="9" s="1"/>
  <c r="D61" i="7"/>
  <c r="F61" i="7" s="1"/>
  <c r="K61" i="7" s="1"/>
  <c r="H61" i="7" s="1"/>
  <c r="N7" i="8"/>
  <c r="P7" i="8" s="1"/>
  <c r="K7" i="8"/>
  <c r="K7" i="7"/>
  <c r="D21" i="8"/>
  <c r="F21" i="8" s="1"/>
  <c r="N21" i="8" s="1"/>
  <c r="P21" i="8" s="1"/>
  <c r="D28" i="8"/>
  <c r="F28" i="8" s="1"/>
  <c r="D22" i="8"/>
  <c r="F22" i="8" s="1"/>
  <c r="K7" i="9"/>
  <c r="F33" i="9"/>
  <c r="K33" i="9" s="1"/>
  <c r="H33" i="9" s="1"/>
  <c r="F7" i="12"/>
  <c r="L7" i="12" s="1"/>
  <c r="N7" i="12" s="1"/>
  <c r="N7" i="9"/>
  <c r="P7" i="9" s="1"/>
  <c r="D15" i="9"/>
  <c r="F15" i="9" s="1"/>
  <c r="D28" i="9"/>
  <c r="F28" i="9" s="1"/>
  <c r="M28" i="24" s="1"/>
  <c r="D22" i="9"/>
  <c r="F22" i="9" s="1"/>
  <c r="M22" i="24" s="1"/>
  <c r="D27" i="9"/>
  <c r="F27" i="9" s="1"/>
  <c r="M27" i="24" s="1"/>
  <c r="N27" i="8"/>
  <c r="P27" i="8" s="1"/>
  <c r="K27" i="8"/>
  <c r="D28" i="7"/>
  <c r="F28" i="7" s="1"/>
  <c r="D22" i="7"/>
  <c r="F22" i="7" s="1"/>
  <c r="F33" i="7"/>
  <c r="K33" i="7" s="1"/>
  <c r="H33" i="7" s="1"/>
  <c r="D27" i="7"/>
  <c r="F27" i="7" s="1"/>
  <c r="N27" i="1"/>
  <c r="P27" i="1" s="1"/>
  <c r="K27" i="1"/>
  <c r="M33" i="1"/>
  <c r="O86" i="1"/>
  <c r="N21" i="1"/>
  <c r="P21" i="1" s="1"/>
  <c r="D19" i="9"/>
  <c r="D20" i="9" s="1"/>
  <c r="F20" i="9" s="1"/>
  <c r="D5" i="8"/>
  <c r="K48" i="18"/>
  <c r="L48" i="18"/>
  <c r="L43" i="18"/>
  <c r="K43" i="18"/>
  <c r="L60" i="18"/>
  <c r="K60" i="18"/>
  <c r="D18" i="8"/>
  <c r="F18" i="8" s="1"/>
  <c r="N18" i="8" s="1"/>
  <c r="P18" i="8" s="1"/>
  <c r="L45" i="18"/>
  <c r="K45" i="18"/>
  <c r="L58" i="18"/>
  <c r="K58" i="18"/>
  <c r="L34" i="18"/>
  <c r="K34" i="18"/>
  <c r="L57" i="18"/>
  <c r="K57" i="18"/>
  <c r="L55" i="18"/>
  <c r="K55" i="18"/>
  <c r="K12" i="9"/>
  <c r="Q86" i="1"/>
  <c r="Q87" i="1"/>
  <c r="Q97" i="1"/>
  <c r="Q96" i="1"/>
  <c r="Q98" i="1"/>
  <c r="N12" i="9"/>
  <c r="P12" i="9" s="1"/>
  <c r="K15" i="1"/>
  <c r="D3" i="8"/>
  <c r="D15" i="8" s="1"/>
  <c r="F15" i="8" s="1"/>
  <c r="F12" i="7"/>
  <c r="K12" i="7" s="1"/>
  <c r="K15" i="7"/>
  <c r="N15" i="7"/>
  <c r="P15" i="7" s="1"/>
  <c r="D19" i="7"/>
  <c r="D20" i="7" s="1"/>
  <c r="F20" i="7" s="1"/>
  <c r="N20" i="7" s="1"/>
  <c r="P20" i="7" s="1"/>
  <c r="L61" i="18"/>
  <c r="K61" i="18"/>
  <c r="O156" i="16"/>
  <c r="P156" i="16"/>
  <c r="N157" i="16"/>
  <c r="M157" i="16"/>
  <c r="Q155" i="16"/>
  <c r="R155" i="16"/>
  <c r="T155" i="16" s="1"/>
  <c r="V155" i="16" s="1"/>
  <c r="X155" i="16" s="1"/>
  <c r="Z155" i="16" s="1"/>
  <c r="AB155" i="16" s="1"/>
  <c r="AD155" i="16" s="1"/>
  <c r="AF155" i="16" s="1"/>
  <c r="AH155" i="16" s="1"/>
  <c r="AJ155" i="16" s="1"/>
  <c r="H159" i="16"/>
  <c r="K158" i="16"/>
  <c r="U146" i="16"/>
  <c r="U142" i="16"/>
  <c r="U138" i="16"/>
  <c r="U144" i="16"/>
  <c r="U140" i="16"/>
  <c r="U136" i="16"/>
  <c r="U145" i="16"/>
  <c r="U141" i="16"/>
  <c r="U137" i="16"/>
  <c r="U147" i="16"/>
  <c r="U143" i="16"/>
  <c r="U139" i="16"/>
  <c r="U135" i="16"/>
  <c r="U187" i="16"/>
  <c r="AJ97" i="1"/>
  <c r="AJ98" i="1"/>
  <c r="AJ96" i="1"/>
  <c r="F90" i="7"/>
  <c r="K90" i="7" s="1"/>
  <c r="M90" i="7" s="1"/>
  <c r="F46" i="7"/>
  <c r="K46" i="7" s="1"/>
  <c r="H46" i="7" s="1"/>
  <c r="F91" i="9"/>
  <c r="K91" i="9" s="1"/>
  <c r="N91" i="9" s="1"/>
  <c r="P91" i="9" s="1"/>
  <c r="R91" i="9" s="1"/>
  <c r="T91" i="9" s="1"/>
  <c r="V91" i="9" s="1"/>
  <c r="X91" i="9" s="1"/>
  <c r="Z91" i="9" s="1"/>
  <c r="AB91" i="9" s="1"/>
  <c r="AD91" i="9" s="1"/>
  <c r="AF91" i="9" s="1"/>
  <c r="AH91" i="9" s="1"/>
  <c r="AJ91" i="9" s="1"/>
  <c r="F46" i="9"/>
  <c r="K46" i="9" s="1"/>
  <c r="Q86" i="7"/>
  <c r="F53" i="1"/>
  <c r="K53" i="1" s="1"/>
  <c r="M53" i="1" s="1"/>
  <c r="F46" i="1"/>
  <c r="K46" i="1" s="1"/>
  <c r="H46" i="1" s="1"/>
  <c r="S31" i="1"/>
  <c r="S81" i="1" s="1"/>
  <c r="S31" i="9"/>
  <c r="U86" i="8"/>
  <c r="E3" i="17"/>
  <c r="E130" i="17" s="1"/>
  <c r="I130" i="17" s="1"/>
  <c r="L130" i="17" s="1"/>
  <c r="P83" i="17"/>
  <c r="N82" i="17"/>
  <c r="P80" i="17"/>
  <c r="P81" i="17"/>
  <c r="P68" i="17"/>
  <c r="N67" i="17"/>
  <c r="P67" i="17" s="1"/>
  <c r="AC23" i="17"/>
  <c r="S25" i="16"/>
  <c r="P27" i="16"/>
  <c r="O27" i="16"/>
  <c r="K35" i="16"/>
  <c r="K33" i="16"/>
  <c r="M34" i="16"/>
  <c r="N34" i="16"/>
  <c r="P29" i="16"/>
  <c r="O29" i="16"/>
  <c r="M32" i="16"/>
  <c r="N32" i="16"/>
  <c r="K37" i="16"/>
  <c r="P31" i="16"/>
  <c r="O31" i="16"/>
  <c r="M30" i="16"/>
  <c r="N30" i="16"/>
  <c r="V28" i="16"/>
  <c r="U28" i="16"/>
  <c r="V26" i="16"/>
  <c r="U26" i="16"/>
  <c r="V19" i="16"/>
  <c r="U19" i="16"/>
  <c r="V22" i="16"/>
  <c r="U22" i="16"/>
  <c r="V24" i="16"/>
  <c r="U24" i="16"/>
  <c r="V21" i="16"/>
  <c r="U21" i="16"/>
  <c r="V25" i="16"/>
  <c r="U25" i="16"/>
  <c r="V23" i="16"/>
  <c r="U23" i="16"/>
  <c r="V20" i="16"/>
  <c r="U20" i="16"/>
  <c r="U18" i="16"/>
  <c r="W17" i="16"/>
  <c r="T87" i="9"/>
  <c r="N84" i="9"/>
  <c r="P84" i="9" s="1"/>
  <c r="R84" i="9" s="1"/>
  <c r="T84" i="9" s="1"/>
  <c r="V84" i="9" s="1"/>
  <c r="X84" i="9" s="1"/>
  <c r="Z84" i="9" s="1"/>
  <c r="AB84" i="9" s="1"/>
  <c r="AD84" i="9" s="1"/>
  <c r="AF84" i="9" s="1"/>
  <c r="AH84" i="9" s="1"/>
  <c r="AJ84" i="9" s="1"/>
  <c r="M107" i="9"/>
  <c r="T86" i="1"/>
  <c r="P89" i="9"/>
  <c r="O89" i="9"/>
  <c r="F19" i="1"/>
  <c r="D20" i="1"/>
  <c r="F20" i="1" s="1"/>
  <c r="F13" i="1"/>
  <c r="D17" i="1"/>
  <c r="F17" i="1" s="1"/>
  <c r="D14" i="1"/>
  <c r="F14" i="1" s="1"/>
  <c r="F68" i="1"/>
  <c r="K68" i="1" s="1"/>
  <c r="N68" i="1" s="1"/>
  <c r="C7" i="13"/>
  <c r="N3" i="1"/>
  <c r="P3" i="1" s="1"/>
  <c r="F52" i="1"/>
  <c r="K52" i="1" s="1"/>
  <c r="H52" i="1" s="1"/>
  <c r="B33" i="10"/>
  <c r="C33" i="10" s="1"/>
  <c r="C8" i="13"/>
  <c r="C10" i="13" s="1"/>
  <c r="C11" i="13" s="1"/>
  <c r="C13" i="13" s="1"/>
  <c r="N4" i="1"/>
  <c r="P4" i="1" s="1"/>
  <c r="N18" i="1"/>
  <c r="P18" i="1" s="1"/>
  <c r="K18" i="1"/>
  <c r="F90" i="1"/>
  <c r="K90" i="1" s="1"/>
  <c r="P83" i="1"/>
  <c r="O83" i="1"/>
  <c r="D19" i="8"/>
  <c r="M82" i="7"/>
  <c r="N3" i="9"/>
  <c r="P3" i="9" s="1"/>
  <c r="E7" i="13"/>
  <c r="D5" i="9"/>
  <c r="D21" i="9"/>
  <c r="F21" i="9" s="1"/>
  <c r="D18" i="9"/>
  <c r="F18" i="9" s="1"/>
  <c r="D5" i="7"/>
  <c r="D21" i="7"/>
  <c r="F21" i="7" s="1"/>
  <c r="D18" i="7"/>
  <c r="F18" i="7" s="1"/>
  <c r="L14" i="12"/>
  <c r="N14" i="12" s="1"/>
  <c r="F53" i="7"/>
  <c r="K53" i="7" s="1"/>
  <c r="M53" i="7" s="1"/>
  <c r="N3" i="7"/>
  <c r="P3" i="7" s="1"/>
  <c r="Q16" i="12"/>
  <c r="P107" i="9"/>
  <c r="O107" i="9"/>
  <c r="P96" i="8"/>
  <c r="O96" i="8"/>
  <c r="F53" i="9"/>
  <c r="K53" i="9" s="1"/>
  <c r="F69" i="9"/>
  <c r="K69" i="9" s="1"/>
  <c r="F66" i="9"/>
  <c r="K66" i="9" s="1"/>
  <c r="F64" i="9"/>
  <c r="K64" i="9" s="1"/>
  <c r="F52" i="9"/>
  <c r="K52" i="9" s="1"/>
  <c r="H52" i="9" s="1"/>
  <c r="F48" i="9"/>
  <c r="K48" i="9" s="1"/>
  <c r="H48" i="9" s="1"/>
  <c r="F40" i="9"/>
  <c r="K40" i="9" s="1"/>
  <c r="F34" i="9"/>
  <c r="K34" i="9" s="1"/>
  <c r="F68" i="9"/>
  <c r="K68" i="9" s="1"/>
  <c r="N68" i="9" s="1"/>
  <c r="F65" i="9"/>
  <c r="K65" i="9" s="1"/>
  <c r="F47" i="9"/>
  <c r="K47" i="9" s="1"/>
  <c r="F67" i="7"/>
  <c r="K67" i="7" s="1"/>
  <c r="M67" i="7" s="1"/>
  <c r="F47" i="7"/>
  <c r="K47" i="7" s="1"/>
  <c r="H47" i="7" s="1"/>
  <c r="F68" i="7"/>
  <c r="K68" i="7" s="1"/>
  <c r="M68" i="7" s="1"/>
  <c r="F66" i="7"/>
  <c r="K66" i="7" s="1"/>
  <c r="F64" i="7"/>
  <c r="K64" i="7" s="1"/>
  <c r="M64" i="7" s="1"/>
  <c r="F52" i="7"/>
  <c r="K52" i="7" s="1"/>
  <c r="H52" i="7" s="1"/>
  <c r="F48" i="7"/>
  <c r="K48" i="7" s="1"/>
  <c r="H48" i="7" s="1"/>
  <c r="F40" i="7"/>
  <c r="K40" i="7" s="1"/>
  <c r="H40" i="7" s="1"/>
  <c r="F34" i="7"/>
  <c r="K34" i="7" s="1"/>
  <c r="H34" i="7" s="1"/>
  <c r="F65" i="7"/>
  <c r="K65" i="7" s="1"/>
  <c r="N65" i="7" s="1"/>
  <c r="N73" i="7"/>
  <c r="P73" i="7" s="1"/>
  <c r="R73" i="7" s="1"/>
  <c r="T73" i="7" s="1"/>
  <c r="V73" i="7" s="1"/>
  <c r="X73" i="7" s="1"/>
  <c r="Z73" i="7" s="1"/>
  <c r="AB73" i="7" s="1"/>
  <c r="AD73" i="7" s="1"/>
  <c r="AF73" i="7" s="1"/>
  <c r="AH73" i="7" s="1"/>
  <c r="AJ73" i="7" s="1"/>
  <c r="D13" i="9"/>
  <c r="D14" i="9" s="1"/>
  <c r="F14" i="9" s="1"/>
  <c r="D13" i="8"/>
  <c r="F12" i="8"/>
  <c r="M83" i="7"/>
  <c r="M81" i="7"/>
  <c r="M32" i="7"/>
  <c r="M75" i="8"/>
  <c r="N75" i="9"/>
  <c r="P75" i="9" s="1"/>
  <c r="R75" i="9" s="1"/>
  <c r="T75" i="9" s="1"/>
  <c r="V75" i="9" s="1"/>
  <c r="X75" i="9" s="1"/>
  <c r="Z75" i="9" s="1"/>
  <c r="AB75" i="9" s="1"/>
  <c r="AD75" i="9" s="1"/>
  <c r="AF75" i="9" s="1"/>
  <c r="AH75" i="9" s="1"/>
  <c r="AJ75" i="9" s="1"/>
  <c r="N74" i="8"/>
  <c r="P74" i="8" s="1"/>
  <c r="R74" i="8" s="1"/>
  <c r="T74" i="8" s="1"/>
  <c r="V74" i="8" s="1"/>
  <c r="X74" i="8" s="1"/>
  <c r="Z74" i="8" s="1"/>
  <c r="AB74" i="8" s="1"/>
  <c r="AD74" i="8" s="1"/>
  <c r="AF74" i="8" s="1"/>
  <c r="AH74" i="8" s="1"/>
  <c r="AJ74" i="8" s="1"/>
  <c r="M81" i="8"/>
  <c r="M76" i="7"/>
  <c r="N80" i="8"/>
  <c r="P80" i="8" s="1"/>
  <c r="R80" i="8" s="1"/>
  <c r="T80" i="8" s="1"/>
  <c r="V80" i="8" s="1"/>
  <c r="X80" i="8" s="1"/>
  <c r="Z80" i="8" s="1"/>
  <c r="AB80" i="8" s="1"/>
  <c r="AD80" i="8" s="1"/>
  <c r="AF80" i="8" s="1"/>
  <c r="AH80" i="8" s="1"/>
  <c r="AJ80" i="8" s="1"/>
  <c r="M73" i="8"/>
  <c r="M32" i="8"/>
  <c r="N74" i="9"/>
  <c r="P74" i="9" s="1"/>
  <c r="R74" i="9" s="1"/>
  <c r="T74" i="9" s="1"/>
  <c r="V74" i="9" s="1"/>
  <c r="X74" i="9" s="1"/>
  <c r="Z74" i="9" s="1"/>
  <c r="AB74" i="9" s="1"/>
  <c r="AD74" i="9" s="1"/>
  <c r="AF74" i="9" s="1"/>
  <c r="AH74" i="9" s="1"/>
  <c r="AJ74" i="9" s="1"/>
  <c r="F4" i="9"/>
  <c r="F113" i="9" s="1"/>
  <c r="K113" i="9" s="1"/>
  <c r="F4" i="7"/>
  <c r="N83" i="8"/>
  <c r="P83" i="8" s="1"/>
  <c r="R83" i="8" s="1"/>
  <c r="T83" i="8" s="1"/>
  <c r="V83" i="8" s="1"/>
  <c r="X83" i="8" s="1"/>
  <c r="Z83" i="8" s="1"/>
  <c r="AB83" i="8" s="1"/>
  <c r="AD83" i="8" s="1"/>
  <c r="AF83" i="8" s="1"/>
  <c r="AH83" i="8" s="1"/>
  <c r="AJ83" i="8" s="1"/>
  <c r="N83" i="9"/>
  <c r="P83" i="9" s="1"/>
  <c r="R83" i="9" s="1"/>
  <c r="T83" i="9" s="1"/>
  <c r="V83" i="9" s="1"/>
  <c r="X83" i="9" s="1"/>
  <c r="Z83" i="9" s="1"/>
  <c r="AB83" i="9" s="1"/>
  <c r="AD83" i="9" s="1"/>
  <c r="AF83" i="9" s="1"/>
  <c r="AH83" i="9" s="1"/>
  <c r="AJ83" i="9" s="1"/>
  <c r="N81" i="9"/>
  <c r="P81" i="9" s="1"/>
  <c r="R81" i="9" s="1"/>
  <c r="T81" i="9" s="1"/>
  <c r="V81" i="9" s="1"/>
  <c r="X81" i="9" s="1"/>
  <c r="Z81" i="9" s="1"/>
  <c r="AB81" i="9" s="1"/>
  <c r="AD81" i="9" s="1"/>
  <c r="AF81" i="9" s="1"/>
  <c r="AH81" i="9" s="1"/>
  <c r="AJ81" i="9" s="1"/>
  <c r="N82" i="9"/>
  <c r="P82" i="9" s="1"/>
  <c r="R82" i="9" s="1"/>
  <c r="T82" i="9" s="1"/>
  <c r="V82" i="9" s="1"/>
  <c r="X82" i="9" s="1"/>
  <c r="Z82" i="9" s="1"/>
  <c r="AB82" i="9" s="1"/>
  <c r="AD82" i="9" s="1"/>
  <c r="AF82" i="9" s="1"/>
  <c r="AH82" i="9" s="1"/>
  <c r="AJ82" i="9" s="1"/>
  <c r="F47" i="1"/>
  <c r="K47" i="1" s="1"/>
  <c r="M80" i="7"/>
  <c r="N75" i="7"/>
  <c r="P75" i="7" s="1"/>
  <c r="R75" i="7" s="1"/>
  <c r="T75" i="7" s="1"/>
  <c r="V75" i="7" s="1"/>
  <c r="X75" i="7" s="1"/>
  <c r="Z75" i="7" s="1"/>
  <c r="AB75" i="7" s="1"/>
  <c r="AD75" i="7" s="1"/>
  <c r="AF75" i="7" s="1"/>
  <c r="AH75" i="7" s="1"/>
  <c r="AJ75" i="7" s="1"/>
  <c r="N76" i="9"/>
  <c r="P76" i="9" s="1"/>
  <c r="R76" i="9" s="1"/>
  <c r="T76" i="9" s="1"/>
  <c r="V76" i="9" s="1"/>
  <c r="X76" i="9" s="1"/>
  <c r="Z76" i="9" s="1"/>
  <c r="AB76" i="9" s="1"/>
  <c r="AD76" i="9" s="1"/>
  <c r="AF76" i="9" s="1"/>
  <c r="AH76" i="9" s="1"/>
  <c r="AJ76" i="9" s="1"/>
  <c r="M74" i="7"/>
  <c r="K3" i="7"/>
  <c r="N77" i="9"/>
  <c r="P77" i="9" s="1"/>
  <c r="R77" i="9" s="1"/>
  <c r="T77" i="9" s="1"/>
  <c r="V77" i="9" s="1"/>
  <c r="X77" i="9" s="1"/>
  <c r="Z77" i="9" s="1"/>
  <c r="AB77" i="9" s="1"/>
  <c r="AD77" i="9" s="1"/>
  <c r="AF77" i="9" s="1"/>
  <c r="AH77" i="9" s="1"/>
  <c r="AJ77" i="9" s="1"/>
  <c r="O32" i="1"/>
  <c r="F65" i="1"/>
  <c r="K65" i="1" s="1"/>
  <c r="K3" i="1"/>
  <c r="S88" i="1"/>
  <c r="S77" i="1"/>
  <c r="S75" i="1"/>
  <c r="F69" i="1"/>
  <c r="K69" i="1" s="1"/>
  <c r="K4" i="1"/>
  <c r="F35" i="1"/>
  <c r="K35" i="1" s="1"/>
  <c r="H35" i="1" s="1"/>
  <c r="F64" i="1"/>
  <c r="K64" i="1" s="1"/>
  <c r="Q32" i="1"/>
  <c r="O73" i="1"/>
  <c r="O75" i="1"/>
  <c r="O77" i="1"/>
  <c r="O79" i="1"/>
  <c r="O81" i="1"/>
  <c r="O88" i="1"/>
  <c r="Q88" i="1"/>
  <c r="Q82" i="1"/>
  <c r="Q81" i="1"/>
  <c r="Q80" i="1"/>
  <c r="Q79" i="1"/>
  <c r="Q78" i="1"/>
  <c r="Q77" i="1"/>
  <c r="Q76" i="1"/>
  <c r="Q75" i="1"/>
  <c r="Q74" i="1"/>
  <c r="Q73" i="1"/>
  <c r="O72" i="1"/>
  <c r="O74" i="1"/>
  <c r="O76" i="1"/>
  <c r="O78" i="1"/>
  <c r="O80" i="1"/>
  <c r="O82" i="1"/>
  <c r="M70" i="8"/>
  <c r="N70" i="8"/>
  <c r="N69" i="8"/>
  <c r="M69" i="8"/>
  <c r="M76" i="8"/>
  <c r="N70" i="7"/>
  <c r="M70" i="7"/>
  <c r="N32" i="9"/>
  <c r="D13" i="7"/>
  <c r="D14" i="7" s="1"/>
  <c r="F14" i="7" s="1"/>
  <c r="K3" i="9"/>
  <c r="Q78" i="9"/>
  <c r="Q80" i="9"/>
  <c r="O79" i="9"/>
  <c r="Q79" i="9"/>
  <c r="O78" i="9"/>
  <c r="O80" i="9"/>
  <c r="U82" i="8"/>
  <c r="U81" i="8"/>
  <c r="U79" i="8"/>
  <c r="U78" i="8"/>
  <c r="U77" i="8"/>
  <c r="U76" i="8"/>
  <c r="U75" i="8"/>
  <c r="U73" i="8"/>
  <c r="W31" i="8"/>
  <c r="Q73" i="8"/>
  <c r="Q75" i="8"/>
  <c r="Q77" i="8"/>
  <c r="Q79" i="8"/>
  <c r="Q81" i="8"/>
  <c r="O76" i="8"/>
  <c r="O78" i="8"/>
  <c r="O82" i="8"/>
  <c r="S76" i="8"/>
  <c r="S78" i="8"/>
  <c r="S82" i="8"/>
  <c r="M33" i="8"/>
  <c r="N33" i="8"/>
  <c r="Q76" i="8"/>
  <c r="Q78" i="8"/>
  <c r="Q82" i="8"/>
  <c r="O73" i="8"/>
  <c r="O75" i="8"/>
  <c r="O77" i="8"/>
  <c r="O79" i="8"/>
  <c r="O81" i="8"/>
  <c r="S73" i="8"/>
  <c r="S75" i="8"/>
  <c r="S77" i="8"/>
  <c r="S79" i="8"/>
  <c r="S81" i="8"/>
  <c r="O72" i="7"/>
  <c r="O74" i="7"/>
  <c r="O76" i="7"/>
  <c r="O78" i="7"/>
  <c r="O80" i="7"/>
  <c r="O82" i="7"/>
  <c r="Q83" i="7"/>
  <c r="Q82" i="7"/>
  <c r="Q81" i="7"/>
  <c r="Q80" i="7"/>
  <c r="Q79" i="7"/>
  <c r="Q78" i="7"/>
  <c r="Q77" i="7"/>
  <c r="Q76" i="7"/>
  <c r="Q74" i="7"/>
  <c r="Q72" i="7"/>
  <c r="S31" i="7"/>
  <c r="S87" i="7" s="1"/>
  <c r="O77" i="7"/>
  <c r="O79" i="7"/>
  <c r="O81" i="7"/>
  <c r="O83" i="7"/>
  <c r="F40" i="1"/>
  <c r="K40" i="1" s="1"/>
  <c r="H40" i="1" s="1"/>
  <c r="F34" i="1"/>
  <c r="H34" i="1" s="1"/>
  <c r="F66" i="1"/>
  <c r="K66" i="1" s="1"/>
  <c r="H66" i="1" s="1"/>
  <c r="F48" i="1"/>
  <c r="K48" i="1" s="1"/>
  <c r="H48" i="1" s="1"/>
  <c r="F67" i="1"/>
  <c r="K67" i="1" s="1"/>
  <c r="F63" i="1"/>
  <c r="K63" i="1" s="1"/>
  <c r="H63" i="1" s="1"/>
  <c r="D11" i="1"/>
  <c r="F11" i="1" s="1"/>
  <c r="F60" i="1" s="1"/>
  <c r="K60" i="1" s="1"/>
  <c r="H60" i="1" s="1"/>
  <c r="D9" i="1"/>
  <c r="D8" i="1"/>
  <c r="F8" i="1" s="1"/>
  <c r="F43" i="1" s="1"/>
  <c r="K43" i="1" s="1"/>
  <c r="D6" i="1"/>
  <c r="F6" i="1" s="1"/>
  <c r="D10" i="1"/>
  <c r="F10" i="1" s="1"/>
  <c r="F45" i="1" s="1"/>
  <c r="K45" i="1" s="1"/>
  <c r="H45" i="1" s="1"/>
  <c r="F5" i="1"/>
  <c r="F58" i="1" s="1"/>
  <c r="K58" i="1" s="1"/>
  <c r="N67" i="9" l="1"/>
  <c r="M67" i="9"/>
  <c r="W112" i="9"/>
  <c r="S112" i="9"/>
  <c r="AE112" i="9"/>
  <c r="G112" i="9" s="1"/>
  <c r="U112" i="9"/>
  <c r="M66" i="7"/>
  <c r="H66" i="7"/>
  <c r="N45" i="27"/>
  <c r="M45" i="27"/>
  <c r="M113" i="9"/>
  <c r="N113" i="9"/>
  <c r="M34" i="27"/>
  <c r="N34" i="27"/>
  <c r="Q72" i="1"/>
  <c r="N41" i="1"/>
  <c r="P41" i="1" s="1"/>
  <c r="M72" i="8"/>
  <c r="D54" i="28"/>
  <c r="F54" i="28" s="1"/>
  <c r="H54" i="28" s="1"/>
  <c r="I54" i="28" s="1"/>
  <c r="F37" i="28"/>
  <c r="H37" i="28" s="1"/>
  <c r="I37" i="28" s="1"/>
  <c r="D12" i="26"/>
  <c r="D59" i="26"/>
  <c r="S72" i="8"/>
  <c r="O72" i="8"/>
  <c r="F41" i="9"/>
  <c r="K41" i="9" s="1"/>
  <c r="H41" i="9" s="1"/>
  <c r="D114" i="9"/>
  <c r="F114" i="9" s="1"/>
  <c r="K114" i="9" s="1"/>
  <c r="M41" i="1"/>
  <c r="F59" i="1"/>
  <c r="K59" i="1" s="1"/>
  <c r="H59" i="1" s="1"/>
  <c r="M43" i="27"/>
  <c r="N43" i="27"/>
  <c r="P48" i="26"/>
  <c r="O48" i="26"/>
  <c r="E13" i="23"/>
  <c r="C13" i="23"/>
  <c r="H47" i="9"/>
  <c r="H47" i="25"/>
  <c r="M66" i="9"/>
  <c r="H66" i="9"/>
  <c r="E20" i="17"/>
  <c r="G20" i="17" s="1"/>
  <c r="M20" i="24"/>
  <c r="F63" i="9"/>
  <c r="K63" i="9" s="1"/>
  <c r="H63" i="9" s="1"/>
  <c r="H27" i="25"/>
  <c r="H13" i="25" s="1"/>
  <c r="M4" i="24"/>
  <c r="O22" i="24"/>
  <c r="N22" i="24"/>
  <c r="E18" i="17"/>
  <c r="G18" i="17" s="1"/>
  <c r="M18" i="24"/>
  <c r="H46" i="9"/>
  <c r="H43" i="25"/>
  <c r="O28" i="24"/>
  <c r="N28" i="24"/>
  <c r="O3" i="24"/>
  <c r="N3" i="24"/>
  <c r="E14" i="17"/>
  <c r="G14" i="17" s="1"/>
  <c r="M14" i="24"/>
  <c r="H40" i="9"/>
  <c r="H37" i="25"/>
  <c r="O27" i="24"/>
  <c r="N27" i="24"/>
  <c r="O12" i="24"/>
  <c r="N12" i="24"/>
  <c r="N73" i="9"/>
  <c r="P73" i="9" s="1"/>
  <c r="R73" i="9" s="1"/>
  <c r="T73" i="9" s="1"/>
  <c r="V73" i="9" s="1"/>
  <c r="X73" i="9" s="1"/>
  <c r="Z73" i="9" s="1"/>
  <c r="AB73" i="9" s="1"/>
  <c r="AD73" i="9" s="1"/>
  <c r="AF73" i="9" s="1"/>
  <c r="AH73" i="9" s="1"/>
  <c r="AJ73" i="9" s="1"/>
  <c r="H34" i="9"/>
  <c r="H33" i="25"/>
  <c r="E21" i="17"/>
  <c r="G21" i="17" s="1"/>
  <c r="M21" i="24"/>
  <c r="E15" i="17"/>
  <c r="G15" i="17" s="1"/>
  <c r="M15" i="24"/>
  <c r="F104" i="9"/>
  <c r="K104" i="9" s="1"/>
  <c r="M66" i="24"/>
  <c r="N53" i="24"/>
  <c r="P53" i="24" s="1"/>
  <c r="Q53" i="24" s="1"/>
  <c r="H66" i="24"/>
  <c r="O66" i="24"/>
  <c r="P66" i="24"/>
  <c r="R66" i="24" s="1"/>
  <c r="O53" i="24"/>
  <c r="H48" i="24"/>
  <c r="N48" i="24"/>
  <c r="N69" i="24"/>
  <c r="M69" i="24"/>
  <c r="M67" i="24"/>
  <c r="N67" i="24"/>
  <c r="O50" i="24"/>
  <c r="J41" i="24"/>
  <c r="N64" i="24"/>
  <c r="M64" i="24"/>
  <c r="N38" i="24"/>
  <c r="H38" i="24"/>
  <c r="M38" i="24"/>
  <c r="J59" i="24"/>
  <c r="K59" i="24" s="1"/>
  <c r="N85" i="1"/>
  <c r="M85" i="1"/>
  <c r="N86" i="9"/>
  <c r="M86" i="9"/>
  <c r="U31" i="1"/>
  <c r="U72" i="8"/>
  <c r="S73" i="1"/>
  <c r="M72" i="7"/>
  <c r="N70" i="24"/>
  <c r="M70" i="24"/>
  <c r="N85" i="7"/>
  <c r="M85" i="7"/>
  <c r="N85" i="8"/>
  <c r="M85" i="8"/>
  <c r="S84" i="1"/>
  <c r="R50" i="24"/>
  <c r="Q50" i="24"/>
  <c r="N43" i="1"/>
  <c r="M43" i="1"/>
  <c r="H43" i="1"/>
  <c r="Q72" i="8"/>
  <c r="S79" i="1"/>
  <c r="S86" i="1"/>
  <c r="K65" i="21"/>
  <c r="M65" i="21" s="1"/>
  <c r="K52" i="21"/>
  <c r="M52" i="21" s="1"/>
  <c r="K63" i="21"/>
  <c r="M63" i="21" s="1"/>
  <c r="K66" i="21"/>
  <c r="M66" i="21" s="1"/>
  <c r="K68" i="21"/>
  <c r="M68" i="21" s="1"/>
  <c r="D59" i="9"/>
  <c r="K38" i="21"/>
  <c r="N38" i="21" s="1"/>
  <c r="F93" i="7"/>
  <c r="K93" i="7" s="1"/>
  <c r="M93" i="7" s="1"/>
  <c r="D94" i="7"/>
  <c r="F93" i="8"/>
  <c r="K93" i="8" s="1"/>
  <c r="N93" i="8" s="1"/>
  <c r="D94" i="8"/>
  <c r="K37" i="18"/>
  <c r="L37" i="18"/>
  <c r="D30" i="1"/>
  <c r="D58" i="19"/>
  <c r="D12" i="19"/>
  <c r="O96" i="21"/>
  <c r="P96" i="21"/>
  <c r="N93" i="1"/>
  <c r="M93" i="1"/>
  <c r="D58" i="21"/>
  <c r="F58" i="21" s="1"/>
  <c r="J58" i="21" s="1"/>
  <c r="K58" i="21" s="1"/>
  <c r="F41" i="21"/>
  <c r="D58" i="20"/>
  <c r="D12" i="20"/>
  <c r="K47" i="21"/>
  <c r="K69" i="21"/>
  <c r="W186" i="16"/>
  <c r="W183" i="16"/>
  <c r="W179" i="16"/>
  <c r="W175" i="16"/>
  <c r="W171" i="16"/>
  <c r="W167" i="16"/>
  <c r="W163" i="16"/>
  <c r="W159" i="16"/>
  <c r="W153" i="16"/>
  <c r="W149" i="16"/>
  <c r="W155" i="16"/>
  <c r="W151" i="16"/>
  <c r="W185" i="16"/>
  <c r="W184" i="16"/>
  <c r="W178" i="16"/>
  <c r="W177" i="16"/>
  <c r="W176" i="16"/>
  <c r="W170" i="16"/>
  <c r="W169" i="16"/>
  <c r="W168" i="16"/>
  <c r="W162" i="16"/>
  <c r="W161" i="16"/>
  <c r="W160" i="16"/>
  <c r="W150" i="16"/>
  <c r="W148" i="16"/>
  <c r="W182" i="16"/>
  <c r="W181" i="16"/>
  <c r="W180" i="16"/>
  <c r="W174" i="16"/>
  <c r="W173" i="16"/>
  <c r="W172" i="16"/>
  <c r="W166" i="16"/>
  <c r="W165" i="16"/>
  <c r="W164" i="16"/>
  <c r="W158" i="16"/>
  <c r="W157" i="16"/>
  <c r="W156" i="16"/>
  <c r="W154" i="16"/>
  <c r="W152" i="16"/>
  <c r="P95" i="21"/>
  <c r="O95" i="21"/>
  <c r="S88" i="9"/>
  <c r="N15" i="9"/>
  <c r="P15" i="9" s="1"/>
  <c r="F94" i="9"/>
  <c r="K94" i="9" s="1"/>
  <c r="M94" i="9" s="1"/>
  <c r="D95" i="9"/>
  <c r="K49" i="21"/>
  <c r="L35" i="17"/>
  <c r="O35" i="17" s="1"/>
  <c r="E59" i="17"/>
  <c r="E45" i="17"/>
  <c r="P32" i="8"/>
  <c r="R32" i="8" s="1"/>
  <c r="W45" i="8"/>
  <c r="W46" i="8"/>
  <c r="W87" i="8"/>
  <c r="R33" i="1"/>
  <c r="Q33" i="1"/>
  <c r="R23" i="1"/>
  <c r="D92" i="1" s="1"/>
  <c r="F92" i="1" s="1"/>
  <c r="K92" i="1" s="1"/>
  <c r="M92" i="1" s="1"/>
  <c r="H58" i="1"/>
  <c r="O33" i="1"/>
  <c r="M47" i="1"/>
  <c r="H47" i="1"/>
  <c r="Q32" i="7"/>
  <c r="O32" i="7"/>
  <c r="M48" i="7"/>
  <c r="N33" i="7"/>
  <c r="O33" i="7" s="1"/>
  <c r="N47" i="7"/>
  <c r="O47" i="7" s="1"/>
  <c r="N34" i="7"/>
  <c r="P34" i="7" s="1"/>
  <c r="R34" i="7" s="1"/>
  <c r="T34" i="7" s="1"/>
  <c r="V34" i="7" s="1"/>
  <c r="X34" i="7" s="1"/>
  <c r="Z34" i="7" s="1"/>
  <c r="AB34" i="7" s="1"/>
  <c r="AD34" i="7" s="1"/>
  <c r="AF34" i="7" s="1"/>
  <c r="AH34" i="7" s="1"/>
  <c r="AJ34" i="7" s="1"/>
  <c r="M40" i="7"/>
  <c r="N92" i="1"/>
  <c r="P61" i="1"/>
  <c r="O61" i="1"/>
  <c r="M70" i="1"/>
  <c r="N70" i="1"/>
  <c r="N60" i="1"/>
  <c r="M60" i="1"/>
  <c r="M48" i="9"/>
  <c r="M33" i="9"/>
  <c r="K15" i="9"/>
  <c r="N61" i="9"/>
  <c r="M61" i="9"/>
  <c r="N33" i="9"/>
  <c r="O33" i="9" s="1"/>
  <c r="N61" i="7"/>
  <c r="M61" i="7"/>
  <c r="I7" i="12"/>
  <c r="F19" i="9"/>
  <c r="K21" i="8"/>
  <c r="N22" i="8"/>
  <c r="P22" i="8" s="1"/>
  <c r="K22" i="8"/>
  <c r="K28" i="8"/>
  <c r="N28" i="8"/>
  <c r="P28" i="8" s="1"/>
  <c r="N28" i="9"/>
  <c r="P28" i="9" s="1"/>
  <c r="K28" i="9"/>
  <c r="D9" i="9"/>
  <c r="N27" i="9"/>
  <c r="P27" i="9" s="1"/>
  <c r="K27" i="9"/>
  <c r="N22" i="9"/>
  <c r="P22" i="9" s="1"/>
  <c r="K22" i="9"/>
  <c r="D9" i="8"/>
  <c r="M33" i="7"/>
  <c r="D8" i="7"/>
  <c r="F8" i="7" s="1"/>
  <c r="K27" i="7"/>
  <c r="N27" i="7"/>
  <c r="P27" i="7" s="1"/>
  <c r="N22" i="7"/>
  <c r="P22" i="7" s="1"/>
  <c r="K22" i="7"/>
  <c r="N28" i="7"/>
  <c r="P28" i="7" s="1"/>
  <c r="K28" i="7"/>
  <c r="D8" i="8"/>
  <c r="D29" i="8" s="1"/>
  <c r="F29" i="8" s="1"/>
  <c r="D29" i="1"/>
  <c r="F29" i="1" s="1"/>
  <c r="F30" i="1"/>
  <c r="K18" i="8"/>
  <c r="D20" i="8"/>
  <c r="F20" i="8" s="1"/>
  <c r="K20" i="8" s="1"/>
  <c r="D11" i="8"/>
  <c r="D10" i="8"/>
  <c r="N60" i="18"/>
  <c r="M60" i="18"/>
  <c r="N55" i="18"/>
  <c r="M55" i="18"/>
  <c r="N34" i="18"/>
  <c r="M34" i="18"/>
  <c r="M45" i="18"/>
  <c r="N45" i="18"/>
  <c r="D6" i="8"/>
  <c r="S80" i="1"/>
  <c r="S87" i="1"/>
  <c r="S98" i="1"/>
  <c r="S96" i="1"/>
  <c r="S97" i="1"/>
  <c r="N43" i="18"/>
  <c r="M43" i="18"/>
  <c r="N58" i="1"/>
  <c r="M58" i="1"/>
  <c r="F9" i="1"/>
  <c r="N9" i="1" s="1"/>
  <c r="P9" i="1" s="1"/>
  <c r="U87" i="1"/>
  <c r="U97" i="1"/>
  <c r="U96" i="1"/>
  <c r="U98" i="1"/>
  <c r="M68" i="1"/>
  <c r="L59" i="1"/>
  <c r="N57" i="18"/>
  <c r="M57" i="18"/>
  <c r="N58" i="18"/>
  <c r="M58" i="18"/>
  <c r="N48" i="18"/>
  <c r="M48" i="18"/>
  <c r="N12" i="7"/>
  <c r="P12" i="7" s="1"/>
  <c r="F41" i="7"/>
  <c r="K41" i="7" s="1"/>
  <c r="H41" i="7" s="1"/>
  <c r="K20" i="7"/>
  <c r="F19" i="7"/>
  <c r="K19" i="7" s="1"/>
  <c r="N61" i="18"/>
  <c r="M61" i="18"/>
  <c r="O91" i="9"/>
  <c r="Q156" i="16"/>
  <c r="R156" i="16"/>
  <c r="T156" i="16" s="1"/>
  <c r="V156" i="16" s="1"/>
  <c r="X156" i="16" s="1"/>
  <c r="Z156" i="16" s="1"/>
  <c r="AB156" i="16" s="1"/>
  <c r="AD156" i="16" s="1"/>
  <c r="AF156" i="16" s="1"/>
  <c r="AH156" i="16" s="1"/>
  <c r="AJ156" i="16" s="1"/>
  <c r="H160" i="16"/>
  <c r="K159" i="16"/>
  <c r="O157" i="16"/>
  <c r="P157" i="16"/>
  <c r="N158" i="16"/>
  <c r="M158" i="16"/>
  <c r="W147" i="16"/>
  <c r="W143" i="16"/>
  <c r="W139" i="16"/>
  <c r="W145" i="16"/>
  <c r="W141" i="16"/>
  <c r="W137" i="16"/>
  <c r="W146" i="16"/>
  <c r="W142" i="16"/>
  <c r="W138" i="16"/>
  <c r="W144" i="16"/>
  <c r="W136" i="16"/>
  <c r="W140" i="16"/>
  <c r="W187" i="16"/>
  <c r="W135" i="16"/>
  <c r="S91" i="9"/>
  <c r="N90" i="7"/>
  <c r="P90" i="7" s="1"/>
  <c r="Q90" i="7" s="1"/>
  <c r="M91" i="9"/>
  <c r="M46" i="7"/>
  <c r="N46" i="7"/>
  <c r="Q91" i="9"/>
  <c r="N46" i="9"/>
  <c r="M46" i="9"/>
  <c r="N53" i="1"/>
  <c r="O53" i="1" s="1"/>
  <c r="S88" i="7"/>
  <c r="S86" i="7"/>
  <c r="N45" i="1"/>
  <c r="M45" i="1"/>
  <c r="S72" i="1"/>
  <c r="S76" i="1"/>
  <c r="S32" i="1"/>
  <c r="S74" i="1"/>
  <c r="S78" i="1"/>
  <c r="S82" i="1"/>
  <c r="N46" i="1"/>
  <c r="M46" i="1"/>
  <c r="S80" i="9"/>
  <c r="S78" i="9"/>
  <c r="S79" i="9"/>
  <c r="S87" i="9"/>
  <c r="U31" i="9"/>
  <c r="W88" i="8"/>
  <c r="W86" i="8"/>
  <c r="O84" i="9"/>
  <c r="S84" i="9"/>
  <c r="L127" i="17"/>
  <c r="E30" i="17"/>
  <c r="G3" i="17"/>
  <c r="L126" i="17"/>
  <c r="E110" i="17"/>
  <c r="Q84" i="9"/>
  <c r="E4" i="17"/>
  <c r="D3" i="16"/>
  <c r="D2" i="16" s="1"/>
  <c r="P82" i="17"/>
  <c r="AE23" i="17"/>
  <c r="Q31" i="16"/>
  <c r="R31" i="16"/>
  <c r="K38" i="16"/>
  <c r="P30" i="16"/>
  <c r="O30" i="16"/>
  <c r="M37" i="16"/>
  <c r="N37" i="16"/>
  <c r="M33" i="16"/>
  <c r="N33" i="16"/>
  <c r="K40" i="16"/>
  <c r="Q29" i="16"/>
  <c r="R29" i="16"/>
  <c r="K36" i="16"/>
  <c r="R27" i="16"/>
  <c r="Q27" i="16"/>
  <c r="P32" i="16"/>
  <c r="O32" i="16"/>
  <c r="O34" i="16"/>
  <c r="P34" i="16"/>
  <c r="M35" i="16"/>
  <c r="N35" i="16"/>
  <c r="X26" i="16"/>
  <c r="W26" i="16"/>
  <c r="X21" i="16"/>
  <c r="W21" i="16"/>
  <c r="W22" i="16"/>
  <c r="X22" i="16"/>
  <c r="W25" i="16"/>
  <c r="X25" i="16"/>
  <c r="X24" i="16"/>
  <c r="W24" i="16"/>
  <c r="X28" i="16"/>
  <c r="W28" i="16"/>
  <c r="X20" i="16"/>
  <c r="W20" i="16"/>
  <c r="X23" i="16"/>
  <c r="W23" i="16"/>
  <c r="W19" i="16"/>
  <c r="X19" i="16"/>
  <c r="W18" i="16"/>
  <c r="Y17" i="16"/>
  <c r="U87" i="9"/>
  <c r="V87" i="9"/>
  <c r="U86" i="1"/>
  <c r="V86" i="1"/>
  <c r="D11" i="9"/>
  <c r="F11" i="9" s="1"/>
  <c r="M11" i="24" s="1"/>
  <c r="F19" i="8"/>
  <c r="N19" i="8" s="1"/>
  <c r="P19" i="8" s="1"/>
  <c r="R89" i="9"/>
  <c r="Q89" i="9"/>
  <c r="D6" i="9"/>
  <c r="F6" i="9" s="1"/>
  <c r="K10" i="1"/>
  <c r="N10" i="1"/>
  <c r="P10" i="1" s="1"/>
  <c r="F57" i="1"/>
  <c r="K57" i="1" s="1"/>
  <c r="H57" i="1" s="1"/>
  <c r="B2" i="10"/>
  <c r="C2" i="10" s="1"/>
  <c r="D2" i="10" s="1"/>
  <c r="E2" i="10" s="1"/>
  <c r="C9" i="13"/>
  <c r="N8" i="1"/>
  <c r="P8" i="1" s="1"/>
  <c r="K11" i="1"/>
  <c r="F62" i="1"/>
  <c r="K62" i="1" s="1"/>
  <c r="H62" i="1" s="1"/>
  <c r="N11" i="1"/>
  <c r="P11" i="1" s="1"/>
  <c r="K17" i="1"/>
  <c r="N17" i="1"/>
  <c r="P17" i="1" s="1"/>
  <c r="K20" i="1"/>
  <c r="N20" i="1"/>
  <c r="P20" i="1" s="1"/>
  <c r="K5" i="1"/>
  <c r="N5" i="1"/>
  <c r="P5" i="1" s="1"/>
  <c r="M90" i="1"/>
  <c r="N90" i="1"/>
  <c r="M52" i="1"/>
  <c r="N52" i="1"/>
  <c r="K14" i="1"/>
  <c r="N14" i="1"/>
  <c r="P14" i="1" s="1"/>
  <c r="K13" i="1"/>
  <c r="N13" i="1"/>
  <c r="P13" i="1" s="1"/>
  <c r="K19" i="1"/>
  <c r="N19" i="1"/>
  <c r="P19" i="1" s="1"/>
  <c r="D10" i="9"/>
  <c r="F10" i="9" s="1"/>
  <c r="M10" i="24" s="1"/>
  <c r="R83" i="1"/>
  <c r="Q83" i="1"/>
  <c r="K14" i="7"/>
  <c r="N14" i="7"/>
  <c r="P14" i="7" s="1"/>
  <c r="D17" i="8"/>
  <c r="F17" i="8" s="1"/>
  <c r="D14" i="8"/>
  <c r="F14" i="8" s="1"/>
  <c r="K15" i="8"/>
  <c r="N15" i="8"/>
  <c r="P15" i="8" s="1"/>
  <c r="F5" i="7"/>
  <c r="D11" i="7"/>
  <c r="F11" i="7" s="1"/>
  <c r="N14" i="9"/>
  <c r="P14" i="9" s="1"/>
  <c r="K14" i="9"/>
  <c r="F5" i="9"/>
  <c r="M5" i="24" s="1"/>
  <c r="D8" i="9"/>
  <c r="F8" i="9" s="1"/>
  <c r="F115" i="9" s="1"/>
  <c r="K115" i="9" s="1"/>
  <c r="N53" i="7"/>
  <c r="K6" i="1"/>
  <c r="N6" i="1"/>
  <c r="P6" i="1" s="1"/>
  <c r="F51" i="1"/>
  <c r="K51" i="1" s="1"/>
  <c r="M51" i="1" s="1"/>
  <c r="D9" i="7"/>
  <c r="D10" i="7"/>
  <c r="F10" i="7" s="1"/>
  <c r="N10" i="7" s="1"/>
  <c r="P10" i="7" s="1"/>
  <c r="D6" i="7"/>
  <c r="F6" i="7" s="1"/>
  <c r="N6" i="7" s="1"/>
  <c r="P6" i="7" s="1"/>
  <c r="E8" i="13"/>
  <c r="E10" i="13" s="1"/>
  <c r="E11" i="13" s="1"/>
  <c r="E13" i="13" s="1"/>
  <c r="F4" i="12"/>
  <c r="N20" i="9"/>
  <c r="P20" i="9" s="1"/>
  <c r="K20" i="9"/>
  <c r="N21" i="9"/>
  <c r="P21" i="9" s="1"/>
  <c r="K21" i="9"/>
  <c r="N18" i="9"/>
  <c r="P18" i="9" s="1"/>
  <c r="K18" i="9"/>
  <c r="K21" i="7"/>
  <c r="N21" i="7"/>
  <c r="P21" i="7" s="1"/>
  <c r="N18" i="7"/>
  <c r="P18" i="7" s="1"/>
  <c r="K18" i="7"/>
  <c r="M34" i="7"/>
  <c r="N4" i="9"/>
  <c r="P4" i="9" s="1"/>
  <c r="F108" i="9"/>
  <c r="K108" i="9" s="1"/>
  <c r="F71" i="9"/>
  <c r="K71" i="9" s="1"/>
  <c r="F63" i="7"/>
  <c r="K63" i="7" s="1"/>
  <c r="H63" i="7" s="1"/>
  <c r="N4" i="7"/>
  <c r="P4" i="7" s="1"/>
  <c r="F41" i="8"/>
  <c r="K41" i="8" s="1"/>
  <c r="H41" i="8" s="1"/>
  <c r="F12" i="12"/>
  <c r="N12" i="8"/>
  <c r="P12" i="8" s="1"/>
  <c r="S16" i="12"/>
  <c r="R107" i="9"/>
  <c r="Q107" i="9"/>
  <c r="W57" i="8"/>
  <c r="R96" i="8"/>
  <c r="Q96" i="8"/>
  <c r="M53" i="9"/>
  <c r="N53" i="9"/>
  <c r="P53" i="9" s="1"/>
  <c r="M52" i="7"/>
  <c r="N52" i="7"/>
  <c r="O52" i="7" s="1"/>
  <c r="N52" i="9"/>
  <c r="P52" i="9" s="1"/>
  <c r="M52" i="9"/>
  <c r="B36" i="10"/>
  <c r="C36" i="10" s="1"/>
  <c r="F70" i="9"/>
  <c r="K70" i="9" s="1"/>
  <c r="F35" i="9"/>
  <c r="K4" i="7"/>
  <c r="F69" i="7"/>
  <c r="K69" i="7" s="1"/>
  <c r="M69" i="7" s="1"/>
  <c r="F35" i="7"/>
  <c r="K35" i="7" s="1"/>
  <c r="H35" i="7" s="1"/>
  <c r="N48" i="9"/>
  <c r="O48" i="9" s="1"/>
  <c r="B34" i="10"/>
  <c r="C34" i="10" s="1"/>
  <c r="G4" i="9"/>
  <c r="F13" i="9"/>
  <c r="D17" i="9"/>
  <c r="F17" i="9" s="1"/>
  <c r="M17" i="24" s="1"/>
  <c r="F13" i="7"/>
  <c r="D17" i="7"/>
  <c r="F17" i="7" s="1"/>
  <c r="F59" i="7" s="1"/>
  <c r="K59" i="7" s="1"/>
  <c r="H59" i="7" s="1"/>
  <c r="Q73" i="7"/>
  <c r="O73" i="7"/>
  <c r="O80" i="8"/>
  <c r="Q75" i="9"/>
  <c r="O75" i="9"/>
  <c r="K12" i="8"/>
  <c r="S75" i="9"/>
  <c r="Q80" i="8"/>
  <c r="S80" i="8"/>
  <c r="Q74" i="8"/>
  <c r="S74" i="8"/>
  <c r="O74" i="8"/>
  <c r="U80" i="8"/>
  <c r="N40" i="7"/>
  <c r="O40" i="7" s="1"/>
  <c r="U74" i="8"/>
  <c r="K4" i="9"/>
  <c r="S83" i="8"/>
  <c r="O83" i="8"/>
  <c r="N66" i="9"/>
  <c r="O66" i="9" s="1"/>
  <c r="N67" i="7"/>
  <c r="P67" i="7" s="1"/>
  <c r="O82" i="9"/>
  <c r="Q74" i="9"/>
  <c r="O75" i="7"/>
  <c r="Q75" i="7"/>
  <c r="N68" i="7"/>
  <c r="O68" i="7" s="1"/>
  <c r="M65" i="7"/>
  <c r="O74" i="9"/>
  <c r="S76" i="9"/>
  <c r="Q82" i="9"/>
  <c r="N47" i="1"/>
  <c r="P47" i="1" s="1"/>
  <c r="S83" i="9"/>
  <c r="O76" i="9"/>
  <c r="Q83" i="9"/>
  <c r="S82" i="9"/>
  <c r="S74" i="9"/>
  <c r="O83" i="9"/>
  <c r="Q76" i="9"/>
  <c r="N64" i="7"/>
  <c r="O64" i="7" s="1"/>
  <c r="Q83" i="8"/>
  <c r="U83" i="8"/>
  <c r="Q81" i="9"/>
  <c r="O81" i="9"/>
  <c r="N48" i="7"/>
  <c r="O48" i="7" s="1"/>
  <c r="N66" i="7"/>
  <c r="P66" i="7" s="1"/>
  <c r="S81" i="9"/>
  <c r="U81" i="9"/>
  <c r="M47" i="7"/>
  <c r="M68" i="9"/>
  <c r="O77" i="9"/>
  <c r="S77" i="9"/>
  <c r="Q77" i="9"/>
  <c r="F42" i="1"/>
  <c r="K42" i="1" s="1"/>
  <c r="H42" i="1" s="1"/>
  <c r="K8" i="1"/>
  <c r="M67" i="1"/>
  <c r="N67" i="1"/>
  <c r="M40" i="1"/>
  <c r="N40" i="1"/>
  <c r="M64" i="1"/>
  <c r="N64" i="1"/>
  <c r="M65" i="1"/>
  <c r="N65" i="1"/>
  <c r="M66" i="1"/>
  <c r="N66" i="1"/>
  <c r="M63" i="1"/>
  <c r="N63" i="1"/>
  <c r="M48" i="1"/>
  <c r="N48" i="1"/>
  <c r="N34" i="1"/>
  <c r="M34" i="1"/>
  <c r="U88" i="1"/>
  <c r="U82" i="1"/>
  <c r="U81" i="1"/>
  <c r="U80" i="1"/>
  <c r="U79" i="1"/>
  <c r="U78" i="1"/>
  <c r="U77" i="1"/>
  <c r="U76" i="1"/>
  <c r="U75" i="1"/>
  <c r="U74" i="1"/>
  <c r="U73" i="1"/>
  <c r="U72" i="1"/>
  <c r="O41" i="1"/>
  <c r="N47" i="9"/>
  <c r="M47" i="9"/>
  <c r="N35" i="1"/>
  <c r="M35" i="1"/>
  <c r="N69" i="1"/>
  <c r="M69" i="1"/>
  <c r="P68" i="1"/>
  <c r="O68" i="1"/>
  <c r="P69" i="8"/>
  <c r="O69" i="8"/>
  <c r="O70" i="8"/>
  <c r="P70" i="8"/>
  <c r="P70" i="7"/>
  <c r="O70" i="7"/>
  <c r="P32" i="9"/>
  <c r="O32" i="9"/>
  <c r="P68" i="9"/>
  <c r="O68" i="9"/>
  <c r="M34" i="9"/>
  <c r="N34" i="9"/>
  <c r="M40" i="9"/>
  <c r="N40" i="9"/>
  <c r="N65" i="9"/>
  <c r="M65" i="9"/>
  <c r="N64" i="9"/>
  <c r="M64" i="9"/>
  <c r="N69" i="9"/>
  <c r="M69" i="9"/>
  <c r="W83" i="8"/>
  <c r="W82" i="8"/>
  <c r="W81" i="8"/>
  <c r="W80" i="8"/>
  <c r="W79" i="8"/>
  <c r="W78" i="8"/>
  <c r="W77" i="8"/>
  <c r="W76" i="8"/>
  <c r="W75" i="8"/>
  <c r="W74" i="8"/>
  <c r="W73" i="8"/>
  <c r="W72" i="8"/>
  <c r="W48" i="8"/>
  <c r="W56" i="8"/>
  <c r="W55" i="8"/>
  <c r="W47" i="8"/>
  <c r="W44" i="8"/>
  <c r="Y31" i="8"/>
  <c r="P33" i="8"/>
  <c r="O33" i="8"/>
  <c r="S83" i="7"/>
  <c r="S82" i="7"/>
  <c r="S81" i="7"/>
  <c r="S80" i="7"/>
  <c r="S79" i="7"/>
  <c r="S78" i="7"/>
  <c r="S77" i="7"/>
  <c r="S76" i="7"/>
  <c r="S75" i="7"/>
  <c r="S74" i="7"/>
  <c r="S73" i="7"/>
  <c r="S72" i="7"/>
  <c r="S32" i="7"/>
  <c r="U31" i="7"/>
  <c r="U87" i="7" s="1"/>
  <c r="P65" i="7"/>
  <c r="O65" i="7"/>
  <c r="W31" i="1"/>
  <c r="U32" i="1"/>
  <c r="F38" i="1"/>
  <c r="K38" i="1" s="1"/>
  <c r="H38" i="1" s="1"/>
  <c r="F37" i="1"/>
  <c r="K37" i="1" s="1"/>
  <c r="H37" i="1" s="1"/>
  <c r="F56" i="1"/>
  <c r="K56" i="1" s="1"/>
  <c r="H56" i="1" s="1"/>
  <c r="F36" i="1"/>
  <c r="K36" i="1" s="1"/>
  <c r="H36" i="1" s="1"/>
  <c r="F44" i="1"/>
  <c r="K44" i="1" s="1"/>
  <c r="H44" i="1" s="1"/>
  <c r="F55" i="1"/>
  <c r="K55" i="1" s="1"/>
  <c r="H55" i="1" s="1"/>
  <c r="F54" i="1"/>
  <c r="K54" i="1" s="1"/>
  <c r="H54" i="1" s="1"/>
  <c r="F39" i="1"/>
  <c r="K39" i="1" s="1"/>
  <c r="H35" i="9" l="1"/>
  <c r="K35" i="9"/>
  <c r="P67" i="9"/>
  <c r="O67" i="9"/>
  <c r="P45" i="27"/>
  <c r="O45" i="27"/>
  <c r="M115" i="9"/>
  <c r="N115" i="9"/>
  <c r="N59" i="1"/>
  <c r="M59" i="1"/>
  <c r="O113" i="9"/>
  <c r="P113" i="9"/>
  <c r="P34" i="27"/>
  <c r="O34" i="27"/>
  <c r="D16" i="26"/>
  <c r="D15" i="26"/>
  <c r="F15" i="26" s="1"/>
  <c r="D13" i="26"/>
  <c r="D19" i="26"/>
  <c r="F12" i="26"/>
  <c r="M114" i="9"/>
  <c r="N114" i="9"/>
  <c r="M41" i="9"/>
  <c r="N41" i="9"/>
  <c r="P41" i="9" s="1"/>
  <c r="R41" i="9" s="1"/>
  <c r="T41" i="9" s="1"/>
  <c r="V41" i="9" s="1"/>
  <c r="X41" i="9" s="1"/>
  <c r="Z41" i="9" s="1"/>
  <c r="AB41" i="9" s="1"/>
  <c r="AD41" i="9" s="1"/>
  <c r="AF41" i="9" s="1"/>
  <c r="AH41" i="9" s="1"/>
  <c r="AJ41" i="9" s="1"/>
  <c r="P43" i="27"/>
  <c r="O43" i="27"/>
  <c r="Q48" i="26"/>
  <c r="R48" i="26"/>
  <c r="R53" i="24"/>
  <c r="T53" i="24" s="1"/>
  <c r="N63" i="9"/>
  <c r="O63" i="9" s="1"/>
  <c r="S73" i="9"/>
  <c r="E19" i="17"/>
  <c r="G19" i="17" s="1"/>
  <c r="M19" i="24"/>
  <c r="U73" i="9"/>
  <c r="O10" i="24"/>
  <c r="N10" i="24"/>
  <c r="N104" i="9"/>
  <c r="M104" i="9"/>
  <c r="Q73" i="9"/>
  <c r="N15" i="24"/>
  <c r="O15" i="24"/>
  <c r="O20" i="24"/>
  <c r="N20" i="24"/>
  <c r="N17" i="24"/>
  <c r="O17" i="24"/>
  <c r="N5" i="24"/>
  <c r="O5" i="24"/>
  <c r="O21" i="24"/>
  <c r="N21" i="24"/>
  <c r="E13" i="17"/>
  <c r="G13" i="17" s="1"/>
  <c r="M13" i="24"/>
  <c r="O73" i="9"/>
  <c r="F43" i="9"/>
  <c r="K43" i="9" s="1"/>
  <c r="N43" i="9" s="1"/>
  <c r="M8" i="24"/>
  <c r="D145" i="9"/>
  <c r="M6" i="24"/>
  <c r="N11" i="24"/>
  <c r="O11" i="24"/>
  <c r="M63" i="9"/>
  <c r="O14" i="24"/>
  <c r="N14" i="24"/>
  <c r="O18" i="24"/>
  <c r="N18" i="24"/>
  <c r="N4" i="24"/>
  <c r="O4" i="24"/>
  <c r="Q66" i="24"/>
  <c r="O48" i="24"/>
  <c r="P48" i="24"/>
  <c r="D4" i="16"/>
  <c r="D5" i="16" s="1"/>
  <c r="D7" i="16" s="1"/>
  <c r="D8" i="16" s="1"/>
  <c r="D10" i="16" s="1"/>
  <c r="D11" i="16" s="1"/>
  <c r="D12" i="16" s="1"/>
  <c r="D6" i="16"/>
  <c r="H59" i="24"/>
  <c r="L59" i="24"/>
  <c r="P64" i="24"/>
  <c r="O64" i="24"/>
  <c r="P67" i="24"/>
  <c r="O67" i="24"/>
  <c r="D118" i="24"/>
  <c r="H118" i="24" s="1"/>
  <c r="L41" i="24"/>
  <c r="P38" i="24"/>
  <c r="O38" i="24"/>
  <c r="K41" i="24"/>
  <c r="P69" i="24"/>
  <c r="O69" i="24"/>
  <c r="M59" i="24"/>
  <c r="N59" i="24"/>
  <c r="O59" i="24" s="1"/>
  <c r="I70" i="12"/>
  <c r="I78" i="12"/>
  <c r="W84" i="1"/>
  <c r="P86" i="9"/>
  <c r="O86" i="9"/>
  <c r="N52" i="21"/>
  <c r="P52" i="21" s="1"/>
  <c r="P85" i="7"/>
  <c r="O85" i="7"/>
  <c r="P70" i="24"/>
  <c r="O70" i="24"/>
  <c r="U84" i="1"/>
  <c r="P85" i="1"/>
  <c r="O85" i="1"/>
  <c r="P85" i="8"/>
  <c r="O85" i="8"/>
  <c r="S53" i="24"/>
  <c r="T66" i="24"/>
  <c r="S66" i="24"/>
  <c r="P43" i="1"/>
  <c r="O43" i="1"/>
  <c r="T50" i="24"/>
  <c r="S50" i="24"/>
  <c r="N66" i="21"/>
  <c r="O66" i="21" s="1"/>
  <c r="F59" i="9"/>
  <c r="K59" i="9" s="1"/>
  <c r="H59" i="9" s="1"/>
  <c r="N65" i="21"/>
  <c r="O65" i="21" s="1"/>
  <c r="N63" i="21"/>
  <c r="O63" i="21" s="1"/>
  <c r="N8" i="7"/>
  <c r="P8" i="7" s="1"/>
  <c r="F43" i="7"/>
  <c r="K43" i="7" s="1"/>
  <c r="N68" i="21"/>
  <c r="P68" i="21" s="1"/>
  <c r="M38" i="21"/>
  <c r="N93" i="7"/>
  <c r="P93" i="7" s="1"/>
  <c r="Q32" i="8"/>
  <c r="P33" i="7"/>
  <c r="Q33" i="7" s="1"/>
  <c r="H38" i="21"/>
  <c r="H39" i="1"/>
  <c r="M3" i="22"/>
  <c r="M93" i="8"/>
  <c r="R95" i="21"/>
  <c r="Q95" i="21"/>
  <c r="P93" i="1"/>
  <c r="O93" i="1"/>
  <c r="D13" i="19"/>
  <c r="D15" i="19"/>
  <c r="F15" i="19" s="1"/>
  <c r="I15" i="19" s="1"/>
  <c r="G12" i="19"/>
  <c r="F12" i="19"/>
  <c r="D16" i="19"/>
  <c r="M37" i="18"/>
  <c r="N37" i="18"/>
  <c r="U76" i="9"/>
  <c r="D23" i="1"/>
  <c r="F23" i="1" s="1"/>
  <c r="N23" i="1" s="1"/>
  <c r="P23" i="1" s="1"/>
  <c r="O38" i="21"/>
  <c r="P38" i="21"/>
  <c r="M69" i="21"/>
  <c r="N69" i="21"/>
  <c r="F12" i="20"/>
  <c r="D13" i="20"/>
  <c r="D16" i="20"/>
  <c r="D19" i="20" s="1"/>
  <c r="D15" i="20"/>
  <c r="F15" i="20" s="1"/>
  <c r="I15" i="20" s="1"/>
  <c r="G12" i="20"/>
  <c r="J41" i="21"/>
  <c r="L41" i="21" s="1"/>
  <c r="R96" i="21"/>
  <c r="Q96" i="21"/>
  <c r="Y184" i="16"/>
  <c r="Y180" i="16"/>
  <c r="Y176" i="16"/>
  <c r="Y172" i="16"/>
  <c r="Y168" i="16"/>
  <c r="Y164" i="16"/>
  <c r="Y160" i="16"/>
  <c r="Y156" i="16"/>
  <c r="Y185" i="16"/>
  <c r="Y179" i="16"/>
  <c r="Y178" i="16"/>
  <c r="Y177" i="16"/>
  <c r="Y171" i="16"/>
  <c r="Y170" i="16"/>
  <c r="Y169" i="16"/>
  <c r="Y163" i="16"/>
  <c r="Y162" i="16"/>
  <c r="Y161" i="16"/>
  <c r="Y154" i="16"/>
  <c r="Y150" i="16"/>
  <c r="Y183" i="16"/>
  <c r="Y182" i="16"/>
  <c r="Y181" i="16"/>
  <c r="Y175" i="16"/>
  <c r="Y174" i="16"/>
  <c r="Y173" i="16"/>
  <c r="Y167" i="16"/>
  <c r="Y166" i="16"/>
  <c r="Y165" i="16"/>
  <c r="Y159" i="16"/>
  <c r="Y158" i="16"/>
  <c r="Y157" i="16"/>
  <c r="Y152" i="16"/>
  <c r="Y148" i="16"/>
  <c r="Y155" i="16"/>
  <c r="Y153" i="16"/>
  <c r="Y151" i="16"/>
  <c r="Y149" i="16"/>
  <c r="Y186" i="16"/>
  <c r="H47" i="21"/>
  <c r="M47" i="21"/>
  <c r="N47" i="21"/>
  <c r="N58" i="21"/>
  <c r="H58" i="21"/>
  <c r="L58" i="21"/>
  <c r="M58" i="21"/>
  <c r="U77" i="9"/>
  <c r="N94" i="9"/>
  <c r="P94" i="9" s="1"/>
  <c r="P33" i="9"/>
  <c r="R33" i="9" s="1"/>
  <c r="N49" i="21"/>
  <c r="M49" i="21"/>
  <c r="H49" i="21"/>
  <c r="G130" i="17"/>
  <c r="O130" i="17"/>
  <c r="E131" i="17"/>
  <c r="I131" i="17" s="1"/>
  <c r="L131" i="17" s="1"/>
  <c r="Q35" i="17"/>
  <c r="R35" i="17"/>
  <c r="L3" i="17"/>
  <c r="O3" i="17" s="1"/>
  <c r="U75" i="9"/>
  <c r="U88" i="9"/>
  <c r="Y45" i="8"/>
  <c r="Y46" i="8"/>
  <c r="Y87" i="8"/>
  <c r="P93" i="8"/>
  <c r="O93" i="8"/>
  <c r="P47" i="7"/>
  <c r="R47" i="7" s="1"/>
  <c r="T33" i="1"/>
  <c r="S33" i="1"/>
  <c r="O34" i="7"/>
  <c r="Q41" i="9"/>
  <c r="Q34" i="7"/>
  <c r="S34" i="7"/>
  <c r="L59" i="7"/>
  <c r="M41" i="7"/>
  <c r="N63" i="7"/>
  <c r="O63" i="7" s="1"/>
  <c r="K19" i="9"/>
  <c r="P92" i="1"/>
  <c r="O92" i="1"/>
  <c r="F42" i="7"/>
  <c r="K42" i="7" s="1"/>
  <c r="H42" i="7" s="1"/>
  <c r="O41" i="9"/>
  <c r="R61" i="1"/>
  <c r="Q61" i="1"/>
  <c r="F50" i="1"/>
  <c r="K50" i="1" s="1"/>
  <c r="H50" i="1" s="1"/>
  <c r="F54" i="7"/>
  <c r="K54" i="7" s="1"/>
  <c r="H54" i="7" s="1"/>
  <c r="F39" i="7"/>
  <c r="K39" i="7" s="1"/>
  <c r="P60" i="1"/>
  <c r="O60" i="1"/>
  <c r="O70" i="1"/>
  <c r="P70" i="1"/>
  <c r="N19" i="9"/>
  <c r="P19" i="9" s="1"/>
  <c r="M35" i="9"/>
  <c r="F62" i="9"/>
  <c r="K62" i="9" s="1"/>
  <c r="H62" i="9" s="1"/>
  <c r="F60" i="9"/>
  <c r="K60" i="9" s="1"/>
  <c r="H60" i="9" s="1"/>
  <c r="P61" i="9"/>
  <c r="O61" i="9"/>
  <c r="N11" i="7"/>
  <c r="P11" i="7" s="1"/>
  <c r="F60" i="7"/>
  <c r="K60" i="7" s="1"/>
  <c r="H60" i="7" s="1"/>
  <c r="P61" i="7"/>
  <c r="O61" i="7"/>
  <c r="D29" i="7"/>
  <c r="F29" i="7" s="1"/>
  <c r="K29" i="7" s="1"/>
  <c r="F55" i="7"/>
  <c r="K55" i="7" s="1"/>
  <c r="H55" i="7" s="1"/>
  <c r="K8" i="7"/>
  <c r="D30" i="7"/>
  <c r="F30" i="7" s="1"/>
  <c r="N30" i="7" s="1"/>
  <c r="P30" i="7" s="1"/>
  <c r="D30" i="9"/>
  <c r="F30" i="9" s="1"/>
  <c r="M30" i="24" s="1"/>
  <c r="F9" i="9"/>
  <c r="M9" i="24" s="1"/>
  <c r="D29" i="9"/>
  <c r="F29" i="9" s="1"/>
  <c r="M29" i="24" s="1"/>
  <c r="N29" i="8"/>
  <c r="P29" i="8" s="1"/>
  <c r="K29" i="8"/>
  <c r="D30" i="8"/>
  <c r="F30" i="8" s="1"/>
  <c r="F9" i="7"/>
  <c r="N9" i="7" s="1"/>
  <c r="P9" i="7" s="1"/>
  <c r="K29" i="1"/>
  <c r="N29" i="1"/>
  <c r="P29" i="1" s="1"/>
  <c r="F49" i="1"/>
  <c r="K49" i="1" s="1"/>
  <c r="N49" i="1" s="1"/>
  <c r="N51" i="1"/>
  <c r="O51" i="1" s="1"/>
  <c r="K30" i="1"/>
  <c r="N30" i="1"/>
  <c r="P30" i="1" s="1"/>
  <c r="D26" i="1"/>
  <c r="F26" i="1" s="1"/>
  <c r="N20" i="8"/>
  <c r="P20" i="8" s="1"/>
  <c r="N41" i="7"/>
  <c r="P41" i="7" s="1"/>
  <c r="O90" i="7"/>
  <c r="N19" i="7"/>
  <c r="P19" i="7" s="1"/>
  <c r="P60" i="18"/>
  <c r="O60" i="18"/>
  <c r="W87" i="1"/>
  <c r="W98" i="1"/>
  <c r="W97" i="1"/>
  <c r="W96" i="1"/>
  <c r="K9" i="1"/>
  <c r="P48" i="18"/>
  <c r="O48" i="18"/>
  <c r="P57" i="18"/>
  <c r="O57" i="18"/>
  <c r="P58" i="1"/>
  <c r="O58" i="1"/>
  <c r="O34" i="18"/>
  <c r="P34" i="18"/>
  <c r="P53" i="1"/>
  <c r="Q53" i="1" s="1"/>
  <c r="P58" i="18"/>
  <c r="O58" i="18"/>
  <c r="O45" i="18"/>
  <c r="P45" i="18"/>
  <c r="P59" i="1"/>
  <c r="O59" i="1"/>
  <c r="O43" i="18"/>
  <c r="P43" i="18"/>
  <c r="P55" i="18"/>
  <c r="O55" i="18"/>
  <c r="F36" i="9"/>
  <c r="K36" i="9" s="1"/>
  <c r="H36" i="9" s="1"/>
  <c r="F58" i="9"/>
  <c r="K58" i="9" s="1"/>
  <c r="H58" i="9" s="1"/>
  <c r="K17" i="8"/>
  <c r="F59" i="8"/>
  <c r="K59" i="8" s="1"/>
  <c r="H59" i="8" s="1"/>
  <c r="N59" i="7"/>
  <c r="M59" i="7"/>
  <c r="N5" i="7"/>
  <c r="P5" i="7" s="1"/>
  <c r="F58" i="7"/>
  <c r="K58" i="7" s="1"/>
  <c r="H58" i="7" s="1"/>
  <c r="O61" i="18"/>
  <c r="P61" i="18"/>
  <c r="P158" i="16"/>
  <c r="O158" i="16"/>
  <c r="Q157" i="16"/>
  <c r="R157" i="16"/>
  <c r="T157" i="16" s="1"/>
  <c r="V157" i="16" s="1"/>
  <c r="X157" i="16" s="1"/>
  <c r="Z157" i="16" s="1"/>
  <c r="AB157" i="16" s="1"/>
  <c r="AD157" i="16" s="1"/>
  <c r="AF157" i="16" s="1"/>
  <c r="AH157" i="16" s="1"/>
  <c r="AJ157" i="16" s="1"/>
  <c r="H161" i="16"/>
  <c r="K160" i="16"/>
  <c r="N159" i="16"/>
  <c r="M159" i="16"/>
  <c r="Y144" i="16"/>
  <c r="Y140" i="16"/>
  <c r="Y136" i="16"/>
  <c r="Y146" i="16"/>
  <c r="Y142" i="16"/>
  <c r="Y138" i="16"/>
  <c r="Y147" i="16"/>
  <c r="Y143" i="16"/>
  <c r="Y139" i="16"/>
  <c r="Y145" i="16"/>
  <c r="Y137" i="16"/>
  <c r="Y141" i="16"/>
  <c r="Y135" i="16"/>
  <c r="Y187" i="16"/>
  <c r="R90" i="7"/>
  <c r="T90" i="7" s="1"/>
  <c r="P46" i="7"/>
  <c r="O46" i="7"/>
  <c r="P46" i="9"/>
  <c r="O46" i="9"/>
  <c r="F57" i="9"/>
  <c r="K57" i="9" s="1"/>
  <c r="H57" i="9" s="1"/>
  <c r="F45" i="9"/>
  <c r="K45" i="9" s="1"/>
  <c r="H45" i="9" s="1"/>
  <c r="E128" i="17"/>
  <c r="E129" i="17" s="1"/>
  <c r="L129" i="17" s="1"/>
  <c r="O129" i="17" s="1"/>
  <c r="U88" i="7"/>
  <c r="U86" i="7"/>
  <c r="P46" i="1"/>
  <c r="O46" i="1"/>
  <c r="P45" i="1"/>
  <c r="O45" i="1"/>
  <c r="W45" i="1"/>
  <c r="W46" i="1"/>
  <c r="K11" i="7"/>
  <c r="F57" i="7"/>
  <c r="K57" i="7" s="1"/>
  <c r="H57" i="7" s="1"/>
  <c r="F45" i="7"/>
  <c r="K45" i="7" s="1"/>
  <c r="H45" i="7" s="1"/>
  <c r="AM126" i="9"/>
  <c r="AM130" i="9"/>
  <c r="B3" i="10"/>
  <c r="C3" i="10" s="1"/>
  <c r="D3" i="10" s="1"/>
  <c r="E3" i="10" s="1"/>
  <c r="U84" i="9"/>
  <c r="U82" i="9"/>
  <c r="U78" i="9"/>
  <c r="U80" i="9"/>
  <c r="W31" i="9"/>
  <c r="U79" i="9"/>
  <c r="U41" i="9"/>
  <c r="U91" i="9"/>
  <c r="U83" i="9"/>
  <c r="U74" i="9"/>
  <c r="AM132" i="9"/>
  <c r="AM125" i="9"/>
  <c r="AM127" i="9"/>
  <c r="AM118" i="9"/>
  <c r="AM140" i="9"/>
  <c r="AM138" i="9"/>
  <c r="AM139" i="9"/>
  <c r="K6" i="9"/>
  <c r="Y88" i="8"/>
  <c r="Y86" i="8"/>
  <c r="N11" i="9"/>
  <c r="P11" i="9" s="1"/>
  <c r="E11" i="17"/>
  <c r="G11" i="17" s="1"/>
  <c r="L110" i="17"/>
  <c r="E111" i="17"/>
  <c r="G110" i="17"/>
  <c r="E109" i="17"/>
  <c r="E73" i="17"/>
  <c r="G4" i="17"/>
  <c r="E126" i="17"/>
  <c r="G126" i="17" s="1"/>
  <c r="O126" i="17"/>
  <c r="N8" i="9"/>
  <c r="P8" i="9" s="1"/>
  <c r="E8" i="17"/>
  <c r="E127" i="17"/>
  <c r="G127" i="17" s="1"/>
  <c r="O127" i="17"/>
  <c r="F15" i="12"/>
  <c r="L15" i="12" s="1"/>
  <c r="N15" i="12" s="1"/>
  <c r="E17" i="17"/>
  <c r="K11" i="9"/>
  <c r="F38" i="9"/>
  <c r="K38" i="9" s="1"/>
  <c r="H38" i="9" s="1"/>
  <c r="E5" i="17"/>
  <c r="G5" i="17" s="1"/>
  <c r="N10" i="9"/>
  <c r="P10" i="9" s="1"/>
  <c r="E10" i="17"/>
  <c r="E6" i="17"/>
  <c r="L30" i="17"/>
  <c r="G30" i="17"/>
  <c r="E29" i="17"/>
  <c r="E31" i="17"/>
  <c r="AG23" i="17"/>
  <c r="R32" i="16"/>
  <c r="Q32" i="16"/>
  <c r="K39" i="16"/>
  <c r="K43" i="16"/>
  <c r="N38" i="16"/>
  <c r="M38" i="16"/>
  <c r="R34" i="16"/>
  <c r="Q34" i="16"/>
  <c r="T29" i="16"/>
  <c r="S29" i="16"/>
  <c r="P33" i="16"/>
  <c r="O33" i="16"/>
  <c r="S31" i="16"/>
  <c r="T31" i="16"/>
  <c r="S27" i="16"/>
  <c r="T27" i="16"/>
  <c r="R30" i="16"/>
  <c r="Q30" i="16"/>
  <c r="O35" i="16"/>
  <c r="P35" i="16"/>
  <c r="N36" i="16"/>
  <c r="M36" i="16"/>
  <c r="N40" i="16"/>
  <c r="M40" i="16"/>
  <c r="O37" i="16"/>
  <c r="P37" i="16"/>
  <c r="K41" i="16"/>
  <c r="Z28" i="16"/>
  <c r="Y28" i="16"/>
  <c r="Z20" i="16"/>
  <c r="Y20" i="16"/>
  <c r="Z24" i="16"/>
  <c r="Y24" i="16"/>
  <c r="Z26" i="16"/>
  <c r="Y26" i="16"/>
  <c r="Z19" i="16"/>
  <c r="Y19" i="16"/>
  <c r="Z22" i="16"/>
  <c r="Y22" i="16"/>
  <c r="Z21" i="16"/>
  <c r="Y21" i="16"/>
  <c r="Z23" i="16"/>
  <c r="Y23" i="16"/>
  <c r="Z25" i="16"/>
  <c r="Y25" i="16"/>
  <c r="AA17" i="16"/>
  <c r="Y18" i="16"/>
  <c r="X87" i="9"/>
  <c r="K8" i="9"/>
  <c r="K5" i="9"/>
  <c r="N17" i="8"/>
  <c r="P17" i="8" s="1"/>
  <c r="F44" i="7"/>
  <c r="K44" i="7" s="1"/>
  <c r="H44" i="7" s="1"/>
  <c r="X86" i="1"/>
  <c r="W86" i="1"/>
  <c r="F62" i="7"/>
  <c r="K62" i="7" s="1"/>
  <c r="H62" i="7" s="1"/>
  <c r="K19" i="8"/>
  <c r="F37" i="9"/>
  <c r="K37" i="9" s="1"/>
  <c r="H37" i="9" s="1"/>
  <c r="F51" i="9"/>
  <c r="K51" i="9" s="1"/>
  <c r="N5" i="9"/>
  <c r="P5" i="9" s="1"/>
  <c r="N6" i="9"/>
  <c r="P6" i="9" s="1"/>
  <c r="K10" i="9"/>
  <c r="O52" i="9"/>
  <c r="T89" i="9"/>
  <c r="S89" i="9"/>
  <c r="F39" i="9"/>
  <c r="K39" i="9" s="1"/>
  <c r="W57" i="1"/>
  <c r="W53" i="1"/>
  <c r="M62" i="1"/>
  <c r="N62" i="1"/>
  <c r="O52" i="1"/>
  <c r="P52" i="1"/>
  <c r="O90" i="1"/>
  <c r="P90" i="1"/>
  <c r="N57" i="1"/>
  <c r="M57" i="1"/>
  <c r="F37" i="7"/>
  <c r="K37" i="7" s="1"/>
  <c r="H37" i="7" s="1"/>
  <c r="F44" i="9"/>
  <c r="K44" i="9" s="1"/>
  <c r="H44" i="9" s="1"/>
  <c r="B5" i="10"/>
  <c r="C5" i="10" s="1"/>
  <c r="D5" i="10" s="1"/>
  <c r="E5" i="10" s="1"/>
  <c r="I5" i="10" s="1"/>
  <c r="J5" i="10" s="1"/>
  <c r="K14" i="8"/>
  <c r="N14" i="8"/>
  <c r="P14" i="8" s="1"/>
  <c r="T83" i="1"/>
  <c r="S83" i="1"/>
  <c r="K5" i="7"/>
  <c r="K6" i="7"/>
  <c r="F38" i="7"/>
  <c r="K38" i="7" s="1"/>
  <c r="H38" i="7" s="1"/>
  <c r="P52" i="7"/>
  <c r="R52" i="7" s="1"/>
  <c r="F51" i="7"/>
  <c r="K51" i="7" s="1"/>
  <c r="N51" i="7" s="1"/>
  <c r="O51" i="7" s="1"/>
  <c r="F36" i="7"/>
  <c r="K36" i="7" s="1"/>
  <c r="H36" i="7" s="1"/>
  <c r="F56" i="7"/>
  <c r="K56" i="7" s="1"/>
  <c r="H56" i="7" s="1"/>
  <c r="N70" i="9"/>
  <c r="P70" i="9" s="1"/>
  <c r="R70" i="9" s="1"/>
  <c r="M70" i="9"/>
  <c r="F42" i="9"/>
  <c r="K42" i="9" s="1"/>
  <c r="H42" i="9" s="1"/>
  <c r="E9" i="13"/>
  <c r="F54" i="9"/>
  <c r="K54" i="9" s="1"/>
  <c r="H54" i="9" s="1"/>
  <c r="F55" i="9"/>
  <c r="K55" i="9" s="1"/>
  <c r="H55" i="9" s="1"/>
  <c r="F56" i="9"/>
  <c r="K56" i="9" s="1"/>
  <c r="H56" i="9" s="1"/>
  <c r="O53" i="7"/>
  <c r="P53" i="7"/>
  <c r="K10" i="7"/>
  <c r="P48" i="9"/>
  <c r="R48" i="9" s="1"/>
  <c r="I4" i="12"/>
  <c r="L4" i="12"/>
  <c r="N4" i="12" s="1"/>
  <c r="O53" i="9"/>
  <c r="K13" i="7"/>
  <c r="N13" i="7"/>
  <c r="P13" i="7" s="1"/>
  <c r="K13" i="9"/>
  <c r="N13" i="9"/>
  <c r="P13" i="9" s="1"/>
  <c r="L12" i="12"/>
  <c r="N12" i="12" s="1"/>
  <c r="I12" i="12"/>
  <c r="N108" i="9"/>
  <c r="M108" i="9"/>
  <c r="K17" i="7"/>
  <c r="N17" i="7"/>
  <c r="P17" i="7" s="1"/>
  <c r="K17" i="9"/>
  <c r="N17" i="9"/>
  <c r="P17" i="9" s="1"/>
  <c r="N71" i="9"/>
  <c r="M71" i="9"/>
  <c r="U16" i="12"/>
  <c r="T107" i="9"/>
  <c r="S107" i="9"/>
  <c r="Y57" i="8"/>
  <c r="Y53" i="8"/>
  <c r="T96" i="8"/>
  <c r="S96" i="8"/>
  <c r="R53" i="9"/>
  <c r="Q53" i="9"/>
  <c r="M63" i="7"/>
  <c r="R33" i="7"/>
  <c r="R52" i="9"/>
  <c r="Q52" i="9"/>
  <c r="N41" i="8"/>
  <c r="M41" i="8"/>
  <c r="O67" i="7"/>
  <c r="P64" i="7"/>
  <c r="Q64" i="7" s="1"/>
  <c r="P40" i="7"/>
  <c r="R40" i="7" s="1"/>
  <c r="N69" i="7"/>
  <c r="P69" i="7" s="1"/>
  <c r="P68" i="7"/>
  <c r="Q68" i="7" s="1"/>
  <c r="O47" i="1"/>
  <c r="N35" i="9"/>
  <c r="O35" i="9" s="1"/>
  <c r="P66" i="9"/>
  <c r="R66" i="9" s="1"/>
  <c r="O66" i="7"/>
  <c r="P63" i="7"/>
  <c r="R63" i="7" s="1"/>
  <c r="P48" i="7"/>
  <c r="Q48" i="7" s="1"/>
  <c r="N35" i="7"/>
  <c r="M35" i="7"/>
  <c r="M39" i="1"/>
  <c r="N39" i="1"/>
  <c r="M55" i="1"/>
  <c r="N55" i="1"/>
  <c r="N36" i="1"/>
  <c r="M36" i="1"/>
  <c r="M37" i="1"/>
  <c r="N37" i="1"/>
  <c r="R47" i="1"/>
  <c r="Q47" i="1"/>
  <c r="R68" i="1"/>
  <c r="Q68" i="1"/>
  <c r="P69" i="1"/>
  <c r="O69" i="1"/>
  <c r="P35" i="1"/>
  <c r="O35" i="1"/>
  <c r="P47" i="9"/>
  <c r="O47" i="9"/>
  <c r="R41" i="1"/>
  <c r="Q41" i="1"/>
  <c r="P34" i="1"/>
  <c r="O34" i="1"/>
  <c r="M42" i="1"/>
  <c r="N42" i="1"/>
  <c r="M54" i="1"/>
  <c r="N54" i="1"/>
  <c r="M44" i="1"/>
  <c r="N44" i="1"/>
  <c r="M56" i="1"/>
  <c r="N56" i="1"/>
  <c r="W88" i="1"/>
  <c r="W82" i="1"/>
  <c r="W81" i="1"/>
  <c r="W80" i="1"/>
  <c r="W79" i="1"/>
  <c r="W78" i="1"/>
  <c r="W77" i="1"/>
  <c r="W76" i="1"/>
  <c r="W75" i="1"/>
  <c r="W74" i="1"/>
  <c r="W73" i="1"/>
  <c r="W72" i="1"/>
  <c r="W56" i="1"/>
  <c r="W55" i="1"/>
  <c r="W48" i="1"/>
  <c r="W47" i="1"/>
  <c r="W44" i="1"/>
  <c r="P48" i="1"/>
  <c r="O48" i="1"/>
  <c r="P63" i="1"/>
  <c r="O63" i="1"/>
  <c r="P66" i="1"/>
  <c r="O66" i="1"/>
  <c r="P65" i="1"/>
  <c r="O65" i="1"/>
  <c r="P64" i="1"/>
  <c r="O64" i="1"/>
  <c r="P40" i="1"/>
  <c r="O40" i="1"/>
  <c r="P67" i="1"/>
  <c r="O67" i="1"/>
  <c r="Q70" i="8"/>
  <c r="R70" i="8"/>
  <c r="R69" i="8"/>
  <c r="Q69" i="8"/>
  <c r="R70" i="7"/>
  <c r="Q70" i="7"/>
  <c r="R32" i="9"/>
  <c r="Q32" i="9"/>
  <c r="N38" i="1"/>
  <c r="M38" i="1"/>
  <c r="P65" i="9"/>
  <c r="O65" i="9"/>
  <c r="P69" i="9"/>
  <c r="O69" i="9"/>
  <c r="P64" i="9"/>
  <c r="O64" i="9"/>
  <c r="P40" i="9"/>
  <c r="O40" i="9"/>
  <c r="P34" i="9"/>
  <c r="O34" i="9"/>
  <c r="R68" i="9"/>
  <c r="Q68" i="9"/>
  <c r="T32" i="8"/>
  <c r="S32" i="8"/>
  <c r="R33" i="8"/>
  <c r="Q33" i="8"/>
  <c r="Y83" i="8"/>
  <c r="Y82" i="8"/>
  <c r="Y81" i="8"/>
  <c r="Y80" i="8"/>
  <c r="Y79" i="8"/>
  <c r="Y78" i="8"/>
  <c r="Y77" i="8"/>
  <c r="Y76" i="8"/>
  <c r="Y75" i="8"/>
  <c r="Y74" i="8"/>
  <c r="Y73" i="8"/>
  <c r="Y72" i="8"/>
  <c r="Y48" i="8"/>
  <c r="Y56" i="8"/>
  <c r="Y55" i="8"/>
  <c r="Y47" i="8"/>
  <c r="Y44" i="8"/>
  <c r="AA31" i="8"/>
  <c r="U83" i="7"/>
  <c r="U82" i="7"/>
  <c r="U81" i="7"/>
  <c r="U80" i="7"/>
  <c r="U79" i="7"/>
  <c r="U78" i="7"/>
  <c r="U77" i="7"/>
  <c r="U76" i="7"/>
  <c r="U75" i="7"/>
  <c r="U74" i="7"/>
  <c r="U73" i="7"/>
  <c r="U72" i="7"/>
  <c r="U34" i="7"/>
  <c r="W31" i="7"/>
  <c r="U32" i="7"/>
  <c r="R66" i="7"/>
  <c r="Q66" i="7"/>
  <c r="R65" i="7"/>
  <c r="Q65" i="7"/>
  <c r="R67" i="7"/>
  <c r="Q67" i="7"/>
  <c r="Y31" i="1"/>
  <c r="W32" i="1"/>
  <c r="R67" i="9" l="1"/>
  <c r="Q67" i="9"/>
  <c r="S41" i="9"/>
  <c r="R45" i="27"/>
  <c r="Q45" i="27"/>
  <c r="K23" i="1"/>
  <c r="D25" i="1"/>
  <c r="F25" i="1" s="1"/>
  <c r="N25" i="1" s="1"/>
  <c r="P25" i="1" s="1"/>
  <c r="O52" i="21"/>
  <c r="R113" i="9"/>
  <c r="Q113" i="9"/>
  <c r="P115" i="9"/>
  <c r="O115" i="9"/>
  <c r="D24" i="1"/>
  <c r="F24" i="1" s="1"/>
  <c r="N24" i="1" s="1"/>
  <c r="P24" i="1" s="1"/>
  <c r="R34" i="27"/>
  <c r="Q34" i="27"/>
  <c r="F19" i="26"/>
  <c r="D20" i="26"/>
  <c r="F20" i="26" s="1"/>
  <c r="D17" i="26"/>
  <c r="F17" i="26" s="1"/>
  <c r="D14" i="26"/>
  <c r="F14" i="26" s="1"/>
  <c r="F13" i="26"/>
  <c r="K15" i="26"/>
  <c r="N15" i="26"/>
  <c r="P15" i="26" s="1"/>
  <c r="O114" i="9"/>
  <c r="P114" i="9"/>
  <c r="K12" i="26"/>
  <c r="N12" i="26"/>
  <c r="P12" i="26" s="1"/>
  <c r="F41" i="26"/>
  <c r="K41" i="26" s="1"/>
  <c r="F16" i="26"/>
  <c r="D21" i="26"/>
  <c r="F21" i="26" s="1"/>
  <c r="D18" i="26"/>
  <c r="F18" i="26" s="1"/>
  <c r="R43" i="27"/>
  <c r="Q43" i="27"/>
  <c r="S48" i="26"/>
  <c r="T48" i="26"/>
  <c r="P63" i="9"/>
  <c r="R63" i="9" s="1"/>
  <c r="M43" i="9"/>
  <c r="H43" i="9"/>
  <c r="M59" i="9"/>
  <c r="N30" i="24"/>
  <c r="O30" i="24"/>
  <c r="O13" i="24"/>
  <c r="N13" i="24"/>
  <c r="N29" i="24"/>
  <c r="O29" i="24"/>
  <c r="N8" i="24"/>
  <c r="O8" i="24"/>
  <c r="O6" i="24"/>
  <c r="N6" i="24"/>
  <c r="O9" i="24"/>
  <c r="N9" i="24"/>
  <c r="P104" i="9"/>
  <c r="O104" i="9"/>
  <c r="N19" i="24"/>
  <c r="O19" i="24"/>
  <c r="P59" i="24"/>
  <c r="Q59" i="24" s="1"/>
  <c r="Q48" i="24"/>
  <c r="R48" i="24"/>
  <c r="D15" i="16"/>
  <c r="D14" i="16"/>
  <c r="D9" i="16"/>
  <c r="D13" i="16"/>
  <c r="C118" i="24"/>
  <c r="N41" i="24"/>
  <c r="H41" i="24"/>
  <c r="M41" i="24"/>
  <c r="Q69" i="24"/>
  <c r="R69" i="24"/>
  <c r="R64" i="24"/>
  <c r="Q64" i="24"/>
  <c r="R38" i="24"/>
  <c r="Q38" i="24"/>
  <c r="R67" i="24"/>
  <c r="Q67" i="24"/>
  <c r="R86" i="9"/>
  <c r="Q86" i="9"/>
  <c r="N59" i="9"/>
  <c r="P59" i="9" s="1"/>
  <c r="V50" i="24"/>
  <c r="X50" i="24" s="1"/>
  <c r="Z50" i="24" s="1"/>
  <c r="AB50" i="24" s="1"/>
  <c r="AD50" i="24" s="1"/>
  <c r="AF50" i="24" s="1"/>
  <c r="AH50" i="24" s="1"/>
  <c r="AJ50" i="24" s="1"/>
  <c r="U50" i="24"/>
  <c r="G50" i="24" s="1"/>
  <c r="R85" i="7"/>
  <c r="Q85" i="7"/>
  <c r="Y84" i="1"/>
  <c r="P66" i="21"/>
  <c r="Q66" i="21" s="1"/>
  <c r="R43" i="1"/>
  <c r="Q43" i="1"/>
  <c r="U53" i="24"/>
  <c r="G53" i="24" s="1"/>
  <c r="V53" i="24"/>
  <c r="X53" i="24" s="1"/>
  <c r="Z53" i="24" s="1"/>
  <c r="AB53" i="24" s="1"/>
  <c r="AD53" i="24" s="1"/>
  <c r="AF53" i="24" s="1"/>
  <c r="AH53" i="24" s="1"/>
  <c r="AJ53" i="24" s="1"/>
  <c r="R70" i="24"/>
  <c r="Q70" i="24"/>
  <c r="R85" i="1"/>
  <c r="Q85" i="1"/>
  <c r="R59" i="24"/>
  <c r="L59" i="9"/>
  <c r="M50" i="1"/>
  <c r="V66" i="24"/>
  <c r="X66" i="24" s="1"/>
  <c r="Z66" i="24" s="1"/>
  <c r="AB66" i="24" s="1"/>
  <c r="AD66" i="24" s="1"/>
  <c r="AF66" i="24" s="1"/>
  <c r="AH66" i="24" s="1"/>
  <c r="AJ66" i="24" s="1"/>
  <c r="U66" i="24"/>
  <c r="G66" i="24" s="1"/>
  <c r="R85" i="8"/>
  <c r="Q85" i="8"/>
  <c r="O93" i="7"/>
  <c r="O68" i="21"/>
  <c r="P63" i="21"/>
  <c r="Q63" i="21" s="1"/>
  <c r="P65" i="21"/>
  <c r="R65" i="21" s="1"/>
  <c r="Q47" i="7"/>
  <c r="P43" i="9"/>
  <c r="O43" i="9"/>
  <c r="K41" i="21"/>
  <c r="N41" i="21" s="1"/>
  <c r="N43" i="7"/>
  <c r="H43" i="7"/>
  <c r="M43" i="7"/>
  <c r="AA185" i="16"/>
  <c r="AA181" i="16"/>
  <c r="AA177" i="16"/>
  <c r="AA173" i="16"/>
  <c r="AA169" i="16"/>
  <c r="AA165" i="16"/>
  <c r="AA161" i="16"/>
  <c r="AA157" i="16"/>
  <c r="AA186" i="16"/>
  <c r="AA184" i="16"/>
  <c r="AA176" i="16"/>
  <c r="AA168" i="16"/>
  <c r="AA160" i="16"/>
  <c r="AA155" i="16"/>
  <c r="AA151" i="16"/>
  <c r="AA180" i="16"/>
  <c r="AA172" i="16"/>
  <c r="AA164" i="16"/>
  <c r="AA156" i="16"/>
  <c r="AA153" i="16"/>
  <c r="AA149" i="16"/>
  <c r="AA182" i="16"/>
  <c r="AA175" i="16"/>
  <c r="AA174" i="16"/>
  <c r="AA166" i="16"/>
  <c r="AA159" i="16"/>
  <c r="AA158" i="16"/>
  <c r="AA154" i="16"/>
  <c r="AA152" i="16"/>
  <c r="AA150" i="16"/>
  <c r="AA163" i="16"/>
  <c r="AA183" i="16"/>
  <c r="AA167" i="16"/>
  <c r="AA148" i="16"/>
  <c r="AA178" i="16"/>
  <c r="AA171" i="16"/>
  <c r="AA162" i="16"/>
  <c r="AA179" i="16"/>
  <c r="AA170" i="16"/>
  <c r="P47" i="21"/>
  <c r="O47" i="21"/>
  <c r="Q68" i="21"/>
  <c r="R68" i="21"/>
  <c r="S96" i="21"/>
  <c r="T96" i="21"/>
  <c r="D18" i="20"/>
  <c r="F18" i="20" s="1"/>
  <c r="I18" i="20" s="1"/>
  <c r="F16" i="20"/>
  <c r="D21" i="20"/>
  <c r="F21" i="20" s="1"/>
  <c r="I21" i="20" s="1"/>
  <c r="D19" i="19"/>
  <c r="D21" i="19"/>
  <c r="F21" i="19" s="1"/>
  <c r="I21" i="19" s="1"/>
  <c r="D18" i="19"/>
  <c r="F18" i="19" s="1"/>
  <c r="I18" i="19" s="1"/>
  <c r="F16" i="19"/>
  <c r="D14" i="19"/>
  <c r="F14" i="19" s="1"/>
  <c r="F13" i="19"/>
  <c r="D17" i="19"/>
  <c r="F17" i="19" s="1"/>
  <c r="R93" i="1"/>
  <c r="Q93" i="1"/>
  <c r="H39" i="7"/>
  <c r="M4" i="22"/>
  <c r="F19" i="20"/>
  <c r="I19" i="20" s="1"/>
  <c r="D20" i="20"/>
  <c r="F20" i="20" s="1"/>
  <c r="D14" i="20"/>
  <c r="F14" i="20" s="1"/>
  <c r="I14" i="20" s="1"/>
  <c r="D17" i="20"/>
  <c r="F17" i="20" s="1"/>
  <c r="F13" i="20"/>
  <c r="R38" i="21"/>
  <c r="Q38" i="21"/>
  <c r="I12" i="19"/>
  <c r="L12" i="19"/>
  <c r="F41" i="19"/>
  <c r="H41" i="19" s="1"/>
  <c r="I41" i="19" s="1"/>
  <c r="F49" i="9"/>
  <c r="K49" i="9" s="1"/>
  <c r="H49" i="9" s="1"/>
  <c r="D1" i="23"/>
  <c r="D2" i="23"/>
  <c r="O58" i="21"/>
  <c r="P58" i="21"/>
  <c r="R52" i="21"/>
  <c r="Q52" i="21"/>
  <c r="G15" i="20"/>
  <c r="L15" i="20" s="1"/>
  <c r="G13" i="20"/>
  <c r="I12" i="20"/>
  <c r="L12" i="20"/>
  <c r="F41" i="20"/>
  <c r="H41" i="20" s="1"/>
  <c r="I41" i="20" s="1"/>
  <c r="O37" i="18"/>
  <c r="P37" i="18"/>
  <c r="G15" i="19"/>
  <c r="L15" i="19" s="1"/>
  <c r="G13" i="19"/>
  <c r="T95" i="21"/>
  <c r="S95" i="21"/>
  <c r="P69" i="21"/>
  <c r="O69" i="21"/>
  <c r="Q33" i="9"/>
  <c r="O94" i="9"/>
  <c r="H39" i="9"/>
  <c r="M6" i="22"/>
  <c r="P49" i="21"/>
  <c r="O49" i="21"/>
  <c r="O131" i="17"/>
  <c r="G131" i="17"/>
  <c r="R3" i="17"/>
  <c r="Q3" i="17"/>
  <c r="R130" i="17"/>
  <c r="Q130" i="17"/>
  <c r="S35" i="17"/>
  <c r="T35" i="17"/>
  <c r="G59" i="17"/>
  <c r="E60" i="17"/>
  <c r="L59" i="17"/>
  <c r="E58" i="17"/>
  <c r="W87" i="9"/>
  <c r="W46" i="9"/>
  <c r="W45" i="9"/>
  <c r="W88" i="9"/>
  <c r="R94" i="9"/>
  <c r="Q94" i="9"/>
  <c r="R93" i="8"/>
  <c r="Q93" i="8"/>
  <c r="AA61" i="8"/>
  <c r="AA60" i="8"/>
  <c r="AA46" i="8"/>
  <c r="AA45" i="8"/>
  <c r="AA87" i="8"/>
  <c r="W46" i="7"/>
  <c r="W87" i="7"/>
  <c r="R93" i="7"/>
  <c r="Q93" i="7"/>
  <c r="N50" i="1"/>
  <c r="O50" i="1" s="1"/>
  <c r="M49" i="1"/>
  <c r="H49" i="1"/>
  <c r="P51" i="1"/>
  <c r="Q51" i="1" s="1"/>
  <c r="V33" i="1"/>
  <c r="U33" i="1"/>
  <c r="L59" i="8"/>
  <c r="M36" i="7"/>
  <c r="N44" i="7"/>
  <c r="O44" i="7" s="1"/>
  <c r="N42" i="7"/>
  <c r="M62" i="7"/>
  <c r="M42" i="7"/>
  <c r="R23" i="7"/>
  <c r="D92" i="7" s="1"/>
  <c r="F92" i="7" s="1"/>
  <c r="K92" i="7" s="1"/>
  <c r="N55" i="7"/>
  <c r="P55" i="7" s="1"/>
  <c r="R55" i="7" s="1"/>
  <c r="M57" i="7"/>
  <c r="N39" i="7"/>
  <c r="O39" i="7" s="1"/>
  <c r="M37" i="7"/>
  <c r="M56" i="7"/>
  <c r="M38" i="7"/>
  <c r="M54" i="7"/>
  <c r="O41" i="7"/>
  <c r="Q70" i="1"/>
  <c r="R70" i="1"/>
  <c r="M39" i="7"/>
  <c r="N29" i="7"/>
  <c r="P29" i="7" s="1"/>
  <c r="T61" i="1"/>
  <c r="S61" i="1"/>
  <c r="R92" i="1"/>
  <c r="Q92" i="1"/>
  <c r="N54" i="7"/>
  <c r="O54" i="7" s="1"/>
  <c r="R60" i="1"/>
  <c r="Q60" i="1"/>
  <c r="M55" i="9"/>
  <c r="R23" i="9"/>
  <c r="D93" i="9" s="1"/>
  <c r="F93" i="9" s="1"/>
  <c r="K93" i="9" s="1"/>
  <c r="M93" i="9" s="1"/>
  <c r="M54" i="9"/>
  <c r="N38" i="9"/>
  <c r="O38" i="9" s="1"/>
  <c r="M36" i="9"/>
  <c r="M57" i="9"/>
  <c r="M56" i="9"/>
  <c r="N42" i="9"/>
  <c r="P42" i="9" s="1"/>
  <c r="N44" i="9"/>
  <c r="P44" i="9" s="1"/>
  <c r="N39" i="9"/>
  <c r="P39" i="9" s="1"/>
  <c r="M37" i="9"/>
  <c r="N60" i="9"/>
  <c r="M60" i="9"/>
  <c r="R61" i="9"/>
  <c r="Q61" i="9"/>
  <c r="N62" i="9"/>
  <c r="M62" i="9"/>
  <c r="N60" i="7"/>
  <c r="M60" i="7"/>
  <c r="R61" i="7"/>
  <c r="Q61" i="7"/>
  <c r="K30" i="7"/>
  <c r="G17" i="17"/>
  <c r="K9" i="7"/>
  <c r="F50" i="7"/>
  <c r="K50" i="7" s="1"/>
  <c r="H50" i="7" s="1"/>
  <c r="F49" i="7"/>
  <c r="K49" i="7" s="1"/>
  <c r="H49" i="7" s="1"/>
  <c r="M55" i="7"/>
  <c r="F50" i="9"/>
  <c r="K50" i="9" s="1"/>
  <c r="H50" i="9" s="1"/>
  <c r="K9" i="9"/>
  <c r="N9" i="9"/>
  <c r="P9" i="9" s="1"/>
  <c r="E9" i="17"/>
  <c r="G9" i="17" s="1"/>
  <c r="N29" i="9"/>
  <c r="P29" i="9" s="1"/>
  <c r="K29" i="9"/>
  <c r="N30" i="9"/>
  <c r="P30" i="9" s="1"/>
  <c r="K30" i="9"/>
  <c r="N30" i="8"/>
  <c r="P30" i="8" s="1"/>
  <c r="K30" i="8"/>
  <c r="K25" i="1"/>
  <c r="K26" i="1"/>
  <c r="N26" i="1"/>
  <c r="P26" i="1" s="1"/>
  <c r="R43" i="18"/>
  <c r="Q43" i="18"/>
  <c r="R45" i="18"/>
  <c r="Q45" i="18"/>
  <c r="Q58" i="1"/>
  <c r="R58" i="1"/>
  <c r="R48" i="18"/>
  <c r="Q48" i="18"/>
  <c r="Y87" i="1"/>
  <c r="Y97" i="1"/>
  <c r="Y96" i="1"/>
  <c r="Y98" i="1"/>
  <c r="R53" i="1"/>
  <c r="S53" i="1" s="1"/>
  <c r="R34" i="18"/>
  <c r="Q34" i="18"/>
  <c r="Q60" i="18"/>
  <c r="R60" i="18"/>
  <c r="R57" i="18"/>
  <c r="Q57" i="18"/>
  <c r="R55" i="18"/>
  <c r="Q55" i="18"/>
  <c r="R59" i="1"/>
  <c r="Q59" i="1"/>
  <c r="R58" i="18"/>
  <c r="Q58" i="18"/>
  <c r="N36" i="9"/>
  <c r="P36" i="9" s="1"/>
  <c r="N58" i="9"/>
  <c r="M58" i="9"/>
  <c r="N59" i="8"/>
  <c r="M59" i="8"/>
  <c r="N58" i="7"/>
  <c r="M58" i="7"/>
  <c r="P59" i="7"/>
  <c r="O59" i="7"/>
  <c r="R61" i="18"/>
  <c r="Q61" i="18"/>
  <c r="S90" i="7"/>
  <c r="N57" i="7"/>
  <c r="P57" i="7" s="1"/>
  <c r="Q57" i="7" s="1"/>
  <c r="D117" i="9"/>
  <c r="D141" i="9" s="1"/>
  <c r="O159" i="16"/>
  <c r="P159" i="16"/>
  <c r="N160" i="16"/>
  <c r="M160" i="16"/>
  <c r="H162" i="16"/>
  <c r="K161" i="16"/>
  <c r="Q158" i="16"/>
  <c r="R158" i="16"/>
  <c r="T158" i="16" s="1"/>
  <c r="V158" i="16" s="1"/>
  <c r="X158" i="16" s="1"/>
  <c r="Z158" i="16" s="1"/>
  <c r="AB158" i="16" s="1"/>
  <c r="AD158" i="16" s="1"/>
  <c r="AF158" i="16" s="1"/>
  <c r="AH158" i="16" s="1"/>
  <c r="AJ158" i="16" s="1"/>
  <c r="AA145" i="16"/>
  <c r="AA141" i="16"/>
  <c r="AA137" i="16"/>
  <c r="AA147" i="16"/>
  <c r="AA143" i="16"/>
  <c r="AA139" i="16"/>
  <c r="AA144" i="16"/>
  <c r="AA140" i="16"/>
  <c r="AA136" i="16"/>
  <c r="AA146" i="16"/>
  <c r="AA138" i="16"/>
  <c r="AA142" i="16"/>
  <c r="AA187" i="16"/>
  <c r="AA135" i="16"/>
  <c r="O57" i="7"/>
  <c r="N57" i="9"/>
  <c r="P57" i="9" s="1"/>
  <c r="Q57" i="9" s="1"/>
  <c r="Q46" i="7"/>
  <c r="R46" i="7"/>
  <c r="G129" i="17"/>
  <c r="N45" i="9"/>
  <c r="M45" i="9"/>
  <c r="R46" i="9"/>
  <c r="Q46" i="9"/>
  <c r="L128" i="17"/>
  <c r="O128" i="17" s="1"/>
  <c r="G128" i="17"/>
  <c r="R129" i="17"/>
  <c r="Q129" i="17"/>
  <c r="W45" i="7"/>
  <c r="W86" i="7"/>
  <c r="R46" i="1"/>
  <c r="Q46" i="1"/>
  <c r="R45" i="1"/>
  <c r="Q45" i="1"/>
  <c r="Y46" i="1"/>
  <c r="Y45" i="1"/>
  <c r="N62" i="7"/>
  <c r="O62" i="7" s="1"/>
  <c r="M44" i="7"/>
  <c r="N45" i="7"/>
  <c r="M45" i="7"/>
  <c r="N38" i="7"/>
  <c r="O38" i="7" s="1"/>
  <c r="W57" i="9"/>
  <c r="W91" i="9"/>
  <c r="W82" i="9"/>
  <c r="W78" i="9"/>
  <c r="W74" i="9"/>
  <c r="W44" i="9"/>
  <c r="W47" i="9"/>
  <c r="W81" i="9"/>
  <c r="W77" i="9"/>
  <c r="W73" i="9"/>
  <c r="W41" i="9"/>
  <c r="W84" i="9"/>
  <c r="W80" i="9"/>
  <c r="W76" i="9"/>
  <c r="W56" i="9"/>
  <c r="W48" i="9"/>
  <c r="W83" i="9"/>
  <c r="W79" i="9"/>
  <c r="W75" i="9"/>
  <c r="W55" i="9"/>
  <c r="Y31" i="9"/>
  <c r="AA88" i="8"/>
  <c r="AA86" i="8"/>
  <c r="M38" i="9"/>
  <c r="M39" i="9"/>
  <c r="E32" i="17"/>
  <c r="G31" i="17"/>
  <c r="E28" i="17"/>
  <c r="G29" i="17"/>
  <c r="L111" i="17"/>
  <c r="O110" i="17"/>
  <c r="L108" i="17"/>
  <c r="I15" i="12"/>
  <c r="Q126" i="17"/>
  <c r="R126" i="17"/>
  <c r="E108" i="17"/>
  <c r="G108" i="17" s="1"/>
  <c r="G109" i="17"/>
  <c r="E97" i="17"/>
  <c r="G6" i="17"/>
  <c r="L121" i="17"/>
  <c r="G8" i="17"/>
  <c r="E88" i="17"/>
  <c r="E112" i="17"/>
  <c r="G111" i="17"/>
  <c r="L73" i="17"/>
  <c r="G73" i="17"/>
  <c r="E74" i="17"/>
  <c r="E72" i="17"/>
  <c r="L29" i="17"/>
  <c r="L31" i="17"/>
  <c r="O30" i="17"/>
  <c r="L133" i="17"/>
  <c r="G10" i="17"/>
  <c r="Q127" i="17"/>
  <c r="R127" i="17"/>
  <c r="AG134" i="17"/>
  <c r="AI23" i="17"/>
  <c r="R37" i="16"/>
  <c r="Q37" i="16"/>
  <c r="U31" i="16"/>
  <c r="V31" i="16"/>
  <c r="N39" i="16"/>
  <c r="M39" i="16"/>
  <c r="P36" i="16"/>
  <c r="O36" i="16"/>
  <c r="S30" i="16"/>
  <c r="T30" i="16"/>
  <c r="U29" i="16"/>
  <c r="V29" i="16"/>
  <c r="P38" i="16"/>
  <c r="O38" i="16"/>
  <c r="K42" i="16"/>
  <c r="N41" i="16"/>
  <c r="M41" i="16"/>
  <c r="Q35" i="16"/>
  <c r="R35" i="16"/>
  <c r="U27" i="16"/>
  <c r="V27" i="16"/>
  <c r="N43" i="16"/>
  <c r="M43" i="16"/>
  <c r="K44" i="16"/>
  <c r="O40" i="16"/>
  <c r="P40" i="16"/>
  <c r="R33" i="16"/>
  <c r="Q33" i="16"/>
  <c r="S34" i="16"/>
  <c r="T34" i="16"/>
  <c r="K46" i="16"/>
  <c r="T32" i="16"/>
  <c r="S32" i="16"/>
  <c r="AB19" i="16"/>
  <c r="AA19" i="16"/>
  <c r="AB28" i="16"/>
  <c r="AA28" i="16"/>
  <c r="AA21" i="16"/>
  <c r="AB21" i="16"/>
  <c r="AB22" i="16"/>
  <c r="AA22" i="16"/>
  <c r="AA20" i="16"/>
  <c r="AB20" i="16"/>
  <c r="AB25" i="16"/>
  <c r="AA25" i="16"/>
  <c r="AB23" i="16"/>
  <c r="AA23" i="16"/>
  <c r="AB26" i="16"/>
  <c r="AA26" i="16"/>
  <c r="AB24" i="16"/>
  <c r="AA24" i="16"/>
  <c r="AA18" i="16"/>
  <c r="AC17" i="16"/>
  <c r="Z87" i="9"/>
  <c r="N54" i="9"/>
  <c r="O54" i="9" s="1"/>
  <c r="Q70" i="9"/>
  <c r="N37" i="7"/>
  <c r="P37" i="7" s="1"/>
  <c r="R37" i="7" s="1"/>
  <c r="Y86" i="1"/>
  <c r="Z86" i="1"/>
  <c r="N37" i="9"/>
  <c r="O37" i="9" s="1"/>
  <c r="P51" i="7"/>
  <c r="Q51" i="7" s="1"/>
  <c r="N51" i="9"/>
  <c r="M51" i="9"/>
  <c r="M44" i="9"/>
  <c r="N56" i="7"/>
  <c r="P56" i="7" s="1"/>
  <c r="Q56" i="7" s="1"/>
  <c r="Q52" i="7"/>
  <c r="W57" i="7"/>
  <c r="W88" i="7"/>
  <c r="N55" i="9"/>
  <c r="P55" i="9" s="1"/>
  <c r="Q48" i="9"/>
  <c r="O69" i="7"/>
  <c r="V89" i="9"/>
  <c r="U89" i="9"/>
  <c r="M42" i="9"/>
  <c r="N56" i="9"/>
  <c r="P56" i="9" s="1"/>
  <c r="R90" i="1"/>
  <c r="Q90" i="1"/>
  <c r="R52" i="1"/>
  <c r="Q52" i="1"/>
  <c r="O62" i="1"/>
  <c r="P62" i="1"/>
  <c r="Y53" i="1"/>
  <c r="Y57" i="1"/>
  <c r="O57" i="1"/>
  <c r="P57" i="1"/>
  <c r="V83" i="1"/>
  <c r="U83" i="1"/>
  <c r="N36" i="7"/>
  <c r="O36" i="7" s="1"/>
  <c r="M51" i="7"/>
  <c r="O70" i="9"/>
  <c r="Q53" i="7"/>
  <c r="R53" i="7"/>
  <c r="V90" i="7"/>
  <c r="U90" i="7"/>
  <c r="P71" i="9"/>
  <c r="O71" i="9"/>
  <c r="P108" i="9"/>
  <c r="O108" i="9"/>
  <c r="W16" i="12"/>
  <c r="V107" i="9"/>
  <c r="U107" i="9"/>
  <c r="AA53" i="8"/>
  <c r="AA57" i="8"/>
  <c r="AA62" i="8"/>
  <c r="AA52" i="8"/>
  <c r="V96" i="8"/>
  <c r="U96" i="8"/>
  <c r="W53" i="7"/>
  <c r="T53" i="9"/>
  <c r="S53" i="9"/>
  <c r="T33" i="7"/>
  <c r="S33" i="7"/>
  <c r="T52" i="9"/>
  <c r="S52" i="9"/>
  <c r="T52" i="7"/>
  <c r="S52" i="7"/>
  <c r="R64" i="7"/>
  <c r="T64" i="7" s="1"/>
  <c r="P41" i="8"/>
  <c r="O41" i="8"/>
  <c r="Q40" i="7"/>
  <c r="P35" i="9"/>
  <c r="R35" i="9" s="1"/>
  <c r="R48" i="7"/>
  <c r="S48" i="7" s="1"/>
  <c r="R68" i="7"/>
  <c r="T68" i="7" s="1"/>
  <c r="Q63" i="7"/>
  <c r="Q66" i="9"/>
  <c r="O35" i="7"/>
  <c r="P35" i="7"/>
  <c r="Y88" i="1"/>
  <c r="Y82" i="1"/>
  <c r="Y81" i="1"/>
  <c r="Y80" i="1"/>
  <c r="Y79" i="1"/>
  <c r="Y78" i="1"/>
  <c r="Y77" i="1"/>
  <c r="Y76" i="1"/>
  <c r="Y75" i="1"/>
  <c r="Y74" i="1"/>
  <c r="Y73" i="1"/>
  <c r="Y72" i="1"/>
  <c r="Y56" i="1"/>
  <c r="Y55" i="1"/>
  <c r="Y48" i="1"/>
  <c r="Y47" i="1"/>
  <c r="Y44" i="1"/>
  <c r="R34" i="1"/>
  <c r="Q34" i="1"/>
  <c r="T41" i="1"/>
  <c r="S41" i="1"/>
  <c r="Q47" i="9"/>
  <c r="R47" i="9"/>
  <c r="R35" i="1"/>
  <c r="Q35" i="1"/>
  <c r="Q69" i="1"/>
  <c r="R69" i="1"/>
  <c r="T68" i="1"/>
  <c r="S68" i="1"/>
  <c r="T47" i="1"/>
  <c r="S47" i="1"/>
  <c r="P36" i="1"/>
  <c r="O36" i="1"/>
  <c r="R67" i="1"/>
  <c r="Q67" i="1"/>
  <c r="R40" i="1"/>
  <c r="Q40" i="1"/>
  <c r="R64" i="1"/>
  <c r="Q64" i="1"/>
  <c r="R65" i="1"/>
  <c r="Q65" i="1"/>
  <c r="R66" i="1"/>
  <c r="Q66" i="1"/>
  <c r="R63" i="1"/>
  <c r="Q63" i="1"/>
  <c r="R48" i="1"/>
  <c r="Q48" i="1"/>
  <c r="R51" i="1"/>
  <c r="P56" i="1"/>
  <c r="O56" i="1"/>
  <c r="P44" i="1"/>
  <c r="O44" i="1"/>
  <c r="P54" i="1"/>
  <c r="O54" i="1"/>
  <c r="P49" i="1"/>
  <c r="O49" i="1"/>
  <c r="P42" i="1"/>
  <c r="O42" i="1"/>
  <c r="P37" i="1"/>
  <c r="O37" i="1"/>
  <c r="P55" i="1"/>
  <c r="O55" i="1"/>
  <c r="P39" i="1"/>
  <c r="O39" i="1"/>
  <c r="S70" i="9"/>
  <c r="T70" i="9"/>
  <c r="T69" i="8"/>
  <c r="S69" i="8"/>
  <c r="S70" i="8"/>
  <c r="T70" i="8"/>
  <c r="Q69" i="7"/>
  <c r="R69" i="7"/>
  <c r="T70" i="7"/>
  <c r="S70" i="7"/>
  <c r="T32" i="9"/>
  <c r="S32" i="9"/>
  <c r="P38" i="1"/>
  <c r="O38" i="1"/>
  <c r="T68" i="9"/>
  <c r="S68" i="9"/>
  <c r="R34" i="9"/>
  <c r="Q34" i="9"/>
  <c r="R40" i="9"/>
  <c r="Q40" i="9"/>
  <c r="R64" i="9"/>
  <c r="Q64" i="9"/>
  <c r="R69" i="9"/>
  <c r="Q69" i="9"/>
  <c r="T48" i="9"/>
  <c r="S48" i="9"/>
  <c r="R65" i="9"/>
  <c r="Q65" i="9"/>
  <c r="T33" i="9"/>
  <c r="S33" i="9"/>
  <c r="T66" i="9"/>
  <c r="S66" i="9"/>
  <c r="AA83" i="8"/>
  <c r="AA82" i="8"/>
  <c r="AA81" i="8"/>
  <c r="AA80" i="8"/>
  <c r="AA79" i="8"/>
  <c r="AA78" i="8"/>
  <c r="AA77" i="8"/>
  <c r="AA76" i="8"/>
  <c r="AA75" i="8"/>
  <c r="AA74" i="8"/>
  <c r="AA73" i="8"/>
  <c r="AA72" i="8"/>
  <c r="AA49" i="8"/>
  <c r="AA48" i="8"/>
  <c r="AA56" i="8"/>
  <c r="AA55" i="8"/>
  <c r="AA54" i="8"/>
  <c r="AA51" i="8"/>
  <c r="AA50" i="8"/>
  <c r="AA47" i="8"/>
  <c r="AA44" i="8"/>
  <c r="AC31" i="8"/>
  <c r="AA38" i="8"/>
  <c r="AA37" i="8"/>
  <c r="T33" i="8"/>
  <c r="S33" i="8"/>
  <c r="V32" i="8"/>
  <c r="U32" i="8"/>
  <c r="R41" i="7"/>
  <c r="Q41" i="7"/>
  <c r="T63" i="7"/>
  <c r="S63" i="7"/>
  <c r="T47" i="7"/>
  <c r="S47" i="7"/>
  <c r="T40" i="7"/>
  <c r="S40" i="7"/>
  <c r="T67" i="7"/>
  <c r="S67" i="7"/>
  <c r="T65" i="7"/>
  <c r="S65" i="7"/>
  <c r="T66" i="7"/>
  <c r="S66" i="7"/>
  <c r="W83" i="7"/>
  <c r="W82" i="7"/>
  <c r="W81" i="7"/>
  <c r="W80" i="7"/>
  <c r="W79" i="7"/>
  <c r="W78" i="7"/>
  <c r="W77" i="7"/>
  <c r="W76" i="7"/>
  <c r="W75" i="7"/>
  <c r="W74" i="7"/>
  <c r="W73" i="7"/>
  <c r="W72" i="7"/>
  <c r="W48" i="7"/>
  <c r="W56" i="7"/>
  <c r="W55" i="7"/>
  <c r="W47" i="7"/>
  <c r="W44" i="7"/>
  <c r="W34" i="7"/>
  <c r="W32" i="7"/>
  <c r="Y31" i="7"/>
  <c r="AA31" i="1"/>
  <c r="Y32" i="1"/>
  <c r="T67" i="9" l="1"/>
  <c r="S67" i="9"/>
  <c r="F135" i="9"/>
  <c r="K135" i="9" s="1"/>
  <c r="M135" i="9" s="1"/>
  <c r="T45" i="27"/>
  <c r="S45" i="27"/>
  <c r="T113" i="9"/>
  <c r="S113" i="9"/>
  <c r="P50" i="1"/>
  <c r="K24" i="1"/>
  <c r="R115" i="9"/>
  <c r="Q115" i="9"/>
  <c r="T34" i="27"/>
  <c r="S34" i="27"/>
  <c r="N41" i="26"/>
  <c r="H41" i="26"/>
  <c r="M41" i="26"/>
  <c r="K14" i="26"/>
  <c r="N14" i="26"/>
  <c r="P14" i="26" s="1"/>
  <c r="N18" i="26"/>
  <c r="P18" i="26" s="1"/>
  <c r="K18" i="26"/>
  <c r="F59" i="26"/>
  <c r="K59" i="26" s="1"/>
  <c r="K17" i="26"/>
  <c r="N17" i="26"/>
  <c r="P17" i="26" s="1"/>
  <c r="K21" i="26"/>
  <c r="N21" i="26"/>
  <c r="P21" i="26" s="1"/>
  <c r="N20" i="26"/>
  <c r="P20" i="26" s="1"/>
  <c r="K20" i="26"/>
  <c r="N16" i="26"/>
  <c r="P16" i="26" s="1"/>
  <c r="K16" i="26"/>
  <c r="Q114" i="9"/>
  <c r="R114" i="9"/>
  <c r="N13" i="26"/>
  <c r="P13" i="26" s="1"/>
  <c r="K13" i="26"/>
  <c r="N19" i="26"/>
  <c r="P19" i="26" s="1"/>
  <c r="K19" i="26"/>
  <c r="T43" i="27"/>
  <c r="V43" i="27" s="1"/>
  <c r="X43" i="27" s="1"/>
  <c r="Z43" i="27" s="1"/>
  <c r="AB43" i="27" s="1"/>
  <c r="AD43" i="27" s="1"/>
  <c r="AF43" i="27" s="1"/>
  <c r="AH43" i="27" s="1"/>
  <c r="S43" i="27"/>
  <c r="G43" i="27" s="1"/>
  <c r="U48" i="26"/>
  <c r="G48" i="26" s="1"/>
  <c r="V48" i="26"/>
  <c r="X48" i="26" s="1"/>
  <c r="Z48" i="26" s="1"/>
  <c r="AB48" i="26" s="1"/>
  <c r="AD48" i="26" s="1"/>
  <c r="AF48" i="26" s="1"/>
  <c r="AH48" i="26" s="1"/>
  <c r="AJ48" i="26" s="1"/>
  <c r="Q63" i="9"/>
  <c r="R104" i="9"/>
  <c r="Q104" i="9"/>
  <c r="S48" i="24"/>
  <c r="T48" i="24"/>
  <c r="O59" i="9"/>
  <c r="N49" i="9"/>
  <c r="O49" i="9" s="1"/>
  <c r="T38" i="24"/>
  <c r="S38" i="24"/>
  <c r="T67" i="24"/>
  <c r="S67" i="24"/>
  <c r="T64" i="24"/>
  <c r="S64" i="24"/>
  <c r="S69" i="24"/>
  <c r="T69" i="24"/>
  <c r="P41" i="24"/>
  <c r="O41" i="24"/>
  <c r="AA84" i="1"/>
  <c r="T85" i="8"/>
  <c r="S85" i="8"/>
  <c r="R66" i="21"/>
  <c r="T66" i="21" s="1"/>
  <c r="T85" i="1"/>
  <c r="S85" i="1"/>
  <c r="T86" i="9"/>
  <c r="S86" i="9"/>
  <c r="S59" i="24"/>
  <c r="T59" i="24"/>
  <c r="T70" i="24"/>
  <c r="S70" i="24"/>
  <c r="T43" i="1"/>
  <c r="S43" i="1"/>
  <c r="T85" i="7"/>
  <c r="S85" i="7"/>
  <c r="Q65" i="21"/>
  <c r="H41" i="21"/>
  <c r="R63" i="21"/>
  <c r="T63" i="21" s="1"/>
  <c r="M41" i="21"/>
  <c r="M49" i="9"/>
  <c r="P43" i="7"/>
  <c r="O43" i="7"/>
  <c r="R43" i="9"/>
  <c r="Q43" i="9"/>
  <c r="V95" i="21"/>
  <c r="U95" i="21"/>
  <c r="P41" i="21"/>
  <c r="O41" i="21"/>
  <c r="Q37" i="18"/>
  <c r="R37" i="18"/>
  <c r="T65" i="21"/>
  <c r="S65" i="21"/>
  <c r="G14" i="19"/>
  <c r="L14" i="19" s="1"/>
  <c r="G14" i="20"/>
  <c r="L14" i="20" s="1"/>
  <c r="I13" i="20"/>
  <c r="L13" i="20"/>
  <c r="L13" i="19"/>
  <c r="I13" i="19"/>
  <c r="R69" i="21"/>
  <c r="Q69" i="21"/>
  <c r="Q58" i="21"/>
  <c r="R58" i="21"/>
  <c r="I17" i="20"/>
  <c r="F58" i="20"/>
  <c r="H58" i="20" s="1"/>
  <c r="I58" i="20" s="1"/>
  <c r="I14" i="19"/>
  <c r="F19" i="19"/>
  <c r="I19" i="19" s="1"/>
  <c r="D20" i="19"/>
  <c r="F20" i="19" s="1"/>
  <c r="I20" i="19" s="1"/>
  <c r="U96" i="21"/>
  <c r="V96" i="21"/>
  <c r="T93" i="1"/>
  <c r="S93" i="1"/>
  <c r="G16" i="19"/>
  <c r="G17" i="19" s="1"/>
  <c r="L17" i="19" s="1"/>
  <c r="I16" i="19"/>
  <c r="R47" i="21"/>
  <c r="Q47" i="21"/>
  <c r="AC186" i="16"/>
  <c r="AC182" i="16"/>
  <c r="AC178" i="16"/>
  <c r="AC174" i="16"/>
  <c r="AC170" i="16"/>
  <c r="AC166" i="16"/>
  <c r="AC162" i="16"/>
  <c r="AC158" i="16"/>
  <c r="AC185" i="16"/>
  <c r="AC183" i="16"/>
  <c r="AC175" i="16"/>
  <c r="AC167" i="16"/>
  <c r="AC159" i="16"/>
  <c r="AC152" i="16"/>
  <c r="AC148" i="16"/>
  <c r="AC179" i="16"/>
  <c r="AC171" i="16"/>
  <c r="AC163" i="16"/>
  <c r="AC154" i="16"/>
  <c r="AC150" i="16"/>
  <c r="AC172" i="16"/>
  <c r="AC164" i="16"/>
  <c r="AC156" i="16"/>
  <c r="AC169" i="16"/>
  <c r="AC161" i="16"/>
  <c r="AC155" i="16"/>
  <c r="AC181" i="16"/>
  <c r="AC180" i="16"/>
  <c r="AC173" i="16"/>
  <c r="AC165" i="16"/>
  <c r="AC157" i="16"/>
  <c r="AC176" i="16"/>
  <c r="AC168" i="16"/>
  <c r="AC149" i="16"/>
  <c r="AC184" i="16"/>
  <c r="AC177" i="16"/>
  <c r="AC160" i="16"/>
  <c r="AC153" i="16"/>
  <c r="AC151" i="16"/>
  <c r="T52" i="21"/>
  <c r="S52" i="21"/>
  <c r="S38" i="21"/>
  <c r="T38" i="21"/>
  <c r="I20" i="20"/>
  <c r="I17" i="19"/>
  <c r="F58" i="19"/>
  <c r="H58" i="19" s="1"/>
  <c r="I58" i="19" s="1"/>
  <c r="I16" i="20"/>
  <c r="G16" i="20"/>
  <c r="G17" i="20" s="1"/>
  <c r="L17" i="20" s="1"/>
  <c r="S68" i="21"/>
  <c r="T68" i="21"/>
  <c r="R49" i="21"/>
  <c r="Q49" i="21"/>
  <c r="T3" i="17"/>
  <c r="S3" i="17"/>
  <c r="U35" i="17"/>
  <c r="V35" i="17"/>
  <c r="T130" i="17"/>
  <c r="S130" i="17"/>
  <c r="R131" i="17"/>
  <c r="Q131" i="17"/>
  <c r="G58" i="17"/>
  <c r="E57" i="17"/>
  <c r="O59" i="17"/>
  <c r="L58" i="17"/>
  <c r="L60" i="17"/>
  <c r="G60" i="17"/>
  <c r="E61" i="17"/>
  <c r="Y45" i="9"/>
  <c r="Y46" i="9"/>
  <c r="Y88" i="9"/>
  <c r="T94" i="9"/>
  <c r="S94" i="9"/>
  <c r="AC93" i="8"/>
  <c r="AC60" i="8"/>
  <c r="AC61" i="8"/>
  <c r="AC92" i="8"/>
  <c r="AC58" i="8"/>
  <c r="AC59" i="8"/>
  <c r="AC45" i="8"/>
  <c r="AC46" i="8"/>
  <c r="AC87" i="8"/>
  <c r="T93" i="8"/>
  <c r="S93" i="8"/>
  <c r="Y46" i="7"/>
  <c r="Y87" i="7"/>
  <c r="T93" i="7"/>
  <c r="S93" i="7"/>
  <c r="N93" i="9"/>
  <c r="O93" i="9" s="1"/>
  <c r="X33" i="1"/>
  <c r="W33" i="1"/>
  <c r="D23" i="7"/>
  <c r="D24" i="7" s="1"/>
  <c r="F24" i="7" s="1"/>
  <c r="K24" i="7" s="1"/>
  <c r="O42" i="9"/>
  <c r="P38" i="9"/>
  <c r="R38" i="9" s="1"/>
  <c r="O42" i="7"/>
  <c r="P42" i="7"/>
  <c r="Q55" i="7"/>
  <c r="M49" i="7"/>
  <c r="O55" i="7"/>
  <c r="P39" i="7"/>
  <c r="P44" i="7"/>
  <c r="R44" i="7" s="1"/>
  <c r="T44" i="7" s="1"/>
  <c r="V44" i="7" s="1"/>
  <c r="X44" i="7" s="1"/>
  <c r="Z44" i="7" s="1"/>
  <c r="AB44" i="7" s="1"/>
  <c r="AD44" i="7" s="1"/>
  <c r="AF44" i="7" s="1"/>
  <c r="AH44" i="7" s="1"/>
  <c r="AJ44" i="7" s="1"/>
  <c r="N50" i="7"/>
  <c r="O44" i="9"/>
  <c r="D23" i="9"/>
  <c r="D24" i="9" s="1"/>
  <c r="F24" i="9" s="1"/>
  <c r="M24" i="24" s="1"/>
  <c r="V61" i="1"/>
  <c r="U61" i="1"/>
  <c r="O39" i="9"/>
  <c r="P54" i="7"/>
  <c r="Q54" i="7" s="1"/>
  <c r="T92" i="1"/>
  <c r="S92" i="1"/>
  <c r="AA61" i="1"/>
  <c r="AA60" i="1"/>
  <c r="T60" i="1"/>
  <c r="S60" i="1"/>
  <c r="T70" i="1"/>
  <c r="S70" i="1"/>
  <c r="F138" i="9"/>
  <c r="K138" i="9" s="1"/>
  <c r="N138" i="9" s="1"/>
  <c r="P138" i="9" s="1"/>
  <c r="R138" i="9" s="1"/>
  <c r="P62" i="9"/>
  <c r="O62" i="9"/>
  <c r="T63" i="9"/>
  <c r="S63" i="9"/>
  <c r="P60" i="9"/>
  <c r="O60" i="9"/>
  <c r="T61" i="9"/>
  <c r="S61" i="9"/>
  <c r="T61" i="7"/>
  <c r="S61" i="7"/>
  <c r="F23" i="7"/>
  <c r="N23" i="7" s="1"/>
  <c r="P23" i="7" s="1"/>
  <c r="P60" i="7"/>
  <c r="O60" i="7"/>
  <c r="M50" i="7"/>
  <c r="D26" i="9"/>
  <c r="F26" i="9" s="1"/>
  <c r="M26" i="24" s="1"/>
  <c r="N92" i="7"/>
  <c r="M92" i="7"/>
  <c r="G45" i="17"/>
  <c r="E46" i="17"/>
  <c r="E44" i="17"/>
  <c r="L45" i="17"/>
  <c r="N49" i="7"/>
  <c r="P49" i="7" s="1"/>
  <c r="R49" i="7" s="1"/>
  <c r="T49" i="7" s="1"/>
  <c r="D25" i="9"/>
  <c r="F25" i="9" s="1"/>
  <c r="P93" i="9"/>
  <c r="N50" i="9"/>
  <c r="M50" i="9"/>
  <c r="T53" i="1"/>
  <c r="U53" i="1" s="1"/>
  <c r="O36" i="9"/>
  <c r="T58" i="18"/>
  <c r="S58" i="18"/>
  <c r="S43" i="18"/>
  <c r="G43" i="18" s="1"/>
  <c r="T43" i="18"/>
  <c r="V43" i="18" s="1"/>
  <c r="X43" i="18" s="1"/>
  <c r="Z43" i="18" s="1"/>
  <c r="AB43" i="18" s="1"/>
  <c r="AD43" i="18" s="1"/>
  <c r="AF43" i="18" s="1"/>
  <c r="AH43" i="18" s="1"/>
  <c r="AA87" i="1"/>
  <c r="AA98" i="1"/>
  <c r="AA97" i="1"/>
  <c r="AA96" i="1"/>
  <c r="T59" i="1"/>
  <c r="S59" i="1"/>
  <c r="S55" i="18"/>
  <c r="T55" i="18"/>
  <c r="T58" i="1"/>
  <c r="S58" i="1"/>
  <c r="S57" i="18"/>
  <c r="T57" i="18"/>
  <c r="T60" i="18"/>
  <c r="S60" i="18"/>
  <c r="T34" i="18"/>
  <c r="S34" i="18"/>
  <c r="S48" i="18"/>
  <c r="G48" i="18" s="1"/>
  <c r="T48" i="18"/>
  <c r="V48" i="18" s="1"/>
  <c r="X48" i="18" s="1"/>
  <c r="Z48" i="18" s="1"/>
  <c r="AB48" i="18" s="1"/>
  <c r="AD48" i="18" s="1"/>
  <c r="AF48" i="18" s="1"/>
  <c r="AH48" i="18" s="1"/>
  <c r="S45" i="18"/>
  <c r="T45" i="18"/>
  <c r="R59" i="9"/>
  <c r="Q59" i="9"/>
  <c r="F120" i="9"/>
  <c r="K120" i="9" s="1"/>
  <c r="M120" i="9" s="1"/>
  <c r="P58" i="9"/>
  <c r="O58" i="9"/>
  <c r="P59" i="8"/>
  <c r="O59" i="8"/>
  <c r="R59" i="7"/>
  <c r="Q59" i="7"/>
  <c r="P58" i="7"/>
  <c r="O58" i="7"/>
  <c r="R57" i="7"/>
  <c r="T57" i="7" s="1"/>
  <c r="T61" i="18"/>
  <c r="S61" i="18"/>
  <c r="F139" i="9"/>
  <c r="K139" i="9" s="1"/>
  <c r="N139" i="9" s="1"/>
  <c r="P139" i="9" s="1"/>
  <c r="F124" i="9"/>
  <c r="K124" i="9" s="1"/>
  <c r="N124" i="9" s="1"/>
  <c r="P124" i="9" s="1"/>
  <c r="R124" i="9" s="1"/>
  <c r="F127" i="9"/>
  <c r="K127" i="9" s="1"/>
  <c r="M127" i="9" s="1"/>
  <c r="F121" i="9"/>
  <c r="K121" i="9" s="1"/>
  <c r="N121" i="9" s="1"/>
  <c r="F125" i="9"/>
  <c r="K125" i="9" s="1"/>
  <c r="N125" i="9" s="1"/>
  <c r="P125" i="9" s="1"/>
  <c r="Q125" i="9" s="1"/>
  <c r="F126" i="9"/>
  <c r="K126" i="9" s="1"/>
  <c r="R57" i="9"/>
  <c r="S57" i="9" s="1"/>
  <c r="F131" i="9"/>
  <c r="K131" i="9" s="1"/>
  <c r="M131" i="9" s="1"/>
  <c r="F136" i="9"/>
  <c r="K136" i="9" s="1"/>
  <c r="N136" i="9" s="1"/>
  <c r="O136" i="9" s="1"/>
  <c r="F118" i="9"/>
  <c r="K118" i="9" s="1"/>
  <c r="N118" i="9" s="1"/>
  <c r="O118" i="9" s="1"/>
  <c r="F137" i="9"/>
  <c r="K137" i="9" s="1"/>
  <c r="N137" i="9" s="1"/>
  <c r="P137" i="9" s="1"/>
  <c r="Q137" i="9" s="1"/>
  <c r="F129" i="9"/>
  <c r="K129" i="9" s="1"/>
  <c r="M129" i="9" s="1"/>
  <c r="D143" i="9"/>
  <c r="D144" i="9"/>
  <c r="D142" i="9"/>
  <c r="F140" i="9"/>
  <c r="K140" i="9" s="1"/>
  <c r="N140" i="9" s="1"/>
  <c r="P140" i="9" s="1"/>
  <c r="Q140" i="9" s="1"/>
  <c r="F119" i="9"/>
  <c r="K119" i="9" s="1"/>
  <c r="M119" i="9" s="1"/>
  <c r="F123" i="9"/>
  <c r="K123" i="9" s="1"/>
  <c r="N123" i="9" s="1"/>
  <c r="O123" i="9" s="1"/>
  <c r="O57" i="9"/>
  <c r="F122" i="9"/>
  <c r="K122" i="9" s="1"/>
  <c r="N122" i="9" s="1"/>
  <c r="P122" i="9" s="1"/>
  <c r="Q122" i="9" s="1"/>
  <c r="F133" i="9"/>
  <c r="K133" i="9" s="1"/>
  <c r="M133" i="9" s="1"/>
  <c r="F130" i="9"/>
  <c r="K130" i="9" s="1"/>
  <c r="N130" i="9" s="1"/>
  <c r="P130" i="9" s="1"/>
  <c r="Q130" i="9" s="1"/>
  <c r="F128" i="9"/>
  <c r="K128" i="9" s="1"/>
  <c r="M128" i="9" s="1"/>
  <c r="F132" i="9"/>
  <c r="K132" i="9" s="1"/>
  <c r="N132" i="9" s="1"/>
  <c r="F134" i="9"/>
  <c r="K134" i="9" s="1"/>
  <c r="N134" i="9" s="1"/>
  <c r="O134" i="9" s="1"/>
  <c r="O160" i="16"/>
  <c r="P160" i="16"/>
  <c r="N161" i="16"/>
  <c r="M161" i="16"/>
  <c r="Q159" i="16"/>
  <c r="R159" i="16"/>
  <c r="T159" i="16" s="1"/>
  <c r="V159" i="16" s="1"/>
  <c r="X159" i="16" s="1"/>
  <c r="Z159" i="16" s="1"/>
  <c r="AB159" i="16" s="1"/>
  <c r="AD159" i="16" s="1"/>
  <c r="AF159" i="16" s="1"/>
  <c r="AH159" i="16" s="1"/>
  <c r="AJ159" i="16" s="1"/>
  <c r="H163" i="16"/>
  <c r="K162" i="16"/>
  <c r="AC146" i="16"/>
  <c r="AC142" i="16"/>
  <c r="AC138" i="16"/>
  <c r="AC144" i="16"/>
  <c r="AC140" i="16"/>
  <c r="AC136" i="16"/>
  <c r="AC145" i="16"/>
  <c r="AC141" i="16"/>
  <c r="AC137" i="16"/>
  <c r="AC147" i="16"/>
  <c r="AC139" i="16"/>
  <c r="AC143" i="16"/>
  <c r="AC135" i="16"/>
  <c r="AC187" i="16"/>
  <c r="Q37" i="7"/>
  <c r="P62" i="7"/>
  <c r="R62" i="7" s="1"/>
  <c r="T46" i="7"/>
  <c r="S46" i="7"/>
  <c r="T46" i="9"/>
  <c r="S46" i="9"/>
  <c r="P45" i="9"/>
  <c r="O45" i="9"/>
  <c r="P38" i="7"/>
  <c r="Q38" i="7" s="1"/>
  <c r="T129" i="17"/>
  <c r="S129" i="17"/>
  <c r="Q128" i="17"/>
  <c r="R128" i="17"/>
  <c r="Y45" i="7"/>
  <c r="Y86" i="7"/>
  <c r="T46" i="1"/>
  <c r="S46" i="1"/>
  <c r="AA46" i="1"/>
  <c r="AA45" i="1"/>
  <c r="T45" i="1"/>
  <c r="S45" i="1"/>
  <c r="P45" i="7"/>
  <c r="O45" i="7"/>
  <c r="P36" i="7"/>
  <c r="Q36" i="7" s="1"/>
  <c r="Y91" i="9"/>
  <c r="Y81" i="9"/>
  <c r="Y77" i="9"/>
  <c r="Y73" i="9"/>
  <c r="Y41" i="9"/>
  <c r="Y47" i="9"/>
  <c r="Y84" i="9"/>
  <c r="Y80" i="9"/>
  <c r="Y76" i="9"/>
  <c r="Y56" i="9"/>
  <c r="Y48" i="9"/>
  <c r="AA31" i="9"/>
  <c r="Y53" i="9"/>
  <c r="Y83" i="9"/>
  <c r="Y79" i="9"/>
  <c r="Y75" i="9"/>
  <c r="Y55" i="9"/>
  <c r="Y57" i="9"/>
  <c r="Y82" i="9"/>
  <c r="Y78" i="9"/>
  <c r="Y74" i="9"/>
  <c r="Y44" i="9"/>
  <c r="Y87" i="9"/>
  <c r="AC88" i="8"/>
  <c r="AC86" i="8"/>
  <c r="P54" i="9"/>
  <c r="Q54" i="9" s="1"/>
  <c r="E89" i="17"/>
  <c r="G88" i="17"/>
  <c r="L88" i="17"/>
  <c r="E87" i="17"/>
  <c r="O55" i="9"/>
  <c r="O29" i="17"/>
  <c r="L28" i="17"/>
  <c r="L74" i="17"/>
  <c r="O73" i="17"/>
  <c r="L72" i="17"/>
  <c r="L109" i="17"/>
  <c r="O109" i="17" s="1"/>
  <c r="O108" i="17"/>
  <c r="G28" i="17"/>
  <c r="E27" i="17"/>
  <c r="P37" i="9"/>
  <c r="Q37" i="9" s="1"/>
  <c r="E133" i="17"/>
  <c r="G133" i="17" s="1"/>
  <c r="O133" i="17"/>
  <c r="E71" i="17"/>
  <c r="G72" i="17"/>
  <c r="E121" i="17"/>
  <c r="L122" i="17"/>
  <c r="L120" i="17"/>
  <c r="L119" i="17" s="1"/>
  <c r="O119" i="17" s="1"/>
  <c r="L132" i="17"/>
  <c r="O121" i="17"/>
  <c r="Q110" i="17"/>
  <c r="R110" i="17"/>
  <c r="L32" i="17"/>
  <c r="O31" i="17"/>
  <c r="T127" i="17"/>
  <c r="S127" i="17"/>
  <c r="R30" i="17"/>
  <c r="Q30" i="17"/>
  <c r="G74" i="17"/>
  <c r="E75" i="17"/>
  <c r="G112" i="17"/>
  <c r="E113" i="17"/>
  <c r="T126" i="17"/>
  <c r="S126" i="17"/>
  <c r="L125" i="17"/>
  <c r="L115" i="17"/>
  <c r="O111" i="17"/>
  <c r="L112" i="17"/>
  <c r="E33" i="17"/>
  <c r="G32" i="17"/>
  <c r="AI134" i="17"/>
  <c r="AK23" i="17"/>
  <c r="V32" i="16"/>
  <c r="U32" i="16"/>
  <c r="P43" i="16"/>
  <c r="O43" i="16"/>
  <c r="K45" i="16"/>
  <c r="W29" i="16"/>
  <c r="X29" i="16"/>
  <c r="W31" i="16"/>
  <c r="X31" i="16"/>
  <c r="K49" i="16"/>
  <c r="M44" i="16"/>
  <c r="N44" i="16"/>
  <c r="X27" i="16"/>
  <c r="W27" i="16"/>
  <c r="N42" i="16"/>
  <c r="M42" i="16"/>
  <c r="Q36" i="16"/>
  <c r="R36" i="16"/>
  <c r="N46" i="16"/>
  <c r="M46" i="16"/>
  <c r="T33" i="16"/>
  <c r="S33" i="16"/>
  <c r="K47" i="16"/>
  <c r="O41" i="16"/>
  <c r="P41" i="16"/>
  <c r="U30" i="16"/>
  <c r="V30" i="16"/>
  <c r="V34" i="16"/>
  <c r="U34" i="16"/>
  <c r="Q40" i="16"/>
  <c r="R40" i="16"/>
  <c r="T35" i="16"/>
  <c r="S35" i="16"/>
  <c r="Q38" i="16"/>
  <c r="R38" i="16"/>
  <c r="P39" i="16"/>
  <c r="O39" i="16"/>
  <c r="S37" i="16"/>
  <c r="T37" i="16"/>
  <c r="AD24" i="16"/>
  <c r="AC24" i="16"/>
  <c r="AD23" i="16"/>
  <c r="AC23" i="16"/>
  <c r="AD25" i="16"/>
  <c r="AC25" i="16"/>
  <c r="AD20" i="16"/>
  <c r="AC20" i="16"/>
  <c r="AD22" i="16"/>
  <c r="AC22" i="16"/>
  <c r="AD19" i="16"/>
  <c r="AC19" i="16"/>
  <c r="AD26" i="16"/>
  <c r="AC26" i="16"/>
  <c r="AD21" i="16"/>
  <c r="AC21" i="16"/>
  <c r="AD28" i="16"/>
  <c r="AC28" i="16"/>
  <c r="AC18" i="16"/>
  <c r="AE17" i="16"/>
  <c r="AB87" i="9"/>
  <c r="R56" i="7"/>
  <c r="T56" i="7" s="1"/>
  <c r="O37" i="7"/>
  <c r="AB86" i="1"/>
  <c r="AA86" i="1"/>
  <c r="R51" i="7"/>
  <c r="P51" i="9"/>
  <c r="O51" i="9"/>
  <c r="Y57" i="7"/>
  <c r="Y88" i="7"/>
  <c r="O56" i="9"/>
  <c r="O56" i="7"/>
  <c r="X89" i="9"/>
  <c r="W89" i="9"/>
  <c r="AA57" i="1"/>
  <c r="AA62" i="1"/>
  <c r="AA53" i="1"/>
  <c r="AA52" i="1"/>
  <c r="Q57" i="1"/>
  <c r="R57" i="1"/>
  <c r="R62" i="1"/>
  <c r="Q62" i="1"/>
  <c r="S52" i="1"/>
  <c r="T52" i="1"/>
  <c r="S90" i="1"/>
  <c r="T90" i="1"/>
  <c r="X83" i="1"/>
  <c r="W83" i="1"/>
  <c r="S53" i="7"/>
  <c r="T53" i="7"/>
  <c r="X90" i="7"/>
  <c r="W90" i="7"/>
  <c r="R108" i="9"/>
  <c r="Q108" i="9"/>
  <c r="Q71" i="9"/>
  <c r="R71" i="9"/>
  <c r="Y16" i="12"/>
  <c r="X107" i="9"/>
  <c r="W107" i="9"/>
  <c r="AC57" i="8"/>
  <c r="AC62" i="8"/>
  <c r="AC52" i="8"/>
  <c r="AC53" i="8"/>
  <c r="X96" i="8"/>
  <c r="W96" i="8"/>
  <c r="Y53" i="7"/>
  <c r="V53" i="9"/>
  <c r="U53" i="9"/>
  <c r="V33" i="7"/>
  <c r="U33" i="7"/>
  <c r="V52" i="9"/>
  <c r="U52" i="9"/>
  <c r="V52" i="7"/>
  <c r="U52" i="7"/>
  <c r="S64" i="7"/>
  <c r="R41" i="8"/>
  <c r="Q41" i="8"/>
  <c r="T48" i="7"/>
  <c r="V48" i="7" s="1"/>
  <c r="X48" i="7" s="1"/>
  <c r="Z48" i="7" s="1"/>
  <c r="AB48" i="7" s="1"/>
  <c r="AD48" i="7" s="1"/>
  <c r="AF48" i="7" s="1"/>
  <c r="AH48" i="7" s="1"/>
  <c r="AJ48" i="7" s="1"/>
  <c r="Q35" i="9"/>
  <c r="S68" i="7"/>
  <c r="Q35" i="7"/>
  <c r="R35" i="7"/>
  <c r="R50" i="1"/>
  <c r="Q50" i="1"/>
  <c r="R39" i="1"/>
  <c r="Q39" i="1"/>
  <c r="R55" i="1"/>
  <c r="Q55" i="1"/>
  <c r="R37" i="1"/>
  <c r="Q37" i="1"/>
  <c r="R42" i="1"/>
  <c r="Q42" i="1"/>
  <c r="R49" i="1"/>
  <c r="Q49" i="1"/>
  <c r="R54" i="1"/>
  <c r="Q54" i="1"/>
  <c r="R44" i="1"/>
  <c r="Q44" i="1"/>
  <c r="R56" i="1"/>
  <c r="Q56" i="1"/>
  <c r="T51" i="1"/>
  <c r="S51" i="1"/>
  <c r="T48" i="1"/>
  <c r="S48" i="1"/>
  <c r="T63" i="1"/>
  <c r="S63" i="1"/>
  <c r="T66" i="1"/>
  <c r="S66" i="1"/>
  <c r="T65" i="1"/>
  <c r="S65" i="1"/>
  <c r="T64" i="1"/>
  <c r="S64" i="1"/>
  <c r="T40" i="1"/>
  <c r="S40" i="1"/>
  <c r="T67" i="1"/>
  <c r="S67" i="1"/>
  <c r="S69" i="1"/>
  <c r="T69" i="1"/>
  <c r="T47" i="9"/>
  <c r="S47" i="9"/>
  <c r="AA88" i="1"/>
  <c r="AA82" i="1"/>
  <c r="AA81" i="1"/>
  <c r="AA80" i="1"/>
  <c r="AA79" i="1"/>
  <c r="AA78" i="1"/>
  <c r="AA77" i="1"/>
  <c r="AA76" i="1"/>
  <c r="AA75" i="1"/>
  <c r="AA74" i="1"/>
  <c r="AA73" i="1"/>
  <c r="AA72" i="1"/>
  <c r="AA56" i="1"/>
  <c r="AA55" i="1"/>
  <c r="AA54" i="1"/>
  <c r="AA51" i="1"/>
  <c r="AA50" i="1"/>
  <c r="AA49" i="1"/>
  <c r="AA48" i="1"/>
  <c r="AA47" i="1"/>
  <c r="AA44" i="1"/>
  <c r="AA38" i="1"/>
  <c r="AA37" i="1"/>
  <c r="R36" i="1"/>
  <c r="Q36" i="1"/>
  <c r="V47" i="1"/>
  <c r="X47" i="1" s="1"/>
  <c r="Z47" i="1" s="1"/>
  <c r="AB47" i="1" s="1"/>
  <c r="AD47" i="1" s="1"/>
  <c r="AF47" i="1" s="1"/>
  <c r="AH47" i="1" s="1"/>
  <c r="AJ47" i="1" s="1"/>
  <c r="U47" i="1"/>
  <c r="V68" i="1"/>
  <c r="U68" i="1"/>
  <c r="T35" i="1"/>
  <c r="S35" i="1"/>
  <c r="V41" i="1"/>
  <c r="U41" i="1"/>
  <c r="T34" i="1"/>
  <c r="S34" i="1"/>
  <c r="U70" i="9"/>
  <c r="V70" i="9"/>
  <c r="U70" i="8"/>
  <c r="V70" i="8"/>
  <c r="V69" i="8"/>
  <c r="U69" i="8"/>
  <c r="S69" i="7"/>
  <c r="T69" i="7"/>
  <c r="V70" i="7"/>
  <c r="U70" i="7"/>
  <c r="V32" i="9"/>
  <c r="U32" i="9"/>
  <c r="R38" i="1"/>
  <c r="Q38" i="1"/>
  <c r="R39" i="9"/>
  <c r="Q39" i="9"/>
  <c r="R56" i="9"/>
  <c r="Q56" i="9"/>
  <c r="R44" i="9"/>
  <c r="Q44" i="9"/>
  <c r="R42" i="9"/>
  <c r="Q42" i="9"/>
  <c r="R55" i="9"/>
  <c r="Q55" i="9"/>
  <c r="R36" i="9"/>
  <c r="Q36" i="9"/>
  <c r="V68" i="9"/>
  <c r="U68" i="9"/>
  <c r="T35" i="9"/>
  <c r="S35" i="9"/>
  <c r="V66" i="9"/>
  <c r="U66" i="9"/>
  <c r="V33" i="9"/>
  <c r="U33" i="9"/>
  <c r="T65" i="9"/>
  <c r="S65" i="9"/>
  <c r="V48" i="9"/>
  <c r="X48" i="9" s="1"/>
  <c r="Z48" i="9" s="1"/>
  <c r="AB48" i="9" s="1"/>
  <c r="AD48" i="9" s="1"/>
  <c r="AF48" i="9" s="1"/>
  <c r="AH48" i="9" s="1"/>
  <c r="AJ48" i="9" s="1"/>
  <c r="U48" i="9"/>
  <c r="T69" i="9"/>
  <c r="S69" i="9"/>
  <c r="T64" i="9"/>
  <c r="S64" i="9"/>
  <c r="T40" i="9"/>
  <c r="S40" i="9"/>
  <c r="T34" i="9"/>
  <c r="S34" i="9"/>
  <c r="X32" i="8"/>
  <c r="W32" i="8"/>
  <c r="V33" i="8"/>
  <c r="U33" i="8"/>
  <c r="AC66" i="8"/>
  <c r="AC83" i="8"/>
  <c r="AC82" i="8"/>
  <c r="AC81" i="8"/>
  <c r="AC80" i="8"/>
  <c r="AC79" i="8"/>
  <c r="AC78" i="8"/>
  <c r="AC77" i="8"/>
  <c r="AC76" i="8"/>
  <c r="AC75" i="8"/>
  <c r="AC74" i="8"/>
  <c r="AC73" i="8"/>
  <c r="AC72" i="8"/>
  <c r="AC65" i="8"/>
  <c r="AC64" i="8"/>
  <c r="AC49" i="8"/>
  <c r="AC48" i="8"/>
  <c r="AC63" i="8"/>
  <c r="AC56" i="8"/>
  <c r="AC55" i="8"/>
  <c r="AC54" i="8"/>
  <c r="AC51" i="8"/>
  <c r="AC50" i="8"/>
  <c r="AC47" i="8"/>
  <c r="AC44" i="8"/>
  <c r="AC42" i="8"/>
  <c r="AC39" i="8"/>
  <c r="AC38" i="8"/>
  <c r="AC37" i="8"/>
  <c r="AC36" i="8"/>
  <c r="AC33" i="8"/>
  <c r="AE31" i="8"/>
  <c r="Y83" i="7"/>
  <c r="Y82" i="7"/>
  <c r="Y81" i="7"/>
  <c r="Y80" i="7"/>
  <c r="Y79" i="7"/>
  <c r="Y78" i="7"/>
  <c r="Y77" i="7"/>
  <c r="Y76" i="7"/>
  <c r="Y75" i="7"/>
  <c r="Y74" i="7"/>
  <c r="Y73" i="7"/>
  <c r="Y72" i="7"/>
  <c r="Y48" i="7"/>
  <c r="Y56" i="7"/>
  <c r="Y55" i="7"/>
  <c r="Y47" i="7"/>
  <c r="Y44" i="7"/>
  <c r="Y34" i="7"/>
  <c r="AA31" i="7"/>
  <c r="Y32" i="7"/>
  <c r="V66" i="7"/>
  <c r="U66" i="7"/>
  <c r="V65" i="7"/>
  <c r="U65" i="7"/>
  <c r="V67" i="7"/>
  <c r="U67" i="7"/>
  <c r="V40" i="7"/>
  <c r="U40" i="7"/>
  <c r="V47" i="7"/>
  <c r="X47" i="7" s="1"/>
  <c r="Z47" i="7" s="1"/>
  <c r="AB47" i="7" s="1"/>
  <c r="AD47" i="7" s="1"/>
  <c r="AF47" i="7" s="1"/>
  <c r="AH47" i="7" s="1"/>
  <c r="AJ47" i="7" s="1"/>
  <c r="U47" i="7"/>
  <c r="V63" i="7"/>
  <c r="U63" i="7"/>
  <c r="V68" i="7"/>
  <c r="U68" i="7"/>
  <c r="T41" i="7"/>
  <c r="S41" i="7"/>
  <c r="V64" i="7"/>
  <c r="U64" i="7"/>
  <c r="T55" i="7"/>
  <c r="S55" i="7"/>
  <c r="T37" i="7"/>
  <c r="S37" i="7"/>
  <c r="AC31" i="1"/>
  <c r="AA32" i="1"/>
  <c r="N135" i="9" l="1"/>
  <c r="P135" i="9" s="1"/>
  <c r="R135" i="9" s="1"/>
  <c r="V67" i="9"/>
  <c r="U67" i="9"/>
  <c r="V45" i="27"/>
  <c r="U45" i="27"/>
  <c r="T115" i="9"/>
  <c r="S115" i="9"/>
  <c r="U113" i="9"/>
  <c r="V113" i="9"/>
  <c r="V34" i="27"/>
  <c r="U34" i="27"/>
  <c r="N59" i="26"/>
  <c r="H59" i="26"/>
  <c r="M59" i="26"/>
  <c r="L59" i="26"/>
  <c r="T114" i="9"/>
  <c r="S114" i="9"/>
  <c r="P41" i="26"/>
  <c r="O41" i="26"/>
  <c r="T104" i="9"/>
  <c r="S104" i="9"/>
  <c r="N25" i="9"/>
  <c r="P25" i="9" s="1"/>
  <c r="M25" i="24"/>
  <c r="N26" i="24"/>
  <c r="O26" i="24"/>
  <c r="O24" i="24"/>
  <c r="N24" i="24"/>
  <c r="U48" i="24"/>
  <c r="G48" i="24" s="1"/>
  <c r="V48" i="24"/>
  <c r="X48" i="24" s="1"/>
  <c r="Z48" i="24" s="1"/>
  <c r="AB48" i="24" s="1"/>
  <c r="AD48" i="24" s="1"/>
  <c r="AF48" i="24" s="1"/>
  <c r="AH48" i="24" s="1"/>
  <c r="AJ48" i="24" s="1"/>
  <c r="P49" i="9"/>
  <c r="R49" i="9" s="1"/>
  <c r="T49" i="9" s="1"/>
  <c r="R41" i="24"/>
  <c r="Q41" i="24"/>
  <c r="V64" i="24"/>
  <c r="X64" i="24" s="1"/>
  <c r="Z64" i="24" s="1"/>
  <c r="AB64" i="24" s="1"/>
  <c r="AD64" i="24" s="1"/>
  <c r="AF64" i="24" s="1"/>
  <c r="AH64" i="24" s="1"/>
  <c r="AJ64" i="24" s="1"/>
  <c r="U64" i="24"/>
  <c r="G64" i="24" s="1"/>
  <c r="V38" i="24"/>
  <c r="X38" i="24" s="1"/>
  <c r="Z38" i="24" s="1"/>
  <c r="AB38" i="24" s="1"/>
  <c r="AD38" i="24" s="1"/>
  <c r="AF38" i="24" s="1"/>
  <c r="AH38" i="24" s="1"/>
  <c r="AJ38" i="24" s="1"/>
  <c r="U38" i="24"/>
  <c r="G38" i="24" s="1"/>
  <c r="U69" i="24"/>
  <c r="G69" i="24" s="1"/>
  <c r="V69" i="24"/>
  <c r="X69" i="24" s="1"/>
  <c r="Z69" i="24" s="1"/>
  <c r="AB69" i="24" s="1"/>
  <c r="AD69" i="24" s="1"/>
  <c r="AF69" i="24" s="1"/>
  <c r="AH69" i="24" s="1"/>
  <c r="AJ69" i="24" s="1"/>
  <c r="V67" i="24"/>
  <c r="X67" i="24" s="1"/>
  <c r="Z67" i="24" s="1"/>
  <c r="AB67" i="24" s="1"/>
  <c r="AD67" i="24" s="1"/>
  <c r="AF67" i="24" s="1"/>
  <c r="AH67" i="24" s="1"/>
  <c r="AJ67" i="24" s="1"/>
  <c r="U67" i="24"/>
  <c r="G67" i="24" s="1"/>
  <c r="L16" i="19"/>
  <c r="L16" i="20"/>
  <c r="AC93" i="1"/>
  <c r="AC43" i="1"/>
  <c r="AC84" i="1"/>
  <c r="S66" i="21"/>
  <c r="V85" i="7"/>
  <c r="U85" i="7"/>
  <c r="V70" i="24"/>
  <c r="U70" i="24"/>
  <c r="V85" i="8"/>
  <c r="U85" i="8"/>
  <c r="V43" i="1"/>
  <c r="U43" i="1"/>
  <c r="V59" i="24"/>
  <c r="X59" i="24" s="1"/>
  <c r="Z59" i="24" s="1"/>
  <c r="AB59" i="24" s="1"/>
  <c r="AD59" i="24" s="1"/>
  <c r="AF59" i="24" s="1"/>
  <c r="AH59" i="24" s="1"/>
  <c r="AJ59" i="24" s="1"/>
  <c r="U59" i="24"/>
  <c r="G59" i="24" s="1"/>
  <c r="V86" i="9"/>
  <c r="U86" i="9"/>
  <c r="V85" i="1"/>
  <c r="U85" i="1"/>
  <c r="S63" i="21"/>
  <c r="T43" i="9"/>
  <c r="S43" i="9"/>
  <c r="R43" i="7"/>
  <c r="Q43" i="7"/>
  <c r="AK120" i="17"/>
  <c r="AK131" i="17"/>
  <c r="AK130" i="17"/>
  <c r="AK35" i="17"/>
  <c r="AK3" i="17"/>
  <c r="AK57" i="17"/>
  <c r="AK54" i="17"/>
  <c r="AK55" i="17"/>
  <c r="AK63" i="17"/>
  <c r="AK62" i="17"/>
  <c r="AK61" i="17"/>
  <c r="AK60" i="17"/>
  <c r="AK59" i="17"/>
  <c r="AK58" i="17"/>
  <c r="AK56" i="17"/>
  <c r="AK66" i="17"/>
  <c r="AK65" i="17"/>
  <c r="AK64" i="17"/>
  <c r="AK53" i="17"/>
  <c r="AK42" i="17"/>
  <c r="AK39" i="17"/>
  <c r="AK52" i="17"/>
  <c r="AK51" i="17"/>
  <c r="AK50" i="17"/>
  <c r="AK46" i="17"/>
  <c r="AK45" i="17"/>
  <c r="AK44" i="17"/>
  <c r="AK47" i="17"/>
  <c r="AK40" i="17"/>
  <c r="AK48" i="17"/>
  <c r="AK43" i="17"/>
  <c r="AK41" i="17"/>
  <c r="AK49" i="17"/>
  <c r="AK37" i="17"/>
  <c r="AK129" i="17"/>
  <c r="AK128" i="17"/>
  <c r="AK77" i="17"/>
  <c r="AK79" i="17"/>
  <c r="AK124" i="17"/>
  <c r="AK123" i="17"/>
  <c r="AK122" i="17"/>
  <c r="AK119" i="17"/>
  <c r="N24" i="9"/>
  <c r="P24" i="9" s="1"/>
  <c r="D3" i="23"/>
  <c r="D4" i="23" s="1"/>
  <c r="U38" i="21"/>
  <c r="V38" i="21"/>
  <c r="U52" i="21"/>
  <c r="G52" i="21" s="1"/>
  <c r="V52" i="21"/>
  <c r="X52" i="21" s="1"/>
  <c r="Z52" i="21" s="1"/>
  <c r="AB52" i="21" s="1"/>
  <c r="AD52" i="21" s="1"/>
  <c r="AF52" i="21" s="1"/>
  <c r="AH52" i="21" s="1"/>
  <c r="AJ52" i="21" s="1"/>
  <c r="V93" i="1"/>
  <c r="U93" i="1"/>
  <c r="V66" i="21"/>
  <c r="U66" i="21"/>
  <c r="V65" i="21"/>
  <c r="U65" i="21"/>
  <c r="AE186" i="16"/>
  <c r="AE183" i="16"/>
  <c r="AE179" i="16"/>
  <c r="AE175" i="16"/>
  <c r="AE171" i="16"/>
  <c r="AE167" i="16"/>
  <c r="AE163" i="16"/>
  <c r="AE159" i="16"/>
  <c r="AE182" i="16"/>
  <c r="AE181" i="16"/>
  <c r="AE180" i="16"/>
  <c r="AE174" i="16"/>
  <c r="AE173" i="16"/>
  <c r="AE172" i="16"/>
  <c r="AE166" i="16"/>
  <c r="AE165" i="16"/>
  <c r="AE164" i="16"/>
  <c r="AE158" i="16"/>
  <c r="AE157" i="16"/>
  <c r="AE156" i="16"/>
  <c r="AE153" i="16"/>
  <c r="AE149" i="16"/>
  <c r="AE184" i="16"/>
  <c r="AE178" i="16"/>
  <c r="AE177" i="16"/>
  <c r="AE176" i="16"/>
  <c r="AE170" i="16"/>
  <c r="AE169" i="16"/>
  <c r="AE168" i="16"/>
  <c r="AE162" i="16"/>
  <c r="AE161" i="16"/>
  <c r="AE160" i="16"/>
  <c r="AE155" i="16"/>
  <c r="AE151" i="16"/>
  <c r="AE154" i="16"/>
  <c r="AE152" i="16"/>
  <c r="AE150" i="16"/>
  <c r="AE148" i="16"/>
  <c r="AE185" i="16"/>
  <c r="AA87" i="9"/>
  <c r="AA100" i="9"/>
  <c r="AA101" i="9"/>
  <c r="G20" i="20"/>
  <c r="L20" i="20" s="1"/>
  <c r="G18" i="20"/>
  <c r="L18" i="20" s="1"/>
  <c r="G21" i="20"/>
  <c r="L21" i="20" s="1"/>
  <c r="G19" i="20"/>
  <c r="L19" i="20" s="1"/>
  <c r="V63" i="21"/>
  <c r="U63" i="21"/>
  <c r="X95" i="21"/>
  <c r="W95" i="21"/>
  <c r="V68" i="21"/>
  <c r="U68" i="21"/>
  <c r="G20" i="19"/>
  <c r="L20" i="19" s="1"/>
  <c r="G18" i="19"/>
  <c r="L18" i="19" s="1"/>
  <c r="G21" i="19"/>
  <c r="L21" i="19" s="1"/>
  <c r="G19" i="19"/>
  <c r="L19" i="19" s="1"/>
  <c r="X96" i="21"/>
  <c r="W96" i="21"/>
  <c r="S58" i="21"/>
  <c r="T58" i="21"/>
  <c r="S69" i="21"/>
  <c r="T69" i="21"/>
  <c r="S37" i="18"/>
  <c r="T37" i="18"/>
  <c r="F100" i="9"/>
  <c r="K100" i="9" s="1"/>
  <c r="N100" i="9" s="1"/>
  <c r="F7" i="23"/>
  <c r="F8" i="23"/>
  <c r="F15" i="23"/>
  <c r="F10" i="23"/>
  <c r="F14" i="23"/>
  <c r="B16" i="23" s="1"/>
  <c r="F11" i="23"/>
  <c r="F9" i="23"/>
  <c r="F12" i="23"/>
  <c r="F101" i="9"/>
  <c r="K101" i="9" s="1"/>
  <c r="F13" i="23"/>
  <c r="T47" i="21"/>
  <c r="S47" i="21"/>
  <c r="R41" i="21"/>
  <c r="Q41" i="21"/>
  <c r="Q49" i="9"/>
  <c r="N26" i="9"/>
  <c r="P26" i="9" s="1"/>
  <c r="F98" i="9"/>
  <c r="K98" i="9" s="1"/>
  <c r="F99" i="9"/>
  <c r="K99" i="9" s="1"/>
  <c r="T49" i="21"/>
  <c r="S49" i="21"/>
  <c r="U130" i="17"/>
  <c r="V130" i="17"/>
  <c r="T131" i="17"/>
  <c r="S131" i="17"/>
  <c r="X35" i="17"/>
  <c r="W35" i="17"/>
  <c r="V3" i="17"/>
  <c r="U3" i="17"/>
  <c r="O58" i="17"/>
  <c r="L57" i="17"/>
  <c r="E62" i="17"/>
  <c r="G61" i="17"/>
  <c r="R59" i="17"/>
  <c r="Q59" i="17"/>
  <c r="G57" i="17"/>
  <c r="E56" i="17"/>
  <c r="L61" i="17"/>
  <c r="O60" i="17"/>
  <c r="AA60" i="9"/>
  <c r="AA61" i="9"/>
  <c r="AA62" i="9"/>
  <c r="AA45" i="9"/>
  <c r="AA46" i="9"/>
  <c r="AA88" i="9"/>
  <c r="V94" i="9"/>
  <c r="U94" i="9"/>
  <c r="V93" i="8"/>
  <c r="U93" i="8"/>
  <c r="AE93" i="8"/>
  <c r="AE60" i="8"/>
  <c r="AE61" i="8"/>
  <c r="AE92" i="8"/>
  <c r="AE58" i="8"/>
  <c r="AE59" i="8"/>
  <c r="AE45" i="8"/>
  <c r="AE46" i="8"/>
  <c r="AE87" i="8"/>
  <c r="AA60" i="7"/>
  <c r="AA61" i="7"/>
  <c r="AA46" i="7"/>
  <c r="AA87" i="7"/>
  <c r="V93" i="7"/>
  <c r="U93" i="7"/>
  <c r="K24" i="9"/>
  <c r="N24" i="7"/>
  <c r="P24" i="7" s="1"/>
  <c r="Q38" i="9"/>
  <c r="Z33" i="1"/>
  <c r="Y33" i="1"/>
  <c r="F23" i="9"/>
  <c r="M23" i="24" s="1"/>
  <c r="D25" i="7"/>
  <c r="F25" i="7" s="1"/>
  <c r="U44" i="7"/>
  <c r="D26" i="7"/>
  <c r="F26" i="7" s="1"/>
  <c r="N26" i="7" s="1"/>
  <c r="P26" i="7" s="1"/>
  <c r="S44" i="7"/>
  <c r="Q138" i="9"/>
  <c r="R39" i="7"/>
  <c r="Q39" i="7"/>
  <c r="R54" i="7"/>
  <c r="Q44" i="7"/>
  <c r="O50" i="7"/>
  <c r="P50" i="7"/>
  <c r="R42" i="7"/>
  <c r="Q42" i="7"/>
  <c r="N127" i="9"/>
  <c r="P127" i="9" s="1"/>
  <c r="R127" i="9" s="1"/>
  <c r="S127" i="9" s="1"/>
  <c r="O138" i="9"/>
  <c r="V60" i="1"/>
  <c r="U60" i="1"/>
  <c r="V92" i="1"/>
  <c r="U92" i="1"/>
  <c r="AC61" i="1"/>
  <c r="AC60" i="1"/>
  <c r="AC92" i="1"/>
  <c r="V70" i="1"/>
  <c r="U70" i="1"/>
  <c r="X61" i="1"/>
  <c r="W61" i="1"/>
  <c r="Q49" i="7"/>
  <c r="O49" i="7"/>
  <c r="M138" i="9"/>
  <c r="R60" i="9"/>
  <c r="Q60" i="9"/>
  <c r="R62" i="9"/>
  <c r="Q62" i="9"/>
  <c r="K26" i="9"/>
  <c r="V61" i="9"/>
  <c r="U61" i="9"/>
  <c r="V63" i="9"/>
  <c r="U63" i="9"/>
  <c r="S49" i="7"/>
  <c r="K23" i="7"/>
  <c r="R60" i="7"/>
  <c r="Q60" i="7"/>
  <c r="V61" i="7"/>
  <c r="U61" i="7"/>
  <c r="K25" i="9"/>
  <c r="P92" i="7"/>
  <c r="O92" i="7"/>
  <c r="G46" i="17"/>
  <c r="E47" i="17"/>
  <c r="L46" i="17"/>
  <c r="L44" i="17"/>
  <c r="O45" i="17"/>
  <c r="G44" i="17"/>
  <c r="E43" i="17"/>
  <c r="R93" i="9"/>
  <c r="Q93" i="9"/>
  <c r="P50" i="9"/>
  <c r="O50" i="9"/>
  <c r="V53" i="1"/>
  <c r="X53" i="1" s="1"/>
  <c r="Z53" i="1" s="1"/>
  <c r="AB53" i="1" s="1"/>
  <c r="AD53" i="1" s="1"/>
  <c r="AF53" i="1" s="1"/>
  <c r="AH53" i="1" s="1"/>
  <c r="AJ53" i="1" s="1"/>
  <c r="M130" i="9"/>
  <c r="U45" i="18"/>
  <c r="V45" i="18"/>
  <c r="U57" i="18"/>
  <c r="V57" i="18"/>
  <c r="U55" i="18"/>
  <c r="V55" i="18"/>
  <c r="V59" i="1"/>
  <c r="U59" i="1"/>
  <c r="AC58" i="1"/>
  <c r="AC59" i="1"/>
  <c r="AC87" i="1"/>
  <c r="AC98" i="1"/>
  <c r="AC97" i="1"/>
  <c r="AC96" i="1"/>
  <c r="V34" i="18"/>
  <c r="U34" i="18"/>
  <c r="V58" i="18"/>
  <c r="U58" i="18"/>
  <c r="V60" i="18"/>
  <c r="U60" i="18"/>
  <c r="V58" i="1"/>
  <c r="U58" i="1"/>
  <c r="M124" i="9"/>
  <c r="M139" i="9"/>
  <c r="M136" i="9"/>
  <c r="P134" i="9"/>
  <c r="R134" i="9" s="1"/>
  <c r="T134" i="9" s="1"/>
  <c r="S57" i="7"/>
  <c r="Q124" i="9"/>
  <c r="N133" i="9"/>
  <c r="P133" i="9" s="1"/>
  <c r="P136" i="9"/>
  <c r="R136" i="9" s="1"/>
  <c r="S136" i="9" s="1"/>
  <c r="P123" i="9"/>
  <c r="R123" i="9" s="1"/>
  <c r="T123" i="9" s="1"/>
  <c r="R125" i="9"/>
  <c r="T125" i="9" s="1"/>
  <c r="O124" i="9"/>
  <c r="M125" i="9"/>
  <c r="N120" i="9"/>
  <c r="O120" i="9" s="1"/>
  <c r="R58" i="9"/>
  <c r="Q58" i="9"/>
  <c r="T59" i="9"/>
  <c r="S59" i="9"/>
  <c r="R59" i="8"/>
  <c r="Q59" i="8"/>
  <c r="R58" i="7"/>
  <c r="Q58" i="7"/>
  <c r="T59" i="7"/>
  <c r="S59" i="7"/>
  <c r="R122" i="9"/>
  <c r="S122" i="9" s="1"/>
  <c r="R140" i="9"/>
  <c r="T140" i="9" s="1"/>
  <c r="M140" i="9"/>
  <c r="O122" i="9"/>
  <c r="N129" i="9"/>
  <c r="O129" i="9" s="1"/>
  <c r="M121" i="9"/>
  <c r="N131" i="9"/>
  <c r="O131" i="9" s="1"/>
  <c r="O139" i="9"/>
  <c r="V61" i="18"/>
  <c r="U61" i="18"/>
  <c r="M122" i="9"/>
  <c r="M132" i="9"/>
  <c r="R137" i="9"/>
  <c r="S137" i="9" s="1"/>
  <c r="O140" i="9"/>
  <c r="O130" i="9"/>
  <c r="T57" i="9"/>
  <c r="V57" i="9" s="1"/>
  <c r="X57" i="9" s="1"/>
  <c r="Z57" i="9" s="1"/>
  <c r="AB57" i="9" s="1"/>
  <c r="AD57" i="9" s="1"/>
  <c r="AF57" i="9" s="1"/>
  <c r="AH57" i="9" s="1"/>
  <c r="AJ57" i="9" s="1"/>
  <c r="O137" i="9"/>
  <c r="N126" i="9"/>
  <c r="M126" i="9"/>
  <c r="R130" i="9"/>
  <c r="S130" i="9" s="1"/>
  <c r="M118" i="9"/>
  <c r="N128" i="9"/>
  <c r="P128" i="9" s="1"/>
  <c r="Q128" i="9" s="1"/>
  <c r="Q62" i="7"/>
  <c r="P118" i="9"/>
  <c r="R118" i="9" s="1"/>
  <c r="T118" i="9" s="1"/>
  <c r="M137" i="9"/>
  <c r="O125" i="9"/>
  <c r="M134" i="9"/>
  <c r="N119" i="9"/>
  <c r="P119" i="9" s="1"/>
  <c r="R119" i="9" s="1"/>
  <c r="M123" i="9"/>
  <c r="O161" i="16"/>
  <c r="P161" i="16"/>
  <c r="Q160" i="16"/>
  <c r="R160" i="16"/>
  <c r="T160" i="16" s="1"/>
  <c r="V160" i="16" s="1"/>
  <c r="X160" i="16" s="1"/>
  <c r="Z160" i="16" s="1"/>
  <c r="AB160" i="16" s="1"/>
  <c r="AD160" i="16" s="1"/>
  <c r="AF160" i="16" s="1"/>
  <c r="AH160" i="16" s="1"/>
  <c r="AJ160" i="16" s="1"/>
  <c r="H164" i="16"/>
  <c r="K163" i="16"/>
  <c r="N162" i="16"/>
  <c r="M162" i="16"/>
  <c r="AE147" i="16"/>
  <c r="AE143" i="16"/>
  <c r="AE139" i="16"/>
  <c r="AE145" i="16"/>
  <c r="AE141" i="16"/>
  <c r="AE137" i="16"/>
  <c r="AE146" i="16"/>
  <c r="AE142" i="16"/>
  <c r="AE138" i="16"/>
  <c r="AE140" i="16"/>
  <c r="AE144" i="16"/>
  <c r="AE136" i="16"/>
  <c r="AE187" i="16"/>
  <c r="AE135" i="16"/>
  <c r="V46" i="7"/>
  <c r="X46" i="7" s="1"/>
  <c r="Z46" i="7" s="1"/>
  <c r="AB46" i="7" s="1"/>
  <c r="AD46" i="7" s="1"/>
  <c r="AF46" i="7" s="1"/>
  <c r="AH46" i="7" s="1"/>
  <c r="AJ46" i="7" s="1"/>
  <c r="U46" i="7"/>
  <c r="U46" i="9"/>
  <c r="V46" i="9"/>
  <c r="X46" i="9" s="1"/>
  <c r="Z46" i="9" s="1"/>
  <c r="AB46" i="9" s="1"/>
  <c r="AD46" i="9" s="1"/>
  <c r="AF46" i="9" s="1"/>
  <c r="AH46" i="9" s="1"/>
  <c r="AJ46" i="9" s="1"/>
  <c r="Q45" i="9"/>
  <c r="R45" i="9"/>
  <c r="R38" i="7"/>
  <c r="S38" i="7" s="1"/>
  <c r="U129" i="17"/>
  <c r="V129" i="17"/>
  <c r="S128" i="17"/>
  <c r="T128" i="17"/>
  <c r="AA45" i="7"/>
  <c r="AA86" i="7"/>
  <c r="S56" i="7"/>
  <c r="R36" i="7"/>
  <c r="S36" i="7" s="1"/>
  <c r="V46" i="1"/>
  <c r="X46" i="1" s="1"/>
  <c r="Z46" i="1" s="1"/>
  <c r="AB46" i="1" s="1"/>
  <c r="AD46" i="1" s="1"/>
  <c r="AF46" i="1" s="1"/>
  <c r="AH46" i="1" s="1"/>
  <c r="AJ46" i="1" s="1"/>
  <c r="U46" i="1"/>
  <c r="AC45" i="1"/>
  <c r="AC46" i="1"/>
  <c r="V45" i="1"/>
  <c r="X45" i="1" s="1"/>
  <c r="Z45" i="1" s="1"/>
  <c r="AB45" i="1" s="1"/>
  <c r="AD45" i="1" s="1"/>
  <c r="AF45" i="1" s="1"/>
  <c r="AH45" i="1" s="1"/>
  <c r="AJ45" i="1" s="1"/>
  <c r="U45" i="1"/>
  <c r="R45" i="7"/>
  <c r="Q45" i="7"/>
  <c r="Q135" i="9"/>
  <c r="O135" i="9"/>
  <c r="AA91" i="9"/>
  <c r="AA82" i="9"/>
  <c r="AA78" i="9"/>
  <c r="AA74" i="9"/>
  <c r="AA54" i="9"/>
  <c r="AA41" i="9"/>
  <c r="AA48" i="9"/>
  <c r="AA52" i="9"/>
  <c r="AA47" i="9"/>
  <c r="AA81" i="9"/>
  <c r="AA77" i="9"/>
  <c r="AA73" i="9"/>
  <c r="AA51" i="9"/>
  <c r="AA38" i="9"/>
  <c r="AC31" i="9"/>
  <c r="AA53" i="9"/>
  <c r="AA79" i="9"/>
  <c r="AA55" i="9"/>
  <c r="AA49" i="9"/>
  <c r="AA57" i="9"/>
  <c r="AA84" i="9"/>
  <c r="AA80" i="9"/>
  <c r="AA76" i="9"/>
  <c r="AA56" i="9"/>
  <c r="AA50" i="9"/>
  <c r="AA37" i="9"/>
  <c r="AA83" i="9"/>
  <c r="AA75" i="9"/>
  <c r="AA44" i="9"/>
  <c r="P132" i="9"/>
  <c r="O132" i="9"/>
  <c r="R54" i="9"/>
  <c r="T54" i="9" s="1"/>
  <c r="AE88" i="8"/>
  <c r="AE86" i="8"/>
  <c r="R139" i="9"/>
  <c r="Q139" i="9"/>
  <c r="R37" i="9"/>
  <c r="S37" i="9" s="1"/>
  <c r="T135" i="9"/>
  <c r="S135" i="9"/>
  <c r="Q111" i="17"/>
  <c r="R111" i="17"/>
  <c r="U126" i="17"/>
  <c r="V126" i="17"/>
  <c r="V127" i="17"/>
  <c r="U127" i="17"/>
  <c r="G87" i="17"/>
  <c r="E86" i="17"/>
  <c r="L116" i="17"/>
  <c r="O115" i="17"/>
  <c r="E114" i="17"/>
  <c r="G113" i="17"/>
  <c r="O32" i="17"/>
  <c r="L33" i="17"/>
  <c r="Q108" i="17"/>
  <c r="R108" i="17"/>
  <c r="O72" i="17"/>
  <c r="L71" i="17"/>
  <c r="R29" i="17"/>
  <c r="Q29" i="17"/>
  <c r="L87" i="17"/>
  <c r="O88" i="17"/>
  <c r="L89" i="17"/>
  <c r="E125" i="17"/>
  <c r="G125" i="17" s="1"/>
  <c r="O125" i="17"/>
  <c r="T30" i="17"/>
  <c r="S30" i="17"/>
  <c r="S110" i="17"/>
  <c r="T110" i="17"/>
  <c r="R119" i="17"/>
  <c r="Q119" i="17"/>
  <c r="E70" i="17"/>
  <c r="G71" i="17"/>
  <c r="R109" i="17"/>
  <c r="Q109" i="17"/>
  <c r="R73" i="17"/>
  <c r="Q73" i="17"/>
  <c r="E34" i="17"/>
  <c r="E35" i="17" s="1"/>
  <c r="G35" i="17" s="1"/>
  <c r="G33" i="17"/>
  <c r="Q31" i="17"/>
  <c r="R31" i="17"/>
  <c r="Q121" i="17"/>
  <c r="R121" i="17"/>
  <c r="E122" i="17"/>
  <c r="G121" i="17"/>
  <c r="L27" i="17"/>
  <c r="O28" i="17"/>
  <c r="E134" i="17"/>
  <c r="G134" i="17" s="1"/>
  <c r="L134" i="17" s="1"/>
  <c r="O134" i="17" s="1"/>
  <c r="O132" i="17"/>
  <c r="E132" i="17"/>
  <c r="G132" i="17" s="1"/>
  <c r="L113" i="17"/>
  <c r="O112" i="17"/>
  <c r="E76" i="17"/>
  <c r="G75" i="17"/>
  <c r="O121" i="9"/>
  <c r="P121" i="9"/>
  <c r="L123" i="17"/>
  <c r="O122" i="17"/>
  <c r="Q133" i="17"/>
  <c r="R133" i="17"/>
  <c r="E26" i="17"/>
  <c r="G27" i="17"/>
  <c r="L75" i="17"/>
  <c r="O74" i="17"/>
  <c r="E90" i="17"/>
  <c r="G89" i="17"/>
  <c r="AK121" i="17"/>
  <c r="AK115" i="17"/>
  <c r="AK110" i="17"/>
  <c r="AK116" i="17"/>
  <c r="AK104" i="17"/>
  <c r="AK99" i="17"/>
  <c r="AK95" i="17"/>
  <c r="AK105" i="17"/>
  <c r="AK98" i="17"/>
  <c r="AK97" i="17"/>
  <c r="AK111" i="17"/>
  <c r="AK118" i="17"/>
  <c r="AK113" i="17"/>
  <c r="AK109" i="17"/>
  <c r="AK108" i="17"/>
  <c r="AK106" i="17"/>
  <c r="AK102" i="17"/>
  <c r="AK114" i="17"/>
  <c r="AK112" i="17"/>
  <c r="AK107" i="17"/>
  <c r="AK103" i="17"/>
  <c r="AK101" i="17"/>
  <c r="AK100" i="17"/>
  <c r="AK96" i="17"/>
  <c r="AK117" i="17"/>
  <c r="AK92" i="17"/>
  <c r="AK89" i="17"/>
  <c r="AK86" i="17"/>
  <c r="AK85" i="17"/>
  <c r="AK94" i="17"/>
  <c r="AK93" i="17"/>
  <c r="AK82" i="17"/>
  <c r="AK83" i="17"/>
  <c r="AK91" i="17"/>
  <c r="AK90" i="17"/>
  <c r="AK88" i="17"/>
  <c r="AK87" i="17"/>
  <c r="AK84" i="17"/>
  <c r="AK80" i="17"/>
  <c r="AK70" i="17"/>
  <c r="AK81" i="17"/>
  <c r="AK73" i="17"/>
  <c r="AK72" i="17"/>
  <c r="AK76" i="17"/>
  <c r="AK75" i="17"/>
  <c r="AK74" i="17"/>
  <c r="AK71" i="17"/>
  <c r="AK68" i="17"/>
  <c r="AK67" i="17"/>
  <c r="AK78" i="17"/>
  <c r="AK69" i="17"/>
  <c r="AK33" i="17"/>
  <c r="AK34" i="17"/>
  <c r="AK31" i="17"/>
  <c r="AK30" i="17"/>
  <c r="AK28" i="17"/>
  <c r="AK27" i="17"/>
  <c r="AK26" i="17"/>
  <c r="AK25" i="17"/>
  <c r="AK24" i="17"/>
  <c r="AK29" i="17"/>
  <c r="AK36" i="17"/>
  <c r="AK32" i="17"/>
  <c r="AK38" i="17"/>
  <c r="AK134" i="17"/>
  <c r="AK133" i="17"/>
  <c r="AK127" i="17"/>
  <c r="AK132" i="17"/>
  <c r="AK125" i="17"/>
  <c r="AK126" i="17"/>
  <c r="AM23" i="17"/>
  <c r="Q41" i="16"/>
  <c r="R41" i="16"/>
  <c r="T36" i="16"/>
  <c r="S36" i="16"/>
  <c r="N49" i="16"/>
  <c r="M49" i="16"/>
  <c r="Z29" i="16"/>
  <c r="Y29" i="16"/>
  <c r="Q39" i="16"/>
  <c r="R39" i="16"/>
  <c r="U35" i="16"/>
  <c r="V35" i="16"/>
  <c r="X34" i="16"/>
  <c r="W34" i="16"/>
  <c r="V33" i="16"/>
  <c r="U33" i="16"/>
  <c r="Z27" i="16"/>
  <c r="Y27" i="16"/>
  <c r="K52" i="16"/>
  <c r="R43" i="16"/>
  <c r="Q43" i="16"/>
  <c r="V37" i="16"/>
  <c r="U37" i="16"/>
  <c r="S38" i="16"/>
  <c r="T38" i="16"/>
  <c r="S40" i="16"/>
  <c r="T40" i="16"/>
  <c r="X30" i="16"/>
  <c r="W30" i="16"/>
  <c r="N47" i="16"/>
  <c r="M47" i="16"/>
  <c r="O44" i="16"/>
  <c r="P44" i="16"/>
  <c r="Y31" i="16"/>
  <c r="Z31" i="16"/>
  <c r="N45" i="16"/>
  <c r="M45" i="16"/>
  <c r="K50" i="16"/>
  <c r="P46" i="16"/>
  <c r="O46" i="16"/>
  <c r="O42" i="16"/>
  <c r="P42" i="16"/>
  <c r="K48" i="16"/>
  <c r="X32" i="16"/>
  <c r="W32" i="16"/>
  <c r="AF28" i="16"/>
  <c r="AH28" i="16" s="1"/>
  <c r="AJ28" i="16" s="1"/>
  <c r="AE28" i="16"/>
  <c r="AF21" i="16"/>
  <c r="AH21" i="16" s="1"/>
  <c r="AJ21" i="16" s="1"/>
  <c r="AE21" i="16"/>
  <c r="AF26" i="16"/>
  <c r="AH26" i="16" s="1"/>
  <c r="AJ26" i="16" s="1"/>
  <c r="AE26" i="16"/>
  <c r="AE25" i="16"/>
  <c r="AF25" i="16"/>
  <c r="AH25" i="16" s="1"/>
  <c r="AJ25" i="16" s="1"/>
  <c r="AE19" i="16"/>
  <c r="AF19" i="16"/>
  <c r="AH19" i="16" s="1"/>
  <c r="AJ19" i="16" s="1"/>
  <c r="AE22" i="16"/>
  <c r="AF22" i="16"/>
  <c r="AH22" i="16" s="1"/>
  <c r="AJ22" i="16" s="1"/>
  <c r="AF23" i="16"/>
  <c r="AH23" i="16" s="1"/>
  <c r="AJ23" i="16" s="1"/>
  <c r="AE23" i="16"/>
  <c r="AF20" i="16"/>
  <c r="AH20" i="16" s="1"/>
  <c r="AJ20" i="16" s="1"/>
  <c r="AE20" i="16"/>
  <c r="AF24" i="16"/>
  <c r="AH24" i="16" s="1"/>
  <c r="AJ24" i="16" s="1"/>
  <c r="AE24" i="16"/>
  <c r="AE18" i="16"/>
  <c r="AG17" i="16"/>
  <c r="AD87" i="9"/>
  <c r="AC86" i="1"/>
  <c r="AD86" i="1"/>
  <c r="R51" i="9"/>
  <c r="Q51" i="9"/>
  <c r="T51" i="7"/>
  <c r="S51" i="7"/>
  <c r="AA57" i="7"/>
  <c r="AA88" i="7"/>
  <c r="Z89" i="9"/>
  <c r="Y89" i="9"/>
  <c r="AC53" i="1"/>
  <c r="AC52" i="1"/>
  <c r="AC57" i="1"/>
  <c r="AC62" i="1"/>
  <c r="S62" i="1"/>
  <c r="T62" i="1"/>
  <c r="V90" i="1"/>
  <c r="U90" i="1"/>
  <c r="U52" i="1"/>
  <c r="V52" i="1"/>
  <c r="T57" i="1"/>
  <c r="S57" i="1"/>
  <c r="Z83" i="1"/>
  <c r="Y83" i="1"/>
  <c r="U53" i="7"/>
  <c r="V53" i="7"/>
  <c r="X53" i="7" s="1"/>
  <c r="Z53" i="7" s="1"/>
  <c r="AB53" i="7" s="1"/>
  <c r="AD53" i="7" s="1"/>
  <c r="AF53" i="7" s="1"/>
  <c r="AH53" i="7" s="1"/>
  <c r="AJ53" i="7" s="1"/>
  <c r="Z90" i="7"/>
  <c r="Y90" i="7"/>
  <c r="T124" i="9"/>
  <c r="S124" i="9"/>
  <c r="T138" i="9"/>
  <c r="S138" i="9"/>
  <c r="S108" i="9"/>
  <c r="T108" i="9"/>
  <c r="S71" i="9"/>
  <c r="T71" i="9"/>
  <c r="AA16" i="12"/>
  <c r="AA66" i="12" s="1"/>
  <c r="Z107" i="9"/>
  <c r="Y107" i="9"/>
  <c r="AE53" i="8"/>
  <c r="AE57" i="8"/>
  <c r="AE62" i="8"/>
  <c r="AE52" i="8"/>
  <c r="Z96" i="8"/>
  <c r="Y96" i="8"/>
  <c r="V57" i="7"/>
  <c r="X57" i="7" s="1"/>
  <c r="Z57" i="7" s="1"/>
  <c r="AB57" i="7" s="1"/>
  <c r="AD57" i="7" s="1"/>
  <c r="AF57" i="7" s="1"/>
  <c r="AH57" i="7" s="1"/>
  <c r="AJ57" i="7" s="1"/>
  <c r="U57" i="7"/>
  <c r="AA53" i="7"/>
  <c r="AA62" i="7"/>
  <c r="AA52" i="7"/>
  <c r="X53" i="9"/>
  <c r="Z53" i="9" s="1"/>
  <c r="AB53" i="9" s="1"/>
  <c r="AD53" i="9" s="1"/>
  <c r="AF53" i="9" s="1"/>
  <c r="AH53" i="9" s="1"/>
  <c r="AJ53" i="9" s="1"/>
  <c r="W53" i="9"/>
  <c r="X33" i="7"/>
  <c r="W33" i="7"/>
  <c r="T62" i="7"/>
  <c r="S62" i="7"/>
  <c r="X52" i="9"/>
  <c r="W52" i="9"/>
  <c r="X52" i="7"/>
  <c r="W52" i="7"/>
  <c r="T41" i="8"/>
  <c r="S41" i="8"/>
  <c r="U48" i="7"/>
  <c r="S35" i="7"/>
  <c r="T35" i="7"/>
  <c r="U69" i="1"/>
  <c r="V69" i="1"/>
  <c r="AC88" i="1"/>
  <c r="AC82" i="1"/>
  <c r="AC81" i="1"/>
  <c r="AC80" i="1"/>
  <c r="AC79" i="1"/>
  <c r="AC78" i="1"/>
  <c r="AC77" i="1"/>
  <c r="AC76" i="1"/>
  <c r="AC75" i="1"/>
  <c r="AC74" i="1"/>
  <c r="AC73" i="1"/>
  <c r="AC72" i="1"/>
  <c r="AC66" i="1"/>
  <c r="AC65" i="1"/>
  <c r="AC63" i="1"/>
  <c r="AC56" i="1"/>
  <c r="AC55" i="1"/>
  <c r="AC54" i="1"/>
  <c r="AC51" i="1"/>
  <c r="AC50" i="1"/>
  <c r="AC49" i="1"/>
  <c r="AC48" i="1"/>
  <c r="AC47" i="1"/>
  <c r="AC44" i="1"/>
  <c r="AC42" i="1"/>
  <c r="AC39" i="1"/>
  <c r="AC38" i="1"/>
  <c r="AC37" i="1"/>
  <c r="AC36" i="1"/>
  <c r="AC33" i="1"/>
  <c r="V34" i="1"/>
  <c r="U34" i="1"/>
  <c r="X41" i="1"/>
  <c r="W41" i="1"/>
  <c r="V35" i="1"/>
  <c r="U35" i="1"/>
  <c r="X68" i="1"/>
  <c r="W68" i="1"/>
  <c r="T36" i="1"/>
  <c r="S36" i="1"/>
  <c r="V47" i="9"/>
  <c r="X47" i="9" s="1"/>
  <c r="Z47" i="9" s="1"/>
  <c r="AB47" i="9" s="1"/>
  <c r="AD47" i="9" s="1"/>
  <c r="AF47" i="9" s="1"/>
  <c r="AH47" i="9" s="1"/>
  <c r="AJ47" i="9" s="1"/>
  <c r="U47" i="9"/>
  <c r="V67" i="1"/>
  <c r="U67" i="1"/>
  <c r="V40" i="1"/>
  <c r="U40" i="1"/>
  <c r="V64" i="1"/>
  <c r="U64" i="1"/>
  <c r="V65" i="1"/>
  <c r="U65" i="1"/>
  <c r="V66" i="1"/>
  <c r="U66" i="1"/>
  <c r="V63" i="1"/>
  <c r="U63" i="1"/>
  <c r="V48" i="1"/>
  <c r="X48" i="1" s="1"/>
  <c r="Z48" i="1" s="1"/>
  <c r="AB48" i="1" s="1"/>
  <c r="AD48" i="1" s="1"/>
  <c r="AF48" i="1" s="1"/>
  <c r="AH48" i="1" s="1"/>
  <c r="AJ48" i="1" s="1"/>
  <c r="U48" i="1"/>
  <c r="V51" i="1"/>
  <c r="U51" i="1"/>
  <c r="T56" i="1"/>
  <c r="S56" i="1"/>
  <c r="T44" i="1"/>
  <c r="S44" i="1"/>
  <c r="T54" i="1"/>
  <c r="S54" i="1"/>
  <c r="T49" i="1"/>
  <c r="S49" i="1"/>
  <c r="T42" i="1"/>
  <c r="S42" i="1"/>
  <c r="T37" i="1"/>
  <c r="S37" i="1"/>
  <c r="T55" i="1"/>
  <c r="S55" i="1"/>
  <c r="T39" i="1"/>
  <c r="S39" i="1"/>
  <c r="T50" i="1"/>
  <c r="S50" i="1"/>
  <c r="W70" i="9"/>
  <c r="X70" i="9"/>
  <c r="X69" i="8"/>
  <c r="W69" i="8"/>
  <c r="W70" i="8"/>
  <c r="X70" i="8"/>
  <c r="U69" i="7"/>
  <c r="V69" i="7"/>
  <c r="X70" i="7"/>
  <c r="W70" i="7"/>
  <c r="X32" i="9"/>
  <c r="W32" i="9"/>
  <c r="T38" i="1"/>
  <c r="S38" i="1"/>
  <c r="V34" i="9"/>
  <c r="U34" i="9"/>
  <c r="V40" i="9"/>
  <c r="U40" i="9"/>
  <c r="V64" i="9"/>
  <c r="U64" i="9"/>
  <c r="V69" i="9"/>
  <c r="U69" i="9"/>
  <c r="V65" i="9"/>
  <c r="U65" i="9"/>
  <c r="X33" i="9"/>
  <c r="W33" i="9"/>
  <c r="X66" i="9"/>
  <c r="W66" i="9"/>
  <c r="V35" i="9"/>
  <c r="U35" i="9"/>
  <c r="X68" i="9"/>
  <c r="W68" i="9"/>
  <c r="T38" i="9"/>
  <c r="S38" i="9"/>
  <c r="T36" i="9"/>
  <c r="S36" i="9"/>
  <c r="T55" i="9"/>
  <c r="S55" i="9"/>
  <c r="T42" i="9"/>
  <c r="S42" i="9"/>
  <c r="T44" i="9"/>
  <c r="S44" i="9"/>
  <c r="T56" i="9"/>
  <c r="S56" i="9"/>
  <c r="T39" i="9"/>
  <c r="S39" i="9"/>
  <c r="AE66" i="8"/>
  <c r="AE83" i="8"/>
  <c r="AE82" i="8"/>
  <c r="AE81" i="8"/>
  <c r="AE80" i="8"/>
  <c r="AE79" i="8"/>
  <c r="AE78" i="8"/>
  <c r="AE77" i="8"/>
  <c r="AE76" i="8"/>
  <c r="AE75" i="8"/>
  <c r="AE74" i="8"/>
  <c r="AE73" i="8"/>
  <c r="AE72" i="8"/>
  <c r="AE67" i="8"/>
  <c r="AE65" i="8"/>
  <c r="AE64" i="8"/>
  <c r="AE63" i="8"/>
  <c r="AE56" i="8"/>
  <c r="AE49" i="8"/>
  <c r="AE48" i="8"/>
  <c r="AE55" i="8"/>
  <c r="AE54" i="8"/>
  <c r="AE51" i="8"/>
  <c r="AE50" i="8"/>
  <c r="AE47" i="8"/>
  <c r="AE44" i="8"/>
  <c r="AE42" i="8"/>
  <c r="AE39" i="8"/>
  <c r="AE33" i="8"/>
  <c r="AG31" i="8"/>
  <c r="AE38" i="8"/>
  <c r="AE37" i="8"/>
  <c r="AE36" i="8"/>
  <c r="X33" i="8"/>
  <c r="W33" i="8"/>
  <c r="Z32" i="8"/>
  <c r="Y32" i="8"/>
  <c r="AA83" i="7"/>
  <c r="AA82" i="7"/>
  <c r="AA81" i="7"/>
  <c r="AA80" i="7"/>
  <c r="AA79" i="7"/>
  <c r="AA78" i="7"/>
  <c r="AA77" i="7"/>
  <c r="AA76" i="7"/>
  <c r="AA75" i="7"/>
  <c r="AA74" i="7"/>
  <c r="AA73" i="7"/>
  <c r="AA72" i="7"/>
  <c r="AA49" i="7"/>
  <c r="AA48" i="7"/>
  <c r="AA56" i="7"/>
  <c r="AA55" i="7"/>
  <c r="AA54" i="7"/>
  <c r="AA51" i="7"/>
  <c r="AA50" i="7"/>
  <c r="AA47" i="7"/>
  <c r="AA44" i="7"/>
  <c r="AA38" i="7"/>
  <c r="AA37" i="7"/>
  <c r="AA34" i="7"/>
  <c r="AA32" i="7"/>
  <c r="AC31" i="7"/>
  <c r="V37" i="7"/>
  <c r="U37" i="7"/>
  <c r="V56" i="7"/>
  <c r="X56" i="7" s="1"/>
  <c r="Z56" i="7" s="1"/>
  <c r="AB56" i="7" s="1"/>
  <c r="AD56" i="7" s="1"/>
  <c r="AF56" i="7" s="1"/>
  <c r="AH56" i="7" s="1"/>
  <c r="AJ56" i="7" s="1"/>
  <c r="U56" i="7"/>
  <c r="V55" i="7"/>
  <c r="X55" i="7" s="1"/>
  <c r="Z55" i="7" s="1"/>
  <c r="AB55" i="7" s="1"/>
  <c r="AD55" i="7" s="1"/>
  <c r="AF55" i="7" s="1"/>
  <c r="AH55" i="7" s="1"/>
  <c r="AJ55" i="7" s="1"/>
  <c r="U55" i="7"/>
  <c r="X64" i="7"/>
  <c r="W64" i="7"/>
  <c r="V41" i="7"/>
  <c r="U41" i="7"/>
  <c r="X68" i="7"/>
  <c r="W68" i="7"/>
  <c r="X63" i="7"/>
  <c r="W63" i="7"/>
  <c r="X40" i="7"/>
  <c r="W40" i="7"/>
  <c r="V49" i="7"/>
  <c r="U49" i="7"/>
  <c r="X67" i="7"/>
  <c r="W67" i="7"/>
  <c r="X65" i="7"/>
  <c r="W65" i="7"/>
  <c r="X66" i="7"/>
  <c r="W66" i="7"/>
  <c r="AC32" i="1"/>
  <c r="AE31" i="1"/>
  <c r="X67" i="9" l="1"/>
  <c r="W67" i="9"/>
  <c r="X45" i="27"/>
  <c r="Z45" i="27" s="1"/>
  <c r="AB45" i="27" s="1"/>
  <c r="AD45" i="27" s="1"/>
  <c r="AF45" i="27" s="1"/>
  <c r="AH45" i="27" s="1"/>
  <c r="W45" i="27"/>
  <c r="G45" i="27" s="1"/>
  <c r="W113" i="9"/>
  <c r="X113" i="9"/>
  <c r="U115" i="9"/>
  <c r="V115" i="9"/>
  <c r="X34" i="27"/>
  <c r="Z34" i="27" s="1"/>
  <c r="AB34" i="27" s="1"/>
  <c r="AD34" i="27" s="1"/>
  <c r="AF34" i="27" s="1"/>
  <c r="AH34" i="27" s="1"/>
  <c r="W34" i="27"/>
  <c r="G34" i="27" s="1"/>
  <c r="R41" i="26"/>
  <c r="Q41" i="26"/>
  <c r="V114" i="9"/>
  <c r="U114" i="9"/>
  <c r="O59" i="26"/>
  <c r="P59" i="26"/>
  <c r="S49" i="9"/>
  <c r="V104" i="9"/>
  <c r="U104" i="9"/>
  <c r="O25" i="24"/>
  <c r="N25" i="24"/>
  <c r="N23" i="24"/>
  <c r="O23" i="24"/>
  <c r="T41" i="24"/>
  <c r="S41" i="24"/>
  <c r="X85" i="1"/>
  <c r="W85" i="1"/>
  <c r="X43" i="1"/>
  <c r="W43" i="1"/>
  <c r="X70" i="24"/>
  <c r="W70" i="24"/>
  <c r="AE93" i="1"/>
  <c r="AE43" i="1"/>
  <c r="AE84" i="1"/>
  <c r="X86" i="9"/>
  <c r="W86" i="9"/>
  <c r="X85" i="8"/>
  <c r="W85" i="8"/>
  <c r="X85" i="7"/>
  <c r="W85" i="7"/>
  <c r="T43" i="7"/>
  <c r="S43" i="7"/>
  <c r="M100" i="9"/>
  <c r="V43" i="9"/>
  <c r="U43" i="9"/>
  <c r="AM120" i="17"/>
  <c r="AM131" i="17"/>
  <c r="AM130" i="17"/>
  <c r="AM35" i="17"/>
  <c r="AM3" i="17"/>
  <c r="AM61" i="17"/>
  <c r="AM55" i="17"/>
  <c r="AM66" i="17"/>
  <c r="AM65" i="17"/>
  <c r="AM64" i="17"/>
  <c r="AM53" i="17"/>
  <c r="AM62" i="17"/>
  <c r="AM60" i="17"/>
  <c r="AM59" i="17"/>
  <c r="AM58" i="17"/>
  <c r="AM63" i="17"/>
  <c r="AM57" i="17"/>
  <c r="AM54" i="17"/>
  <c r="AM56" i="17"/>
  <c r="AM43" i="17"/>
  <c r="AM41" i="17"/>
  <c r="AM47" i="17"/>
  <c r="AM40" i="17"/>
  <c r="AM39" i="17"/>
  <c r="AM48" i="17"/>
  <c r="AM49" i="17"/>
  <c r="AM42" i="17"/>
  <c r="AM52" i="17"/>
  <c r="AM51" i="17"/>
  <c r="AM50" i="17"/>
  <c r="AM46" i="17"/>
  <c r="AM45" i="17"/>
  <c r="AM44" i="17"/>
  <c r="AM37" i="17"/>
  <c r="AM128" i="17"/>
  <c r="AM129" i="17"/>
  <c r="AM77" i="17"/>
  <c r="AM79" i="17"/>
  <c r="AM124" i="17"/>
  <c r="AM123" i="17"/>
  <c r="AM122" i="17"/>
  <c r="AM119" i="17"/>
  <c r="Z95" i="21"/>
  <c r="Y95" i="21"/>
  <c r="AG184" i="16"/>
  <c r="AG180" i="16"/>
  <c r="AG176" i="16"/>
  <c r="AG172" i="16"/>
  <c r="AG168" i="16"/>
  <c r="AG164" i="16"/>
  <c r="AG160" i="16"/>
  <c r="AG156" i="16"/>
  <c r="AG185" i="16"/>
  <c r="AG186" i="16"/>
  <c r="AG154" i="16"/>
  <c r="AG150" i="16"/>
  <c r="AG152" i="16"/>
  <c r="AG148" i="16"/>
  <c r="AG183" i="16"/>
  <c r="AG182" i="16"/>
  <c r="AG181" i="16"/>
  <c r="AG175" i="16"/>
  <c r="AG174" i="16"/>
  <c r="AG173" i="16"/>
  <c r="AG167" i="16"/>
  <c r="AG166" i="16"/>
  <c r="AG165" i="16"/>
  <c r="AG159" i="16"/>
  <c r="AG158" i="16"/>
  <c r="AG157" i="16"/>
  <c r="AG179" i="16"/>
  <c r="AG178" i="16"/>
  <c r="AG177" i="16"/>
  <c r="AG171" i="16"/>
  <c r="AG170" i="16"/>
  <c r="AG169" i="16"/>
  <c r="AG163" i="16"/>
  <c r="AG162" i="16"/>
  <c r="AG161" i="16"/>
  <c r="AG155" i="16"/>
  <c r="AG153" i="16"/>
  <c r="AG151" i="16"/>
  <c r="AG149" i="16"/>
  <c r="T41" i="21"/>
  <c r="S41" i="21"/>
  <c r="AC101" i="9"/>
  <c r="AC100" i="9"/>
  <c r="V47" i="21"/>
  <c r="X47" i="21" s="1"/>
  <c r="Z47" i="21" s="1"/>
  <c r="AB47" i="21" s="1"/>
  <c r="AD47" i="21" s="1"/>
  <c r="AF47" i="21" s="1"/>
  <c r="AH47" i="21" s="1"/>
  <c r="AJ47" i="21" s="1"/>
  <c r="U47" i="21"/>
  <c r="G47" i="21" s="1"/>
  <c r="N101" i="9"/>
  <c r="M101" i="9"/>
  <c r="A16" i="23"/>
  <c r="D16" i="23"/>
  <c r="E16" i="23"/>
  <c r="C16" i="23"/>
  <c r="F16" i="23" s="1"/>
  <c r="V69" i="21"/>
  <c r="U69" i="21"/>
  <c r="X68" i="21"/>
  <c r="W68" i="21"/>
  <c r="X66" i="21"/>
  <c r="W66" i="21"/>
  <c r="W38" i="21"/>
  <c r="X38" i="21"/>
  <c r="V37" i="18"/>
  <c r="U37" i="18"/>
  <c r="U58" i="21"/>
  <c r="V58" i="21"/>
  <c r="X65" i="21"/>
  <c r="W65" i="21"/>
  <c r="X93" i="1"/>
  <c r="W93" i="1"/>
  <c r="Z96" i="21"/>
  <c r="Y96" i="21"/>
  <c r="X63" i="21"/>
  <c r="W63" i="21"/>
  <c r="P100" i="9"/>
  <c r="O100" i="9"/>
  <c r="N98" i="9"/>
  <c r="M98" i="9"/>
  <c r="N99" i="9"/>
  <c r="M99" i="9"/>
  <c r="T127" i="9"/>
  <c r="U127" i="9" s="1"/>
  <c r="AC87" i="9"/>
  <c r="U49" i="21"/>
  <c r="V49" i="21"/>
  <c r="X130" i="17"/>
  <c r="W130" i="17"/>
  <c r="U131" i="17"/>
  <c r="V131" i="17"/>
  <c r="Y35" i="17"/>
  <c r="Z35" i="17"/>
  <c r="X3" i="17"/>
  <c r="W3" i="17"/>
  <c r="G56" i="17"/>
  <c r="E55" i="17"/>
  <c r="E63" i="17"/>
  <c r="G62" i="17"/>
  <c r="Q60" i="17"/>
  <c r="R60" i="17"/>
  <c r="O57" i="17"/>
  <c r="L56" i="17"/>
  <c r="O61" i="17"/>
  <c r="L62" i="17"/>
  <c r="T59" i="17"/>
  <c r="S59" i="17"/>
  <c r="Q58" i="17"/>
  <c r="R58" i="17"/>
  <c r="AC94" i="9"/>
  <c r="AC61" i="9"/>
  <c r="AC62" i="9"/>
  <c r="AC63" i="9"/>
  <c r="AC60" i="9"/>
  <c r="AC59" i="9"/>
  <c r="AC58" i="9"/>
  <c r="AC93" i="9"/>
  <c r="AC45" i="9"/>
  <c r="AC46" i="9"/>
  <c r="AC88" i="9"/>
  <c r="O127" i="9"/>
  <c r="K23" i="9"/>
  <c r="X94" i="9"/>
  <c r="W94" i="9"/>
  <c r="AG93" i="8"/>
  <c r="AG60" i="8"/>
  <c r="AG61" i="8"/>
  <c r="AG92" i="8"/>
  <c r="AG59" i="8"/>
  <c r="AG58" i="8"/>
  <c r="AG45" i="8"/>
  <c r="AG46" i="8"/>
  <c r="AG87" i="8"/>
  <c r="X93" i="8"/>
  <c r="W93" i="8"/>
  <c r="AC93" i="7"/>
  <c r="AC60" i="7"/>
  <c r="AC61" i="7"/>
  <c r="AC92" i="7"/>
  <c r="AC59" i="7"/>
  <c r="AC58" i="7"/>
  <c r="AC46" i="7"/>
  <c r="AC87" i="7"/>
  <c r="X93" i="7"/>
  <c r="W93" i="7"/>
  <c r="Q127" i="9"/>
  <c r="K26" i="7"/>
  <c r="N23" i="9"/>
  <c r="P23" i="9" s="1"/>
  <c r="AB33" i="1"/>
  <c r="AD33" i="1" s="1"/>
  <c r="AF33" i="1" s="1"/>
  <c r="AH33" i="1" s="1"/>
  <c r="AJ33" i="1" s="1"/>
  <c r="AA33" i="1"/>
  <c r="N25" i="7"/>
  <c r="P25" i="7" s="1"/>
  <c r="K25" i="7"/>
  <c r="T42" i="7"/>
  <c r="S42" i="7"/>
  <c r="T54" i="7"/>
  <c r="S54" i="7"/>
  <c r="Q50" i="7"/>
  <c r="R50" i="7"/>
  <c r="S39" i="7"/>
  <c r="T39" i="7"/>
  <c r="X70" i="1"/>
  <c r="W70" i="1"/>
  <c r="X92" i="1"/>
  <c r="W92" i="1"/>
  <c r="Z61" i="1"/>
  <c r="AB61" i="1" s="1"/>
  <c r="AD61" i="1" s="1"/>
  <c r="AF61" i="1" s="1"/>
  <c r="AH61" i="1" s="1"/>
  <c r="AJ61" i="1" s="1"/>
  <c r="Y61" i="1"/>
  <c r="AE61" i="1"/>
  <c r="AE60" i="1"/>
  <c r="AE92" i="1"/>
  <c r="X60" i="1"/>
  <c r="W60" i="1"/>
  <c r="X61" i="9"/>
  <c r="W61" i="9"/>
  <c r="X63" i="9"/>
  <c r="W63" i="9"/>
  <c r="T60" i="9"/>
  <c r="S60" i="9"/>
  <c r="T62" i="9"/>
  <c r="S62" i="9"/>
  <c r="X61" i="7"/>
  <c r="W61" i="7"/>
  <c r="T60" i="7"/>
  <c r="S60" i="7"/>
  <c r="R92" i="7"/>
  <c r="Q92" i="7"/>
  <c r="O46" i="17"/>
  <c r="L47" i="17"/>
  <c r="G47" i="17"/>
  <c r="E48" i="17"/>
  <c r="L43" i="17"/>
  <c r="O44" i="17"/>
  <c r="G43" i="17"/>
  <c r="E42" i="17"/>
  <c r="R45" i="17"/>
  <c r="Q45" i="17"/>
  <c r="T93" i="9"/>
  <c r="S93" i="9"/>
  <c r="R50" i="9"/>
  <c r="Q50" i="9"/>
  <c r="T38" i="7"/>
  <c r="V38" i="7" s="1"/>
  <c r="X38" i="7" s="1"/>
  <c r="S125" i="9"/>
  <c r="P120" i="9"/>
  <c r="R120" i="9" s="1"/>
  <c r="X55" i="18"/>
  <c r="W55" i="18"/>
  <c r="AE59" i="1"/>
  <c r="AE58" i="1"/>
  <c r="AE87" i="1"/>
  <c r="AE97" i="1"/>
  <c r="AE96" i="1"/>
  <c r="AE98" i="1"/>
  <c r="S140" i="9"/>
  <c r="X58" i="1"/>
  <c r="W58" i="1"/>
  <c r="X58" i="18"/>
  <c r="W58" i="18"/>
  <c r="X59" i="1"/>
  <c r="W59" i="1"/>
  <c r="S123" i="9"/>
  <c r="X60" i="18"/>
  <c r="W60" i="18"/>
  <c r="X45" i="18"/>
  <c r="Z45" i="18" s="1"/>
  <c r="AB45" i="18" s="1"/>
  <c r="AD45" i="18" s="1"/>
  <c r="AF45" i="18" s="1"/>
  <c r="AH45" i="18" s="1"/>
  <c r="W45" i="18"/>
  <c r="G45" i="18" s="1"/>
  <c r="Q123" i="9"/>
  <c r="X34" i="18"/>
  <c r="Z34" i="18" s="1"/>
  <c r="AB34" i="18" s="1"/>
  <c r="AD34" i="18" s="1"/>
  <c r="AF34" i="18" s="1"/>
  <c r="AH34" i="18" s="1"/>
  <c r="W34" i="18"/>
  <c r="G34" i="18" s="1"/>
  <c r="X57" i="18"/>
  <c r="W57" i="18"/>
  <c r="T137" i="9"/>
  <c r="U137" i="9" s="1"/>
  <c r="T136" i="9"/>
  <c r="U136" i="9" s="1"/>
  <c r="S134" i="9"/>
  <c r="O133" i="9"/>
  <c r="Q134" i="9"/>
  <c r="T122" i="9"/>
  <c r="U122" i="9" s="1"/>
  <c r="Q136" i="9"/>
  <c r="P129" i="9"/>
  <c r="R129" i="9" s="1"/>
  <c r="T129" i="9" s="1"/>
  <c r="T58" i="9"/>
  <c r="S58" i="9"/>
  <c r="V59" i="9"/>
  <c r="U59" i="9"/>
  <c r="T59" i="8"/>
  <c r="S59" i="8"/>
  <c r="V59" i="7"/>
  <c r="U59" i="7"/>
  <c r="T58" i="7"/>
  <c r="S58" i="7"/>
  <c r="P131" i="9"/>
  <c r="X61" i="18"/>
  <c r="W61" i="18"/>
  <c r="S118" i="9"/>
  <c r="Q119" i="9"/>
  <c r="U57" i="9"/>
  <c r="T130" i="9"/>
  <c r="U130" i="9" s="1"/>
  <c r="Q118" i="9"/>
  <c r="O119" i="9"/>
  <c r="O126" i="9"/>
  <c r="P126" i="9"/>
  <c r="O128" i="9"/>
  <c r="R128" i="9"/>
  <c r="T128" i="9" s="1"/>
  <c r="V128" i="9" s="1"/>
  <c r="R161" i="16"/>
  <c r="T161" i="16" s="1"/>
  <c r="V161" i="16" s="1"/>
  <c r="X161" i="16" s="1"/>
  <c r="Z161" i="16" s="1"/>
  <c r="AB161" i="16" s="1"/>
  <c r="AD161" i="16" s="1"/>
  <c r="AF161" i="16" s="1"/>
  <c r="AH161" i="16" s="1"/>
  <c r="AJ161" i="16" s="1"/>
  <c r="Q161" i="16"/>
  <c r="H165" i="16"/>
  <c r="K164" i="16"/>
  <c r="N163" i="16"/>
  <c r="M163" i="16"/>
  <c r="O162" i="16"/>
  <c r="P162" i="16"/>
  <c r="AG144" i="16"/>
  <c r="AG140" i="16"/>
  <c r="AG136" i="16"/>
  <c r="AG146" i="16"/>
  <c r="AG142" i="16"/>
  <c r="AG138" i="16"/>
  <c r="AG147" i="16"/>
  <c r="AG143" i="16"/>
  <c r="AG139" i="16"/>
  <c r="AG145" i="16"/>
  <c r="AG137" i="16"/>
  <c r="AG141" i="16"/>
  <c r="AG135" i="16"/>
  <c r="AG187" i="16"/>
  <c r="T36" i="7"/>
  <c r="V36" i="7" s="1"/>
  <c r="X36" i="7" s="1"/>
  <c r="T45" i="9"/>
  <c r="S45" i="9"/>
  <c r="X129" i="17"/>
  <c r="W129" i="17"/>
  <c r="V128" i="17"/>
  <c r="U128" i="17"/>
  <c r="AC45" i="7"/>
  <c r="AC86" i="7"/>
  <c r="AE45" i="1"/>
  <c r="AE46" i="1"/>
  <c r="T45" i="7"/>
  <c r="S45" i="7"/>
  <c r="S128" i="9"/>
  <c r="AC91" i="9"/>
  <c r="AC57" i="9"/>
  <c r="AC66" i="9"/>
  <c r="AC82" i="9"/>
  <c r="AC78" i="9"/>
  <c r="AC74" i="9"/>
  <c r="AC56" i="9"/>
  <c r="AC50" i="9"/>
  <c r="AC39" i="9"/>
  <c r="AC49" i="9"/>
  <c r="AC81" i="9"/>
  <c r="AC77" i="9"/>
  <c r="AC73" i="9"/>
  <c r="AC55" i="9"/>
  <c r="AC44" i="9"/>
  <c r="AC38" i="9"/>
  <c r="AC48" i="9"/>
  <c r="AC53" i="9"/>
  <c r="AC79" i="9"/>
  <c r="AC75" i="9"/>
  <c r="AC41" i="9"/>
  <c r="AC36" i="9"/>
  <c r="AC52" i="9"/>
  <c r="AC47" i="9"/>
  <c r="AC84" i="9"/>
  <c r="AC80" i="9"/>
  <c r="AC76" i="9"/>
  <c r="AC65" i="9"/>
  <c r="AC54" i="9"/>
  <c r="AC42" i="9"/>
  <c r="AC37" i="9"/>
  <c r="AC33" i="9"/>
  <c r="AC83" i="9"/>
  <c r="AC51" i="9"/>
  <c r="AE31" i="9"/>
  <c r="R132" i="9"/>
  <c r="Q132" i="9"/>
  <c r="S54" i="9"/>
  <c r="T37" i="9"/>
  <c r="V37" i="9" s="1"/>
  <c r="AG88" i="8"/>
  <c r="AG86" i="8"/>
  <c r="T139" i="9"/>
  <c r="S139" i="9"/>
  <c r="V135" i="9"/>
  <c r="U135" i="9"/>
  <c r="T119" i="9"/>
  <c r="S119" i="9"/>
  <c r="E36" i="17"/>
  <c r="E37" i="17" s="1"/>
  <c r="E38" i="17" s="1"/>
  <c r="G34" i="17"/>
  <c r="S119" i="17"/>
  <c r="T119" i="17"/>
  <c r="Q88" i="17"/>
  <c r="R88" i="17"/>
  <c r="L70" i="17"/>
  <c r="O71" i="17"/>
  <c r="R115" i="17"/>
  <c r="Q115" i="17"/>
  <c r="G86" i="17"/>
  <c r="E85" i="17"/>
  <c r="O75" i="17"/>
  <c r="L76" i="17"/>
  <c r="O123" i="17"/>
  <c r="L124" i="17"/>
  <c r="O124" i="17" s="1"/>
  <c r="R132" i="17"/>
  <c r="Q132" i="17"/>
  <c r="V110" i="17"/>
  <c r="U110" i="17"/>
  <c r="Q72" i="17"/>
  <c r="R72" i="17"/>
  <c r="Q133" i="9"/>
  <c r="R133" i="9"/>
  <c r="S133" i="17"/>
  <c r="T133" i="17"/>
  <c r="R121" i="9"/>
  <c r="Q121" i="9"/>
  <c r="Q112" i="17"/>
  <c r="R112" i="17"/>
  <c r="R134" i="17"/>
  <c r="Q134" i="17"/>
  <c r="E123" i="17"/>
  <c r="G122" i="17"/>
  <c r="T73" i="17"/>
  <c r="S73" i="17"/>
  <c r="E69" i="17"/>
  <c r="G70" i="17"/>
  <c r="T108" i="17"/>
  <c r="S108" i="17"/>
  <c r="T111" i="17"/>
  <c r="S111" i="17"/>
  <c r="Q74" i="17"/>
  <c r="R74" i="17"/>
  <c r="Q122" i="17"/>
  <c r="R122" i="17"/>
  <c r="O27" i="17"/>
  <c r="L26" i="17"/>
  <c r="T109" i="17"/>
  <c r="S109" i="17"/>
  <c r="U30" i="17"/>
  <c r="V30" i="17"/>
  <c r="L34" i="17"/>
  <c r="O33" i="17"/>
  <c r="X126" i="17"/>
  <c r="W126" i="17"/>
  <c r="G26" i="17"/>
  <c r="E25" i="17"/>
  <c r="E77" i="17"/>
  <c r="E78" i="17"/>
  <c r="G76" i="17"/>
  <c r="G77" i="17" s="1"/>
  <c r="T31" i="17"/>
  <c r="S31" i="17"/>
  <c r="Q125" i="17"/>
  <c r="R125" i="17"/>
  <c r="L86" i="17"/>
  <c r="O87" i="17"/>
  <c r="Q32" i="17"/>
  <c r="R32" i="17"/>
  <c r="L117" i="17"/>
  <c r="O116" i="17"/>
  <c r="G90" i="17"/>
  <c r="E91" i="17"/>
  <c r="L114" i="17"/>
  <c r="O114" i="17" s="1"/>
  <c r="O113" i="17"/>
  <c r="R28" i="17"/>
  <c r="Q28" i="17"/>
  <c r="T121" i="17"/>
  <c r="S121" i="17"/>
  <c r="O89" i="17"/>
  <c r="L90" i="17"/>
  <c r="T29" i="17"/>
  <c r="S29" i="17"/>
  <c r="E115" i="17"/>
  <c r="G114" i="17"/>
  <c r="X127" i="17"/>
  <c r="W127" i="17"/>
  <c r="O120" i="17"/>
  <c r="E120" i="17"/>
  <c r="AM121" i="17"/>
  <c r="AM115" i="17"/>
  <c r="AM110" i="17"/>
  <c r="AM117" i="17"/>
  <c r="AM98" i="17"/>
  <c r="AM118" i="17"/>
  <c r="AM108" i="17"/>
  <c r="AM106" i="17"/>
  <c r="AM102" i="17"/>
  <c r="AM114" i="17"/>
  <c r="AM112" i="17"/>
  <c r="AM107" i="17"/>
  <c r="AM103" i="17"/>
  <c r="AM101" i="17"/>
  <c r="AM100" i="17"/>
  <c r="AM116" i="17"/>
  <c r="AM104" i="17"/>
  <c r="AM99" i="17"/>
  <c r="AM96" i="17"/>
  <c r="AM95" i="17"/>
  <c r="AM105" i="17"/>
  <c r="AM97" i="17"/>
  <c r="AM111" i="17"/>
  <c r="AM113" i="17"/>
  <c r="AM109" i="17"/>
  <c r="AM94" i="17"/>
  <c r="AM93" i="17"/>
  <c r="AM82" i="17"/>
  <c r="AM83" i="17"/>
  <c r="AM91" i="17"/>
  <c r="AM90" i="17"/>
  <c r="AM88" i="17"/>
  <c r="AM87" i="17"/>
  <c r="AM84" i="17"/>
  <c r="AM92" i="17"/>
  <c r="AM89" i="17"/>
  <c r="AM86" i="17"/>
  <c r="AM85" i="17"/>
  <c r="AM81" i="17"/>
  <c r="AM73" i="17"/>
  <c r="AM72" i="17"/>
  <c r="AM76" i="17"/>
  <c r="AM75" i="17"/>
  <c r="AM74" i="17"/>
  <c r="AM71" i="17"/>
  <c r="AM68" i="17"/>
  <c r="AM67" i="17"/>
  <c r="AM78" i="17"/>
  <c r="AM69" i="17"/>
  <c r="AM80" i="17"/>
  <c r="AM70" i="17"/>
  <c r="AM34" i="17"/>
  <c r="AM31" i="17"/>
  <c r="AM30" i="17"/>
  <c r="AM28" i="17"/>
  <c r="AM27" i="17"/>
  <c r="AM26" i="17"/>
  <c r="AM25" i="17"/>
  <c r="AM24" i="17"/>
  <c r="AM29" i="17"/>
  <c r="AM36" i="17"/>
  <c r="AM32" i="17"/>
  <c r="AM38" i="17"/>
  <c r="AM33" i="17"/>
  <c r="AM134" i="17"/>
  <c r="AM125" i="17"/>
  <c r="AM132" i="17"/>
  <c r="AM133" i="17"/>
  <c r="AM127" i="17"/>
  <c r="AO23" i="17"/>
  <c r="AM126" i="17"/>
  <c r="Z32" i="16"/>
  <c r="Y32" i="16"/>
  <c r="M50" i="16"/>
  <c r="N50" i="16"/>
  <c r="P47" i="16"/>
  <c r="O47" i="16"/>
  <c r="X37" i="16"/>
  <c r="W37" i="16"/>
  <c r="N52" i="16"/>
  <c r="M52" i="16"/>
  <c r="X35" i="16"/>
  <c r="W35" i="16"/>
  <c r="N48" i="16"/>
  <c r="M48" i="16"/>
  <c r="R44" i="16"/>
  <c r="Q44" i="16"/>
  <c r="U38" i="16"/>
  <c r="V38" i="16"/>
  <c r="K55" i="16"/>
  <c r="X33" i="16"/>
  <c r="W33" i="16"/>
  <c r="AA29" i="16"/>
  <c r="AB29" i="16"/>
  <c r="V36" i="16"/>
  <c r="U36" i="16"/>
  <c r="K51" i="16"/>
  <c r="R46" i="16"/>
  <c r="Q46" i="16"/>
  <c r="P45" i="16"/>
  <c r="O45" i="16"/>
  <c r="Y30" i="16"/>
  <c r="Z30" i="16"/>
  <c r="T39" i="16"/>
  <c r="S39" i="16"/>
  <c r="T41" i="16"/>
  <c r="S41" i="16"/>
  <c r="R42" i="16"/>
  <c r="Q42" i="16"/>
  <c r="K53" i="16"/>
  <c r="AB31" i="16"/>
  <c r="AA31" i="16"/>
  <c r="V40" i="16"/>
  <c r="U40" i="16"/>
  <c r="T43" i="16"/>
  <c r="S43" i="16"/>
  <c r="AB27" i="16"/>
  <c r="AA27" i="16"/>
  <c r="Z34" i="16"/>
  <c r="Y34" i="16"/>
  <c r="P49" i="16"/>
  <c r="O49" i="16"/>
  <c r="AG131" i="16"/>
  <c r="AG129" i="16"/>
  <c r="AG128" i="16"/>
  <c r="AG119" i="16"/>
  <c r="AG118" i="16"/>
  <c r="AG117" i="16"/>
  <c r="AG116" i="16"/>
  <c r="AG111" i="16"/>
  <c r="AG107" i="16"/>
  <c r="AG105" i="16"/>
  <c r="AG103" i="16"/>
  <c r="AG100" i="16"/>
  <c r="AG94" i="16"/>
  <c r="AG91" i="16"/>
  <c r="AG89" i="16"/>
  <c r="AG88" i="16"/>
  <c r="AG73" i="16"/>
  <c r="AG132" i="16"/>
  <c r="AG130" i="16"/>
  <c r="AG125" i="16"/>
  <c r="AG124" i="16"/>
  <c r="AG109" i="16"/>
  <c r="AG98" i="16"/>
  <c r="AG96" i="16"/>
  <c r="AG93" i="16"/>
  <c r="AG77" i="16"/>
  <c r="AG75" i="16"/>
  <c r="AG72" i="16"/>
  <c r="AG70" i="16"/>
  <c r="AG66" i="16"/>
  <c r="AG122" i="16"/>
  <c r="AG120" i="16"/>
  <c r="AG115" i="16"/>
  <c r="AG110" i="16"/>
  <c r="AG85" i="16"/>
  <c r="AG84" i="16"/>
  <c r="AG74" i="16"/>
  <c r="AG67" i="16"/>
  <c r="AG61" i="16"/>
  <c r="AG58" i="16"/>
  <c r="AG51" i="16"/>
  <c r="AG48" i="16"/>
  <c r="AG43" i="16"/>
  <c r="AG40" i="16"/>
  <c r="AG36" i="16"/>
  <c r="AG30" i="16"/>
  <c r="AG26" i="16"/>
  <c r="AG22" i="16"/>
  <c r="AG127" i="16"/>
  <c r="AG123" i="16"/>
  <c r="AG121" i="16"/>
  <c r="AG113" i="16"/>
  <c r="AG104" i="16"/>
  <c r="AG99" i="16"/>
  <c r="AG92" i="16"/>
  <c r="AG90" i="16"/>
  <c r="AG81" i="16"/>
  <c r="AG80" i="16"/>
  <c r="AG59" i="16"/>
  <c r="AG56" i="16"/>
  <c r="AG53" i="16"/>
  <c r="AG50" i="16"/>
  <c r="AG45" i="16"/>
  <c r="AG42" i="16"/>
  <c r="AG38" i="16"/>
  <c r="AG34" i="16"/>
  <c r="AG28" i="16"/>
  <c r="AG24" i="16"/>
  <c r="AG20" i="16"/>
  <c r="AG126" i="16"/>
  <c r="AG112" i="16"/>
  <c r="AG87" i="16"/>
  <c r="AG86" i="16"/>
  <c r="AG79" i="16"/>
  <c r="AG78" i="16"/>
  <c r="AG71" i="16"/>
  <c r="AG69" i="16"/>
  <c r="AG68" i="16"/>
  <c r="AG65" i="16"/>
  <c r="AG62" i="16"/>
  <c r="AG55" i="16"/>
  <c r="AG52" i="16"/>
  <c r="AG49" i="16"/>
  <c r="AG46" i="16"/>
  <c r="AG44" i="16"/>
  <c r="AG41" i="16"/>
  <c r="AG37" i="16"/>
  <c r="AG106" i="16"/>
  <c r="AG102" i="16"/>
  <c r="AG95" i="16"/>
  <c r="AG60" i="16"/>
  <c r="AG54" i="16"/>
  <c r="AG27" i="16"/>
  <c r="AG19" i="16"/>
  <c r="AG101" i="16"/>
  <c r="AG63" i="16"/>
  <c r="AG25" i="16"/>
  <c r="AG82" i="16"/>
  <c r="AG76" i="16"/>
  <c r="AG33" i="16"/>
  <c r="AG29" i="16"/>
  <c r="AG21" i="16"/>
  <c r="AG114" i="16"/>
  <c r="AG108" i="16"/>
  <c r="AG97" i="16"/>
  <c r="AG83" i="16"/>
  <c r="AG35" i="16"/>
  <c r="AG32" i="16"/>
  <c r="AG31" i="16"/>
  <c r="AG23" i="16"/>
  <c r="AG64" i="16"/>
  <c r="AG57" i="16"/>
  <c r="AG47" i="16"/>
  <c r="AG39" i="16"/>
  <c r="AI17" i="16"/>
  <c r="AG18" i="16"/>
  <c r="AF87" i="9"/>
  <c r="AF86" i="1"/>
  <c r="AE86" i="1"/>
  <c r="U51" i="7"/>
  <c r="V51" i="7"/>
  <c r="S51" i="9"/>
  <c r="T51" i="9"/>
  <c r="AC57" i="7"/>
  <c r="AC88" i="7"/>
  <c r="AB89" i="9"/>
  <c r="AA89" i="9"/>
  <c r="AE57" i="1"/>
  <c r="AE62" i="1"/>
  <c r="AE53" i="1"/>
  <c r="AE52" i="1"/>
  <c r="U57" i="1"/>
  <c r="V57" i="1"/>
  <c r="X57" i="1" s="1"/>
  <c r="Z57" i="1" s="1"/>
  <c r="AB57" i="1" s="1"/>
  <c r="AD57" i="1" s="1"/>
  <c r="AF57" i="1" s="1"/>
  <c r="AH57" i="1" s="1"/>
  <c r="AJ57" i="1" s="1"/>
  <c r="W90" i="1"/>
  <c r="X90" i="1"/>
  <c r="W52" i="1"/>
  <c r="X52" i="1"/>
  <c r="U62" i="1"/>
  <c r="V62" i="1"/>
  <c r="AB83" i="1"/>
  <c r="AA83" i="1"/>
  <c r="AB90" i="7"/>
  <c r="AA90" i="7"/>
  <c r="V123" i="9"/>
  <c r="U123" i="9"/>
  <c r="V118" i="9"/>
  <c r="U118" i="9"/>
  <c r="U134" i="9"/>
  <c r="V134" i="9"/>
  <c r="U140" i="9"/>
  <c r="V140" i="9"/>
  <c r="U125" i="9"/>
  <c r="V125" i="9"/>
  <c r="U138" i="9"/>
  <c r="V138" i="9"/>
  <c r="U124" i="9"/>
  <c r="V124" i="9"/>
  <c r="U71" i="9"/>
  <c r="V71" i="9"/>
  <c r="V108" i="9"/>
  <c r="U108" i="9"/>
  <c r="AC16" i="12"/>
  <c r="AC66" i="12" s="1"/>
  <c r="AB107" i="9"/>
  <c r="AA107" i="9"/>
  <c r="AG57" i="8"/>
  <c r="AG62" i="8"/>
  <c r="AG52" i="8"/>
  <c r="AG53" i="8"/>
  <c r="AB96" i="8"/>
  <c r="AA96" i="8"/>
  <c r="AC53" i="7"/>
  <c r="AC62" i="7"/>
  <c r="AC52" i="7"/>
  <c r="Z33" i="7"/>
  <c r="Y33" i="7"/>
  <c r="V62" i="7"/>
  <c r="U62" i="7"/>
  <c r="Z52" i="9"/>
  <c r="AB52" i="9" s="1"/>
  <c r="AD52" i="9" s="1"/>
  <c r="AF52" i="9" s="1"/>
  <c r="AH52" i="9" s="1"/>
  <c r="AJ52" i="9" s="1"/>
  <c r="Y52" i="9"/>
  <c r="Z52" i="7"/>
  <c r="AB52" i="7" s="1"/>
  <c r="AD52" i="7" s="1"/>
  <c r="AF52" i="7" s="1"/>
  <c r="AH52" i="7" s="1"/>
  <c r="AJ52" i="7" s="1"/>
  <c r="Y52" i="7"/>
  <c r="V41" i="8"/>
  <c r="U41" i="8"/>
  <c r="AG70" i="8"/>
  <c r="AG69" i="8"/>
  <c r="U35" i="7"/>
  <c r="V35" i="7"/>
  <c r="V50" i="1"/>
  <c r="U50" i="1"/>
  <c r="V39" i="1"/>
  <c r="U39" i="1"/>
  <c r="V55" i="1"/>
  <c r="X55" i="1" s="1"/>
  <c r="Z55" i="1" s="1"/>
  <c r="AB55" i="1" s="1"/>
  <c r="AD55" i="1" s="1"/>
  <c r="AF55" i="1" s="1"/>
  <c r="AH55" i="1" s="1"/>
  <c r="AJ55" i="1" s="1"/>
  <c r="U55" i="1"/>
  <c r="V37" i="1"/>
  <c r="U37" i="1"/>
  <c r="V42" i="1"/>
  <c r="U42" i="1"/>
  <c r="V49" i="1"/>
  <c r="U49" i="1"/>
  <c r="V54" i="1"/>
  <c r="U54" i="1"/>
  <c r="V44" i="1"/>
  <c r="X44" i="1" s="1"/>
  <c r="Z44" i="1" s="1"/>
  <c r="AB44" i="1" s="1"/>
  <c r="AD44" i="1" s="1"/>
  <c r="AF44" i="1" s="1"/>
  <c r="AH44" i="1" s="1"/>
  <c r="AJ44" i="1" s="1"/>
  <c r="U44" i="1"/>
  <c r="V56" i="1"/>
  <c r="X56" i="1" s="1"/>
  <c r="Z56" i="1" s="1"/>
  <c r="AB56" i="1" s="1"/>
  <c r="AD56" i="1" s="1"/>
  <c r="AF56" i="1" s="1"/>
  <c r="AH56" i="1" s="1"/>
  <c r="AJ56" i="1" s="1"/>
  <c r="U56" i="1"/>
  <c r="X51" i="1"/>
  <c r="W51" i="1"/>
  <c r="X63" i="1"/>
  <c r="W63" i="1"/>
  <c r="X66" i="1"/>
  <c r="W66" i="1"/>
  <c r="X65" i="1"/>
  <c r="W65" i="1"/>
  <c r="X64" i="1"/>
  <c r="W64" i="1"/>
  <c r="X40" i="1"/>
  <c r="W40" i="1"/>
  <c r="X67" i="1"/>
  <c r="W67" i="1"/>
  <c r="V36" i="1"/>
  <c r="U36" i="1"/>
  <c r="Z68" i="1"/>
  <c r="Y68" i="1"/>
  <c r="X35" i="1"/>
  <c r="W35" i="1"/>
  <c r="Z41" i="1"/>
  <c r="Y41" i="1"/>
  <c r="X34" i="1"/>
  <c r="W34" i="1"/>
  <c r="W69" i="1"/>
  <c r="X69" i="1"/>
  <c r="AE88" i="1"/>
  <c r="AE82" i="1"/>
  <c r="AE81" i="1"/>
  <c r="AE80" i="1"/>
  <c r="AE79" i="1"/>
  <c r="AE78" i="1"/>
  <c r="AE77" i="1"/>
  <c r="AE76" i="1"/>
  <c r="AE75" i="1"/>
  <c r="AE74" i="1"/>
  <c r="AE73" i="1"/>
  <c r="AE72" i="1"/>
  <c r="AE67" i="1"/>
  <c r="AE66" i="1"/>
  <c r="AE65" i="1"/>
  <c r="AE63" i="1"/>
  <c r="AE56" i="1"/>
  <c r="AE55" i="1"/>
  <c r="AE54" i="1"/>
  <c r="AE51" i="1"/>
  <c r="AE50" i="1"/>
  <c r="AE49" i="1"/>
  <c r="AE48" i="1"/>
  <c r="AE47" i="1"/>
  <c r="AE44" i="1"/>
  <c r="AE42" i="1"/>
  <c r="AE39" i="1"/>
  <c r="AE38" i="1"/>
  <c r="AE37" i="1"/>
  <c r="AE36" i="1"/>
  <c r="AE33" i="1"/>
  <c r="Y70" i="9"/>
  <c r="Z70" i="9"/>
  <c r="Y70" i="8"/>
  <c r="Z70" i="8"/>
  <c r="Z69" i="8"/>
  <c r="Y69" i="8"/>
  <c r="W69" i="7"/>
  <c r="X69" i="7"/>
  <c r="Z70" i="7"/>
  <c r="Y70" i="7"/>
  <c r="Z32" i="9"/>
  <c r="Y32" i="9"/>
  <c r="V38" i="1"/>
  <c r="U38" i="1"/>
  <c r="V39" i="9"/>
  <c r="U39" i="9"/>
  <c r="V54" i="9"/>
  <c r="U54" i="9"/>
  <c r="V56" i="9"/>
  <c r="X56" i="9" s="1"/>
  <c r="Z56" i="9" s="1"/>
  <c r="AB56" i="9" s="1"/>
  <c r="AD56" i="9" s="1"/>
  <c r="AF56" i="9" s="1"/>
  <c r="AH56" i="9" s="1"/>
  <c r="AJ56" i="9" s="1"/>
  <c r="U56" i="9"/>
  <c r="V44" i="9"/>
  <c r="X44" i="9" s="1"/>
  <c r="Z44" i="9" s="1"/>
  <c r="AB44" i="9" s="1"/>
  <c r="AD44" i="9" s="1"/>
  <c r="AF44" i="9" s="1"/>
  <c r="AH44" i="9" s="1"/>
  <c r="AJ44" i="9" s="1"/>
  <c r="U44" i="9"/>
  <c r="V42" i="9"/>
  <c r="U42" i="9"/>
  <c r="V55" i="9"/>
  <c r="X55" i="9" s="1"/>
  <c r="Z55" i="9" s="1"/>
  <c r="AB55" i="9" s="1"/>
  <c r="AD55" i="9" s="1"/>
  <c r="AF55" i="9" s="1"/>
  <c r="AH55" i="9" s="1"/>
  <c r="AJ55" i="9" s="1"/>
  <c r="U55" i="9"/>
  <c r="V36" i="9"/>
  <c r="U36" i="9"/>
  <c r="V38" i="9"/>
  <c r="U38" i="9"/>
  <c r="Z68" i="9"/>
  <c r="Y68" i="9"/>
  <c r="X35" i="9"/>
  <c r="W35" i="9"/>
  <c r="V49" i="9"/>
  <c r="U49" i="9"/>
  <c r="Z66" i="9"/>
  <c r="Y66" i="9"/>
  <c r="Z33" i="9"/>
  <c r="Y33" i="9"/>
  <c r="X65" i="9"/>
  <c r="W65" i="9"/>
  <c r="X69" i="9"/>
  <c r="W69" i="9"/>
  <c r="X64" i="9"/>
  <c r="W64" i="9"/>
  <c r="X40" i="9"/>
  <c r="W40" i="9"/>
  <c r="X34" i="9"/>
  <c r="W34" i="9"/>
  <c r="AB32" i="8"/>
  <c r="AA32" i="8"/>
  <c r="Z33" i="8"/>
  <c r="Y33" i="8"/>
  <c r="AG66" i="8"/>
  <c r="AG83" i="8"/>
  <c r="AG82" i="8"/>
  <c r="AG81" i="8"/>
  <c r="AG80" i="8"/>
  <c r="AG79" i="8"/>
  <c r="AG78" i="8"/>
  <c r="AG77" i="8"/>
  <c r="AG76" i="8"/>
  <c r="AG75" i="8"/>
  <c r="AG74" i="8"/>
  <c r="AG73" i="8"/>
  <c r="AG72" i="8"/>
  <c r="AG68" i="8"/>
  <c r="AG67" i="8"/>
  <c r="AG65" i="8"/>
  <c r="AG64" i="8"/>
  <c r="AG49" i="8"/>
  <c r="AG48" i="8"/>
  <c r="AG63" i="8"/>
  <c r="AG56" i="8"/>
  <c r="AG55" i="8"/>
  <c r="AG54" i="8"/>
  <c r="AG51" i="8"/>
  <c r="AG50" i="8"/>
  <c r="AG47" i="8"/>
  <c r="AG44" i="8"/>
  <c r="AG42" i="8"/>
  <c r="AG41" i="8"/>
  <c r="AG40" i="8"/>
  <c r="AG39" i="8"/>
  <c r="AG38" i="8"/>
  <c r="AG37" i="8"/>
  <c r="AG36" i="8"/>
  <c r="AG33" i="8"/>
  <c r="AG32" i="8"/>
  <c r="AI31" i="8"/>
  <c r="AC66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65" i="7"/>
  <c r="AC49" i="7"/>
  <c r="AC48" i="7"/>
  <c r="AC63" i="7"/>
  <c r="AC56" i="7"/>
  <c r="AC55" i="7"/>
  <c r="AC54" i="7"/>
  <c r="AC51" i="7"/>
  <c r="AC50" i="7"/>
  <c r="AC47" i="7"/>
  <c r="AC44" i="7"/>
  <c r="AC42" i="7"/>
  <c r="AC39" i="7"/>
  <c r="AC38" i="7"/>
  <c r="AC37" i="7"/>
  <c r="AC36" i="7"/>
  <c r="AC34" i="7"/>
  <c r="AC33" i="7"/>
  <c r="AE31" i="7"/>
  <c r="AC32" i="7"/>
  <c r="Z66" i="7"/>
  <c r="Y66" i="7"/>
  <c r="Z65" i="7"/>
  <c r="Y65" i="7"/>
  <c r="Z67" i="7"/>
  <c r="Y67" i="7"/>
  <c r="X49" i="7"/>
  <c r="W49" i="7"/>
  <c r="Z40" i="7"/>
  <c r="Y40" i="7"/>
  <c r="Z63" i="7"/>
  <c r="Y63" i="7"/>
  <c r="Z68" i="7"/>
  <c r="Y68" i="7"/>
  <c r="X41" i="7"/>
  <c r="W41" i="7"/>
  <c r="Z64" i="7"/>
  <c r="Y64" i="7"/>
  <c r="X37" i="7"/>
  <c r="W37" i="7"/>
  <c r="AG31" i="1"/>
  <c r="AE32" i="1"/>
  <c r="Z67" i="9" l="1"/>
  <c r="Y67" i="9"/>
  <c r="X115" i="9"/>
  <c r="W115" i="9"/>
  <c r="Y113" i="9"/>
  <c r="Z113" i="9"/>
  <c r="W114" i="9"/>
  <c r="X114" i="9"/>
  <c r="Q59" i="26"/>
  <c r="R59" i="26"/>
  <c r="T41" i="26"/>
  <c r="S41" i="26"/>
  <c r="X104" i="9"/>
  <c r="W104" i="9"/>
  <c r="U41" i="24"/>
  <c r="V41" i="24"/>
  <c r="Z85" i="7"/>
  <c r="Y85" i="7"/>
  <c r="Z70" i="24"/>
  <c r="Y70" i="24"/>
  <c r="Z85" i="1"/>
  <c r="Y85" i="1"/>
  <c r="AG93" i="1"/>
  <c r="AG84" i="1"/>
  <c r="AG43" i="1"/>
  <c r="Z85" i="8"/>
  <c r="Y85" i="8"/>
  <c r="Z86" i="9"/>
  <c r="Y86" i="9"/>
  <c r="Z43" i="1"/>
  <c r="Y43" i="1"/>
  <c r="X43" i="9"/>
  <c r="W43" i="9"/>
  <c r="V43" i="7"/>
  <c r="U43" i="7"/>
  <c r="V41" i="21"/>
  <c r="U41" i="21"/>
  <c r="AE100" i="9"/>
  <c r="AE101" i="9"/>
  <c r="AA96" i="21"/>
  <c r="AB96" i="21"/>
  <c r="Z65" i="21"/>
  <c r="Y65" i="21"/>
  <c r="AO120" i="17"/>
  <c r="AO130" i="17"/>
  <c r="AO131" i="17"/>
  <c r="AO3" i="17"/>
  <c r="AO35" i="17"/>
  <c r="AO63" i="17"/>
  <c r="AO57" i="17"/>
  <c r="AO54" i="17"/>
  <c r="AO66" i="17"/>
  <c r="AO65" i="17"/>
  <c r="AO64" i="17"/>
  <c r="AO53" i="17"/>
  <c r="AO62" i="17"/>
  <c r="AO61" i="17"/>
  <c r="AO60" i="17"/>
  <c r="AO59" i="17"/>
  <c r="AO58" i="17"/>
  <c r="AO56" i="17"/>
  <c r="AO55" i="17"/>
  <c r="AO42" i="17"/>
  <c r="AO48" i="17"/>
  <c r="AO43" i="17"/>
  <c r="AO41" i="17"/>
  <c r="AO49" i="17"/>
  <c r="AO52" i="17"/>
  <c r="AO51" i="17"/>
  <c r="AO50" i="17"/>
  <c r="AO46" i="17"/>
  <c r="AO45" i="17"/>
  <c r="AO44" i="17"/>
  <c r="AO47" i="17"/>
  <c r="AO40" i="17"/>
  <c r="AO39" i="17"/>
  <c r="AO37" i="17"/>
  <c r="AO129" i="17"/>
  <c r="AO128" i="17"/>
  <c r="AO79" i="17"/>
  <c r="AO77" i="17"/>
  <c r="AO124" i="17"/>
  <c r="AO123" i="17"/>
  <c r="AO122" i="17"/>
  <c r="AO119" i="17"/>
  <c r="X37" i="18"/>
  <c r="W37" i="18"/>
  <c r="Z66" i="21"/>
  <c r="Y66" i="21"/>
  <c r="Z68" i="21"/>
  <c r="Y68" i="21"/>
  <c r="G16" i="23"/>
  <c r="G10" i="23"/>
  <c r="G14" i="23"/>
  <c r="G11" i="23"/>
  <c r="G7" i="23"/>
  <c r="G8" i="23"/>
  <c r="G9" i="23"/>
  <c r="G15" i="23"/>
  <c r="G12" i="23"/>
  <c r="G13" i="23"/>
  <c r="P101" i="9"/>
  <c r="O101" i="9"/>
  <c r="AB95" i="21"/>
  <c r="AA95" i="21"/>
  <c r="W69" i="21"/>
  <c r="X69" i="21"/>
  <c r="AI185" i="16"/>
  <c r="AI181" i="16"/>
  <c r="AI177" i="16"/>
  <c r="AI173" i="16"/>
  <c r="AI169" i="16"/>
  <c r="AI165" i="16"/>
  <c r="AI161" i="16"/>
  <c r="AI157" i="16"/>
  <c r="AI186" i="16"/>
  <c r="AI179" i="16"/>
  <c r="AI178" i="16"/>
  <c r="AI171" i="16"/>
  <c r="AI170" i="16"/>
  <c r="AI163" i="16"/>
  <c r="AI162" i="16"/>
  <c r="AI155" i="16"/>
  <c r="AI151" i="16"/>
  <c r="AI183" i="16"/>
  <c r="AI182" i="16"/>
  <c r="AI175" i="16"/>
  <c r="AI174" i="16"/>
  <c r="AI167" i="16"/>
  <c r="AI166" i="16"/>
  <c r="AI159" i="16"/>
  <c r="AI158" i="16"/>
  <c r="AI153" i="16"/>
  <c r="AI149" i="16"/>
  <c r="AI180" i="16"/>
  <c r="AI172" i="16"/>
  <c r="AI164" i="16"/>
  <c r="AI156" i="16"/>
  <c r="AI150" i="16"/>
  <c r="AI148" i="16"/>
  <c r="AI152" i="16"/>
  <c r="AI184" i="16"/>
  <c r="AI176" i="16"/>
  <c r="AI168" i="16"/>
  <c r="AI160" i="16"/>
  <c r="AI154" i="16"/>
  <c r="Z63" i="21"/>
  <c r="Y63" i="21"/>
  <c r="Z93" i="1"/>
  <c r="Y93" i="1"/>
  <c r="X58" i="21"/>
  <c r="W58" i="21"/>
  <c r="Z38" i="21"/>
  <c r="AB38" i="21" s="1"/>
  <c r="AD38" i="21" s="1"/>
  <c r="AF38" i="21" s="1"/>
  <c r="AH38" i="21" s="1"/>
  <c r="AJ38" i="21" s="1"/>
  <c r="Y38" i="21"/>
  <c r="G38" i="21" s="1"/>
  <c r="V127" i="9"/>
  <c r="X127" i="9" s="1"/>
  <c r="R100" i="9"/>
  <c r="Q100" i="9"/>
  <c r="P99" i="9"/>
  <c r="O99" i="9"/>
  <c r="P98" i="9"/>
  <c r="O98" i="9"/>
  <c r="X49" i="21"/>
  <c r="W49" i="21"/>
  <c r="Y130" i="17"/>
  <c r="Z130" i="17"/>
  <c r="X131" i="17"/>
  <c r="W131" i="17"/>
  <c r="AB35" i="17"/>
  <c r="AA35" i="17"/>
  <c r="Z3" i="17"/>
  <c r="Y3" i="17"/>
  <c r="V59" i="17"/>
  <c r="U59" i="17"/>
  <c r="R57" i="17"/>
  <c r="Q57" i="17"/>
  <c r="S58" i="17"/>
  <c r="T58" i="17"/>
  <c r="L63" i="17"/>
  <c r="O62" i="17"/>
  <c r="G63" i="17"/>
  <c r="E64" i="17"/>
  <c r="R61" i="17"/>
  <c r="Q61" i="17"/>
  <c r="S60" i="17"/>
  <c r="T60" i="17"/>
  <c r="G55" i="17"/>
  <c r="E54" i="17"/>
  <c r="O56" i="17"/>
  <c r="L55" i="17"/>
  <c r="AE94" i="9"/>
  <c r="AE60" i="9"/>
  <c r="AE61" i="9"/>
  <c r="AE62" i="9"/>
  <c r="AE63" i="9"/>
  <c r="AE58" i="9"/>
  <c r="AE59" i="9"/>
  <c r="AE93" i="9"/>
  <c r="AE46" i="9"/>
  <c r="AE45" i="9"/>
  <c r="AE88" i="9"/>
  <c r="Z94" i="9"/>
  <c r="Y94" i="9"/>
  <c r="Z93" i="8"/>
  <c r="Y93" i="8"/>
  <c r="AI93" i="8"/>
  <c r="AI61" i="8"/>
  <c r="AI60" i="8"/>
  <c r="AI92" i="8"/>
  <c r="AI59" i="8"/>
  <c r="AI58" i="8"/>
  <c r="AI46" i="8"/>
  <c r="AI45" i="8"/>
  <c r="AI87" i="8"/>
  <c r="AE93" i="7"/>
  <c r="AE61" i="7"/>
  <c r="AE60" i="7"/>
  <c r="AE92" i="7"/>
  <c r="AE59" i="7"/>
  <c r="AE58" i="7"/>
  <c r="AE46" i="7"/>
  <c r="AE87" i="7"/>
  <c r="Z93" i="7"/>
  <c r="Y93" i="7"/>
  <c r="V42" i="7"/>
  <c r="U42" i="7"/>
  <c r="V39" i="7"/>
  <c r="U39" i="7"/>
  <c r="V54" i="7"/>
  <c r="U54" i="7"/>
  <c r="S50" i="7"/>
  <c r="T50" i="7"/>
  <c r="Z70" i="1"/>
  <c r="Y70" i="1"/>
  <c r="W38" i="7"/>
  <c r="Z92" i="1"/>
  <c r="Y92" i="1"/>
  <c r="AG60" i="1"/>
  <c r="AG61" i="1"/>
  <c r="AG92" i="1"/>
  <c r="Z60" i="1"/>
  <c r="AB60" i="1" s="1"/>
  <c r="AD60" i="1" s="1"/>
  <c r="AF60" i="1" s="1"/>
  <c r="AH60" i="1" s="1"/>
  <c r="AJ60" i="1" s="1"/>
  <c r="Y60" i="1"/>
  <c r="Q120" i="9"/>
  <c r="V60" i="9"/>
  <c r="U60" i="9"/>
  <c r="Z61" i="9"/>
  <c r="AB61" i="9" s="1"/>
  <c r="AD61" i="9" s="1"/>
  <c r="AF61" i="9" s="1"/>
  <c r="AH61" i="9" s="1"/>
  <c r="AJ61" i="9" s="1"/>
  <c r="Y61" i="9"/>
  <c r="V62" i="9"/>
  <c r="U62" i="9"/>
  <c r="Z63" i="9"/>
  <c r="Y63" i="9"/>
  <c r="Z61" i="7"/>
  <c r="AB61" i="7" s="1"/>
  <c r="AD61" i="7" s="1"/>
  <c r="AF61" i="7" s="1"/>
  <c r="AH61" i="7" s="1"/>
  <c r="AJ61" i="7" s="1"/>
  <c r="Y61" i="7"/>
  <c r="U38" i="7"/>
  <c r="V60" i="7"/>
  <c r="U60" i="7"/>
  <c r="T92" i="7"/>
  <c r="S92" i="7"/>
  <c r="R44" i="17"/>
  <c r="Q44" i="17"/>
  <c r="L48" i="17"/>
  <c r="O47" i="17"/>
  <c r="E41" i="17"/>
  <c r="G42" i="17"/>
  <c r="E49" i="17"/>
  <c r="G48" i="17"/>
  <c r="S45" i="17"/>
  <c r="T45" i="17"/>
  <c r="O43" i="17"/>
  <c r="L42" i="17"/>
  <c r="R46" i="17"/>
  <c r="Q46" i="17"/>
  <c r="V93" i="9"/>
  <c r="U93" i="9"/>
  <c r="T50" i="9"/>
  <c r="S50" i="9"/>
  <c r="V137" i="9"/>
  <c r="X137" i="9" s="1"/>
  <c r="Z60" i="18"/>
  <c r="Y60" i="18"/>
  <c r="AG59" i="1"/>
  <c r="AG58" i="1"/>
  <c r="AG87" i="1"/>
  <c r="AG97" i="1"/>
  <c r="AG96" i="1"/>
  <c r="AG98" i="1"/>
  <c r="Z57" i="18"/>
  <c r="AB57" i="18" s="1"/>
  <c r="AD57" i="18" s="1"/>
  <c r="AF57" i="18" s="1"/>
  <c r="AH57" i="18" s="1"/>
  <c r="Y57" i="18"/>
  <c r="G57" i="18" s="1"/>
  <c r="Z58" i="18"/>
  <c r="Y58" i="18"/>
  <c r="Z55" i="18"/>
  <c r="AB55" i="18" s="1"/>
  <c r="AD55" i="18" s="1"/>
  <c r="AF55" i="18" s="1"/>
  <c r="AH55" i="18" s="1"/>
  <c r="Y55" i="18"/>
  <c r="G55" i="18" s="1"/>
  <c r="Z59" i="1"/>
  <c r="Y59" i="1"/>
  <c r="Z58" i="1"/>
  <c r="Y58" i="1"/>
  <c r="V136" i="9"/>
  <c r="W136" i="9" s="1"/>
  <c r="V122" i="9"/>
  <c r="W122" i="9" s="1"/>
  <c r="S129" i="9"/>
  <c r="W36" i="7"/>
  <c r="Q129" i="9"/>
  <c r="V58" i="9"/>
  <c r="U58" i="9"/>
  <c r="X59" i="9"/>
  <c r="W59" i="9"/>
  <c r="V59" i="8"/>
  <c r="U59" i="8"/>
  <c r="X59" i="7"/>
  <c r="W59" i="7"/>
  <c r="V58" i="7"/>
  <c r="U58" i="7"/>
  <c r="Q131" i="9"/>
  <c r="R131" i="9"/>
  <c r="G37" i="17"/>
  <c r="V130" i="9"/>
  <c r="X130" i="9" s="1"/>
  <c r="Z61" i="18"/>
  <c r="Y61" i="18"/>
  <c r="U128" i="9"/>
  <c r="R126" i="9"/>
  <c r="Q126" i="9"/>
  <c r="U36" i="7"/>
  <c r="Q162" i="16"/>
  <c r="R162" i="16"/>
  <c r="T162" i="16" s="1"/>
  <c r="V162" i="16" s="1"/>
  <c r="X162" i="16" s="1"/>
  <c r="Z162" i="16" s="1"/>
  <c r="AB162" i="16" s="1"/>
  <c r="AD162" i="16" s="1"/>
  <c r="AF162" i="16" s="1"/>
  <c r="AH162" i="16" s="1"/>
  <c r="AJ162" i="16" s="1"/>
  <c r="H166" i="16"/>
  <c r="K165" i="16"/>
  <c r="O163" i="16"/>
  <c r="P163" i="16"/>
  <c r="N164" i="16"/>
  <c r="M164" i="16"/>
  <c r="AI145" i="16"/>
  <c r="AI141" i="16"/>
  <c r="AI137" i="16"/>
  <c r="AI147" i="16"/>
  <c r="AI143" i="16"/>
  <c r="AI139" i="16"/>
  <c r="AI144" i="16"/>
  <c r="AI140" i="16"/>
  <c r="AI136" i="16"/>
  <c r="AI146" i="16"/>
  <c r="AI138" i="16"/>
  <c r="AI142" i="16"/>
  <c r="AI187" i="16"/>
  <c r="AI135" i="16"/>
  <c r="V45" i="9"/>
  <c r="X45" i="9" s="1"/>
  <c r="Z45" i="9" s="1"/>
  <c r="AB45" i="9" s="1"/>
  <c r="AD45" i="9" s="1"/>
  <c r="AF45" i="9" s="1"/>
  <c r="AH45" i="9" s="1"/>
  <c r="AJ45" i="9" s="1"/>
  <c r="U45" i="9"/>
  <c r="Y129" i="17"/>
  <c r="Z129" i="17"/>
  <c r="W128" i="17"/>
  <c r="X128" i="17"/>
  <c r="AE45" i="7"/>
  <c r="AE86" i="7"/>
  <c r="AG46" i="1"/>
  <c r="AG45" i="1"/>
  <c r="V45" i="7"/>
  <c r="X45" i="7" s="1"/>
  <c r="Z45" i="7" s="1"/>
  <c r="AB45" i="7" s="1"/>
  <c r="AD45" i="7" s="1"/>
  <c r="AF45" i="7" s="1"/>
  <c r="AH45" i="7" s="1"/>
  <c r="AJ45" i="7" s="1"/>
  <c r="U45" i="7"/>
  <c r="U37" i="9"/>
  <c r="AE91" i="9"/>
  <c r="AE83" i="9"/>
  <c r="AE79" i="9"/>
  <c r="AE75" i="9"/>
  <c r="AE65" i="9"/>
  <c r="AE51" i="9"/>
  <c r="AE41" i="9"/>
  <c r="AE36" i="9"/>
  <c r="AE33" i="9"/>
  <c r="AE52" i="9"/>
  <c r="AE47" i="9"/>
  <c r="AE66" i="9"/>
  <c r="AE82" i="9"/>
  <c r="AE78" i="9"/>
  <c r="AE74" i="9"/>
  <c r="AE50" i="9"/>
  <c r="AE39" i="9"/>
  <c r="AE56" i="9"/>
  <c r="AG31" i="9"/>
  <c r="AE84" i="9"/>
  <c r="AE80" i="9"/>
  <c r="AE76" i="9"/>
  <c r="AE54" i="9"/>
  <c r="AE42" i="9"/>
  <c r="AE48" i="9"/>
  <c r="AE57" i="9"/>
  <c r="AE81" i="9"/>
  <c r="AE77" i="9"/>
  <c r="AE73" i="9"/>
  <c r="AE55" i="9"/>
  <c r="AE44" i="9"/>
  <c r="AE38" i="9"/>
  <c r="AE49" i="9"/>
  <c r="AE53" i="9"/>
  <c r="AE68" i="9"/>
  <c r="AE37" i="9"/>
  <c r="AE87" i="9"/>
  <c r="T132" i="9"/>
  <c r="S132" i="9"/>
  <c r="AI88" i="8"/>
  <c r="AI86" i="8"/>
  <c r="V129" i="9"/>
  <c r="U129" i="9"/>
  <c r="V139" i="9"/>
  <c r="U139" i="9"/>
  <c r="X135" i="9"/>
  <c r="W135" i="9"/>
  <c r="V119" i="9"/>
  <c r="U119" i="9"/>
  <c r="U29" i="17"/>
  <c r="V29" i="17"/>
  <c r="U121" i="17"/>
  <c r="V121" i="17"/>
  <c r="L85" i="17"/>
  <c r="O86" i="17"/>
  <c r="G25" i="17"/>
  <c r="E24" i="17"/>
  <c r="G24" i="17" s="1"/>
  <c r="T122" i="17"/>
  <c r="S122" i="17"/>
  <c r="Q71" i="17"/>
  <c r="R71" i="17"/>
  <c r="L91" i="17"/>
  <c r="O90" i="17"/>
  <c r="T32" i="17"/>
  <c r="S32" i="17"/>
  <c r="L77" i="17"/>
  <c r="U108" i="17"/>
  <c r="V108" i="17"/>
  <c r="Q123" i="17"/>
  <c r="R123" i="17"/>
  <c r="E116" i="17"/>
  <c r="G115" i="17"/>
  <c r="Q89" i="17"/>
  <c r="R89" i="17"/>
  <c r="S28" i="17"/>
  <c r="T28" i="17"/>
  <c r="E80" i="17"/>
  <c r="G78" i="17"/>
  <c r="X30" i="17"/>
  <c r="W30" i="17"/>
  <c r="O26" i="17"/>
  <c r="L25" i="17"/>
  <c r="T74" i="17"/>
  <c r="S74" i="17"/>
  <c r="T120" i="9"/>
  <c r="S120" i="9"/>
  <c r="S112" i="17"/>
  <c r="T112" i="17"/>
  <c r="U133" i="17"/>
  <c r="V133" i="17"/>
  <c r="T72" i="17"/>
  <c r="S72" i="17"/>
  <c r="L78" i="17"/>
  <c r="O76" i="17"/>
  <c r="S88" i="17"/>
  <c r="T88" i="17"/>
  <c r="Z127" i="17"/>
  <c r="Y127" i="17"/>
  <c r="Q114" i="17"/>
  <c r="R114" i="17"/>
  <c r="O117" i="17"/>
  <c r="L118" i="17"/>
  <c r="O118" i="17" s="1"/>
  <c r="U31" i="17"/>
  <c r="V31" i="17"/>
  <c r="Q33" i="17"/>
  <c r="R33" i="17"/>
  <c r="S133" i="9"/>
  <c r="T133" i="9"/>
  <c r="Q124" i="17"/>
  <c r="R124" i="17"/>
  <c r="G85" i="17"/>
  <c r="E84" i="17"/>
  <c r="U119" i="17"/>
  <c r="V119" i="17"/>
  <c r="E92" i="17"/>
  <c r="G91" i="17"/>
  <c r="T125" i="17"/>
  <c r="S125" i="17"/>
  <c r="O34" i="17"/>
  <c r="L36" i="17"/>
  <c r="L37" i="17" s="1"/>
  <c r="L38" i="17" s="1"/>
  <c r="V109" i="17"/>
  <c r="U109" i="17"/>
  <c r="V111" i="17"/>
  <c r="U111" i="17"/>
  <c r="V73" i="17"/>
  <c r="U73" i="17"/>
  <c r="S134" i="17"/>
  <c r="T134" i="17"/>
  <c r="S121" i="9"/>
  <c r="T121" i="9"/>
  <c r="X110" i="17"/>
  <c r="W110" i="17"/>
  <c r="L69" i="17"/>
  <c r="O70" i="17"/>
  <c r="Q113" i="17"/>
  <c r="R113" i="17"/>
  <c r="Q116" i="17"/>
  <c r="R116" i="17"/>
  <c r="R87" i="17"/>
  <c r="Q87" i="17"/>
  <c r="Z126" i="17"/>
  <c r="Y126" i="17"/>
  <c r="R27" i="17"/>
  <c r="Q27" i="17"/>
  <c r="G69" i="17"/>
  <c r="E68" i="17"/>
  <c r="G123" i="17"/>
  <c r="E124" i="17"/>
  <c r="G124" i="17" s="1"/>
  <c r="T132" i="17"/>
  <c r="S132" i="17"/>
  <c r="Q75" i="17"/>
  <c r="R75" i="17"/>
  <c r="S115" i="17"/>
  <c r="T115" i="17"/>
  <c r="G38" i="17"/>
  <c r="G36" i="17"/>
  <c r="G120" i="17"/>
  <c r="E119" i="17"/>
  <c r="G119" i="17" s="1"/>
  <c r="Q120" i="17"/>
  <c r="R120" i="17"/>
  <c r="AO121" i="17"/>
  <c r="AO110" i="17"/>
  <c r="AO115" i="17"/>
  <c r="AO111" i="17"/>
  <c r="AO118" i="17"/>
  <c r="AO113" i="17"/>
  <c r="AO109" i="17"/>
  <c r="AO108" i="17"/>
  <c r="AO107" i="17"/>
  <c r="AO103" i="17"/>
  <c r="AO101" i="17"/>
  <c r="AO100" i="17"/>
  <c r="AO116" i="17"/>
  <c r="AO104" i="17"/>
  <c r="AO99" i="17"/>
  <c r="AO96" i="17"/>
  <c r="AO95" i="17"/>
  <c r="AO117" i="17"/>
  <c r="AO105" i="17"/>
  <c r="AO98" i="17"/>
  <c r="AO97" i="17"/>
  <c r="AO106" i="17"/>
  <c r="AO102" i="17"/>
  <c r="AO114" i="17"/>
  <c r="AO112" i="17"/>
  <c r="AO83" i="17"/>
  <c r="AO91" i="17"/>
  <c r="AO90" i="17"/>
  <c r="AO88" i="17"/>
  <c r="AO87" i="17"/>
  <c r="AO84" i="17"/>
  <c r="AO92" i="17"/>
  <c r="AO89" i="17"/>
  <c r="AO86" i="17"/>
  <c r="AO85" i="17"/>
  <c r="AO94" i="17"/>
  <c r="AO93" i="17"/>
  <c r="AO82" i="17"/>
  <c r="AO76" i="17"/>
  <c r="AO75" i="17"/>
  <c r="AO74" i="17"/>
  <c r="AO71" i="17"/>
  <c r="AO68" i="17"/>
  <c r="AO67" i="17"/>
  <c r="AO81" i="17"/>
  <c r="AO73" i="17"/>
  <c r="AO72" i="17"/>
  <c r="AO78" i="17"/>
  <c r="AO69" i="17"/>
  <c r="AO80" i="17"/>
  <c r="AO70" i="17"/>
  <c r="AO28" i="17"/>
  <c r="AO27" i="17"/>
  <c r="AO26" i="17"/>
  <c r="AO25" i="17"/>
  <c r="AO24" i="17"/>
  <c r="AO29" i="17"/>
  <c r="AO36" i="17"/>
  <c r="AO32" i="17"/>
  <c r="AO38" i="17"/>
  <c r="AO33" i="17"/>
  <c r="AO34" i="17"/>
  <c r="AO31" i="17"/>
  <c r="AO30" i="17"/>
  <c r="AO134" i="17"/>
  <c r="AO133" i="17"/>
  <c r="AO127" i="17"/>
  <c r="AO126" i="17"/>
  <c r="AO132" i="17"/>
  <c r="AO125" i="17"/>
  <c r="N51" i="16"/>
  <c r="M51" i="16"/>
  <c r="AC29" i="16"/>
  <c r="AD29" i="16"/>
  <c r="N55" i="16"/>
  <c r="M55" i="16"/>
  <c r="P50" i="16"/>
  <c r="O50" i="16"/>
  <c r="AB34" i="16"/>
  <c r="AA34" i="16"/>
  <c r="V43" i="16"/>
  <c r="U43" i="16"/>
  <c r="AC31" i="16"/>
  <c r="AD31" i="16"/>
  <c r="S42" i="16"/>
  <c r="T42" i="16"/>
  <c r="V39" i="16"/>
  <c r="U39" i="16"/>
  <c r="Q45" i="16"/>
  <c r="R45" i="16"/>
  <c r="K54" i="16"/>
  <c r="K58" i="16"/>
  <c r="T44" i="16"/>
  <c r="S44" i="16"/>
  <c r="Y35" i="16"/>
  <c r="Z35" i="16"/>
  <c r="Y37" i="16"/>
  <c r="Z37" i="16"/>
  <c r="N53" i="16"/>
  <c r="M53" i="16"/>
  <c r="AB30" i="16"/>
  <c r="AA30" i="16"/>
  <c r="W38" i="16"/>
  <c r="X38" i="16"/>
  <c r="R49" i="16"/>
  <c r="Q49" i="16"/>
  <c r="AD27" i="16"/>
  <c r="AC27" i="16"/>
  <c r="X40" i="16"/>
  <c r="W40" i="16"/>
  <c r="K56" i="16"/>
  <c r="U41" i="16"/>
  <c r="V41" i="16"/>
  <c r="T46" i="16"/>
  <c r="S46" i="16"/>
  <c r="X36" i="16"/>
  <c r="W36" i="16"/>
  <c r="Z33" i="16"/>
  <c r="Y33" i="16"/>
  <c r="P48" i="16"/>
  <c r="O48" i="16"/>
  <c r="P52" i="16"/>
  <c r="O52" i="16"/>
  <c r="R47" i="16"/>
  <c r="Q47" i="16"/>
  <c r="AB32" i="16"/>
  <c r="AA32" i="16"/>
  <c r="AI123" i="16"/>
  <c r="AI122" i="16"/>
  <c r="AI121" i="16"/>
  <c r="AI120" i="16"/>
  <c r="AI112" i="16"/>
  <c r="AI108" i="16"/>
  <c r="AI106" i="16"/>
  <c r="AI102" i="16"/>
  <c r="AI99" i="16"/>
  <c r="AI92" i="16"/>
  <c r="AI90" i="16"/>
  <c r="AI87" i="16"/>
  <c r="AI85" i="16"/>
  <c r="AI83" i="16"/>
  <c r="AI81" i="16"/>
  <c r="AI79" i="16"/>
  <c r="AI76" i="16"/>
  <c r="AI127" i="16"/>
  <c r="AI126" i="16"/>
  <c r="AI115" i="16"/>
  <c r="AI114" i="16"/>
  <c r="AI113" i="16"/>
  <c r="AI110" i="16"/>
  <c r="AI104" i="16"/>
  <c r="AI101" i="16"/>
  <c r="AI97" i="16"/>
  <c r="AI95" i="16"/>
  <c r="AI86" i="16"/>
  <c r="AI84" i="16"/>
  <c r="AI82" i="16"/>
  <c r="AI80" i="16"/>
  <c r="AI78" i="16"/>
  <c r="AI74" i="16"/>
  <c r="AI71" i="16"/>
  <c r="AI69" i="16"/>
  <c r="AI132" i="16"/>
  <c r="AI131" i="16"/>
  <c r="AI130" i="16"/>
  <c r="AI129" i="16"/>
  <c r="AI124" i="16"/>
  <c r="AI119" i="16"/>
  <c r="AI109" i="16"/>
  <c r="AI94" i="16"/>
  <c r="AI93" i="16"/>
  <c r="AI75" i="16"/>
  <c r="AI66" i="16"/>
  <c r="AI64" i="16"/>
  <c r="AI63" i="16"/>
  <c r="AI60" i="16"/>
  <c r="AI57" i="16"/>
  <c r="AI54" i="16"/>
  <c r="AI47" i="16"/>
  <c r="AI39" i="16"/>
  <c r="AI35" i="16"/>
  <c r="AI32" i="16"/>
  <c r="AI29" i="16"/>
  <c r="AI25" i="16"/>
  <c r="AI21" i="16"/>
  <c r="AI128" i="16"/>
  <c r="AI118" i="16"/>
  <c r="AI117" i="16"/>
  <c r="AI100" i="16"/>
  <c r="AI91" i="16"/>
  <c r="AI89" i="16"/>
  <c r="AI68" i="16"/>
  <c r="AI65" i="16"/>
  <c r="AI62" i="16"/>
  <c r="AI55" i="16"/>
  <c r="AI52" i="16"/>
  <c r="AI49" i="16"/>
  <c r="AI46" i="16"/>
  <c r="AI44" i="16"/>
  <c r="AI41" i="16"/>
  <c r="AI37" i="16"/>
  <c r="AI33" i="16"/>
  <c r="AI31" i="16"/>
  <c r="AI27" i="16"/>
  <c r="AI23" i="16"/>
  <c r="AI19" i="16"/>
  <c r="AI125" i="16"/>
  <c r="AI116" i="16"/>
  <c r="AI111" i="16"/>
  <c r="AI88" i="16"/>
  <c r="AI77" i="16"/>
  <c r="AI73" i="16"/>
  <c r="AI72" i="16"/>
  <c r="AI70" i="16"/>
  <c r="AI67" i="16"/>
  <c r="AI61" i="16"/>
  <c r="AI58" i="16"/>
  <c r="AI51" i="16"/>
  <c r="AI48" i="16"/>
  <c r="AI43" i="16"/>
  <c r="AI40" i="16"/>
  <c r="AI36" i="16"/>
  <c r="AI28" i="16"/>
  <c r="AI20" i="16"/>
  <c r="AI38" i="16"/>
  <c r="AI105" i="16"/>
  <c r="AI98" i="16"/>
  <c r="AI50" i="16"/>
  <c r="AI26" i="16"/>
  <c r="AI107" i="16"/>
  <c r="AI103" i="16"/>
  <c r="AI96" i="16"/>
  <c r="AI59" i="16"/>
  <c r="AI34" i="16"/>
  <c r="AI30" i="16"/>
  <c r="AI22" i="16"/>
  <c r="AI56" i="16"/>
  <c r="AI45" i="16"/>
  <c r="AI24" i="16"/>
  <c r="AI53" i="16"/>
  <c r="AI42" i="16"/>
  <c r="AI18" i="16"/>
  <c r="AK17" i="16"/>
  <c r="AH87" i="9"/>
  <c r="AG86" i="1"/>
  <c r="AH86" i="1"/>
  <c r="W51" i="7"/>
  <c r="X51" i="7"/>
  <c r="V51" i="9"/>
  <c r="U51" i="9"/>
  <c r="AE57" i="7"/>
  <c r="AE88" i="7"/>
  <c r="AD89" i="9"/>
  <c r="AC89" i="9"/>
  <c r="AG53" i="1"/>
  <c r="AG52" i="1"/>
  <c r="AG83" i="1"/>
  <c r="AG57" i="1"/>
  <c r="AG62" i="1"/>
  <c r="W62" i="1"/>
  <c r="X62" i="1"/>
  <c r="Y52" i="1"/>
  <c r="Z52" i="1"/>
  <c r="AB52" i="1" s="1"/>
  <c r="AD52" i="1" s="1"/>
  <c r="AF52" i="1" s="1"/>
  <c r="AH52" i="1" s="1"/>
  <c r="AJ52" i="1" s="1"/>
  <c r="Y90" i="1"/>
  <c r="Z90" i="1"/>
  <c r="AD83" i="1"/>
  <c r="AC83" i="1"/>
  <c r="AD90" i="7"/>
  <c r="AC90" i="7"/>
  <c r="W124" i="9"/>
  <c r="X124" i="9"/>
  <c r="W138" i="9"/>
  <c r="X138" i="9"/>
  <c r="W125" i="9"/>
  <c r="X125" i="9"/>
  <c r="W140" i="9"/>
  <c r="X140" i="9"/>
  <c r="W134" i="9"/>
  <c r="X134" i="9"/>
  <c r="X118" i="9"/>
  <c r="W118" i="9"/>
  <c r="X123" i="9"/>
  <c r="W123" i="9"/>
  <c r="X128" i="9"/>
  <c r="W128" i="9"/>
  <c r="X108" i="9"/>
  <c r="W108" i="9"/>
  <c r="W71" i="9"/>
  <c r="X71" i="9"/>
  <c r="AE16" i="12"/>
  <c r="AD107" i="9"/>
  <c r="AC107" i="9"/>
  <c r="AI53" i="8"/>
  <c r="AI57" i="8"/>
  <c r="AI62" i="8"/>
  <c r="AI52" i="8"/>
  <c r="AD96" i="8"/>
  <c r="AC96" i="8"/>
  <c r="AE53" i="7"/>
  <c r="AE62" i="7"/>
  <c r="AE52" i="7"/>
  <c r="AB33" i="7"/>
  <c r="AD33" i="7" s="1"/>
  <c r="AF33" i="7" s="1"/>
  <c r="AH33" i="7" s="1"/>
  <c r="AJ33" i="7" s="1"/>
  <c r="AA33" i="7"/>
  <c r="X62" i="7"/>
  <c r="W62" i="7"/>
  <c r="X41" i="8"/>
  <c r="W41" i="8"/>
  <c r="AI69" i="8"/>
  <c r="AI70" i="8"/>
  <c r="W35" i="7"/>
  <c r="X35" i="7"/>
  <c r="AG32" i="1"/>
  <c r="AG70" i="1"/>
  <c r="AG69" i="1"/>
  <c r="AI31" i="1"/>
  <c r="AG33" i="1"/>
  <c r="AG88" i="1"/>
  <c r="AG82" i="1"/>
  <c r="AG81" i="1"/>
  <c r="AG80" i="1"/>
  <c r="AG79" i="1"/>
  <c r="AG78" i="1"/>
  <c r="AG77" i="1"/>
  <c r="AG76" i="1"/>
  <c r="AG75" i="1"/>
  <c r="AG74" i="1"/>
  <c r="AG73" i="1"/>
  <c r="AG72" i="1"/>
  <c r="AG68" i="1"/>
  <c r="AG67" i="1"/>
  <c r="AG66" i="1"/>
  <c r="AG65" i="1"/>
  <c r="AG63" i="1"/>
  <c r="AG56" i="1"/>
  <c r="AG55" i="1"/>
  <c r="AG54" i="1"/>
  <c r="AG51" i="1"/>
  <c r="AG50" i="1"/>
  <c r="AG49" i="1"/>
  <c r="AG48" i="1"/>
  <c r="AG47" i="1"/>
  <c r="AG44" i="1"/>
  <c r="AG42" i="1"/>
  <c r="AG41" i="1"/>
  <c r="AG40" i="1"/>
  <c r="AG39" i="1"/>
  <c r="AG38" i="1"/>
  <c r="AG37" i="1"/>
  <c r="AG36" i="1"/>
  <c r="Z34" i="1"/>
  <c r="Y34" i="1"/>
  <c r="AB41" i="1"/>
  <c r="AA41" i="1"/>
  <c r="Z35" i="1"/>
  <c r="Y35" i="1"/>
  <c r="AB68" i="1"/>
  <c r="AA68" i="1"/>
  <c r="X36" i="1"/>
  <c r="W36" i="1"/>
  <c r="Z67" i="1"/>
  <c r="Y67" i="1"/>
  <c r="Z40" i="1"/>
  <c r="Y40" i="1"/>
  <c r="Z64" i="1"/>
  <c r="Y64" i="1"/>
  <c r="Z65" i="1"/>
  <c r="Y65" i="1"/>
  <c r="Z66" i="1"/>
  <c r="Y66" i="1"/>
  <c r="Z63" i="1"/>
  <c r="Y63" i="1"/>
  <c r="Z51" i="1"/>
  <c r="AB51" i="1" s="1"/>
  <c r="AD51" i="1" s="1"/>
  <c r="AF51" i="1" s="1"/>
  <c r="AH51" i="1" s="1"/>
  <c r="AJ51" i="1" s="1"/>
  <c r="Y51" i="1"/>
  <c r="X54" i="1"/>
  <c r="W54" i="1"/>
  <c r="X49" i="1"/>
  <c r="W49" i="1"/>
  <c r="X42" i="1"/>
  <c r="W42" i="1"/>
  <c r="X37" i="1"/>
  <c r="W37" i="1"/>
  <c r="X39" i="1"/>
  <c r="W39" i="1"/>
  <c r="X50" i="1"/>
  <c r="W50" i="1"/>
  <c r="Z69" i="1"/>
  <c r="Y69" i="1"/>
  <c r="AA70" i="9"/>
  <c r="AB70" i="9"/>
  <c r="AB69" i="8"/>
  <c r="AA69" i="8"/>
  <c r="AA70" i="8"/>
  <c r="AB70" i="8"/>
  <c r="Y69" i="7"/>
  <c r="Z69" i="7"/>
  <c r="AB70" i="7"/>
  <c r="AA70" i="7"/>
  <c r="AB32" i="9"/>
  <c r="AA32" i="9"/>
  <c r="X38" i="1"/>
  <c r="W38" i="1"/>
  <c r="Z34" i="9"/>
  <c r="Y34" i="9"/>
  <c r="Z40" i="9"/>
  <c r="Y40" i="9"/>
  <c r="Z64" i="9"/>
  <c r="Y64" i="9"/>
  <c r="Z69" i="9"/>
  <c r="Y69" i="9"/>
  <c r="Z65" i="9"/>
  <c r="Y65" i="9"/>
  <c r="AB33" i="9"/>
  <c r="AD33" i="9" s="1"/>
  <c r="AF33" i="9" s="1"/>
  <c r="AH33" i="9" s="1"/>
  <c r="AJ33" i="9" s="1"/>
  <c r="AA33" i="9"/>
  <c r="AB66" i="9"/>
  <c r="AD66" i="9" s="1"/>
  <c r="AF66" i="9" s="1"/>
  <c r="AH66" i="9" s="1"/>
  <c r="AJ66" i="9" s="1"/>
  <c r="AA66" i="9"/>
  <c r="X49" i="9"/>
  <c r="W49" i="9"/>
  <c r="Z35" i="9"/>
  <c r="Y35" i="9"/>
  <c r="AB68" i="9"/>
  <c r="AA68" i="9"/>
  <c r="X38" i="9"/>
  <c r="W38" i="9"/>
  <c r="X36" i="9"/>
  <c r="W36" i="9"/>
  <c r="X42" i="9"/>
  <c r="W42" i="9"/>
  <c r="X37" i="9"/>
  <c r="W37" i="9"/>
  <c r="X54" i="9"/>
  <c r="W54" i="9"/>
  <c r="X39" i="9"/>
  <c r="W39" i="9"/>
  <c r="AI66" i="8"/>
  <c r="AI83" i="8"/>
  <c r="AI82" i="8"/>
  <c r="AI81" i="8"/>
  <c r="AI80" i="8"/>
  <c r="AI79" i="8"/>
  <c r="AI78" i="8"/>
  <c r="AI77" i="8"/>
  <c r="AI76" i="8"/>
  <c r="AI75" i="8"/>
  <c r="AI74" i="8"/>
  <c r="AI73" i="8"/>
  <c r="AI72" i="8"/>
  <c r="AI68" i="8"/>
  <c r="AI67" i="8"/>
  <c r="AI65" i="8"/>
  <c r="AI64" i="8"/>
  <c r="AI63" i="8"/>
  <c r="AI56" i="8"/>
  <c r="AI49" i="8"/>
  <c r="AI48" i="8"/>
  <c r="AI55" i="8"/>
  <c r="AI54" i="8"/>
  <c r="AI51" i="8"/>
  <c r="AI50" i="8"/>
  <c r="AI47" i="8"/>
  <c r="AI44" i="8"/>
  <c r="AI42" i="8"/>
  <c r="AI41" i="8"/>
  <c r="AI40" i="8"/>
  <c r="AI39" i="8"/>
  <c r="AI33" i="8"/>
  <c r="AI32" i="8"/>
  <c r="AK31" i="8"/>
  <c r="AI38" i="8"/>
  <c r="AI37" i="8"/>
  <c r="AI36" i="8"/>
  <c r="AB33" i="8"/>
  <c r="AD33" i="8" s="1"/>
  <c r="AF33" i="8" s="1"/>
  <c r="AH33" i="8" s="1"/>
  <c r="AJ33" i="8" s="1"/>
  <c r="AA33" i="8"/>
  <c r="AD32" i="8"/>
  <c r="AC32" i="8"/>
  <c r="Z37" i="7"/>
  <c r="AB37" i="7" s="1"/>
  <c r="AD37" i="7" s="1"/>
  <c r="AF37" i="7" s="1"/>
  <c r="AH37" i="7" s="1"/>
  <c r="AJ37" i="7" s="1"/>
  <c r="Y37" i="7"/>
  <c r="Z36" i="7"/>
  <c r="Y36" i="7"/>
  <c r="Z38" i="7"/>
  <c r="AB38" i="7" s="1"/>
  <c r="AD38" i="7" s="1"/>
  <c r="AF38" i="7" s="1"/>
  <c r="AH38" i="7" s="1"/>
  <c r="AJ38" i="7" s="1"/>
  <c r="Y38" i="7"/>
  <c r="AB64" i="7"/>
  <c r="AA64" i="7"/>
  <c r="Z41" i="7"/>
  <c r="Y41" i="7"/>
  <c r="AB68" i="7"/>
  <c r="AA68" i="7"/>
  <c r="AB63" i="7"/>
  <c r="AD63" i="7" s="1"/>
  <c r="AF63" i="7" s="1"/>
  <c r="AH63" i="7" s="1"/>
  <c r="AJ63" i="7" s="1"/>
  <c r="AA63" i="7"/>
  <c r="AB40" i="7"/>
  <c r="AA40" i="7"/>
  <c r="Z49" i="7"/>
  <c r="AB49" i="7" s="1"/>
  <c r="AD49" i="7" s="1"/>
  <c r="AF49" i="7" s="1"/>
  <c r="AH49" i="7" s="1"/>
  <c r="AJ49" i="7" s="1"/>
  <c r="Y49" i="7"/>
  <c r="AB67" i="7"/>
  <c r="AA67" i="7"/>
  <c r="AB65" i="7"/>
  <c r="AD65" i="7" s="1"/>
  <c r="AF65" i="7" s="1"/>
  <c r="AH65" i="7" s="1"/>
  <c r="AJ65" i="7" s="1"/>
  <c r="AA65" i="7"/>
  <c r="AB66" i="7"/>
  <c r="AD66" i="7" s="1"/>
  <c r="AF66" i="7" s="1"/>
  <c r="AH66" i="7" s="1"/>
  <c r="AJ66" i="7" s="1"/>
  <c r="AA66" i="7"/>
  <c r="AE66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67" i="7"/>
  <c r="AE65" i="7"/>
  <c r="AE63" i="7"/>
  <c r="AE56" i="7"/>
  <c r="AE49" i="7"/>
  <c r="AE48" i="7"/>
  <c r="AE55" i="7"/>
  <c r="AE54" i="7"/>
  <c r="AE51" i="7"/>
  <c r="AE50" i="7"/>
  <c r="AE47" i="7"/>
  <c r="AE44" i="7"/>
  <c r="AE42" i="7"/>
  <c r="AE39" i="7"/>
  <c r="AE38" i="7"/>
  <c r="AE37" i="7"/>
  <c r="AE36" i="7"/>
  <c r="AE34" i="7"/>
  <c r="AE33" i="7"/>
  <c r="AE32" i="7"/>
  <c r="AG31" i="7"/>
  <c r="AB67" i="9" l="1"/>
  <c r="AA67" i="9"/>
  <c r="AD64" i="7"/>
  <c r="AC64" i="7"/>
  <c r="AB113" i="9"/>
  <c r="AA113" i="9"/>
  <c r="Z115" i="9"/>
  <c r="Y115" i="9"/>
  <c r="V41" i="26"/>
  <c r="U41" i="26"/>
  <c r="Z114" i="9"/>
  <c r="Y114" i="9"/>
  <c r="T59" i="26"/>
  <c r="S59" i="26"/>
  <c r="W127" i="9"/>
  <c r="Z104" i="9"/>
  <c r="Y104" i="9"/>
  <c r="W41" i="24"/>
  <c r="X41" i="24"/>
  <c r="AB86" i="9"/>
  <c r="AA86" i="9"/>
  <c r="AB85" i="7"/>
  <c r="AA85" i="7"/>
  <c r="AB85" i="1"/>
  <c r="AA85" i="1"/>
  <c r="AI93" i="1"/>
  <c r="AI84" i="1"/>
  <c r="AI43" i="1"/>
  <c r="AB43" i="1"/>
  <c r="AD43" i="1" s="1"/>
  <c r="AF43" i="1" s="1"/>
  <c r="AH43" i="1" s="1"/>
  <c r="AJ43" i="1" s="1"/>
  <c r="AA43" i="1"/>
  <c r="AB85" i="8"/>
  <c r="AA85" i="8"/>
  <c r="AB70" i="24"/>
  <c r="AA70" i="24"/>
  <c r="X43" i="7"/>
  <c r="W43" i="7"/>
  <c r="Z43" i="9"/>
  <c r="Y43" i="9"/>
  <c r="I160" i="16"/>
  <c r="I150" i="16"/>
  <c r="Z58" i="21"/>
  <c r="Y58" i="21"/>
  <c r="AB63" i="21"/>
  <c r="AD63" i="21" s="1"/>
  <c r="AF63" i="21" s="1"/>
  <c r="AH63" i="21" s="1"/>
  <c r="AJ63" i="21" s="1"/>
  <c r="AA63" i="21"/>
  <c r="G63" i="21" s="1"/>
  <c r="I151" i="16"/>
  <c r="R101" i="9"/>
  <c r="Q101" i="9"/>
  <c r="AB68" i="21"/>
  <c r="AA68" i="21"/>
  <c r="Y37" i="18"/>
  <c r="Z37" i="18"/>
  <c r="X41" i="21"/>
  <c r="W41" i="21"/>
  <c r="AK185" i="16"/>
  <c r="AK186" i="16"/>
  <c r="AK182" i="16"/>
  <c r="AK178" i="16"/>
  <c r="AK174" i="16"/>
  <c r="AK170" i="16"/>
  <c r="AK166" i="16"/>
  <c r="AK162" i="16"/>
  <c r="I162" i="16" s="1"/>
  <c r="AK158" i="16"/>
  <c r="I158" i="16" s="1"/>
  <c r="AK184" i="16"/>
  <c r="AK177" i="16"/>
  <c r="AK176" i="16"/>
  <c r="AK169" i="16"/>
  <c r="AK168" i="16"/>
  <c r="AK161" i="16"/>
  <c r="I161" i="16" s="1"/>
  <c r="AK160" i="16"/>
  <c r="AK152" i="16"/>
  <c r="I152" i="16" s="1"/>
  <c r="AK148" i="16"/>
  <c r="I148" i="16" s="1"/>
  <c r="AK181" i="16"/>
  <c r="AK180" i="16"/>
  <c r="AK173" i="16"/>
  <c r="AK172" i="16"/>
  <c r="AK165" i="16"/>
  <c r="AK164" i="16"/>
  <c r="AK157" i="16"/>
  <c r="I157" i="16" s="1"/>
  <c r="AK156" i="16"/>
  <c r="I156" i="16" s="1"/>
  <c r="AK154" i="16"/>
  <c r="AK150" i="16"/>
  <c r="AK171" i="16"/>
  <c r="AK155" i="16"/>
  <c r="I155" i="16" s="1"/>
  <c r="AK153" i="16"/>
  <c r="I153" i="16" s="1"/>
  <c r="AK159" i="16"/>
  <c r="I159" i="16" s="1"/>
  <c r="AK179" i="16"/>
  <c r="AK163" i="16"/>
  <c r="AK151" i="16"/>
  <c r="AK149" i="16"/>
  <c r="I149" i="16" s="1"/>
  <c r="AK183" i="16"/>
  <c r="AK175" i="16"/>
  <c r="AK167" i="16"/>
  <c r="AG100" i="9"/>
  <c r="AG101" i="9"/>
  <c r="Z69" i="21"/>
  <c r="Y69" i="21"/>
  <c r="AD95" i="21"/>
  <c r="AC95" i="21"/>
  <c r="AB65" i="21"/>
  <c r="AD65" i="21" s="1"/>
  <c r="AF65" i="21" s="1"/>
  <c r="AH65" i="21" s="1"/>
  <c r="AJ65" i="21" s="1"/>
  <c r="AA65" i="21"/>
  <c r="G65" i="21" s="1"/>
  <c r="AB93" i="1"/>
  <c r="AD93" i="1" s="1"/>
  <c r="AF93" i="1" s="1"/>
  <c r="AH93" i="1" s="1"/>
  <c r="AJ93" i="1" s="1"/>
  <c r="AA93" i="1"/>
  <c r="I154" i="16"/>
  <c r="AB66" i="21"/>
  <c r="AA66" i="21"/>
  <c r="AD96" i="21"/>
  <c r="AC96" i="21"/>
  <c r="T100" i="9"/>
  <c r="S100" i="9"/>
  <c r="R98" i="9"/>
  <c r="Q98" i="9"/>
  <c r="R99" i="9"/>
  <c r="Q99" i="9"/>
  <c r="AG87" i="9"/>
  <c r="Y49" i="21"/>
  <c r="G49" i="21" s="1"/>
  <c r="Z49" i="21"/>
  <c r="AB49" i="21" s="1"/>
  <c r="AD49" i="21" s="1"/>
  <c r="AF49" i="21" s="1"/>
  <c r="AH49" i="21" s="1"/>
  <c r="AJ49" i="21" s="1"/>
  <c r="AB130" i="17"/>
  <c r="AA130" i="17"/>
  <c r="AD35" i="17"/>
  <c r="AC35" i="17"/>
  <c r="AB3" i="17"/>
  <c r="AA3" i="17"/>
  <c r="Z131" i="17"/>
  <c r="Y131" i="17"/>
  <c r="O55" i="17"/>
  <c r="L54" i="17"/>
  <c r="U60" i="17"/>
  <c r="V60" i="17"/>
  <c r="L64" i="17"/>
  <c r="O63" i="17"/>
  <c r="T57" i="17"/>
  <c r="S57" i="17"/>
  <c r="Q56" i="17"/>
  <c r="R56" i="17"/>
  <c r="G64" i="17"/>
  <c r="E65" i="17"/>
  <c r="U58" i="17"/>
  <c r="V58" i="17"/>
  <c r="G54" i="17"/>
  <c r="E53" i="17"/>
  <c r="G53" i="17" s="1"/>
  <c r="X59" i="17"/>
  <c r="W59" i="17"/>
  <c r="T61" i="17"/>
  <c r="S61" i="17"/>
  <c r="Q62" i="17"/>
  <c r="R62" i="17"/>
  <c r="AG94" i="9"/>
  <c r="AG62" i="9"/>
  <c r="AG63" i="9"/>
  <c r="AG60" i="9"/>
  <c r="AG61" i="9"/>
  <c r="AG58" i="9"/>
  <c r="AG59" i="9"/>
  <c r="AG93" i="9"/>
  <c r="AG45" i="9"/>
  <c r="AG46" i="9"/>
  <c r="AG126" i="9"/>
  <c r="AG88" i="9"/>
  <c r="AB94" i="9"/>
  <c r="AD94" i="9" s="1"/>
  <c r="AF94" i="9" s="1"/>
  <c r="AH94" i="9" s="1"/>
  <c r="AJ94" i="9" s="1"/>
  <c r="AA94" i="9"/>
  <c r="AB93" i="8"/>
  <c r="AD93" i="8" s="1"/>
  <c r="AF93" i="8" s="1"/>
  <c r="AH93" i="8" s="1"/>
  <c r="AJ93" i="8" s="1"/>
  <c r="AA93" i="8"/>
  <c r="AK93" i="8"/>
  <c r="AK60" i="8"/>
  <c r="AK61" i="8"/>
  <c r="AK92" i="8"/>
  <c r="AK58" i="8"/>
  <c r="AK59" i="8"/>
  <c r="AK45" i="8"/>
  <c r="AK46" i="8"/>
  <c r="AK87" i="8"/>
  <c r="G87" i="8" s="1"/>
  <c r="AG93" i="7"/>
  <c r="AG60" i="7"/>
  <c r="AG61" i="7"/>
  <c r="AG92" i="7"/>
  <c r="AG59" i="7"/>
  <c r="AG58" i="7"/>
  <c r="AG46" i="7"/>
  <c r="AG87" i="7"/>
  <c r="AB93" i="7"/>
  <c r="AD93" i="7" s="1"/>
  <c r="AF93" i="7" s="1"/>
  <c r="AH93" i="7" s="1"/>
  <c r="AJ93" i="7" s="1"/>
  <c r="AA93" i="7"/>
  <c r="X54" i="7"/>
  <c r="W54" i="7"/>
  <c r="W39" i="7"/>
  <c r="X39" i="7"/>
  <c r="W42" i="7"/>
  <c r="X42" i="7"/>
  <c r="V50" i="7"/>
  <c r="U50" i="7"/>
  <c r="AB92" i="1"/>
  <c r="AD92" i="1" s="1"/>
  <c r="AF92" i="1" s="1"/>
  <c r="AH92" i="1" s="1"/>
  <c r="AJ92" i="1" s="1"/>
  <c r="AA92" i="1"/>
  <c r="AI61" i="1"/>
  <c r="AI60" i="1"/>
  <c r="AI92" i="1"/>
  <c r="AA70" i="1"/>
  <c r="AB70" i="1"/>
  <c r="X62" i="9"/>
  <c r="W62" i="9"/>
  <c r="X60" i="9"/>
  <c r="W60" i="9"/>
  <c r="W137" i="9"/>
  <c r="X122" i="9"/>
  <c r="Z122" i="9" s="1"/>
  <c r="AB63" i="9"/>
  <c r="AD63" i="9" s="1"/>
  <c r="AF63" i="9" s="1"/>
  <c r="AH63" i="9" s="1"/>
  <c r="AJ63" i="9" s="1"/>
  <c r="AA63" i="9"/>
  <c r="X60" i="7"/>
  <c r="W60" i="7"/>
  <c r="V92" i="7"/>
  <c r="U92" i="7"/>
  <c r="Q43" i="17"/>
  <c r="R43" i="17"/>
  <c r="L49" i="17"/>
  <c r="O48" i="17"/>
  <c r="V45" i="17"/>
  <c r="U45" i="17"/>
  <c r="T46" i="17"/>
  <c r="S46" i="17"/>
  <c r="G41" i="17"/>
  <c r="E40" i="17"/>
  <c r="T44" i="17"/>
  <c r="S44" i="17"/>
  <c r="G49" i="17"/>
  <c r="E50" i="17"/>
  <c r="O42" i="17"/>
  <c r="L41" i="17"/>
  <c r="R47" i="17"/>
  <c r="Q47" i="17"/>
  <c r="X93" i="9"/>
  <c r="W93" i="9"/>
  <c r="V50" i="9"/>
  <c r="U50" i="9"/>
  <c r="X136" i="9"/>
  <c r="Y136" i="9" s="1"/>
  <c r="AI59" i="1"/>
  <c r="AI58" i="1"/>
  <c r="AI87" i="1"/>
  <c r="AI98" i="1"/>
  <c r="AI97" i="1"/>
  <c r="AI96" i="1"/>
  <c r="AB58" i="1"/>
  <c r="AD58" i="1" s="1"/>
  <c r="AF58" i="1" s="1"/>
  <c r="AH58" i="1" s="1"/>
  <c r="AJ58" i="1" s="1"/>
  <c r="AA58" i="1"/>
  <c r="AB60" i="18"/>
  <c r="AA60" i="18"/>
  <c r="AB59" i="1"/>
  <c r="AD59" i="1" s="1"/>
  <c r="AF59" i="1" s="1"/>
  <c r="AH59" i="1" s="1"/>
  <c r="AJ59" i="1" s="1"/>
  <c r="AA59" i="1"/>
  <c r="AB58" i="18"/>
  <c r="AD58" i="18" s="1"/>
  <c r="AF58" i="18" s="1"/>
  <c r="AH58" i="18" s="1"/>
  <c r="AA58" i="18"/>
  <c r="G58" i="18" s="1"/>
  <c r="X58" i="9"/>
  <c r="W58" i="9"/>
  <c r="W130" i="9"/>
  <c r="Z59" i="9"/>
  <c r="Y59" i="9"/>
  <c r="X59" i="8"/>
  <c r="W59" i="8"/>
  <c r="Z59" i="7"/>
  <c r="Y59" i="7"/>
  <c r="X58" i="7"/>
  <c r="W58" i="7"/>
  <c r="S131" i="9"/>
  <c r="T131" i="9"/>
  <c r="O37" i="17"/>
  <c r="AB61" i="18"/>
  <c r="AA61" i="18"/>
  <c r="T126" i="9"/>
  <c r="S126" i="9"/>
  <c r="I163" i="16"/>
  <c r="Q163" i="16"/>
  <c r="R163" i="16"/>
  <c r="T163" i="16" s="1"/>
  <c r="V163" i="16" s="1"/>
  <c r="X163" i="16" s="1"/>
  <c r="Z163" i="16" s="1"/>
  <c r="AB163" i="16" s="1"/>
  <c r="AD163" i="16" s="1"/>
  <c r="AF163" i="16" s="1"/>
  <c r="AH163" i="16" s="1"/>
  <c r="AJ163" i="16" s="1"/>
  <c r="H167" i="16"/>
  <c r="K166" i="16"/>
  <c r="O164" i="16"/>
  <c r="P164" i="16"/>
  <c r="N165" i="16"/>
  <c r="M165" i="16"/>
  <c r="AK146" i="16"/>
  <c r="I146" i="16" s="1"/>
  <c r="AK142" i="16"/>
  <c r="I142" i="16" s="1"/>
  <c r="AK138" i="16"/>
  <c r="I138" i="16" s="1"/>
  <c r="AK144" i="16"/>
  <c r="I144" i="16" s="1"/>
  <c r="AK140" i="16"/>
  <c r="I140" i="16" s="1"/>
  <c r="AK136" i="16"/>
  <c r="I136" i="16" s="1"/>
  <c r="AK145" i="16"/>
  <c r="I145" i="16" s="1"/>
  <c r="AK141" i="16"/>
  <c r="I141" i="16" s="1"/>
  <c r="AK137" i="16"/>
  <c r="I137" i="16" s="1"/>
  <c r="AK147" i="16"/>
  <c r="I147" i="16" s="1"/>
  <c r="AK139" i="16"/>
  <c r="I139" i="16" s="1"/>
  <c r="AK143" i="16"/>
  <c r="I143" i="16" s="1"/>
  <c r="AK135" i="16"/>
  <c r="I135" i="16" s="1"/>
  <c r="AK187" i="16"/>
  <c r="Y128" i="17"/>
  <c r="Z128" i="17"/>
  <c r="AB129" i="17"/>
  <c r="AA129" i="17"/>
  <c r="AG45" i="7"/>
  <c r="AG86" i="7"/>
  <c r="AI46" i="1"/>
  <c r="AI45" i="1"/>
  <c r="AG132" i="9"/>
  <c r="AG119" i="9"/>
  <c r="AG128" i="9"/>
  <c r="AG136" i="9"/>
  <c r="AG130" i="9"/>
  <c r="AG123" i="9"/>
  <c r="AG107" i="9"/>
  <c r="AG47" i="9"/>
  <c r="AG83" i="9"/>
  <c r="AG79" i="9"/>
  <c r="AG75" i="9"/>
  <c r="AG68" i="9"/>
  <c r="AG55" i="9"/>
  <c r="AG44" i="9"/>
  <c r="AG39" i="9"/>
  <c r="AG33" i="9"/>
  <c r="AI31" i="9"/>
  <c r="AG129" i="9"/>
  <c r="AG91" i="9"/>
  <c r="AG140" i="9"/>
  <c r="AG134" i="9"/>
  <c r="AG127" i="9"/>
  <c r="AG122" i="9"/>
  <c r="AG57" i="9"/>
  <c r="AG70" i="9"/>
  <c r="AG66" i="9"/>
  <c r="AG82" i="9"/>
  <c r="AG78" i="9"/>
  <c r="AG74" i="9"/>
  <c r="AG65" i="9"/>
  <c r="AG54" i="9"/>
  <c r="AG42" i="9"/>
  <c r="AG38" i="9"/>
  <c r="AG49" i="9"/>
  <c r="AG139" i="9"/>
  <c r="AG53" i="9"/>
  <c r="AG138" i="9"/>
  <c r="AG133" i="9"/>
  <c r="AG125" i="9"/>
  <c r="AG121" i="9"/>
  <c r="AG81" i="9"/>
  <c r="AG77" i="9"/>
  <c r="AG73" i="9"/>
  <c r="AG51" i="9"/>
  <c r="AG41" i="9"/>
  <c r="AG37" i="9"/>
  <c r="AG48" i="9"/>
  <c r="AG135" i="9"/>
  <c r="AG120" i="9"/>
  <c r="AG137" i="9"/>
  <c r="AG131" i="9"/>
  <c r="AG124" i="9"/>
  <c r="AG118" i="9"/>
  <c r="AG52" i="9"/>
  <c r="AG71" i="9"/>
  <c r="AG84" i="9"/>
  <c r="AG80" i="9"/>
  <c r="AG76" i="9"/>
  <c r="AG69" i="9"/>
  <c r="AG56" i="9"/>
  <c r="AG50" i="9"/>
  <c r="AG40" i="9"/>
  <c r="AG36" i="9"/>
  <c r="AG32" i="9"/>
  <c r="V132" i="9"/>
  <c r="U132" i="9"/>
  <c r="AK88" i="8"/>
  <c r="G88" i="8" s="1"/>
  <c r="AK86" i="8"/>
  <c r="G86" i="8" s="1"/>
  <c r="X129" i="9"/>
  <c r="W129" i="9"/>
  <c r="X139" i="9"/>
  <c r="W139" i="9"/>
  <c r="Z135" i="9"/>
  <c r="Y135" i="9"/>
  <c r="X119" i="9"/>
  <c r="W119" i="9"/>
  <c r="T113" i="17"/>
  <c r="S113" i="17"/>
  <c r="O36" i="17"/>
  <c r="O38" i="17"/>
  <c r="E83" i="17"/>
  <c r="G84" i="17"/>
  <c r="W31" i="17"/>
  <c r="X31" i="17"/>
  <c r="V88" i="17"/>
  <c r="U88" i="17"/>
  <c r="U112" i="17"/>
  <c r="V112" i="17"/>
  <c r="X108" i="17"/>
  <c r="W108" i="17"/>
  <c r="T71" i="17"/>
  <c r="S71" i="17"/>
  <c r="X121" i="17"/>
  <c r="W121" i="17"/>
  <c r="T87" i="17"/>
  <c r="S87" i="17"/>
  <c r="Q34" i="17"/>
  <c r="R34" i="17"/>
  <c r="U72" i="17"/>
  <c r="V72" i="17"/>
  <c r="U74" i="17"/>
  <c r="V74" i="17"/>
  <c r="G116" i="17"/>
  <c r="E117" i="17"/>
  <c r="U32" i="17"/>
  <c r="V32" i="17"/>
  <c r="U115" i="17"/>
  <c r="V115" i="17"/>
  <c r="E67" i="17"/>
  <c r="G67" i="17" s="1"/>
  <c r="G68" i="17"/>
  <c r="S116" i="17"/>
  <c r="T116" i="17"/>
  <c r="R70" i="17"/>
  <c r="Q70" i="17"/>
  <c r="V121" i="9"/>
  <c r="U121" i="9"/>
  <c r="X119" i="17"/>
  <c r="W119" i="17"/>
  <c r="T124" i="17"/>
  <c r="S124" i="17"/>
  <c r="T33" i="17"/>
  <c r="S33" i="17"/>
  <c r="Q118" i="17"/>
  <c r="R118" i="17"/>
  <c r="R76" i="17"/>
  <c r="Q76" i="17"/>
  <c r="X133" i="17"/>
  <c r="W133" i="17"/>
  <c r="O25" i="17"/>
  <c r="L24" i="17"/>
  <c r="O24" i="17" s="1"/>
  <c r="T89" i="17"/>
  <c r="S89" i="17"/>
  <c r="S123" i="17"/>
  <c r="T123" i="17"/>
  <c r="Q90" i="17"/>
  <c r="R90" i="17"/>
  <c r="Q86" i="17"/>
  <c r="R86" i="17"/>
  <c r="W29" i="17"/>
  <c r="X29" i="17"/>
  <c r="T75" i="17"/>
  <c r="S75" i="17"/>
  <c r="U134" i="17"/>
  <c r="V134" i="17"/>
  <c r="V133" i="9"/>
  <c r="U133" i="9"/>
  <c r="S114" i="17"/>
  <c r="T114" i="17"/>
  <c r="U28" i="17"/>
  <c r="V28" i="17"/>
  <c r="S27" i="17"/>
  <c r="T27" i="17"/>
  <c r="Y110" i="17"/>
  <c r="Z110" i="17"/>
  <c r="W111" i="17"/>
  <c r="X111" i="17"/>
  <c r="E93" i="17"/>
  <c r="G92" i="17"/>
  <c r="Z30" i="17"/>
  <c r="Y30" i="17"/>
  <c r="V132" i="17"/>
  <c r="U132" i="17"/>
  <c r="AA126" i="17"/>
  <c r="AB126" i="17"/>
  <c r="L68" i="17"/>
  <c r="O69" i="17"/>
  <c r="W73" i="17"/>
  <c r="X73" i="17"/>
  <c r="X109" i="17"/>
  <c r="W109" i="17"/>
  <c r="V125" i="17"/>
  <c r="U125" i="17"/>
  <c r="Q117" i="17"/>
  <c r="R117" i="17"/>
  <c r="AA127" i="17"/>
  <c r="AB127" i="17"/>
  <c r="L80" i="17"/>
  <c r="O78" i="17"/>
  <c r="U120" i="9"/>
  <c r="V120" i="9"/>
  <c r="Q26" i="17"/>
  <c r="R26" i="17"/>
  <c r="E79" i="17"/>
  <c r="G79" i="17" s="1"/>
  <c r="L79" i="17" s="1"/>
  <c r="O79" i="17" s="1"/>
  <c r="G80" i="17"/>
  <c r="E81" i="17"/>
  <c r="G81" i="17" s="1"/>
  <c r="O77" i="17"/>
  <c r="O91" i="17"/>
  <c r="L92" i="17"/>
  <c r="U122" i="17"/>
  <c r="V122" i="17"/>
  <c r="L84" i="17"/>
  <c r="O85" i="17"/>
  <c r="S120" i="17"/>
  <c r="T120" i="17"/>
  <c r="N56" i="16"/>
  <c r="M56" i="16"/>
  <c r="K61" i="16"/>
  <c r="AF29" i="16"/>
  <c r="AH29" i="16" s="1"/>
  <c r="AJ29" i="16" s="1"/>
  <c r="AE29" i="16"/>
  <c r="R52" i="16"/>
  <c r="Q52" i="16"/>
  <c r="K59" i="16"/>
  <c r="AE27" i="16"/>
  <c r="AF27" i="16"/>
  <c r="AH27" i="16" s="1"/>
  <c r="AJ27" i="16" s="1"/>
  <c r="R50" i="16"/>
  <c r="Q50" i="16"/>
  <c r="W41" i="16"/>
  <c r="X41" i="16"/>
  <c r="AA37" i="16"/>
  <c r="AB37" i="16"/>
  <c r="K57" i="16"/>
  <c r="AE31" i="16"/>
  <c r="AF31" i="16"/>
  <c r="AH31" i="16" s="1"/>
  <c r="AJ31" i="16" s="1"/>
  <c r="Y38" i="16"/>
  <c r="Z38" i="16"/>
  <c r="AA35" i="16"/>
  <c r="AB35" i="16"/>
  <c r="T45" i="16"/>
  <c r="S45" i="16"/>
  <c r="V42" i="16"/>
  <c r="U42" i="16"/>
  <c r="AD32" i="16"/>
  <c r="AC32" i="16"/>
  <c r="AA33" i="16"/>
  <c r="AB33" i="16"/>
  <c r="V46" i="16"/>
  <c r="U46" i="16"/>
  <c r="P53" i="16"/>
  <c r="O53" i="16"/>
  <c r="N58" i="16"/>
  <c r="M58" i="16"/>
  <c r="X43" i="16"/>
  <c r="W43" i="16"/>
  <c r="T47" i="16"/>
  <c r="S47" i="16"/>
  <c r="R48" i="16"/>
  <c r="Q48" i="16"/>
  <c r="Z36" i="16"/>
  <c r="Y36" i="16"/>
  <c r="Z40" i="16"/>
  <c r="Y40" i="16"/>
  <c r="T49" i="16"/>
  <c r="S49" i="16"/>
  <c r="AC30" i="16"/>
  <c r="AD30" i="16"/>
  <c r="U44" i="16"/>
  <c r="V44" i="16"/>
  <c r="M54" i="16"/>
  <c r="N54" i="16"/>
  <c r="W39" i="16"/>
  <c r="X39" i="16"/>
  <c r="AC34" i="16"/>
  <c r="AD34" i="16"/>
  <c r="P55" i="16"/>
  <c r="O55" i="16"/>
  <c r="P51" i="16"/>
  <c r="O51" i="16"/>
  <c r="AK132" i="16"/>
  <c r="AK130" i="16"/>
  <c r="AK125" i="16"/>
  <c r="AK124" i="16"/>
  <c r="AK109" i="16"/>
  <c r="AK98" i="16"/>
  <c r="AK96" i="16"/>
  <c r="AK93" i="16"/>
  <c r="AK77" i="16"/>
  <c r="AK75" i="16"/>
  <c r="AK72" i="16"/>
  <c r="AK70" i="16"/>
  <c r="AK131" i="16"/>
  <c r="AK129" i="16"/>
  <c r="AK128" i="16"/>
  <c r="AK119" i="16"/>
  <c r="AK118" i="16"/>
  <c r="AK117" i="16"/>
  <c r="AK116" i="16"/>
  <c r="AK111" i="16"/>
  <c r="AK107" i="16"/>
  <c r="AK105" i="16"/>
  <c r="AK103" i="16"/>
  <c r="AK100" i="16"/>
  <c r="AK94" i="16"/>
  <c r="AK91" i="16"/>
  <c r="AK89" i="16"/>
  <c r="AK88" i="16"/>
  <c r="AK73" i="16"/>
  <c r="AK68" i="16"/>
  <c r="AK114" i="16"/>
  <c r="AK108" i="16"/>
  <c r="AK106" i="16"/>
  <c r="AK102" i="16"/>
  <c r="AK101" i="16"/>
  <c r="AK97" i="16"/>
  <c r="AK95" i="16"/>
  <c r="AK83" i="16"/>
  <c r="AK82" i="16"/>
  <c r="AK76" i="16"/>
  <c r="AK59" i="16"/>
  <c r="AK56" i="16"/>
  <c r="AK53" i="16"/>
  <c r="AK50" i="16"/>
  <c r="AK45" i="16"/>
  <c r="AK42" i="16"/>
  <c r="AK38" i="16"/>
  <c r="AK34" i="16"/>
  <c r="AK28" i="16"/>
  <c r="I28" i="16" s="1"/>
  <c r="AK24" i="16"/>
  <c r="I24" i="16" s="1"/>
  <c r="AK20" i="16"/>
  <c r="I20" i="16" s="1"/>
  <c r="AK127" i="16"/>
  <c r="AK123" i="16"/>
  <c r="AK121" i="16"/>
  <c r="AK126" i="16"/>
  <c r="AK112" i="16"/>
  <c r="AK87" i="16"/>
  <c r="AK86" i="16"/>
  <c r="AK79" i="16"/>
  <c r="AK78" i="16"/>
  <c r="AK71" i="16"/>
  <c r="AK69" i="16"/>
  <c r="AK67" i="16"/>
  <c r="AK61" i="16"/>
  <c r="AK58" i="16"/>
  <c r="AK51" i="16"/>
  <c r="AK48" i="16"/>
  <c r="AK43" i="16"/>
  <c r="AK40" i="16"/>
  <c r="AK36" i="16"/>
  <c r="AK30" i="16"/>
  <c r="AK26" i="16"/>
  <c r="I26" i="16" s="1"/>
  <c r="AK22" i="16"/>
  <c r="I22" i="16" s="1"/>
  <c r="AK122" i="16"/>
  <c r="AK120" i="16"/>
  <c r="AK115" i="16"/>
  <c r="AK110" i="16"/>
  <c r="AK85" i="16"/>
  <c r="AK84" i="16"/>
  <c r="AK74" i="16"/>
  <c r="AK66" i="16"/>
  <c r="AK64" i="16"/>
  <c r="AK63" i="16"/>
  <c r="AK60" i="16"/>
  <c r="AK57" i="16"/>
  <c r="AK54" i="16"/>
  <c r="AK47" i="16"/>
  <c r="AK39" i="16"/>
  <c r="AK35" i="16"/>
  <c r="AK99" i="16"/>
  <c r="AK80" i="16"/>
  <c r="AK33" i="16"/>
  <c r="AK29" i="16"/>
  <c r="AK21" i="16"/>
  <c r="I21" i="16" s="1"/>
  <c r="AK52" i="16"/>
  <c r="AK49" i="16"/>
  <c r="AK46" i="16"/>
  <c r="AK41" i="16"/>
  <c r="AK90" i="16"/>
  <c r="AK27" i="16"/>
  <c r="AK19" i="16"/>
  <c r="I19" i="16" s="1"/>
  <c r="AK81" i="16"/>
  <c r="AK44" i="16"/>
  <c r="AK37" i="16"/>
  <c r="AK32" i="16"/>
  <c r="AK31" i="16"/>
  <c r="AK23" i="16"/>
  <c r="I23" i="16" s="1"/>
  <c r="AK113" i="16"/>
  <c r="AK104" i="16"/>
  <c r="AK92" i="16"/>
  <c r="AK25" i="16"/>
  <c r="I25" i="16" s="1"/>
  <c r="AK65" i="16"/>
  <c r="AK62" i="16"/>
  <c r="AK55" i="16"/>
  <c r="AK18" i="16"/>
  <c r="I18" i="16" s="1"/>
  <c r="AJ87" i="9"/>
  <c r="AJ86" i="1"/>
  <c r="AI86" i="1"/>
  <c r="W51" i="9"/>
  <c r="X51" i="9"/>
  <c r="Z51" i="7"/>
  <c r="AB51" i="7" s="1"/>
  <c r="AD51" i="7" s="1"/>
  <c r="AF51" i="7" s="1"/>
  <c r="AH51" i="7" s="1"/>
  <c r="AJ51" i="7" s="1"/>
  <c r="Y51" i="7"/>
  <c r="AG88" i="7"/>
  <c r="AG57" i="7"/>
  <c r="AE63" i="12"/>
  <c r="AE62" i="12"/>
  <c r="AE42" i="12"/>
  <c r="AE41" i="12"/>
  <c r="AE24" i="12"/>
  <c r="AE51" i="12"/>
  <c r="AE50" i="12"/>
  <c r="AE49" i="12"/>
  <c r="AE61" i="12"/>
  <c r="AE60" i="12"/>
  <c r="AE23" i="12"/>
  <c r="AE48" i="12"/>
  <c r="AE54" i="12"/>
  <c r="AE59" i="12"/>
  <c r="AE58" i="12"/>
  <c r="AE57" i="12"/>
  <c r="AE56" i="12"/>
  <c r="AE55" i="12"/>
  <c r="AE47" i="12"/>
  <c r="AE46" i="12"/>
  <c r="AE45" i="12"/>
  <c r="AE53" i="12"/>
  <c r="AE64" i="12"/>
  <c r="AE52" i="12"/>
  <c r="AE43" i="12"/>
  <c r="AE66" i="12"/>
  <c r="AE44" i="12"/>
  <c r="AF89" i="9"/>
  <c r="AE89" i="9"/>
  <c r="AI83" i="1"/>
  <c r="AI57" i="1"/>
  <c r="AI62" i="1"/>
  <c r="AI53" i="1"/>
  <c r="AI52" i="1"/>
  <c r="AA90" i="1"/>
  <c r="AB90" i="1"/>
  <c r="Y62" i="1"/>
  <c r="Z62" i="1"/>
  <c r="AB62" i="1" s="1"/>
  <c r="AD62" i="1" s="1"/>
  <c r="AF62" i="1" s="1"/>
  <c r="AH62" i="1" s="1"/>
  <c r="AJ62" i="1" s="1"/>
  <c r="AF83" i="1"/>
  <c r="AH83" i="1" s="1"/>
  <c r="AJ83" i="1" s="1"/>
  <c r="AE83" i="1"/>
  <c r="AF90" i="7"/>
  <c r="AE90" i="7"/>
  <c r="Z128" i="9"/>
  <c r="Y128" i="9"/>
  <c r="Y123" i="9"/>
  <c r="Z123" i="9"/>
  <c r="Z118" i="9"/>
  <c r="Y118" i="9"/>
  <c r="Z127" i="9"/>
  <c r="Y127" i="9"/>
  <c r="Z134" i="9"/>
  <c r="Y134" i="9"/>
  <c r="Z140" i="9"/>
  <c r="Y140" i="9"/>
  <c r="Z125" i="9"/>
  <c r="Y125" i="9"/>
  <c r="Z138" i="9"/>
  <c r="Y138" i="9"/>
  <c r="Z124" i="9"/>
  <c r="Y124" i="9"/>
  <c r="Z137" i="9"/>
  <c r="Y137" i="9"/>
  <c r="Z130" i="9"/>
  <c r="Y130" i="9"/>
  <c r="Y108" i="9"/>
  <c r="Z108" i="9"/>
  <c r="Y71" i="9"/>
  <c r="Z71" i="9"/>
  <c r="AE36" i="12"/>
  <c r="AE35" i="12"/>
  <c r="AE34" i="12"/>
  <c r="AE33" i="12"/>
  <c r="AE32" i="12"/>
  <c r="AE31" i="12"/>
  <c r="AE26" i="12"/>
  <c r="AE22" i="12"/>
  <c r="AE21" i="12"/>
  <c r="AE40" i="12"/>
  <c r="AE39" i="12"/>
  <c r="AE38" i="12"/>
  <c r="AE37" i="12"/>
  <c r="AE30" i="12"/>
  <c r="AE29" i="12"/>
  <c r="AE28" i="12"/>
  <c r="AE27" i="12"/>
  <c r="AE25" i="12"/>
  <c r="AE17" i="12"/>
  <c r="AG16" i="12"/>
  <c r="AE18" i="12"/>
  <c r="AF107" i="9"/>
  <c r="AH107" i="9" s="1"/>
  <c r="AJ107" i="9" s="1"/>
  <c r="AE107" i="9"/>
  <c r="AK57" i="8"/>
  <c r="AK62" i="8"/>
  <c r="AK52" i="8"/>
  <c r="AK53" i="8"/>
  <c r="AF96" i="8"/>
  <c r="AE96" i="8"/>
  <c r="AG53" i="7"/>
  <c r="AG62" i="7"/>
  <c r="AG52" i="7"/>
  <c r="Z62" i="7"/>
  <c r="AB62" i="7" s="1"/>
  <c r="AD62" i="7" s="1"/>
  <c r="AF62" i="7" s="1"/>
  <c r="AH62" i="7" s="1"/>
  <c r="AJ62" i="7" s="1"/>
  <c r="Y62" i="7"/>
  <c r="Z41" i="8"/>
  <c r="Y41" i="8"/>
  <c r="AK70" i="8"/>
  <c r="AK69" i="8"/>
  <c r="AG70" i="7"/>
  <c r="AG69" i="7"/>
  <c r="Y35" i="7"/>
  <c r="Z35" i="7"/>
  <c r="AB69" i="1"/>
  <c r="AA69" i="1"/>
  <c r="Z50" i="1"/>
  <c r="AB50" i="1" s="1"/>
  <c r="AD50" i="1" s="1"/>
  <c r="AF50" i="1" s="1"/>
  <c r="AH50" i="1" s="1"/>
  <c r="AJ50" i="1" s="1"/>
  <c r="Y50" i="1"/>
  <c r="Z39" i="1"/>
  <c r="Y39" i="1"/>
  <c r="Z37" i="1"/>
  <c r="AB37" i="1" s="1"/>
  <c r="AD37" i="1" s="1"/>
  <c r="AF37" i="1" s="1"/>
  <c r="AH37" i="1" s="1"/>
  <c r="AJ37" i="1" s="1"/>
  <c r="Y37" i="1"/>
  <c r="Z42" i="1"/>
  <c r="Y42" i="1"/>
  <c r="Z49" i="1"/>
  <c r="AB49" i="1" s="1"/>
  <c r="AD49" i="1" s="1"/>
  <c r="AF49" i="1" s="1"/>
  <c r="AH49" i="1" s="1"/>
  <c r="AJ49" i="1" s="1"/>
  <c r="Y49" i="1"/>
  <c r="Z54" i="1"/>
  <c r="AB54" i="1" s="1"/>
  <c r="AD54" i="1" s="1"/>
  <c r="AF54" i="1" s="1"/>
  <c r="AH54" i="1" s="1"/>
  <c r="AJ54" i="1" s="1"/>
  <c r="Y54" i="1"/>
  <c r="AB63" i="1"/>
  <c r="AD63" i="1" s="1"/>
  <c r="AF63" i="1" s="1"/>
  <c r="AH63" i="1" s="1"/>
  <c r="AJ63" i="1" s="1"/>
  <c r="AA63" i="1"/>
  <c r="AB66" i="1"/>
  <c r="AD66" i="1" s="1"/>
  <c r="AF66" i="1" s="1"/>
  <c r="AH66" i="1" s="1"/>
  <c r="AJ66" i="1" s="1"/>
  <c r="AA66" i="1"/>
  <c r="AB65" i="1"/>
  <c r="AD65" i="1" s="1"/>
  <c r="AF65" i="1" s="1"/>
  <c r="AH65" i="1" s="1"/>
  <c r="AJ65" i="1" s="1"/>
  <c r="AA65" i="1"/>
  <c r="AB64" i="1"/>
  <c r="AA64" i="1"/>
  <c r="AB40" i="1"/>
  <c r="AA40" i="1"/>
  <c r="AB67" i="1"/>
  <c r="AA67" i="1"/>
  <c r="Z36" i="1"/>
  <c r="Y36" i="1"/>
  <c r="AD68" i="1"/>
  <c r="AC68" i="1"/>
  <c r="AB35" i="1"/>
  <c r="AA35" i="1"/>
  <c r="AD41" i="1"/>
  <c r="AC41" i="1"/>
  <c r="AB34" i="1"/>
  <c r="AA34" i="1"/>
  <c r="AI88" i="1"/>
  <c r="AI70" i="1"/>
  <c r="AI69" i="1"/>
  <c r="AK31" i="1"/>
  <c r="AI41" i="1"/>
  <c r="AI56" i="1"/>
  <c r="AI73" i="1"/>
  <c r="AI79" i="1"/>
  <c r="AI32" i="1"/>
  <c r="AI36" i="1"/>
  <c r="AI38" i="1"/>
  <c r="AI40" i="1"/>
  <c r="AI42" i="1"/>
  <c r="AI47" i="1"/>
  <c r="AI49" i="1"/>
  <c r="AI51" i="1"/>
  <c r="AI55" i="1"/>
  <c r="AI63" i="1"/>
  <c r="AI65" i="1"/>
  <c r="AI67" i="1"/>
  <c r="AI72" i="1"/>
  <c r="AI74" i="1"/>
  <c r="AI76" i="1"/>
  <c r="AI78" i="1"/>
  <c r="AI80" i="1"/>
  <c r="AI82" i="1"/>
  <c r="AI33" i="1"/>
  <c r="AI37" i="1"/>
  <c r="AI39" i="1"/>
  <c r="AI44" i="1"/>
  <c r="AI48" i="1"/>
  <c r="AI50" i="1"/>
  <c r="AI54" i="1"/>
  <c r="AI64" i="1"/>
  <c r="AI66" i="1"/>
  <c r="AI68" i="1"/>
  <c r="AI75" i="1"/>
  <c r="AI77" i="1"/>
  <c r="AI81" i="1"/>
  <c r="AC70" i="9"/>
  <c r="AD70" i="9"/>
  <c r="AD69" i="8"/>
  <c r="AC69" i="8"/>
  <c r="AC70" i="8"/>
  <c r="AD70" i="8"/>
  <c r="AD70" i="7"/>
  <c r="AC70" i="7"/>
  <c r="AA69" i="7"/>
  <c r="AB69" i="7"/>
  <c r="AD32" i="9"/>
  <c r="AC32" i="9"/>
  <c r="Z38" i="1"/>
  <c r="AB38" i="1" s="1"/>
  <c r="AD38" i="1" s="1"/>
  <c r="AF38" i="1" s="1"/>
  <c r="AH38" i="1" s="1"/>
  <c r="AJ38" i="1" s="1"/>
  <c r="Y38" i="1"/>
  <c r="Z39" i="9"/>
  <c r="Y39" i="9"/>
  <c r="Z54" i="9"/>
  <c r="AB54" i="9" s="1"/>
  <c r="AD54" i="9" s="1"/>
  <c r="AF54" i="9" s="1"/>
  <c r="AH54" i="9" s="1"/>
  <c r="AJ54" i="9" s="1"/>
  <c r="Y54" i="9"/>
  <c r="Z37" i="9"/>
  <c r="AB37" i="9" s="1"/>
  <c r="AD37" i="9" s="1"/>
  <c r="AF37" i="9" s="1"/>
  <c r="AH37" i="9" s="1"/>
  <c r="AJ37" i="9" s="1"/>
  <c r="Y37" i="9"/>
  <c r="Z42" i="9"/>
  <c r="Y42" i="9"/>
  <c r="Z36" i="9"/>
  <c r="Y36" i="9"/>
  <c r="Z38" i="9"/>
  <c r="AB38" i="9" s="1"/>
  <c r="AD38" i="9" s="1"/>
  <c r="AF38" i="9" s="1"/>
  <c r="AH38" i="9" s="1"/>
  <c r="AJ38" i="9" s="1"/>
  <c r="Y38" i="9"/>
  <c r="AD68" i="9"/>
  <c r="AF68" i="9" s="1"/>
  <c r="AH68" i="9" s="1"/>
  <c r="AJ68" i="9" s="1"/>
  <c r="AC68" i="9"/>
  <c r="AB35" i="9"/>
  <c r="AA35" i="9"/>
  <c r="Z49" i="9"/>
  <c r="AB49" i="9" s="1"/>
  <c r="AD49" i="9" s="1"/>
  <c r="AF49" i="9" s="1"/>
  <c r="AH49" i="9" s="1"/>
  <c r="AJ49" i="9" s="1"/>
  <c r="Y49" i="9"/>
  <c r="AB65" i="9"/>
  <c r="AD65" i="9" s="1"/>
  <c r="AF65" i="9" s="1"/>
  <c r="AH65" i="9" s="1"/>
  <c r="AJ65" i="9" s="1"/>
  <c r="AA65" i="9"/>
  <c r="AB69" i="9"/>
  <c r="AA69" i="9"/>
  <c r="AB64" i="9"/>
  <c r="AA64" i="9"/>
  <c r="AB40" i="9"/>
  <c r="AA40" i="9"/>
  <c r="AB34" i="9"/>
  <c r="AA34" i="9"/>
  <c r="AF32" i="8"/>
  <c r="AH32" i="8" s="1"/>
  <c r="AJ32" i="8" s="1"/>
  <c r="AE32" i="8"/>
  <c r="AK66" i="8"/>
  <c r="AK83" i="8"/>
  <c r="G83" i="8" s="1"/>
  <c r="AK82" i="8"/>
  <c r="G82" i="8" s="1"/>
  <c r="AK81" i="8"/>
  <c r="G81" i="8" s="1"/>
  <c r="AK80" i="8"/>
  <c r="G80" i="8" s="1"/>
  <c r="AK79" i="8"/>
  <c r="G79" i="8" s="1"/>
  <c r="AK78" i="8"/>
  <c r="G78" i="8" s="1"/>
  <c r="AK77" i="8"/>
  <c r="G77" i="8" s="1"/>
  <c r="AK76" i="8"/>
  <c r="G76" i="8" s="1"/>
  <c r="AK75" i="8"/>
  <c r="G75" i="8" s="1"/>
  <c r="AK74" i="8"/>
  <c r="G74" i="8" s="1"/>
  <c r="AK73" i="8"/>
  <c r="G73" i="8" s="1"/>
  <c r="AK72" i="8"/>
  <c r="G72" i="8" s="1"/>
  <c r="AK68" i="8"/>
  <c r="AK67" i="8"/>
  <c r="AK65" i="8"/>
  <c r="AK64" i="8"/>
  <c r="AK49" i="8"/>
  <c r="AK48" i="8"/>
  <c r="AK63" i="8"/>
  <c r="AK56" i="8"/>
  <c r="AK55" i="8"/>
  <c r="AK54" i="8"/>
  <c r="AK51" i="8"/>
  <c r="AK50" i="8"/>
  <c r="AK47" i="8"/>
  <c r="AK44" i="8"/>
  <c r="AK42" i="8"/>
  <c r="AK41" i="8"/>
  <c r="AK40" i="8"/>
  <c r="AK39" i="8"/>
  <c r="AK38" i="8"/>
  <c r="AK37" i="8"/>
  <c r="AK36" i="8"/>
  <c r="AK33" i="8"/>
  <c r="G33" i="8" s="1"/>
  <c r="AK32" i="8"/>
  <c r="AG66" i="7"/>
  <c r="AG83" i="7"/>
  <c r="AG82" i="7"/>
  <c r="AG81" i="7"/>
  <c r="AG80" i="7"/>
  <c r="AG79" i="7"/>
  <c r="AG78" i="7"/>
  <c r="AG77" i="7"/>
  <c r="AG76" i="7"/>
  <c r="AG75" i="7"/>
  <c r="AG74" i="7"/>
  <c r="AG73" i="7"/>
  <c r="AG72" i="7"/>
  <c r="AG68" i="7"/>
  <c r="AG67" i="7"/>
  <c r="AG65" i="7"/>
  <c r="AG49" i="7"/>
  <c r="AG48" i="7"/>
  <c r="AG63" i="7"/>
  <c r="AG56" i="7"/>
  <c r="AG55" i="7"/>
  <c r="AG54" i="7"/>
  <c r="AG51" i="7"/>
  <c r="AG50" i="7"/>
  <c r="AG47" i="7"/>
  <c r="AG44" i="7"/>
  <c r="AG42" i="7"/>
  <c r="AG41" i="7"/>
  <c r="AG40" i="7"/>
  <c r="AG39" i="7"/>
  <c r="AG38" i="7"/>
  <c r="AG37" i="7"/>
  <c r="AG36" i="7"/>
  <c r="AG34" i="7"/>
  <c r="AG33" i="7"/>
  <c r="AI31" i="7"/>
  <c r="AG32" i="7"/>
  <c r="AD67" i="7"/>
  <c r="AF67" i="7" s="1"/>
  <c r="AH67" i="7" s="1"/>
  <c r="AJ67" i="7" s="1"/>
  <c r="AC67" i="7"/>
  <c r="AD40" i="7"/>
  <c r="AC40" i="7"/>
  <c r="AD68" i="7"/>
  <c r="AC68" i="7"/>
  <c r="AB41" i="7"/>
  <c r="AA41" i="7"/>
  <c r="AB36" i="7"/>
  <c r="AD36" i="7" s="1"/>
  <c r="AF36" i="7" s="1"/>
  <c r="AH36" i="7" s="1"/>
  <c r="AJ36" i="7" s="1"/>
  <c r="AA36" i="7"/>
  <c r="G67" i="9" l="1"/>
  <c r="AD67" i="9"/>
  <c r="AF67" i="9" s="1"/>
  <c r="AH67" i="9" s="1"/>
  <c r="AJ67" i="9" s="1"/>
  <c r="AC67" i="9"/>
  <c r="AF64" i="7"/>
  <c r="AE64" i="7"/>
  <c r="AA115" i="9"/>
  <c r="AB115" i="9"/>
  <c r="AD64" i="1"/>
  <c r="AC64" i="1"/>
  <c r="AC113" i="9"/>
  <c r="AD113" i="9"/>
  <c r="V59" i="26"/>
  <c r="U59" i="26"/>
  <c r="X41" i="26"/>
  <c r="W41" i="26"/>
  <c r="AB114" i="9"/>
  <c r="AA114" i="9"/>
  <c r="AB104" i="9"/>
  <c r="AD104" i="9" s="1"/>
  <c r="AF104" i="9" s="1"/>
  <c r="AH104" i="9" s="1"/>
  <c r="AJ104" i="9" s="1"/>
  <c r="AA104" i="9"/>
  <c r="G104" i="9" s="1"/>
  <c r="AD64" i="9"/>
  <c r="AC64" i="9"/>
  <c r="Z41" i="24"/>
  <c r="Y41" i="24"/>
  <c r="AK93" i="1"/>
  <c r="G93" i="1" s="1"/>
  <c r="AK84" i="1"/>
  <c r="G84" i="1" s="1"/>
  <c r="AK85" i="1"/>
  <c r="AK43" i="1"/>
  <c r="G43" i="1" s="1"/>
  <c r="AD70" i="24"/>
  <c r="AC70" i="24"/>
  <c r="AD85" i="7"/>
  <c r="AC85" i="7"/>
  <c r="AD85" i="8"/>
  <c r="AC85" i="8"/>
  <c r="AD85" i="1"/>
  <c r="AC85" i="1"/>
  <c r="AD86" i="9"/>
  <c r="AC86" i="9"/>
  <c r="AB43" i="9"/>
  <c r="AD43" i="9" s="1"/>
  <c r="AF43" i="9" s="1"/>
  <c r="AH43" i="9" s="1"/>
  <c r="AJ43" i="9" s="1"/>
  <c r="AA43" i="9"/>
  <c r="G43" i="9" s="1"/>
  <c r="Z43" i="7"/>
  <c r="Y43" i="7"/>
  <c r="AD66" i="21"/>
  <c r="AF66" i="21" s="1"/>
  <c r="AH66" i="21" s="1"/>
  <c r="AJ66" i="21" s="1"/>
  <c r="AC66" i="21"/>
  <c r="G66" i="21" s="1"/>
  <c r="Y41" i="21"/>
  <c r="Z41" i="21"/>
  <c r="AD68" i="21"/>
  <c r="AC68" i="21"/>
  <c r="AA69" i="21"/>
  <c r="AB69" i="21"/>
  <c r="AB37" i="18"/>
  <c r="AA37" i="18"/>
  <c r="AB58" i="21"/>
  <c r="AD58" i="21" s="1"/>
  <c r="AF58" i="21" s="1"/>
  <c r="AH58" i="21" s="1"/>
  <c r="AJ58" i="21" s="1"/>
  <c r="AA58" i="21"/>
  <c r="G58" i="21" s="1"/>
  <c r="AI100" i="9"/>
  <c r="AI101" i="9"/>
  <c r="AE96" i="21"/>
  <c r="AF96" i="21"/>
  <c r="T101" i="9"/>
  <c r="S101" i="9"/>
  <c r="AF95" i="21"/>
  <c r="AH95" i="21" s="1"/>
  <c r="AJ95" i="21" s="1"/>
  <c r="AE95" i="21"/>
  <c r="G95" i="21" s="1"/>
  <c r="V100" i="9"/>
  <c r="U100" i="9"/>
  <c r="T99" i="9"/>
  <c r="S99" i="9"/>
  <c r="T98" i="9"/>
  <c r="S98" i="9"/>
  <c r="AI87" i="9"/>
  <c r="AD130" i="17"/>
  <c r="AC130" i="17"/>
  <c r="AD3" i="17"/>
  <c r="AC3" i="17"/>
  <c r="AB131" i="17"/>
  <c r="AA131" i="17"/>
  <c r="AE35" i="17"/>
  <c r="AF35" i="17"/>
  <c r="L65" i="17"/>
  <c r="O64" i="17"/>
  <c r="R55" i="17"/>
  <c r="Q55" i="17"/>
  <c r="V61" i="17"/>
  <c r="U61" i="17"/>
  <c r="E66" i="17"/>
  <c r="G66" i="17" s="1"/>
  <c r="G65" i="17"/>
  <c r="W60" i="17"/>
  <c r="X60" i="17"/>
  <c r="S62" i="17"/>
  <c r="T62" i="17"/>
  <c r="V57" i="17"/>
  <c r="U57" i="17"/>
  <c r="Z59" i="17"/>
  <c r="Y59" i="17"/>
  <c r="W58" i="17"/>
  <c r="X58" i="17"/>
  <c r="T56" i="17"/>
  <c r="S56" i="17"/>
  <c r="R63" i="17"/>
  <c r="Q63" i="17"/>
  <c r="O54" i="17"/>
  <c r="L53" i="17"/>
  <c r="O53" i="17" s="1"/>
  <c r="AI94" i="9"/>
  <c r="AI60" i="9"/>
  <c r="AI61" i="9"/>
  <c r="AI62" i="9"/>
  <c r="AI63" i="9"/>
  <c r="AI59" i="9"/>
  <c r="AI58" i="9"/>
  <c r="AI93" i="9"/>
  <c r="AI45" i="9"/>
  <c r="AI46" i="9"/>
  <c r="AI126" i="9"/>
  <c r="AI88" i="9"/>
  <c r="Y122" i="9"/>
  <c r="G93" i="8"/>
  <c r="AI93" i="7"/>
  <c r="AI60" i="7"/>
  <c r="AI61" i="7"/>
  <c r="AI92" i="7"/>
  <c r="AI58" i="7"/>
  <c r="AI59" i="7"/>
  <c r="AI46" i="7"/>
  <c r="AI87" i="7"/>
  <c r="Y39" i="7"/>
  <c r="Z39" i="7"/>
  <c r="Z42" i="7"/>
  <c r="Y42" i="7"/>
  <c r="X50" i="7"/>
  <c r="W50" i="7"/>
  <c r="Y54" i="7"/>
  <c r="Z54" i="7"/>
  <c r="AB54" i="7" s="1"/>
  <c r="AD54" i="7" s="1"/>
  <c r="AF54" i="7" s="1"/>
  <c r="AH54" i="7" s="1"/>
  <c r="AJ54" i="7" s="1"/>
  <c r="AC70" i="1"/>
  <c r="AD70" i="1"/>
  <c r="AK61" i="1"/>
  <c r="G61" i="1" s="1"/>
  <c r="AK60" i="1"/>
  <c r="G60" i="1" s="1"/>
  <c r="AK92" i="1"/>
  <c r="G92" i="1" s="1"/>
  <c r="Z136" i="9"/>
  <c r="AB136" i="9" s="1"/>
  <c r="Z60" i="9"/>
  <c r="AB60" i="9" s="1"/>
  <c r="AD60" i="9" s="1"/>
  <c r="AF60" i="9" s="1"/>
  <c r="AH60" i="9" s="1"/>
  <c r="AJ60" i="9" s="1"/>
  <c r="Y60" i="9"/>
  <c r="Z62" i="9"/>
  <c r="AB62" i="9" s="1"/>
  <c r="AD62" i="9" s="1"/>
  <c r="AF62" i="9" s="1"/>
  <c r="AH62" i="9" s="1"/>
  <c r="AJ62" i="9" s="1"/>
  <c r="Y62" i="9"/>
  <c r="Z60" i="7"/>
  <c r="AB60" i="7" s="1"/>
  <c r="AD60" i="7" s="1"/>
  <c r="AF60" i="7" s="1"/>
  <c r="AH60" i="7" s="1"/>
  <c r="AJ60" i="7" s="1"/>
  <c r="Y60" i="7"/>
  <c r="X92" i="7"/>
  <c r="W92" i="7"/>
  <c r="S47" i="17"/>
  <c r="T47" i="17"/>
  <c r="L50" i="17"/>
  <c r="O49" i="17"/>
  <c r="L40" i="17"/>
  <c r="O41" i="17"/>
  <c r="T43" i="17"/>
  <c r="S43" i="17"/>
  <c r="E51" i="17"/>
  <c r="G50" i="17"/>
  <c r="E39" i="17"/>
  <c r="G39" i="17" s="1"/>
  <c r="G40" i="17"/>
  <c r="Q48" i="17"/>
  <c r="R48" i="17"/>
  <c r="W45" i="17"/>
  <c r="X45" i="17"/>
  <c r="R42" i="17"/>
  <c r="Q42" i="17"/>
  <c r="V44" i="17"/>
  <c r="U44" i="17"/>
  <c r="U46" i="17"/>
  <c r="V46" i="17"/>
  <c r="Z93" i="9"/>
  <c r="Y93" i="9"/>
  <c r="X50" i="9"/>
  <c r="W50" i="9"/>
  <c r="AK58" i="1"/>
  <c r="G58" i="1" s="1"/>
  <c r="AK59" i="1"/>
  <c r="G59" i="1" s="1"/>
  <c r="AK87" i="1"/>
  <c r="G87" i="1" s="1"/>
  <c r="AK98" i="1"/>
  <c r="G98" i="1" s="1"/>
  <c r="AK96" i="1"/>
  <c r="G96" i="1" s="1"/>
  <c r="AK97" i="1"/>
  <c r="G97" i="1" s="1"/>
  <c r="AD60" i="18"/>
  <c r="AF60" i="18" s="1"/>
  <c r="AH60" i="18" s="1"/>
  <c r="AC60" i="18"/>
  <c r="G60" i="18" s="1"/>
  <c r="Z58" i="9"/>
  <c r="Y58" i="9"/>
  <c r="AB59" i="9"/>
  <c r="AD59" i="9" s="1"/>
  <c r="AF59" i="9" s="1"/>
  <c r="AH59" i="9" s="1"/>
  <c r="AJ59" i="9" s="1"/>
  <c r="AA59" i="9"/>
  <c r="Z59" i="8"/>
  <c r="Y59" i="8"/>
  <c r="AB59" i="7"/>
  <c r="AD59" i="7" s="1"/>
  <c r="AF59" i="7" s="1"/>
  <c r="AH59" i="7" s="1"/>
  <c r="AJ59" i="7" s="1"/>
  <c r="AA59" i="7"/>
  <c r="Z58" i="7"/>
  <c r="Y58" i="7"/>
  <c r="U131" i="9"/>
  <c r="V131" i="9"/>
  <c r="R37" i="17"/>
  <c r="Q37" i="17"/>
  <c r="AC61" i="18"/>
  <c r="G61" i="18" s="1"/>
  <c r="AD61" i="18"/>
  <c r="AF61" i="18" s="1"/>
  <c r="AH61" i="18" s="1"/>
  <c r="U126" i="9"/>
  <c r="V126" i="9"/>
  <c r="H168" i="16"/>
  <c r="K167" i="16"/>
  <c r="Q164" i="16"/>
  <c r="I164" i="16" s="1"/>
  <c r="R164" i="16"/>
  <c r="T164" i="16" s="1"/>
  <c r="V164" i="16" s="1"/>
  <c r="X164" i="16" s="1"/>
  <c r="Z164" i="16" s="1"/>
  <c r="AB164" i="16" s="1"/>
  <c r="AD164" i="16" s="1"/>
  <c r="AF164" i="16" s="1"/>
  <c r="AH164" i="16" s="1"/>
  <c r="AJ164" i="16" s="1"/>
  <c r="O165" i="16"/>
  <c r="P165" i="16"/>
  <c r="N166" i="16"/>
  <c r="M166" i="16"/>
  <c r="AA128" i="17"/>
  <c r="AB128" i="17"/>
  <c r="AC129" i="17"/>
  <c r="AD129" i="17"/>
  <c r="AI45" i="7"/>
  <c r="AI86" i="7"/>
  <c r="AK45" i="1"/>
  <c r="G45" i="1" s="1"/>
  <c r="AK46" i="1"/>
  <c r="G46" i="1" s="1"/>
  <c r="AK86" i="1"/>
  <c r="G86" i="1" s="1"/>
  <c r="AI132" i="9"/>
  <c r="AI139" i="9"/>
  <c r="AI120" i="9"/>
  <c r="AI137" i="9"/>
  <c r="AI131" i="9"/>
  <c r="AI124" i="9"/>
  <c r="AI118" i="9"/>
  <c r="AI53" i="9"/>
  <c r="AI70" i="9"/>
  <c r="AI84" i="9"/>
  <c r="AI80" i="9"/>
  <c r="AI76" i="9"/>
  <c r="AI69" i="9"/>
  <c r="AI55" i="9"/>
  <c r="AI44" i="9"/>
  <c r="AI39" i="9"/>
  <c r="AI33" i="9"/>
  <c r="AI32" i="9"/>
  <c r="AI135" i="9"/>
  <c r="AI128" i="9"/>
  <c r="AI136" i="9"/>
  <c r="AI130" i="9"/>
  <c r="AI123" i="9"/>
  <c r="AI107" i="9"/>
  <c r="AI83" i="9"/>
  <c r="AI79" i="9"/>
  <c r="AI75" i="9"/>
  <c r="AI68" i="9"/>
  <c r="AI54" i="9"/>
  <c r="AI42" i="9"/>
  <c r="AI38" i="9"/>
  <c r="AI56" i="9"/>
  <c r="AK31" i="9"/>
  <c r="AI119" i="9"/>
  <c r="AI140" i="9"/>
  <c r="AI134" i="9"/>
  <c r="AI127" i="9"/>
  <c r="AI122" i="9"/>
  <c r="AI57" i="9"/>
  <c r="AI71" i="9"/>
  <c r="AI66" i="9"/>
  <c r="AI82" i="9"/>
  <c r="AI78" i="9"/>
  <c r="AI74" i="9"/>
  <c r="AI65" i="9"/>
  <c r="AI51" i="9"/>
  <c r="AI41" i="9"/>
  <c r="AI37" i="9"/>
  <c r="AI49" i="9"/>
  <c r="AI129" i="9"/>
  <c r="AI91" i="9"/>
  <c r="AI138" i="9"/>
  <c r="AI133" i="9"/>
  <c r="AI125" i="9"/>
  <c r="AI121" i="9"/>
  <c r="AI52" i="9"/>
  <c r="AI47" i="9"/>
  <c r="AI81" i="9"/>
  <c r="AI77" i="9"/>
  <c r="AI73" i="9"/>
  <c r="AI64" i="9"/>
  <c r="AI50" i="9"/>
  <c r="AI40" i="9"/>
  <c r="AI36" i="9"/>
  <c r="AI48" i="9"/>
  <c r="X132" i="9"/>
  <c r="W132" i="9"/>
  <c r="Z129" i="9"/>
  <c r="Y129" i="9"/>
  <c r="Z139" i="9"/>
  <c r="Y139" i="9"/>
  <c r="AB135" i="9"/>
  <c r="AA135" i="9"/>
  <c r="Z119" i="9"/>
  <c r="Y119" i="9"/>
  <c r="R79" i="17"/>
  <c r="Q79" i="17"/>
  <c r="W122" i="17"/>
  <c r="X122" i="17"/>
  <c r="T26" i="17"/>
  <c r="S26" i="17"/>
  <c r="R69" i="17"/>
  <c r="Q69" i="17"/>
  <c r="U114" i="17"/>
  <c r="V114" i="17"/>
  <c r="Z29" i="17"/>
  <c r="Y29" i="17"/>
  <c r="S90" i="17"/>
  <c r="T90" i="17"/>
  <c r="R25" i="17"/>
  <c r="Q25" i="17"/>
  <c r="T76" i="17"/>
  <c r="S76" i="17"/>
  <c r="Y119" i="17"/>
  <c r="Z119" i="17"/>
  <c r="T70" i="17"/>
  <c r="S70" i="17"/>
  <c r="V87" i="17"/>
  <c r="U87" i="17"/>
  <c r="X112" i="17"/>
  <c r="W112" i="17"/>
  <c r="Q38" i="17"/>
  <c r="R38" i="17"/>
  <c r="L67" i="17"/>
  <c r="O67" i="17" s="1"/>
  <c r="O68" i="17"/>
  <c r="T118" i="17"/>
  <c r="S118" i="17"/>
  <c r="U116" i="17"/>
  <c r="V116" i="17"/>
  <c r="X32" i="17"/>
  <c r="W32" i="17"/>
  <c r="T34" i="17"/>
  <c r="S34" i="17"/>
  <c r="V71" i="17"/>
  <c r="U71" i="17"/>
  <c r="Q36" i="17"/>
  <c r="R36" i="17"/>
  <c r="R85" i="17"/>
  <c r="Q85" i="17"/>
  <c r="L93" i="17"/>
  <c r="O92" i="17"/>
  <c r="X120" i="9"/>
  <c r="W120" i="9"/>
  <c r="AC127" i="17"/>
  <c r="AD127" i="17"/>
  <c r="Y73" i="17"/>
  <c r="Z73" i="17"/>
  <c r="AC126" i="17"/>
  <c r="AD126" i="17"/>
  <c r="Y111" i="17"/>
  <c r="Z111" i="17"/>
  <c r="U27" i="17"/>
  <c r="V27" i="17"/>
  <c r="X28" i="17"/>
  <c r="W28" i="17"/>
  <c r="S86" i="17"/>
  <c r="T86" i="17"/>
  <c r="V89" i="17"/>
  <c r="U89" i="17"/>
  <c r="Z133" i="17"/>
  <c r="Y133" i="17"/>
  <c r="V124" i="17"/>
  <c r="U124" i="17"/>
  <c r="W121" i="9"/>
  <c r="X121" i="9"/>
  <c r="R77" i="17"/>
  <c r="Q77" i="17"/>
  <c r="R78" i="17"/>
  <c r="Q78" i="17"/>
  <c r="S117" i="17"/>
  <c r="T117" i="17"/>
  <c r="AB110" i="17"/>
  <c r="AA110" i="17"/>
  <c r="X134" i="17"/>
  <c r="W134" i="17"/>
  <c r="V33" i="17"/>
  <c r="U33" i="17"/>
  <c r="Y31" i="17"/>
  <c r="Z31" i="17"/>
  <c r="L81" i="17"/>
  <c r="O81" i="17" s="1"/>
  <c r="O80" i="17"/>
  <c r="Z109" i="17"/>
  <c r="Y109" i="17"/>
  <c r="W132" i="17"/>
  <c r="X132" i="17"/>
  <c r="G93" i="17"/>
  <c r="E94" i="17"/>
  <c r="G94" i="17" s="1"/>
  <c r="W115" i="17"/>
  <c r="X115" i="17"/>
  <c r="X74" i="17"/>
  <c r="W74" i="17"/>
  <c r="L83" i="17"/>
  <c r="O84" i="17"/>
  <c r="R91" i="17"/>
  <c r="Q91" i="17"/>
  <c r="W125" i="17"/>
  <c r="X125" i="17"/>
  <c r="AA30" i="17"/>
  <c r="AB30" i="17"/>
  <c r="X133" i="9"/>
  <c r="W133" i="9"/>
  <c r="V75" i="17"/>
  <c r="U75" i="17"/>
  <c r="U123" i="17"/>
  <c r="V123" i="17"/>
  <c r="R24" i="17"/>
  <c r="Q24" i="17"/>
  <c r="E118" i="17"/>
  <c r="G118" i="17" s="1"/>
  <c r="G117" i="17"/>
  <c r="X72" i="17"/>
  <c r="W72" i="17"/>
  <c r="Y121" i="17"/>
  <c r="Z121" i="17"/>
  <c r="Z108" i="17"/>
  <c r="Y108" i="17"/>
  <c r="X88" i="17"/>
  <c r="W88" i="17"/>
  <c r="G83" i="17"/>
  <c r="E82" i="17"/>
  <c r="G82" i="17" s="1"/>
  <c r="U113" i="17"/>
  <c r="V113" i="17"/>
  <c r="U120" i="17"/>
  <c r="V120" i="17"/>
  <c r="I29" i="16"/>
  <c r="I31" i="16"/>
  <c r="Y39" i="16"/>
  <c r="Z39" i="16"/>
  <c r="X44" i="16"/>
  <c r="W44" i="16"/>
  <c r="N57" i="16"/>
  <c r="M57" i="16"/>
  <c r="Y41" i="16"/>
  <c r="Z41" i="16"/>
  <c r="V49" i="16"/>
  <c r="U49" i="16"/>
  <c r="V47" i="16"/>
  <c r="U47" i="16"/>
  <c r="X46" i="16"/>
  <c r="W46" i="16"/>
  <c r="K60" i="16"/>
  <c r="K64" i="16"/>
  <c r="I27" i="16"/>
  <c r="AF34" i="16"/>
  <c r="AH34" i="16" s="1"/>
  <c r="AJ34" i="16" s="1"/>
  <c r="AE34" i="16"/>
  <c r="I34" i="16" s="1"/>
  <c r="P54" i="16"/>
  <c r="O54" i="16"/>
  <c r="AF30" i="16"/>
  <c r="AH30" i="16" s="1"/>
  <c r="AJ30" i="16" s="1"/>
  <c r="AE30" i="16"/>
  <c r="I30" i="16" s="1"/>
  <c r="AD33" i="16"/>
  <c r="AC33" i="16"/>
  <c r="AC35" i="16"/>
  <c r="AD35" i="16"/>
  <c r="AD37" i="16"/>
  <c r="AC37" i="16"/>
  <c r="M59" i="16"/>
  <c r="N59" i="16"/>
  <c r="AA38" i="16"/>
  <c r="AB38" i="16"/>
  <c r="M61" i="16"/>
  <c r="N61" i="16"/>
  <c r="R55" i="16"/>
  <c r="Q55" i="16"/>
  <c r="AB36" i="16"/>
  <c r="AA36" i="16"/>
  <c r="O58" i="16"/>
  <c r="P58" i="16"/>
  <c r="AF32" i="16"/>
  <c r="AH32" i="16" s="1"/>
  <c r="AJ32" i="16" s="1"/>
  <c r="AE32" i="16"/>
  <c r="I32" i="16" s="1"/>
  <c r="V45" i="16"/>
  <c r="U45" i="16"/>
  <c r="T52" i="16"/>
  <c r="S52" i="16"/>
  <c r="R51" i="16"/>
  <c r="Q51" i="16"/>
  <c r="AA40" i="16"/>
  <c r="AB40" i="16"/>
  <c r="S48" i="16"/>
  <c r="T48" i="16"/>
  <c r="Z43" i="16"/>
  <c r="Y43" i="16"/>
  <c r="Q53" i="16"/>
  <c r="R53" i="16"/>
  <c r="X42" i="16"/>
  <c r="W42" i="16"/>
  <c r="T50" i="16"/>
  <c r="S50" i="16"/>
  <c r="K62" i="16"/>
  <c r="P56" i="16"/>
  <c r="O56" i="16"/>
  <c r="AH89" i="9"/>
  <c r="AG89" i="9"/>
  <c r="Z51" i="9"/>
  <c r="AB51" i="9" s="1"/>
  <c r="AD51" i="9" s="1"/>
  <c r="AF51" i="9" s="1"/>
  <c r="AH51" i="9" s="1"/>
  <c r="AJ51" i="9" s="1"/>
  <c r="Y51" i="9"/>
  <c r="AI57" i="7"/>
  <c r="AI88" i="7"/>
  <c r="AG61" i="12"/>
  <c r="AG60" i="12"/>
  <c r="AG23" i="12"/>
  <c r="AG48" i="12"/>
  <c r="AG54" i="12"/>
  <c r="AG59" i="12"/>
  <c r="AG58" i="12"/>
  <c r="AG57" i="12"/>
  <c r="AG56" i="12"/>
  <c r="AG55" i="12"/>
  <c r="AG47" i="12"/>
  <c r="AG46" i="12"/>
  <c r="AG45" i="12"/>
  <c r="AG49" i="12"/>
  <c r="AG66" i="12"/>
  <c r="AG53" i="12"/>
  <c r="AG64" i="12"/>
  <c r="AG52" i="12"/>
  <c r="AG44" i="12"/>
  <c r="AG43" i="12"/>
  <c r="AG62" i="12"/>
  <c r="AG42" i="12"/>
  <c r="AG24" i="12"/>
  <c r="AG50" i="12"/>
  <c r="AG63" i="12"/>
  <c r="AG41" i="12"/>
  <c r="AG51" i="12"/>
  <c r="AK53" i="1"/>
  <c r="G53" i="1" s="1"/>
  <c r="AK52" i="1"/>
  <c r="G52" i="1" s="1"/>
  <c r="AK83" i="1"/>
  <c r="G83" i="1" s="1"/>
  <c r="AK57" i="1"/>
  <c r="G57" i="1" s="1"/>
  <c r="AK62" i="1"/>
  <c r="G62" i="1" s="1"/>
  <c r="AF41" i="1"/>
  <c r="AH41" i="1" s="1"/>
  <c r="AJ41" i="1" s="1"/>
  <c r="AE41" i="1"/>
  <c r="AD90" i="1"/>
  <c r="AC90" i="1"/>
  <c r="AH90" i="7"/>
  <c r="AG90" i="7"/>
  <c r="AA130" i="9"/>
  <c r="AB130" i="9"/>
  <c r="AA137" i="9"/>
  <c r="AB137" i="9"/>
  <c r="AA124" i="9"/>
  <c r="AB124" i="9"/>
  <c r="AA138" i="9"/>
  <c r="AB138" i="9"/>
  <c r="AA125" i="9"/>
  <c r="AB125" i="9"/>
  <c r="AA140" i="9"/>
  <c r="AB140" i="9"/>
  <c r="AA134" i="9"/>
  <c r="AB134" i="9"/>
  <c r="AA127" i="9"/>
  <c r="AB127" i="9"/>
  <c r="AB118" i="9"/>
  <c r="AA118" i="9"/>
  <c r="AB128" i="9"/>
  <c r="AA128" i="9"/>
  <c r="AB122" i="9"/>
  <c r="AA122" i="9"/>
  <c r="AB123" i="9"/>
  <c r="AA123" i="9"/>
  <c r="AB71" i="9"/>
  <c r="AA71" i="9"/>
  <c r="AA108" i="9"/>
  <c r="AB108" i="9"/>
  <c r="AG40" i="12"/>
  <c r="AG39" i="12"/>
  <c r="AG38" i="12"/>
  <c r="AG37" i="12"/>
  <c r="AG30" i="12"/>
  <c r="AG29" i="12"/>
  <c r="AG28" i="12"/>
  <c r="AG27" i="12"/>
  <c r="AG25" i="12"/>
  <c r="AG36" i="12"/>
  <c r="AG35" i="12"/>
  <c r="AG34" i="12"/>
  <c r="AG33" i="12"/>
  <c r="AG32" i="12"/>
  <c r="AG31" i="12"/>
  <c r="AG26" i="12"/>
  <c r="AG22" i="12"/>
  <c r="AG21" i="12"/>
  <c r="AG17" i="12"/>
  <c r="AG18" i="12"/>
  <c r="AI16" i="12"/>
  <c r="AH96" i="8"/>
  <c r="AG96" i="8"/>
  <c r="AI53" i="7"/>
  <c r="AI62" i="7"/>
  <c r="AI52" i="7"/>
  <c r="G32" i="8"/>
  <c r="AB41" i="8"/>
  <c r="AA41" i="8"/>
  <c r="AI69" i="7"/>
  <c r="AI70" i="7"/>
  <c r="AA35" i="7"/>
  <c r="AB35" i="7"/>
  <c r="AK88" i="1"/>
  <c r="G88" i="1" s="1"/>
  <c r="AK70" i="1"/>
  <c r="AK69" i="1"/>
  <c r="AK63" i="1"/>
  <c r="G63" i="1" s="1"/>
  <c r="AK82" i="1"/>
  <c r="G82" i="1" s="1"/>
  <c r="AK33" i="1"/>
  <c r="G33" i="1" s="1"/>
  <c r="AK37" i="1"/>
  <c r="G37" i="1" s="1"/>
  <c r="AK39" i="1"/>
  <c r="AK41" i="1"/>
  <c r="AK44" i="1"/>
  <c r="G44" i="1" s="1"/>
  <c r="AK48" i="1"/>
  <c r="G48" i="1" s="1"/>
  <c r="AK50" i="1"/>
  <c r="G50" i="1" s="1"/>
  <c r="AK54" i="1"/>
  <c r="G54" i="1" s="1"/>
  <c r="AK56" i="1"/>
  <c r="G56" i="1" s="1"/>
  <c r="AK64" i="1"/>
  <c r="AK66" i="1"/>
  <c r="G66" i="1" s="1"/>
  <c r="AK68" i="1"/>
  <c r="AK73" i="1"/>
  <c r="G73" i="1" s="1"/>
  <c r="AK75" i="1"/>
  <c r="G75" i="1" s="1"/>
  <c r="AK77" i="1"/>
  <c r="G77" i="1" s="1"/>
  <c r="AK79" i="1"/>
  <c r="G79" i="1" s="1"/>
  <c r="AK81" i="1"/>
  <c r="G81" i="1" s="1"/>
  <c r="AK32" i="1"/>
  <c r="G32" i="1" s="1"/>
  <c r="AK36" i="1"/>
  <c r="AK38" i="1"/>
  <c r="G38" i="1" s="1"/>
  <c r="AK40" i="1"/>
  <c r="AK42" i="1"/>
  <c r="AK47" i="1"/>
  <c r="G47" i="1" s="1"/>
  <c r="AK49" i="1"/>
  <c r="G49" i="1" s="1"/>
  <c r="AK51" i="1"/>
  <c r="G51" i="1" s="1"/>
  <c r="AK55" i="1"/>
  <c r="G55" i="1" s="1"/>
  <c r="AK65" i="1"/>
  <c r="G65" i="1" s="1"/>
  <c r="AK67" i="1"/>
  <c r="AK72" i="1"/>
  <c r="G72" i="1" s="1"/>
  <c r="AK74" i="1"/>
  <c r="G74" i="1" s="1"/>
  <c r="AK76" i="1"/>
  <c r="G76" i="1" s="1"/>
  <c r="AK78" i="1"/>
  <c r="G78" i="1" s="1"/>
  <c r="AK80" i="1"/>
  <c r="G80" i="1" s="1"/>
  <c r="AD34" i="1"/>
  <c r="AC34" i="1"/>
  <c r="AD35" i="1"/>
  <c r="AC35" i="1"/>
  <c r="AF68" i="1"/>
  <c r="AH68" i="1" s="1"/>
  <c r="AJ68" i="1" s="1"/>
  <c r="AE68" i="1"/>
  <c r="AB36" i="1"/>
  <c r="AD36" i="1" s="1"/>
  <c r="AF36" i="1" s="1"/>
  <c r="AH36" i="1" s="1"/>
  <c r="AJ36" i="1" s="1"/>
  <c r="AA36" i="1"/>
  <c r="AD67" i="1"/>
  <c r="AF67" i="1" s="1"/>
  <c r="AH67" i="1" s="1"/>
  <c r="AJ67" i="1" s="1"/>
  <c r="AC67" i="1"/>
  <c r="AD40" i="1"/>
  <c r="AC40" i="1"/>
  <c r="AB42" i="1"/>
  <c r="AD42" i="1" s="1"/>
  <c r="AF42" i="1" s="1"/>
  <c r="AH42" i="1" s="1"/>
  <c r="AJ42" i="1" s="1"/>
  <c r="AA42" i="1"/>
  <c r="AB39" i="1"/>
  <c r="AD39" i="1" s="1"/>
  <c r="AF39" i="1" s="1"/>
  <c r="AH39" i="1" s="1"/>
  <c r="AJ39" i="1" s="1"/>
  <c r="AA39" i="1"/>
  <c r="AC69" i="1"/>
  <c r="AD69" i="1"/>
  <c r="AE70" i="9"/>
  <c r="AF70" i="9"/>
  <c r="AH70" i="9" s="1"/>
  <c r="AJ70" i="9" s="1"/>
  <c r="AF69" i="8"/>
  <c r="AH69" i="8" s="1"/>
  <c r="AJ69" i="8" s="1"/>
  <c r="AE69" i="8"/>
  <c r="G69" i="8" s="1"/>
  <c r="AE70" i="8"/>
  <c r="G70" i="8" s="1"/>
  <c r="AF70" i="8"/>
  <c r="AH70" i="8" s="1"/>
  <c r="AJ70" i="8" s="1"/>
  <c r="AF70" i="7"/>
  <c r="AH70" i="7" s="1"/>
  <c r="AJ70" i="7" s="1"/>
  <c r="AE70" i="7"/>
  <c r="AC69" i="7"/>
  <c r="AD69" i="7"/>
  <c r="AF32" i="9"/>
  <c r="AH32" i="9" s="1"/>
  <c r="AJ32" i="9" s="1"/>
  <c r="AE32" i="9"/>
  <c r="AD34" i="9"/>
  <c r="AC34" i="9"/>
  <c r="AD40" i="9"/>
  <c r="AC40" i="9"/>
  <c r="AD69" i="9"/>
  <c r="AC69" i="9"/>
  <c r="AD35" i="9"/>
  <c r="AC35" i="9"/>
  <c r="AB36" i="9"/>
  <c r="AD36" i="9" s="1"/>
  <c r="AF36" i="9" s="1"/>
  <c r="AH36" i="9" s="1"/>
  <c r="AJ36" i="9" s="1"/>
  <c r="AA36" i="9"/>
  <c r="AB42" i="9"/>
  <c r="AD42" i="9" s="1"/>
  <c r="AF42" i="9" s="1"/>
  <c r="AH42" i="9" s="1"/>
  <c r="AJ42" i="9" s="1"/>
  <c r="AA42" i="9"/>
  <c r="AB39" i="9"/>
  <c r="AD39" i="9" s="1"/>
  <c r="AF39" i="9" s="1"/>
  <c r="AH39" i="9" s="1"/>
  <c r="AJ39" i="9" s="1"/>
  <c r="AA39" i="9"/>
  <c r="AD41" i="7"/>
  <c r="AC41" i="7"/>
  <c r="AF68" i="7"/>
  <c r="AH68" i="7" s="1"/>
  <c r="AJ68" i="7" s="1"/>
  <c r="AE68" i="7"/>
  <c r="AF40" i="7"/>
  <c r="AH40" i="7" s="1"/>
  <c r="AJ40" i="7" s="1"/>
  <c r="AE40" i="7"/>
  <c r="AI66" i="7"/>
  <c r="AI83" i="7"/>
  <c r="AI82" i="7"/>
  <c r="AI81" i="7"/>
  <c r="AI80" i="7"/>
  <c r="AI79" i="7"/>
  <c r="AI78" i="7"/>
  <c r="AI77" i="7"/>
  <c r="AI76" i="7"/>
  <c r="AI75" i="7"/>
  <c r="AI74" i="7"/>
  <c r="AI73" i="7"/>
  <c r="AI72" i="7"/>
  <c r="AI68" i="7"/>
  <c r="AI67" i="7"/>
  <c r="AI65" i="7"/>
  <c r="AI64" i="7"/>
  <c r="AI63" i="7"/>
  <c r="AI56" i="7"/>
  <c r="AI49" i="7"/>
  <c r="AI48" i="7"/>
  <c r="AI55" i="7"/>
  <c r="AI54" i="7"/>
  <c r="AI51" i="7"/>
  <c r="AI50" i="7"/>
  <c r="AI47" i="7"/>
  <c r="AI44" i="7"/>
  <c r="AI42" i="7"/>
  <c r="AI41" i="7"/>
  <c r="AI40" i="7"/>
  <c r="AI39" i="7"/>
  <c r="AI38" i="7"/>
  <c r="AI37" i="7"/>
  <c r="AI36" i="7"/>
  <c r="AI34" i="7"/>
  <c r="AI33" i="7"/>
  <c r="AI32" i="7"/>
  <c r="AK31" i="7"/>
  <c r="AH64" i="7" l="1"/>
  <c r="AJ64" i="7" s="1"/>
  <c r="AG64" i="7"/>
  <c r="AF64" i="1"/>
  <c r="AE64" i="1"/>
  <c r="AE113" i="9"/>
  <c r="G113" i="9" s="1"/>
  <c r="AF113" i="9"/>
  <c r="AH113" i="9" s="1"/>
  <c r="AJ113" i="9" s="1"/>
  <c r="AC115" i="9"/>
  <c r="AD115" i="9"/>
  <c r="Y41" i="26"/>
  <c r="Z41" i="26"/>
  <c r="AC114" i="9"/>
  <c r="AD114" i="9"/>
  <c r="W59" i="26"/>
  <c r="X59" i="26"/>
  <c r="AF64" i="9"/>
  <c r="AE64" i="9"/>
  <c r="AB41" i="24"/>
  <c r="AA41" i="24"/>
  <c r="AF86" i="9"/>
  <c r="AE86" i="9"/>
  <c r="AF85" i="8"/>
  <c r="AE85" i="8"/>
  <c r="AF85" i="7"/>
  <c r="AE85" i="7"/>
  <c r="AF70" i="24"/>
  <c r="AH70" i="24" s="1"/>
  <c r="AJ70" i="24" s="1"/>
  <c r="AE70" i="24"/>
  <c r="G70" i="24" s="1"/>
  <c r="AF85" i="1"/>
  <c r="AE85" i="1"/>
  <c r="AB43" i="7"/>
  <c r="AD43" i="7" s="1"/>
  <c r="AF43" i="7" s="1"/>
  <c r="AH43" i="7" s="1"/>
  <c r="AJ43" i="7" s="1"/>
  <c r="AA43" i="7"/>
  <c r="G43" i="7" s="1"/>
  <c r="AK101" i="9"/>
  <c r="AK100" i="9"/>
  <c r="V101" i="9"/>
  <c r="U101" i="9"/>
  <c r="AD37" i="18"/>
  <c r="AF37" i="18" s="1"/>
  <c r="AH37" i="18" s="1"/>
  <c r="AC37" i="18"/>
  <c r="G37" i="18" s="1"/>
  <c r="AF68" i="21"/>
  <c r="AH68" i="21" s="1"/>
  <c r="AJ68" i="21" s="1"/>
  <c r="AE68" i="21"/>
  <c r="G68" i="21" s="1"/>
  <c r="AH96" i="21"/>
  <c r="AG96" i="21"/>
  <c r="AD69" i="21"/>
  <c r="AC69" i="21"/>
  <c r="AA41" i="21"/>
  <c r="AB41" i="21"/>
  <c r="X100" i="9"/>
  <c r="W100" i="9"/>
  <c r="V98" i="9"/>
  <c r="U98" i="9"/>
  <c r="V99" i="9"/>
  <c r="U99" i="9"/>
  <c r="AD131" i="17"/>
  <c r="AC131" i="17"/>
  <c r="AG35" i="17"/>
  <c r="AH35" i="17"/>
  <c r="AE130" i="17"/>
  <c r="AF130" i="17"/>
  <c r="AF3" i="17"/>
  <c r="AE3" i="17"/>
  <c r="Y58" i="17"/>
  <c r="Z58" i="17"/>
  <c r="T55" i="17"/>
  <c r="S55" i="17"/>
  <c r="T63" i="17"/>
  <c r="S63" i="17"/>
  <c r="Y60" i="17"/>
  <c r="Z60" i="17"/>
  <c r="Q64" i="17"/>
  <c r="R64" i="17"/>
  <c r="R53" i="17"/>
  <c r="Q53" i="17"/>
  <c r="X57" i="17"/>
  <c r="W57" i="17"/>
  <c r="X61" i="17"/>
  <c r="W61" i="17"/>
  <c r="L66" i="17"/>
  <c r="O66" i="17" s="1"/>
  <c r="O65" i="17"/>
  <c r="R54" i="17"/>
  <c r="Q54" i="17"/>
  <c r="U56" i="17"/>
  <c r="V56" i="17"/>
  <c r="AB59" i="17"/>
  <c r="AA59" i="17"/>
  <c r="U62" i="17"/>
  <c r="V62" i="17"/>
  <c r="AK94" i="9"/>
  <c r="G94" i="9" s="1"/>
  <c r="AK61" i="9"/>
  <c r="G61" i="9" s="1"/>
  <c r="AK62" i="9"/>
  <c r="G62" i="9" s="1"/>
  <c r="AK63" i="9"/>
  <c r="G63" i="9" s="1"/>
  <c r="AK60" i="9"/>
  <c r="G60" i="9" s="1"/>
  <c r="AK59" i="9"/>
  <c r="G59" i="9" s="1"/>
  <c r="AK58" i="9"/>
  <c r="AK45" i="9"/>
  <c r="G45" i="9" s="1"/>
  <c r="AK46" i="9"/>
  <c r="G46" i="9" s="1"/>
  <c r="AK126" i="9"/>
  <c r="AK88" i="9"/>
  <c r="G88" i="9" s="1"/>
  <c r="AK93" i="7"/>
  <c r="G93" i="7" s="1"/>
  <c r="AK60" i="7"/>
  <c r="G60" i="7" s="1"/>
  <c r="AK61" i="7"/>
  <c r="G61" i="7" s="1"/>
  <c r="AK92" i="7"/>
  <c r="AK59" i="7"/>
  <c r="G59" i="7" s="1"/>
  <c r="AK58" i="7"/>
  <c r="AK46" i="7"/>
  <c r="G46" i="7" s="1"/>
  <c r="AK87" i="7"/>
  <c r="G87" i="7" s="1"/>
  <c r="AA136" i="9"/>
  <c r="AB42" i="7"/>
  <c r="AD42" i="7" s="1"/>
  <c r="AF42" i="7" s="1"/>
  <c r="AH42" i="7" s="1"/>
  <c r="AJ42" i="7" s="1"/>
  <c r="AA42" i="7"/>
  <c r="AA39" i="7"/>
  <c r="AB39" i="7"/>
  <c r="AD39" i="7" s="1"/>
  <c r="AF39" i="7" s="1"/>
  <c r="AH39" i="7" s="1"/>
  <c r="AJ39" i="7" s="1"/>
  <c r="Y50" i="7"/>
  <c r="Z50" i="7"/>
  <c r="AB50" i="7" s="1"/>
  <c r="AD50" i="7" s="1"/>
  <c r="AF50" i="7" s="1"/>
  <c r="AH50" i="7" s="1"/>
  <c r="AJ50" i="7" s="1"/>
  <c r="AE70" i="1"/>
  <c r="G70" i="1" s="1"/>
  <c r="AF70" i="1"/>
  <c r="AH70" i="1" s="1"/>
  <c r="AJ70" i="1" s="1"/>
  <c r="Z92" i="7"/>
  <c r="Y92" i="7"/>
  <c r="Z45" i="17"/>
  <c r="Y45" i="17"/>
  <c r="E52" i="17"/>
  <c r="G52" i="17" s="1"/>
  <c r="G51" i="17"/>
  <c r="V47" i="17"/>
  <c r="U47" i="17"/>
  <c r="O40" i="17"/>
  <c r="L39" i="17"/>
  <c r="O39" i="17" s="1"/>
  <c r="X46" i="17"/>
  <c r="W46" i="17"/>
  <c r="Q49" i="17"/>
  <c r="R49" i="17"/>
  <c r="R41" i="17"/>
  <c r="Q41" i="17"/>
  <c r="W44" i="17"/>
  <c r="X44" i="17"/>
  <c r="T42" i="17"/>
  <c r="S42" i="17"/>
  <c r="T48" i="17"/>
  <c r="S48" i="17"/>
  <c r="U43" i="17"/>
  <c r="V43" i="17"/>
  <c r="O50" i="17"/>
  <c r="L51" i="17"/>
  <c r="AB93" i="9"/>
  <c r="AD93" i="9" s="1"/>
  <c r="AF93" i="9" s="1"/>
  <c r="AH93" i="9" s="1"/>
  <c r="AJ93" i="9" s="1"/>
  <c r="AK93" i="9" s="1"/>
  <c r="AA93" i="9"/>
  <c r="Y50" i="9"/>
  <c r="Z50" i="9"/>
  <c r="AB50" i="9" s="1"/>
  <c r="AD50" i="9" s="1"/>
  <c r="AF50" i="9" s="1"/>
  <c r="AH50" i="9" s="1"/>
  <c r="AJ50" i="9" s="1"/>
  <c r="G67" i="1"/>
  <c r="G68" i="1"/>
  <c r="G36" i="1"/>
  <c r="AB58" i="9"/>
  <c r="AD58" i="9" s="1"/>
  <c r="AF58" i="9" s="1"/>
  <c r="AH58" i="9" s="1"/>
  <c r="AJ58" i="9" s="1"/>
  <c r="AA58" i="9"/>
  <c r="AB59" i="8"/>
  <c r="AD59" i="8" s="1"/>
  <c r="AF59" i="8" s="1"/>
  <c r="AH59" i="8" s="1"/>
  <c r="AJ59" i="8" s="1"/>
  <c r="AA59" i="8"/>
  <c r="G59" i="8" s="1"/>
  <c r="AB58" i="7"/>
  <c r="AD58" i="7" s="1"/>
  <c r="AF58" i="7" s="1"/>
  <c r="AH58" i="7" s="1"/>
  <c r="AJ58" i="7" s="1"/>
  <c r="AA58" i="7"/>
  <c r="W131" i="9"/>
  <c r="X131" i="9"/>
  <c r="T37" i="17"/>
  <c r="S37" i="17"/>
  <c r="X126" i="9"/>
  <c r="W126" i="9"/>
  <c r="Q165" i="16"/>
  <c r="I165" i="16" s="1"/>
  <c r="R165" i="16"/>
  <c r="T165" i="16" s="1"/>
  <c r="V165" i="16" s="1"/>
  <c r="X165" i="16" s="1"/>
  <c r="Z165" i="16" s="1"/>
  <c r="AB165" i="16" s="1"/>
  <c r="AD165" i="16" s="1"/>
  <c r="AF165" i="16" s="1"/>
  <c r="AH165" i="16" s="1"/>
  <c r="AJ165" i="16" s="1"/>
  <c r="N167" i="16"/>
  <c r="M167" i="16"/>
  <c r="O166" i="16"/>
  <c r="P166" i="16"/>
  <c r="H169" i="16"/>
  <c r="K168" i="16"/>
  <c r="G39" i="1"/>
  <c r="G42" i="1"/>
  <c r="AC128" i="17"/>
  <c r="AD128" i="17"/>
  <c r="AF129" i="17"/>
  <c r="AE129" i="17"/>
  <c r="AK45" i="7"/>
  <c r="G45" i="7" s="1"/>
  <c r="AK86" i="7"/>
  <c r="G86" i="7" s="1"/>
  <c r="G41" i="1"/>
  <c r="AK132" i="9"/>
  <c r="AK129" i="9"/>
  <c r="AK91" i="9"/>
  <c r="G91" i="9" s="1"/>
  <c r="AK53" i="9"/>
  <c r="G53" i="9" s="1"/>
  <c r="AK138" i="9"/>
  <c r="AK133" i="9"/>
  <c r="AK125" i="9"/>
  <c r="AK121" i="9"/>
  <c r="AK66" i="9"/>
  <c r="G66" i="9" s="1"/>
  <c r="AK82" i="9"/>
  <c r="G82" i="9" s="1"/>
  <c r="AK78" i="9"/>
  <c r="G78" i="9" s="1"/>
  <c r="AK74" i="9"/>
  <c r="G74" i="9" s="1"/>
  <c r="AK65" i="9"/>
  <c r="G65" i="9" s="1"/>
  <c r="AK54" i="9"/>
  <c r="G54" i="9" s="1"/>
  <c r="AK42" i="9"/>
  <c r="G42" i="9" s="1"/>
  <c r="AK38" i="9"/>
  <c r="G38" i="9" s="1"/>
  <c r="AK49" i="9"/>
  <c r="G49" i="9" s="1"/>
  <c r="AK139" i="9"/>
  <c r="AK120" i="9"/>
  <c r="AK137" i="9"/>
  <c r="AK131" i="9"/>
  <c r="AK124" i="9"/>
  <c r="AK118" i="9"/>
  <c r="AK52" i="9"/>
  <c r="G52" i="9" s="1"/>
  <c r="AK71" i="9"/>
  <c r="AK81" i="9"/>
  <c r="G81" i="9" s="1"/>
  <c r="AK77" i="9"/>
  <c r="G77" i="9" s="1"/>
  <c r="AK73" i="9"/>
  <c r="G73" i="9" s="1"/>
  <c r="AK64" i="9"/>
  <c r="AK51" i="9"/>
  <c r="G51" i="9" s="1"/>
  <c r="AK41" i="9"/>
  <c r="G41" i="9" s="1"/>
  <c r="AK37" i="9"/>
  <c r="G37" i="9" s="1"/>
  <c r="AK48" i="9"/>
  <c r="G48" i="9" s="1"/>
  <c r="AK135" i="9"/>
  <c r="AK128" i="9"/>
  <c r="AK136" i="9"/>
  <c r="AK130" i="9"/>
  <c r="AK123" i="9"/>
  <c r="AK107" i="9"/>
  <c r="G107" i="9" s="1"/>
  <c r="AK47" i="9"/>
  <c r="G47" i="9" s="1"/>
  <c r="AK84" i="9"/>
  <c r="G84" i="9" s="1"/>
  <c r="AK80" i="9"/>
  <c r="G80" i="9" s="1"/>
  <c r="AK76" i="9"/>
  <c r="G76" i="9" s="1"/>
  <c r="AK69" i="9"/>
  <c r="AK56" i="9"/>
  <c r="G56" i="9" s="1"/>
  <c r="AK50" i="9"/>
  <c r="AK40" i="9"/>
  <c r="AK36" i="9"/>
  <c r="G36" i="9" s="1"/>
  <c r="AK32" i="9"/>
  <c r="AK119" i="9"/>
  <c r="AK140" i="9"/>
  <c r="AK134" i="9"/>
  <c r="AK127" i="9"/>
  <c r="AK122" i="9"/>
  <c r="AK57" i="9"/>
  <c r="G57" i="9" s="1"/>
  <c r="AK70" i="9"/>
  <c r="G70" i="9" s="1"/>
  <c r="AK83" i="9"/>
  <c r="G83" i="9" s="1"/>
  <c r="AK79" i="9"/>
  <c r="G79" i="9" s="1"/>
  <c r="AK75" i="9"/>
  <c r="G75" i="9" s="1"/>
  <c r="AK68" i="9"/>
  <c r="G68" i="9" s="1"/>
  <c r="AK55" i="9"/>
  <c r="G55" i="9" s="1"/>
  <c r="AK44" i="9"/>
  <c r="G44" i="9" s="1"/>
  <c r="AK39" i="9"/>
  <c r="G39" i="9" s="1"/>
  <c r="AK33" i="9"/>
  <c r="G33" i="9" s="1"/>
  <c r="G32" i="9"/>
  <c r="AK87" i="9"/>
  <c r="G87" i="9" s="1"/>
  <c r="Z132" i="9"/>
  <c r="Y132" i="9"/>
  <c r="AB129" i="9"/>
  <c r="AA129" i="9"/>
  <c r="AB139" i="9"/>
  <c r="AA139" i="9"/>
  <c r="AD135" i="9"/>
  <c r="AC135" i="9"/>
  <c r="AB119" i="9"/>
  <c r="AA119" i="9"/>
  <c r="Q84" i="17"/>
  <c r="R84" i="17"/>
  <c r="Q80" i="17"/>
  <c r="R80" i="17"/>
  <c r="W27" i="17"/>
  <c r="X27" i="17"/>
  <c r="AF126" i="17"/>
  <c r="AE126" i="17"/>
  <c r="AF127" i="17"/>
  <c r="AE127" i="17"/>
  <c r="R92" i="17"/>
  <c r="Q92" i="17"/>
  <c r="X71" i="17"/>
  <c r="W71" i="17"/>
  <c r="Z32" i="17"/>
  <c r="Y32" i="17"/>
  <c r="U118" i="17"/>
  <c r="V118" i="17"/>
  <c r="X87" i="17"/>
  <c r="W87" i="17"/>
  <c r="L82" i="17"/>
  <c r="O82" i="17" s="1"/>
  <c r="O83" i="17"/>
  <c r="W33" i="17"/>
  <c r="X33" i="17"/>
  <c r="AB133" i="17"/>
  <c r="AA133" i="17"/>
  <c r="L94" i="17"/>
  <c r="O94" i="17" s="1"/>
  <c r="O93" i="17"/>
  <c r="S36" i="17"/>
  <c r="T36" i="17"/>
  <c r="W116" i="17"/>
  <c r="X116" i="17"/>
  <c r="Q68" i="17"/>
  <c r="R68" i="17"/>
  <c r="AD30" i="17"/>
  <c r="AC30" i="17"/>
  <c r="AB31" i="17"/>
  <c r="AA31" i="17"/>
  <c r="U117" i="17"/>
  <c r="V117" i="17"/>
  <c r="AB111" i="17"/>
  <c r="AA111" i="17"/>
  <c r="AA73" i="17"/>
  <c r="AB73" i="17"/>
  <c r="U34" i="17"/>
  <c r="V34" i="17"/>
  <c r="R67" i="17"/>
  <c r="Q67" i="17"/>
  <c r="Z112" i="17"/>
  <c r="Y112" i="17"/>
  <c r="V70" i="17"/>
  <c r="U70" i="17"/>
  <c r="V76" i="17"/>
  <c r="U76" i="17"/>
  <c r="U26" i="17"/>
  <c r="V26" i="17"/>
  <c r="W113" i="17"/>
  <c r="X113" i="17"/>
  <c r="AA121" i="17"/>
  <c r="AB121" i="17"/>
  <c r="X123" i="17"/>
  <c r="W123" i="17"/>
  <c r="Z125" i="17"/>
  <c r="Y125" i="17"/>
  <c r="Z115" i="17"/>
  <c r="Y115" i="17"/>
  <c r="Z132" i="17"/>
  <c r="Y132" i="17"/>
  <c r="Y121" i="9"/>
  <c r="Z121" i="9"/>
  <c r="V86" i="17"/>
  <c r="U86" i="17"/>
  <c r="T25" i="17"/>
  <c r="S25" i="17"/>
  <c r="AA29" i="17"/>
  <c r="AB29" i="17"/>
  <c r="T69" i="17"/>
  <c r="S69" i="17"/>
  <c r="Z88" i="17"/>
  <c r="Y88" i="17"/>
  <c r="Y133" i="9"/>
  <c r="Z133" i="9"/>
  <c r="Q81" i="17"/>
  <c r="R81" i="17"/>
  <c r="AD110" i="17"/>
  <c r="AC110" i="17"/>
  <c r="S78" i="17"/>
  <c r="T78" i="17"/>
  <c r="U90" i="17"/>
  <c r="V90" i="17"/>
  <c r="W114" i="17"/>
  <c r="X114" i="17"/>
  <c r="AB108" i="17"/>
  <c r="AA108" i="17"/>
  <c r="Y72" i="17"/>
  <c r="Z72" i="17"/>
  <c r="S24" i="17"/>
  <c r="T24" i="17"/>
  <c r="W75" i="17"/>
  <c r="X75" i="17"/>
  <c r="T91" i="17"/>
  <c r="S91" i="17"/>
  <c r="Y74" i="17"/>
  <c r="Z74" i="17"/>
  <c r="AB109" i="17"/>
  <c r="AA109" i="17"/>
  <c r="Z134" i="17"/>
  <c r="Y134" i="17"/>
  <c r="S77" i="17"/>
  <c r="T77" i="17"/>
  <c r="X124" i="17"/>
  <c r="W124" i="17"/>
  <c r="W89" i="17"/>
  <c r="X89" i="17"/>
  <c r="Y28" i="17"/>
  <c r="Z28" i="17"/>
  <c r="Y120" i="9"/>
  <c r="Z120" i="9"/>
  <c r="T85" i="17"/>
  <c r="S85" i="17"/>
  <c r="S38" i="17"/>
  <c r="T38" i="17"/>
  <c r="AA119" i="17"/>
  <c r="AB119" i="17"/>
  <c r="Z122" i="17"/>
  <c r="Y122" i="17"/>
  <c r="S79" i="17"/>
  <c r="T79" i="17"/>
  <c r="X120" i="17"/>
  <c r="W120" i="17"/>
  <c r="M62" i="16"/>
  <c r="N62" i="16"/>
  <c r="AB43" i="16"/>
  <c r="AA43" i="16"/>
  <c r="AF37" i="16"/>
  <c r="AH37" i="16" s="1"/>
  <c r="AJ37" i="16" s="1"/>
  <c r="AE37" i="16"/>
  <c r="I37" i="16" s="1"/>
  <c r="AF33" i="16"/>
  <c r="AH33" i="16" s="1"/>
  <c r="AJ33" i="16" s="1"/>
  <c r="AE33" i="16"/>
  <c r="I33" i="16" s="1"/>
  <c r="X47" i="16"/>
  <c r="W47" i="16"/>
  <c r="AA39" i="16"/>
  <c r="AB39" i="16"/>
  <c r="T53" i="16"/>
  <c r="S53" i="16"/>
  <c r="U48" i="16"/>
  <c r="V48" i="16"/>
  <c r="P61" i="16"/>
  <c r="O61" i="16"/>
  <c r="P59" i="16"/>
  <c r="O59" i="16"/>
  <c r="AF35" i="16"/>
  <c r="AH35" i="16" s="1"/>
  <c r="AJ35" i="16" s="1"/>
  <c r="AE35" i="16"/>
  <c r="I35" i="16" s="1"/>
  <c r="N64" i="16"/>
  <c r="M64" i="16"/>
  <c r="P57" i="16"/>
  <c r="O57" i="16"/>
  <c r="R56" i="16"/>
  <c r="Q56" i="16"/>
  <c r="V50" i="16"/>
  <c r="U50" i="16"/>
  <c r="T51" i="16"/>
  <c r="S51" i="16"/>
  <c r="V52" i="16"/>
  <c r="U52" i="16"/>
  <c r="AC36" i="16"/>
  <c r="AD36" i="16"/>
  <c r="K67" i="16"/>
  <c r="Z46" i="16"/>
  <c r="Y46" i="16"/>
  <c r="X49" i="16"/>
  <c r="W49" i="16"/>
  <c r="AA41" i="16"/>
  <c r="AB41" i="16"/>
  <c r="Z42" i="16"/>
  <c r="Y42" i="16"/>
  <c r="X45" i="16"/>
  <c r="W45" i="16"/>
  <c r="T55" i="16"/>
  <c r="S55" i="16"/>
  <c r="Q54" i="16"/>
  <c r="R54" i="16"/>
  <c r="K63" i="16"/>
  <c r="K65" i="16"/>
  <c r="AD40" i="16"/>
  <c r="AC40" i="16"/>
  <c r="Q58" i="16"/>
  <c r="R58" i="16"/>
  <c r="AD38" i="16"/>
  <c r="AC38" i="16"/>
  <c r="N60" i="16"/>
  <c r="M60" i="16"/>
  <c r="Z44" i="16"/>
  <c r="Y44" i="16"/>
  <c r="AJ89" i="9"/>
  <c r="AK89" i="9" s="1"/>
  <c r="AI89" i="9"/>
  <c r="AK57" i="7"/>
  <c r="G57" i="7" s="1"/>
  <c r="AK88" i="7"/>
  <c r="G88" i="7" s="1"/>
  <c r="AI54" i="12"/>
  <c r="AI59" i="12"/>
  <c r="AI58" i="12"/>
  <c r="AI57" i="12"/>
  <c r="AI56" i="12"/>
  <c r="AI55" i="12"/>
  <c r="AI47" i="12"/>
  <c r="AI46" i="12"/>
  <c r="AI45" i="12"/>
  <c r="AI66" i="12"/>
  <c r="AI53" i="12"/>
  <c r="AI64" i="12"/>
  <c r="AI52" i="12"/>
  <c r="AI44" i="12"/>
  <c r="AI43" i="12"/>
  <c r="AI23" i="12"/>
  <c r="AI63" i="12"/>
  <c r="AI62" i="12"/>
  <c r="AI42" i="12"/>
  <c r="AI41" i="12"/>
  <c r="AI24" i="12"/>
  <c r="AI51" i="12"/>
  <c r="AI50" i="12"/>
  <c r="AI49" i="12"/>
  <c r="AI60" i="12"/>
  <c r="AI61" i="12"/>
  <c r="AI48" i="12"/>
  <c r="AF90" i="1"/>
  <c r="AE90" i="1"/>
  <c r="AJ90" i="7"/>
  <c r="AK90" i="7" s="1"/>
  <c r="AI90" i="7"/>
  <c r="AC123" i="9"/>
  <c r="AD123" i="9"/>
  <c r="AD122" i="9"/>
  <c r="AC122" i="9"/>
  <c r="AD128" i="9"/>
  <c r="AC128" i="9"/>
  <c r="AD118" i="9"/>
  <c r="AC118" i="9"/>
  <c r="AD127" i="9"/>
  <c r="AC127" i="9"/>
  <c r="AD134" i="9"/>
  <c r="AC134" i="9"/>
  <c r="AD140" i="9"/>
  <c r="AC140" i="9"/>
  <c r="AD125" i="9"/>
  <c r="AC125" i="9"/>
  <c r="AD138" i="9"/>
  <c r="AC138" i="9"/>
  <c r="AD124" i="9"/>
  <c r="AC124" i="9"/>
  <c r="AD137" i="9"/>
  <c r="AC137" i="9"/>
  <c r="AD130" i="9"/>
  <c r="AC130" i="9"/>
  <c r="AD136" i="9"/>
  <c r="AC136" i="9"/>
  <c r="AD71" i="9"/>
  <c r="AC71" i="9"/>
  <c r="AC108" i="9"/>
  <c r="AD108" i="9"/>
  <c r="AI36" i="12"/>
  <c r="AI35" i="12"/>
  <c r="AI34" i="12"/>
  <c r="AI33" i="12"/>
  <c r="AI32" i="12"/>
  <c r="AI31" i="12"/>
  <c r="AI26" i="12"/>
  <c r="AI22" i="12"/>
  <c r="AI21" i="12"/>
  <c r="AI40" i="12"/>
  <c r="AI39" i="12"/>
  <c r="AI38" i="12"/>
  <c r="AI37" i="12"/>
  <c r="AI30" i="12"/>
  <c r="AI29" i="12"/>
  <c r="AI28" i="12"/>
  <c r="AI27" i="12"/>
  <c r="AI25" i="12"/>
  <c r="AI17" i="12"/>
  <c r="AI18" i="12"/>
  <c r="AE19" i="12"/>
  <c r="AE20" i="12"/>
  <c r="AJ96" i="8"/>
  <c r="AK96" i="8" s="1"/>
  <c r="AI96" i="8"/>
  <c r="AK53" i="7"/>
  <c r="G53" i="7" s="1"/>
  <c r="AK62" i="7"/>
  <c r="G62" i="7" s="1"/>
  <c r="AK52" i="7"/>
  <c r="G52" i="7" s="1"/>
  <c r="AF41" i="7"/>
  <c r="AH41" i="7" s="1"/>
  <c r="AJ41" i="7" s="1"/>
  <c r="AE41" i="7"/>
  <c r="AD41" i="8"/>
  <c r="AC41" i="8"/>
  <c r="AK70" i="7"/>
  <c r="G70" i="7" s="1"/>
  <c r="AK69" i="7"/>
  <c r="AC35" i="7"/>
  <c r="AD35" i="7"/>
  <c r="AF34" i="1"/>
  <c r="AE34" i="1"/>
  <c r="AF40" i="1"/>
  <c r="AH40" i="1" s="1"/>
  <c r="AJ40" i="1" s="1"/>
  <c r="AE40" i="1"/>
  <c r="G40" i="1" s="1"/>
  <c r="AF35" i="1"/>
  <c r="AE35" i="1"/>
  <c r="AE69" i="1"/>
  <c r="G69" i="1" s="1"/>
  <c r="AF69" i="1"/>
  <c r="AH69" i="1" s="1"/>
  <c r="AJ69" i="1" s="1"/>
  <c r="AE69" i="7"/>
  <c r="AF69" i="7"/>
  <c r="AH69" i="7" s="1"/>
  <c r="AJ69" i="7" s="1"/>
  <c r="AF35" i="9"/>
  <c r="AE35" i="9"/>
  <c r="AF69" i="9"/>
  <c r="AH69" i="9" s="1"/>
  <c r="AJ69" i="9" s="1"/>
  <c r="AE69" i="9"/>
  <c r="AF40" i="9"/>
  <c r="AH40" i="9" s="1"/>
  <c r="AJ40" i="9" s="1"/>
  <c r="AE40" i="9"/>
  <c r="AF34" i="9"/>
  <c r="AE34" i="9"/>
  <c r="AK66" i="7"/>
  <c r="G66" i="7" s="1"/>
  <c r="AK83" i="7"/>
  <c r="G83" i="7" s="1"/>
  <c r="AK82" i="7"/>
  <c r="G82" i="7" s="1"/>
  <c r="AK81" i="7"/>
  <c r="G81" i="7" s="1"/>
  <c r="AK80" i="7"/>
  <c r="G80" i="7" s="1"/>
  <c r="AK79" i="7"/>
  <c r="G79" i="7" s="1"/>
  <c r="AK78" i="7"/>
  <c r="G78" i="7" s="1"/>
  <c r="AK77" i="7"/>
  <c r="G77" i="7" s="1"/>
  <c r="AK76" i="7"/>
  <c r="G76" i="7" s="1"/>
  <c r="AK75" i="7"/>
  <c r="G75" i="7" s="1"/>
  <c r="AK74" i="7"/>
  <c r="G74" i="7" s="1"/>
  <c r="AK73" i="7"/>
  <c r="G73" i="7" s="1"/>
  <c r="AK72" i="7"/>
  <c r="G72" i="7" s="1"/>
  <c r="AK68" i="7"/>
  <c r="G68" i="7" s="1"/>
  <c r="AK67" i="7"/>
  <c r="G67" i="7" s="1"/>
  <c r="AK65" i="7"/>
  <c r="G65" i="7" s="1"/>
  <c r="AK64" i="7"/>
  <c r="G64" i="7" s="1"/>
  <c r="AK49" i="7"/>
  <c r="G49" i="7" s="1"/>
  <c r="AK48" i="7"/>
  <c r="G48" i="7" s="1"/>
  <c r="AK63" i="7"/>
  <c r="G63" i="7" s="1"/>
  <c r="AK56" i="7"/>
  <c r="G56" i="7" s="1"/>
  <c r="AK55" i="7"/>
  <c r="G55" i="7" s="1"/>
  <c r="AK54" i="7"/>
  <c r="G54" i="7" s="1"/>
  <c r="AK51" i="7"/>
  <c r="G51" i="7" s="1"/>
  <c r="AK50" i="7"/>
  <c r="AK47" i="7"/>
  <c r="G47" i="7" s="1"/>
  <c r="AK44" i="7"/>
  <c r="G44" i="7" s="1"/>
  <c r="AK42" i="7"/>
  <c r="AK41" i="7"/>
  <c r="AK40" i="7"/>
  <c r="G40" i="7" s="1"/>
  <c r="AK39" i="7"/>
  <c r="AK38" i="7"/>
  <c r="G38" i="7" s="1"/>
  <c r="AK37" i="7"/>
  <c r="G37" i="7" s="1"/>
  <c r="AK36" i="7"/>
  <c r="G36" i="7" s="1"/>
  <c r="AK34" i="7"/>
  <c r="G34" i="7" s="1"/>
  <c r="AK33" i="7"/>
  <c r="G33" i="7" s="1"/>
  <c r="AK32" i="7"/>
  <c r="G32" i="7" s="1"/>
  <c r="AF115" i="9" l="1"/>
  <c r="AH115" i="9" s="1"/>
  <c r="AJ115" i="9" s="1"/>
  <c r="AE115" i="9"/>
  <c r="G115" i="9" s="1"/>
  <c r="AH64" i="1"/>
  <c r="AJ64" i="1" s="1"/>
  <c r="AG64" i="1"/>
  <c r="G64" i="1" s="1"/>
  <c r="AB41" i="26"/>
  <c r="AA41" i="26"/>
  <c r="Z59" i="26"/>
  <c r="Y59" i="26"/>
  <c r="AF114" i="9"/>
  <c r="AH114" i="9" s="1"/>
  <c r="AJ114" i="9" s="1"/>
  <c r="AE114" i="9"/>
  <c r="G114" i="9" s="1"/>
  <c r="AH64" i="9"/>
  <c r="AJ64" i="9" s="1"/>
  <c r="AG64" i="9"/>
  <c r="G64" i="9" s="1"/>
  <c r="AD41" i="24"/>
  <c r="AC41" i="24"/>
  <c r="AH85" i="1"/>
  <c r="AG85" i="1"/>
  <c r="AH86" i="9"/>
  <c r="AG86" i="9"/>
  <c r="AH85" i="7"/>
  <c r="AG85" i="7"/>
  <c r="AH85" i="8"/>
  <c r="AG85" i="8"/>
  <c r="G58" i="7"/>
  <c r="AE69" i="21"/>
  <c r="G69" i="21" s="1"/>
  <c r="AF69" i="21"/>
  <c r="AH69" i="21" s="1"/>
  <c r="AJ69" i="21" s="1"/>
  <c r="X101" i="9"/>
  <c r="W101" i="9"/>
  <c r="AD41" i="21"/>
  <c r="AC41" i="21"/>
  <c r="AI96" i="21"/>
  <c r="AJ96" i="21"/>
  <c r="AK96" i="21" s="1"/>
  <c r="Z100" i="9"/>
  <c r="AB100" i="9" s="1"/>
  <c r="AD100" i="9" s="1"/>
  <c r="AF100" i="9" s="1"/>
  <c r="AH100" i="9" s="1"/>
  <c r="AJ100" i="9" s="1"/>
  <c r="Y100" i="9"/>
  <c r="G100" i="9" s="1"/>
  <c r="X99" i="9"/>
  <c r="W99" i="9"/>
  <c r="X98" i="9"/>
  <c r="W98" i="9"/>
  <c r="G58" i="9"/>
  <c r="AF131" i="17"/>
  <c r="AE131" i="17"/>
  <c r="AJ35" i="17"/>
  <c r="AL35" i="17" s="1"/>
  <c r="AN35" i="17" s="1"/>
  <c r="AI35" i="17"/>
  <c r="M35" i="17" s="1"/>
  <c r="AG130" i="17"/>
  <c r="AH130" i="17"/>
  <c r="AH3" i="17"/>
  <c r="AG3" i="17"/>
  <c r="AD59" i="17"/>
  <c r="AC59" i="17"/>
  <c r="S54" i="17"/>
  <c r="T54" i="17"/>
  <c r="Z61" i="17"/>
  <c r="Y61" i="17"/>
  <c r="T53" i="17"/>
  <c r="S53" i="17"/>
  <c r="W62" i="17"/>
  <c r="X62" i="17"/>
  <c r="X56" i="17"/>
  <c r="W56" i="17"/>
  <c r="Q65" i="17"/>
  <c r="R65" i="17"/>
  <c r="S64" i="17"/>
  <c r="T64" i="17"/>
  <c r="V55" i="17"/>
  <c r="U55" i="17"/>
  <c r="Q66" i="17"/>
  <c r="R66" i="17"/>
  <c r="Z57" i="17"/>
  <c r="Y57" i="17"/>
  <c r="AA58" i="17"/>
  <c r="AB58" i="17"/>
  <c r="AA60" i="17"/>
  <c r="AB60" i="17"/>
  <c r="V63" i="17"/>
  <c r="U63" i="17"/>
  <c r="G42" i="7"/>
  <c r="G39" i="7"/>
  <c r="G50" i="7"/>
  <c r="G93" i="9"/>
  <c r="AB92" i="7"/>
  <c r="AD92" i="7" s="1"/>
  <c r="AF92" i="7" s="1"/>
  <c r="AH92" i="7" s="1"/>
  <c r="AJ92" i="7" s="1"/>
  <c r="AA92" i="7"/>
  <c r="G92" i="7" s="1"/>
  <c r="R39" i="17"/>
  <c r="Q39" i="17"/>
  <c r="V42" i="17"/>
  <c r="U42" i="17"/>
  <c r="R40" i="17"/>
  <c r="Q40" i="17"/>
  <c r="L52" i="17"/>
  <c r="O52" i="17" s="1"/>
  <c r="O51" i="17"/>
  <c r="Z44" i="17"/>
  <c r="Y44" i="17"/>
  <c r="X43" i="17"/>
  <c r="W43" i="17"/>
  <c r="T41" i="17"/>
  <c r="S41" i="17"/>
  <c r="R50" i="17"/>
  <c r="Q50" i="17"/>
  <c r="V48" i="17"/>
  <c r="U48" i="17"/>
  <c r="T49" i="17"/>
  <c r="S49" i="17"/>
  <c r="Z46" i="17"/>
  <c r="Y46" i="17"/>
  <c r="X47" i="17"/>
  <c r="W47" i="17"/>
  <c r="AB45" i="17"/>
  <c r="AA45" i="17"/>
  <c r="G50" i="9"/>
  <c r="U37" i="17"/>
  <c r="V37" i="17"/>
  <c r="Z131" i="9"/>
  <c r="Y131" i="9"/>
  <c r="Y126" i="9"/>
  <c r="Z126" i="9"/>
  <c r="N168" i="16"/>
  <c r="M168" i="16"/>
  <c r="H170" i="16"/>
  <c r="K169" i="16"/>
  <c r="O167" i="16"/>
  <c r="P167" i="16"/>
  <c r="Q166" i="16"/>
  <c r="I166" i="16" s="1"/>
  <c r="R166" i="16"/>
  <c r="T166" i="16" s="1"/>
  <c r="V166" i="16" s="1"/>
  <c r="X166" i="16" s="1"/>
  <c r="Z166" i="16" s="1"/>
  <c r="AB166" i="16" s="1"/>
  <c r="AD166" i="16" s="1"/>
  <c r="AF166" i="16" s="1"/>
  <c r="AH166" i="16" s="1"/>
  <c r="AJ166" i="16" s="1"/>
  <c r="AG129" i="17"/>
  <c r="AH129" i="17"/>
  <c r="AF128" i="17"/>
  <c r="AE128" i="17"/>
  <c r="G69" i="9"/>
  <c r="G40" i="9"/>
  <c r="AB132" i="9"/>
  <c r="AA132" i="9"/>
  <c r="AD129" i="9"/>
  <c r="AC129" i="9"/>
  <c r="AD139" i="9"/>
  <c r="AC139" i="9"/>
  <c r="AF135" i="9"/>
  <c r="AH135" i="9" s="1"/>
  <c r="AJ135" i="9" s="1"/>
  <c r="AE135" i="9"/>
  <c r="G135" i="9" s="1"/>
  <c r="AD119" i="9"/>
  <c r="AC119" i="9"/>
  <c r="V79" i="17"/>
  <c r="U79" i="17"/>
  <c r="AC119" i="17"/>
  <c r="AD119" i="17"/>
  <c r="Z124" i="17"/>
  <c r="Y124" i="17"/>
  <c r="V69" i="17"/>
  <c r="U69" i="17"/>
  <c r="V25" i="17"/>
  <c r="U25" i="17"/>
  <c r="AB115" i="17"/>
  <c r="AA115" i="17"/>
  <c r="Z123" i="17"/>
  <c r="Y123" i="17"/>
  <c r="X76" i="17"/>
  <c r="W76" i="17"/>
  <c r="AB112" i="17"/>
  <c r="AA112" i="17"/>
  <c r="S68" i="17"/>
  <c r="T68" i="17"/>
  <c r="U36" i="17"/>
  <c r="V36" i="17"/>
  <c r="R83" i="17"/>
  <c r="Q83" i="17"/>
  <c r="V78" i="17"/>
  <c r="U78" i="17"/>
  <c r="S81" i="17"/>
  <c r="T81" i="17"/>
  <c r="AC73" i="17"/>
  <c r="AD73" i="17"/>
  <c r="AC31" i="17"/>
  <c r="AD31" i="17"/>
  <c r="AH127" i="17"/>
  <c r="AG127" i="17"/>
  <c r="S84" i="17"/>
  <c r="T84" i="17"/>
  <c r="V85" i="17"/>
  <c r="U85" i="17"/>
  <c r="AC109" i="17"/>
  <c r="AD109" i="17"/>
  <c r="V91" i="17"/>
  <c r="U91" i="17"/>
  <c r="AC108" i="17"/>
  <c r="AD108" i="17"/>
  <c r="AA88" i="17"/>
  <c r="AB88" i="17"/>
  <c r="X86" i="17"/>
  <c r="W86" i="17"/>
  <c r="AB132" i="17"/>
  <c r="AA132" i="17"/>
  <c r="AA125" i="17"/>
  <c r="AB125" i="17"/>
  <c r="W70" i="17"/>
  <c r="X70" i="17"/>
  <c r="S67" i="17"/>
  <c r="T67" i="17"/>
  <c r="Y116" i="17"/>
  <c r="Z116" i="17"/>
  <c r="Q93" i="17"/>
  <c r="R93" i="17"/>
  <c r="Z33" i="17"/>
  <c r="Y33" i="17"/>
  <c r="AB134" i="17"/>
  <c r="AA134" i="17"/>
  <c r="AE110" i="17"/>
  <c r="AF110" i="17"/>
  <c r="AC111" i="17"/>
  <c r="AD111" i="17"/>
  <c r="W118" i="17"/>
  <c r="X118" i="17"/>
  <c r="Z27" i="17"/>
  <c r="Y27" i="17"/>
  <c r="Z89" i="17"/>
  <c r="Y89" i="17"/>
  <c r="V77" i="17"/>
  <c r="U77" i="17"/>
  <c r="U24" i="17"/>
  <c r="V24" i="17"/>
  <c r="W90" i="17"/>
  <c r="X90" i="17"/>
  <c r="AD29" i="17"/>
  <c r="AC29" i="17"/>
  <c r="AC121" i="17"/>
  <c r="AD121" i="17"/>
  <c r="X26" i="17"/>
  <c r="W26" i="17"/>
  <c r="W117" i="17"/>
  <c r="X117" i="17"/>
  <c r="AC133" i="17"/>
  <c r="AD133" i="17"/>
  <c r="Q82" i="17"/>
  <c r="R82" i="17"/>
  <c r="Y71" i="17"/>
  <c r="Z71" i="17"/>
  <c r="AA122" i="17"/>
  <c r="AB122" i="17"/>
  <c r="V38" i="17"/>
  <c r="U38" i="17"/>
  <c r="AA120" i="9"/>
  <c r="AB120" i="9"/>
  <c r="AB28" i="17"/>
  <c r="AA28" i="17"/>
  <c r="AA74" i="17"/>
  <c r="AB74" i="17"/>
  <c r="Z75" i="17"/>
  <c r="Y75" i="17"/>
  <c r="AB72" i="17"/>
  <c r="AA72" i="17"/>
  <c r="Y114" i="17"/>
  <c r="Z114" i="17"/>
  <c r="AB133" i="9"/>
  <c r="AA133" i="9"/>
  <c r="AB121" i="9"/>
  <c r="AA121" i="9"/>
  <c r="Z113" i="17"/>
  <c r="Y113" i="17"/>
  <c r="W34" i="17"/>
  <c r="X34" i="17"/>
  <c r="AE30" i="17"/>
  <c r="AF30" i="17"/>
  <c r="R94" i="17"/>
  <c r="Q94" i="17"/>
  <c r="Z87" i="17"/>
  <c r="Y87" i="17"/>
  <c r="AB32" i="17"/>
  <c r="AA32" i="17"/>
  <c r="S92" i="17"/>
  <c r="T92" i="17"/>
  <c r="AG126" i="17"/>
  <c r="AH126" i="17"/>
  <c r="T80" i="17"/>
  <c r="S80" i="17"/>
  <c r="Y120" i="17"/>
  <c r="Z120" i="17"/>
  <c r="P62" i="16"/>
  <c r="O62" i="16"/>
  <c r="AB44" i="16"/>
  <c r="AA44" i="16"/>
  <c r="AF38" i="16"/>
  <c r="AH38" i="16" s="1"/>
  <c r="AJ38" i="16" s="1"/>
  <c r="AE38" i="16"/>
  <c r="I38" i="16" s="1"/>
  <c r="AE40" i="16"/>
  <c r="I40" i="16" s="1"/>
  <c r="AF40" i="16"/>
  <c r="AH40" i="16" s="1"/>
  <c r="AJ40" i="16" s="1"/>
  <c r="K66" i="16"/>
  <c r="V55" i="16"/>
  <c r="U55" i="16"/>
  <c r="AA42" i="16"/>
  <c r="AB42" i="16"/>
  <c r="Y49" i="16"/>
  <c r="Z49" i="16"/>
  <c r="N67" i="16"/>
  <c r="M67" i="16"/>
  <c r="X52" i="16"/>
  <c r="W52" i="16"/>
  <c r="W50" i="16"/>
  <c r="X50" i="16"/>
  <c r="R57" i="16"/>
  <c r="Q57" i="16"/>
  <c r="R61" i="16"/>
  <c r="Q61" i="16"/>
  <c r="V53" i="16"/>
  <c r="U53" i="16"/>
  <c r="Z47" i="16"/>
  <c r="Y47" i="16"/>
  <c r="S58" i="16"/>
  <c r="T58" i="16"/>
  <c r="N65" i="16"/>
  <c r="M65" i="16"/>
  <c r="S54" i="16"/>
  <c r="T54" i="16"/>
  <c r="AC41" i="16"/>
  <c r="AD41" i="16"/>
  <c r="AF36" i="16"/>
  <c r="AH36" i="16" s="1"/>
  <c r="AJ36" i="16" s="1"/>
  <c r="AE36" i="16"/>
  <c r="I36" i="16" s="1"/>
  <c r="X48" i="16"/>
  <c r="W48" i="16"/>
  <c r="AC39" i="16"/>
  <c r="AD39" i="16"/>
  <c r="N63" i="16"/>
  <c r="M63" i="16"/>
  <c r="K70" i="16"/>
  <c r="P60" i="16"/>
  <c r="O60" i="16"/>
  <c r="K68" i="16"/>
  <c r="Y45" i="16"/>
  <c r="Z45" i="16"/>
  <c r="AB46" i="16"/>
  <c r="AA46" i="16"/>
  <c r="V51" i="16"/>
  <c r="U51" i="16"/>
  <c r="T56" i="16"/>
  <c r="S56" i="16"/>
  <c r="P64" i="16"/>
  <c r="O64" i="16"/>
  <c r="R59" i="16"/>
  <c r="Q59" i="16"/>
  <c r="AD43" i="16"/>
  <c r="AC43" i="16"/>
  <c r="G89" i="9"/>
  <c r="G41" i="7"/>
  <c r="AH90" i="1"/>
  <c r="AG90" i="1"/>
  <c r="G90" i="7"/>
  <c r="AE123" i="9"/>
  <c r="G123" i="9" s="1"/>
  <c r="AF123" i="9"/>
  <c r="AH123" i="9" s="1"/>
  <c r="AJ123" i="9" s="1"/>
  <c r="AF136" i="9"/>
  <c r="AH136" i="9" s="1"/>
  <c r="AJ136" i="9" s="1"/>
  <c r="AE136" i="9"/>
  <c r="G136" i="9" s="1"/>
  <c r="AF130" i="9"/>
  <c r="AH130" i="9" s="1"/>
  <c r="AJ130" i="9" s="1"/>
  <c r="AE130" i="9"/>
  <c r="G130" i="9" s="1"/>
  <c r="AF137" i="9"/>
  <c r="AH137" i="9" s="1"/>
  <c r="AJ137" i="9" s="1"/>
  <c r="AE137" i="9"/>
  <c r="G137" i="9" s="1"/>
  <c r="AF124" i="9"/>
  <c r="AH124" i="9" s="1"/>
  <c r="AJ124" i="9" s="1"/>
  <c r="AE124" i="9"/>
  <c r="G124" i="9" s="1"/>
  <c r="AF138" i="9"/>
  <c r="AH138" i="9" s="1"/>
  <c r="AJ138" i="9" s="1"/>
  <c r="AE138" i="9"/>
  <c r="G138" i="9" s="1"/>
  <c r="AF125" i="9"/>
  <c r="AH125" i="9" s="1"/>
  <c r="AJ125" i="9" s="1"/>
  <c r="AE125" i="9"/>
  <c r="G125" i="9" s="1"/>
  <c r="AF140" i="9"/>
  <c r="AH140" i="9" s="1"/>
  <c r="AJ140" i="9" s="1"/>
  <c r="AE140" i="9"/>
  <c r="G140" i="9" s="1"/>
  <c r="AF134" i="9"/>
  <c r="AH134" i="9" s="1"/>
  <c r="AJ134" i="9" s="1"/>
  <c r="AE134" i="9"/>
  <c r="G134" i="9" s="1"/>
  <c r="AF127" i="9"/>
  <c r="AH127" i="9" s="1"/>
  <c r="AJ127" i="9" s="1"/>
  <c r="AE127" i="9"/>
  <c r="G127" i="9" s="1"/>
  <c r="AF118" i="9"/>
  <c r="AH118" i="9" s="1"/>
  <c r="AJ118" i="9" s="1"/>
  <c r="AE118" i="9"/>
  <c r="G118" i="9" s="1"/>
  <c r="AF128" i="9"/>
  <c r="AH128" i="9" s="1"/>
  <c r="AJ128" i="9" s="1"/>
  <c r="AE128" i="9"/>
  <c r="G128" i="9" s="1"/>
  <c r="AF122" i="9"/>
  <c r="AH122" i="9" s="1"/>
  <c r="AJ122" i="9" s="1"/>
  <c r="AE122" i="9"/>
  <c r="G122" i="9" s="1"/>
  <c r="AE71" i="9"/>
  <c r="G71" i="9" s="1"/>
  <c r="AF71" i="9"/>
  <c r="AH71" i="9" s="1"/>
  <c r="AJ71" i="9" s="1"/>
  <c r="AE108" i="9"/>
  <c r="AF108" i="9"/>
  <c r="AG20" i="12"/>
  <c r="AG19" i="12"/>
  <c r="G96" i="8"/>
  <c r="AF41" i="8"/>
  <c r="AH41" i="8" s="1"/>
  <c r="AJ41" i="8" s="1"/>
  <c r="AE41" i="8"/>
  <c r="G41" i="8" s="1"/>
  <c r="G69" i="7"/>
  <c r="AF35" i="7"/>
  <c r="AE35" i="7"/>
  <c r="AH35" i="1"/>
  <c r="AG35" i="1"/>
  <c r="AH34" i="1"/>
  <c r="AG34" i="1"/>
  <c r="AH34" i="9"/>
  <c r="AG34" i="9"/>
  <c r="AH35" i="9"/>
  <c r="AG35" i="9"/>
  <c r="AB59" i="26" l="1"/>
  <c r="AD59" i="26" s="1"/>
  <c r="AF59" i="26" s="1"/>
  <c r="AH59" i="26" s="1"/>
  <c r="AJ59" i="26" s="1"/>
  <c r="AA59" i="26"/>
  <c r="G59" i="26" s="1"/>
  <c r="AD41" i="26"/>
  <c r="AC41" i="26"/>
  <c r="AE41" i="24"/>
  <c r="G41" i="24" s="1"/>
  <c r="AF41" i="24"/>
  <c r="AH41" i="24" s="1"/>
  <c r="AJ41" i="24" s="1"/>
  <c r="AJ85" i="8"/>
  <c r="AI85" i="8"/>
  <c r="G85" i="8" s="1"/>
  <c r="AJ85" i="7"/>
  <c r="AI85" i="7"/>
  <c r="G85" i="7" s="1"/>
  <c r="AJ85" i="1"/>
  <c r="AI85" i="1"/>
  <c r="G85" i="1" s="1"/>
  <c r="AJ86" i="9"/>
  <c r="AI86" i="9"/>
  <c r="G86" i="9" s="1"/>
  <c r="G96" i="21"/>
  <c r="Z101" i="9"/>
  <c r="AB101" i="9" s="1"/>
  <c r="AD101" i="9" s="1"/>
  <c r="AF101" i="9" s="1"/>
  <c r="AH101" i="9" s="1"/>
  <c r="AJ101" i="9" s="1"/>
  <c r="Y101" i="9"/>
  <c r="G101" i="9" s="1"/>
  <c r="AE41" i="21"/>
  <c r="G41" i="21" s="1"/>
  <c r="AF41" i="21"/>
  <c r="AH41" i="21" s="1"/>
  <c r="AJ41" i="21" s="1"/>
  <c r="Z98" i="9"/>
  <c r="Y98" i="9"/>
  <c r="Z99" i="9"/>
  <c r="Y99" i="9"/>
  <c r="AJ130" i="17"/>
  <c r="AL130" i="17" s="1"/>
  <c r="AN130" i="17" s="1"/>
  <c r="AI130" i="17"/>
  <c r="M130" i="17" s="1"/>
  <c r="AH131" i="17"/>
  <c r="AG131" i="17"/>
  <c r="AJ3" i="17"/>
  <c r="AL3" i="17" s="1"/>
  <c r="AN3" i="17" s="1"/>
  <c r="AI3" i="17"/>
  <c r="M3" i="17" s="1"/>
  <c r="X63" i="17"/>
  <c r="W63" i="17"/>
  <c r="U64" i="17"/>
  <c r="V64" i="17"/>
  <c r="V54" i="17"/>
  <c r="U54" i="17"/>
  <c r="AC60" i="17"/>
  <c r="AD60" i="17"/>
  <c r="Y56" i="17"/>
  <c r="Z56" i="17"/>
  <c r="V53" i="17"/>
  <c r="U53" i="17"/>
  <c r="AC58" i="17"/>
  <c r="AD58" i="17"/>
  <c r="AB57" i="17"/>
  <c r="AA57" i="17"/>
  <c r="S65" i="17"/>
  <c r="T65" i="17"/>
  <c r="Y62" i="17"/>
  <c r="Z62" i="17"/>
  <c r="S66" i="17"/>
  <c r="T66" i="17"/>
  <c r="X55" i="17"/>
  <c r="W55" i="17"/>
  <c r="AB61" i="17"/>
  <c r="AA61" i="17"/>
  <c r="AF59" i="17"/>
  <c r="AE59" i="17"/>
  <c r="AD45" i="17"/>
  <c r="AC45" i="17"/>
  <c r="V41" i="17"/>
  <c r="U41" i="17"/>
  <c r="Q52" i="17"/>
  <c r="R52" i="17"/>
  <c r="Z47" i="17"/>
  <c r="Y47" i="17"/>
  <c r="U49" i="17"/>
  <c r="V49" i="17"/>
  <c r="S50" i="17"/>
  <c r="T50" i="17"/>
  <c r="AB44" i="17"/>
  <c r="AA44" i="17"/>
  <c r="T40" i="17"/>
  <c r="S40" i="17"/>
  <c r="T39" i="17"/>
  <c r="S39" i="17"/>
  <c r="AB46" i="17"/>
  <c r="AA46" i="17"/>
  <c r="X48" i="17"/>
  <c r="W48" i="17"/>
  <c r="Z43" i="17"/>
  <c r="Y43" i="17"/>
  <c r="X42" i="17"/>
  <c r="W42" i="17"/>
  <c r="R51" i="17"/>
  <c r="Q51" i="17"/>
  <c r="X37" i="17"/>
  <c r="W37" i="17"/>
  <c r="AA131" i="9"/>
  <c r="AB131" i="9"/>
  <c r="AB126" i="9"/>
  <c r="AA126" i="9"/>
  <c r="R167" i="16"/>
  <c r="T167" i="16" s="1"/>
  <c r="V167" i="16" s="1"/>
  <c r="X167" i="16" s="1"/>
  <c r="Z167" i="16" s="1"/>
  <c r="AB167" i="16" s="1"/>
  <c r="AD167" i="16" s="1"/>
  <c r="AF167" i="16" s="1"/>
  <c r="AH167" i="16" s="1"/>
  <c r="AJ167" i="16" s="1"/>
  <c r="Q167" i="16"/>
  <c r="I167" i="16" s="1"/>
  <c r="H171" i="16"/>
  <c r="K170" i="16"/>
  <c r="N169" i="16"/>
  <c r="M169" i="16"/>
  <c r="O168" i="16"/>
  <c r="P168" i="16"/>
  <c r="AH128" i="17"/>
  <c r="AG128" i="17"/>
  <c r="AJ129" i="17"/>
  <c r="AL129" i="17" s="1"/>
  <c r="AN129" i="17" s="1"/>
  <c r="AI129" i="17"/>
  <c r="M129" i="17" s="1"/>
  <c r="AD132" i="9"/>
  <c r="AC132" i="9"/>
  <c r="AF129" i="9"/>
  <c r="AH129" i="9" s="1"/>
  <c r="AJ129" i="9" s="1"/>
  <c r="AE129" i="9"/>
  <c r="G129" i="9" s="1"/>
  <c r="AF139" i="9"/>
  <c r="AH139" i="9" s="1"/>
  <c r="AJ139" i="9" s="1"/>
  <c r="AE139" i="9"/>
  <c r="G139" i="9" s="1"/>
  <c r="AF119" i="9"/>
  <c r="AH119" i="9" s="1"/>
  <c r="AJ119" i="9" s="1"/>
  <c r="AE119" i="9"/>
  <c r="G119" i="9" s="1"/>
  <c r="AC121" i="9"/>
  <c r="AD121" i="9"/>
  <c r="AA75" i="17"/>
  <c r="AB75" i="17"/>
  <c r="W38" i="17"/>
  <c r="X38" i="17"/>
  <c r="Y26" i="17"/>
  <c r="Z26" i="17"/>
  <c r="AF29" i="17"/>
  <c r="AE29" i="17"/>
  <c r="AB89" i="17"/>
  <c r="AA89" i="17"/>
  <c r="AD88" i="17"/>
  <c r="AC88" i="17"/>
  <c r="AH30" i="17"/>
  <c r="AG30" i="17"/>
  <c r="AD74" i="17"/>
  <c r="AC74" i="17"/>
  <c r="AC122" i="17"/>
  <c r="AD122" i="17"/>
  <c r="AF121" i="17"/>
  <c r="AE121" i="17"/>
  <c r="V67" i="17"/>
  <c r="U67" i="17"/>
  <c r="AD132" i="17"/>
  <c r="AC132" i="17"/>
  <c r="X91" i="17"/>
  <c r="W91" i="17"/>
  <c r="W85" i="17"/>
  <c r="X85" i="17"/>
  <c r="AJ127" i="17"/>
  <c r="AL127" i="17" s="1"/>
  <c r="AN127" i="17" s="1"/>
  <c r="AI127" i="17"/>
  <c r="M127" i="17" s="1"/>
  <c r="X25" i="17"/>
  <c r="W25" i="17"/>
  <c r="V80" i="17"/>
  <c r="U80" i="17"/>
  <c r="AA87" i="17"/>
  <c r="AB87" i="17"/>
  <c r="AA113" i="17"/>
  <c r="AB113" i="17"/>
  <c r="AD133" i="9"/>
  <c r="AC133" i="9"/>
  <c r="AC72" i="17"/>
  <c r="AD72" i="17"/>
  <c r="W77" i="17"/>
  <c r="X77" i="17"/>
  <c r="AB27" i="17"/>
  <c r="AA27" i="17"/>
  <c r="AC134" i="17"/>
  <c r="AD134" i="17"/>
  <c r="AD125" i="17"/>
  <c r="AC125" i="17"/>
  <c r="AF108" i="17"/>
  <c r="AE108" i="17"/>
  <c r="AF109" i="17"/>
  <c r="AE109" i="17"/>
  <c r="V84" i="17"/>
  <c r="U84" i="17"/>
  <c r="AE31" i="17"/>
  <c r="AF31" i="17"/>
  <c r="U81" i="17"/>
  <c r="V81" i="17"/>
  <c r="U68" i="17"/>
  <c r="V68" i="17"/>
  <c r="AF119" i="17"/>
  <c r="AE119" i="17"/>
  <c r="AC32" i="17"/>
  <c r="AD32" i="17"/>
  <c r="S94" i="17"/>
  <c r="T94" i="17"/>
  <c r="AD28" i="17"/>
  <c r="AC28" i="17"/>
  <c r="AB33" i="17"/>
  <c r="AA33" i="17"/>
  <c r="AE73" i="17"/>
  <c r="AF73" i="17"/>
  <c r="X36" i="17"/>
  <c r="W36" i="17"/>
  <c r="U92" i="17"/>
  <c r="V92" i="17"/>
  <c r="AD120" i="9"/>
  <c r="AC120" i="9"/>
  <c r="T82" i="17"/>
  <c r="S82" i="17"/>
  <c r="Y117" i="17"/>
  <c r="Z117" i="17"/>
  <c r="Y90" i="17"/>
  <c r="Z90" i="17"/>
  <c r="AF111" i="17"/>
  <c r="AE111" i="17"/>
  <c r="T93" i="17"/>
  <c r="S93" i="17"/>
  <c r="W78" i="17"/>
  <c r="X78" i="17"/>
  <c r="AD112" i="17"/>
  <c r="AC112" i="17"/>
  <c r="AB123" i="17"/>
  <c r="AA123" i="17"/>
  <c r="AB124" i="17"/>
  <c r="AA124" i="17"/>
  <c r="W79" i="17"/>
  <c r="X79" i="17"/>
  <c r="AI126" i="17"/>
  <c r="M126" i="17" s="1"/>
  <c r="AJ126" i="17"/>
  <c r="AL126" i="17" s="1"/>
  <c r="AN126" i="17" s="1"/>
  <c r="Y34" i="17"/>
  <c r="Z34" i="17"/>
  <c r="AA114" i="17"/>
  <c r="AB114" i="17"/>
  <c r="AB71" i="17"/>
  <c r="AA71" i="17"/>
  <c r="AE133" i="17"/>
  <c r="AF133" i="17"/>
  <c r="X24" i="17"/>
  <c r="W24" i="17"/>
  <c r="Y118" i="17"/>
  <c r="Z118" i="17"/>
  <c r="AG110" i="17"/>
  <c r="AH110" i="17"/>
  <c r="AB116" i="17"/>
  <c r="AA116" i="17"/>
  <c r="Z70" i="17"/>
  <c r="Y70" i="17"/>
  <c r="Z86" i="17"/>
  <c r="Y86" i="17"/>
  <c r="S83" i="17"/>
  <c r="T83" i="17"/>
  <c r="Y76" i="17"/>
  <c r="Z76" i="17"/>
  <c r="AC115" i="17"/>
  <c r="AD115" i="17"/>
  <c r="W69" i="17"/>
  <c r="X69" i="17"/>
  <c r="AA120" i="17"/>
  <c r="AB120" i="17"/>
  <c r="AF43" i="16"/>
  <c r="AH43" i="16" s="1"/>
  <c r="AJ43" i="16" s="1"/>
  <c r="AE43" i="16"/>
  <c r="I43" i="16" s="1"/>
  <c r="AD46" i="16"/>
  <c r="AC46" i="16"/>
  <c r="R60" i="16"/>
  <c r="Q60" i="16"/>
  <c r="O65" i="16"/>
  <c r="P65" i="16"/>
  <c r="W53" i="16"/>
  <c r="X53" i="16"/>
  <c r="T57" i="16"/>
  <c r="S57" i="16"/>
  <c r="Z52" i="16"/>
  <c r="Y52" i="16"/>
  <c r="X55" i="16"/>
  <c r="W55" i="16"/>
  <c r="AC44" i="16"/>
  <c r="AD44" i="16"/>
  <c r="R64" i="16"/>
  <c r="Q64" i="16"/>
  <c r="X51" i="16"/>
  <c r="W51" i="16"/>
  <c r="N68" i="16"/>
  <c r="M68" i="16"/>
  <c r="K73" i="16"/>
  <c r="P63" i="16"/>
  <c r="O63" i="16"/>
  <c r="Y48" i="16"/>
  <c r="Z48" i="16"/>
  <c r="V54" i="16"/>
  <c r="U54" i="16"/>
  <c r="U58" i="16"/>
  <c r="V58" i="16"/>
  <c r="Y50" i="16"/>
  <c r="Z50" i="16"/>
  <c r="AC42" i="16"/>
  <c r="AD42" i="16"/>
  <c r="M66" i="16"/>
  <c r="N66" i="16"/>
  <c r="AA45" i="16"/>
  <c r="AB45" i="16"/>
  <c r="K71" i="16"/>
  <c r="N70" i="16"/>
  <c r="M70" i="16"/>
  <c r="AE39" i="16"/>
  <c r="I39" i="16" s="1"/>
  <c r="AF39" i="16"/>
  <c r="AH39" i="16" s="1"/>
  <c r="AJ39" i="16" s="1"/>
  <c r="AF41" i="16"/>
  <c r="AH41" i="16" s="1"/>
  <c r="AJ41" i="16" s="1"/>
  <c r="AE41" i="16"/>
  <c r="I41" i="16" s="1"/>
  <c r="AB47" i="16"/>
  <c r="AA47" i="16"/>
  <c r="S61" i="16"/>
  <c r="T61" i="16"/>
  <c r="O67" i="16"/>
  <c r="P67" i="16"/>
  <c r="K69" i="16"/>
  <c r="Q62" i="16"/>
  <c r="R62" i="16"/>
  <c r="T59" i="16"/>
  <c r="S59" i="16"/>
  <c r="V56" i="16"/>
  <c r="U56" i="16"/>
  <c r="AB49" i="16"/>
  <c r="AA49" i="16"/>
  <c r="AJ90" i="1"/>
  <c r="AK90" i="1" s="1"/>
  <c r="AI90" i="1"/>
  <c r="AG108" i="9"/>
  <c r="AH108" i="9"/>
  <c r="AH35" i="7"/>
  <c r="AG35" i="7"/>
  <c r="AJ34" i="1"/>
  <c r="AK34" i="1" s="1"/>
  <c r="AI34" i="1"/>
  <c r="AJ35" i="1"/>
  <c r="AK35" i="1" s="1"/>
  <c r="AI35" i="1"/>
  <c r="AJ35" i="9"/>
  <c r="AK35" i="9" s="1"/>
  <c r="AI35" i="9"/>
  <c r="AJ34" i="9"/>
  <c r="AK34" i="9" s="1"/>
  <c r="AI34" i="9"/>
  <c r="F13" i="8"/>
  <c r="F8" i="8"/>
  <c r="AF41" i="26" l="1"/>
  <c r="AH41" i="26" s="1"/>
  <c r="AJ41" i="26" s="1"/>
  <c r="AE41" i="26"/>
  <c r="G41" i="26" s="1"/>
  <c r="D9" i="13"/>
  <c r="F43" i="8"/>
  <c r="K43" i="8" s="1"/>
  <c r="AB99" i="9"/>
  <c r="AA99" i="9"/>
  <c r="AB98" i="9"/>
  <c r="AA98" i="9"/>
  <c r="AJ131" i="17"/>
  <c r="AL131" i="17" s="1"/>
  <c r="AN131" i="17" s="1"/>
  <c r="AI131" i="17"/>
  <c r="M131" i="17" s="1"/>
  <c r="U65" i="17"/>
  <c r="V65" i="17"/>
  <c r="AD57" i="17"/>
  <c r="AC57" i="17"/>
  <c r="X53" i="17"/>
  <c r="W53" i="17"/>
  <c r="AH59" i="17"/>
  <c r="AG59" i="17"/>
  <c r="AE58" i="17"/>
  <c r="AF58" i="17"/>
  <c r="AB56" i="17"/>
  <c r="AA56" i="17"/>
  <c r="Z55" i="17"/>
  <c r="Y55" i="17"/>
  <c r="AA62" i="17"/>
  <c r="AB62" i="17"/>
  <c r="W54" i="17"/>
  <c r="X54" i="17"/>
  <c r="AD61" i="17"/>
  <c r="AC61" i="17"/>
  <c r="U66" i="17"/>
  <c r="V66" i="17"/>
  <c r="AE60" i="17"/>
  <c r="AF60" i="17"/>
  <c r="W64" i="17"/>
  <c r="X64" i="17"/>
  <c r="Z63" i="17"/>
  <c r="Y63" i="17"/>
  <c r="V50" i="17"/>
  <c r="U50" i="17"/>
  <c r="AB43" i="17"/>
  <c r="AA43" i="17"/>
  <c r="AD46" i="17"/>
  <c r="AC46" i="17"/>
  <c r="U40" i="17"/>
  <c r="V40" i="17"/>
  <c r="AA47" i="17"/>
  <c r="AB47" i="17"/>
  <c r="X41" i="17"/>
  <c r="W41" i="17"/>
  <c r="X49" i="17"/>
  <c r="W49" i="17"/>
  <c r="T52" i="17"/>
  <c r="S52" i="17"/>
  <c r="S51" i="17"/>
  <c r="T51" i="17"/>
  <c r="Z42" i="17"/>
  <c r="Y42" i="17"/>
  <c r="Y48" i="17"/>
  <c r="Z48" i="17"/>
  <c r="V39" i="17"/>
  <c r="U39" i="17"/>
  <c r="AD44" i="17"/>
  <c r="AC44" i="17"/>
  <c r="AF45" i="17"/>
  <c r="AE45" i="17"/>
  <c r="AC131" i="9"/>
  <c r="AD131" i="9"/>
  <c r="Z37" i="17"/>
  <c r="Y37" i="17"/>
  <c r="AC126" i="9"/>
  <c r="AD126" i="9"/>
  <c r="H172" i="16"/>
  <c r="K171" i="16"/>
  <c r="P169" i="16"/>
  <c r="O169" i="16"/>
  <c r="R168" i="16"/>
  <c r="T168" i="16" s="1"/>
  <c r="V168" i="16" s="1"/>
  <c r="X168" i="16" s="1"/>
  <c r="Z168" i="16" s="1"/>
  <c r="AB168" i="16" s="1"/>
  <c r="AD168" i="16" s="1"/>
  <c r="AF168" i="16" s="1"/>
  <c r="AH168" i="16" s="1"/>
  <c r="AJ168" i="16" s="1"/>
  <c r="Q168" i="16"/>
  <c r="I168" i="16" s="1"/>
  <c r="M170" i="16"/>
  <c r="N170" i="16"/>
  <c r="G35" i="1"/>
  <c r="G90" i="1"/>
  <c r="AJ128" i="17"/>
  <c r="AL128" i="17" s="1"/>
  <c r="AN128" i="17" s="1"/>
  <c r="AI128" i="17"/>
  <c r="M128" i="17" s="1"/>
  <c r="AF132" i="9"/>
  <c r="AH132" i="9" s="1"/>
  <c r="AJ132" i="9" s="1"/>
  <c r="AE132" i="9"/>
  <c r="G132" i="9" s="1"/>
  <c r="Z69" i="17"/>
  <c r="Y69" i="17"/>
  <c r="AB76" i="17"/>
  <c r="AA76" i="17"/>
  <c r="AB118" i="17"/>
  <c r="AA118" i="17"/>
  <c r="Z24" i="17"/>
  <c r="Y24" i="17"/>
  <c r="AD71" i="17"/>
  <c r="AC71" i="17"/>
  <c r="AC123" i="17"/>
  <c r="AD123" i="17"/>
  <c r="AB117" i="17"/>
  <c r="AA117" i="17"/>
  <c r="AE28" i="17"/>
  <c r="AF28" i="17"/>
  <c r="AG109" i="17"/>
  <c r="AH109" i="17"/>
  <c r="AF133" i="9"/>
  <c r="AH133" i="9" s="1"/>
  <c r="AJ133" i="9" s="1"/>
  <c r="AE133" i="9"/>
  <c r="G133" i="9" s="1"/>
  <c r="Y25" i="17"/>
  <c r="Z25" i="17"/>
  <c r="AE132" i="17"/>
  <c r="AF132" i="17"/>
  <c r="AH121" i="17"/>
  <c r="AG121" i="17"/>
  <c r="AF74" i="17"/>
  <c r="AE74" i="17"/>
  <c r="Z38" i="17"/>
  <c r="Y38" i="17"/>
  <c r="AE121" i="9"/>
  <c r="G121" i="9" s="1"/>
  <c r="AF121" i="9"/>
  <c r="AH121" i="9" s="1"/>
  <c r="AJ121" i="9" s="1"/>
  <c r="AA86" i="17"/>
  <c r="AB86" i="17"/>
  <c r="AC116" i="17"/>
  <c r="AD116" i="17"/>
  <c r="AG133" i="17"/>
  <c r="AH133" i="17"/>
  <c r="AD114" i="17"/>
  <c r="AC114" i="17"/>
  <c r="AH111" i="17"/>
  <c r="AG111" i="17"/>
  <c r="AF120" i="9"/>
  <c r="AH120" i="9" s="1"/>
  <c r="AJ120" i="9" s="1"/>
  <c r="AE120" i="9"/>
  <c r="G120" i="9" s="1"/>
  <c r="Y36" i="17"/>
  <c r="Z36" i="17"/>
  <c r="AD33" i="17"/>
  <c r="AC33" i="17"/>
  <c r="U94" i="17"/>
  <c r="V94" i="17"/>
  <c r="X81" i="17"/>
  <c r="W81" i="17"/>
  <c r="AE125" i="17"/>
  <c r="AF125" i="17"/>
  <c r="AE72" i="17"/>
  <c r="AF72" i="17"/>
  <c r="AD113" i="17"/>
  <c r="AC113" i="17"/>
  <c r="AF122" i="17"/>
  <c r="AE122" i="17"/>
  <c r="AE88" i="17"/>
  <c r="AF88" i="17"/>
  <c r="AG29" i="17"/>
  <c r="AH29" i="17"/>
  <c r="AE115" i="17"/>
  <c r="AF115" i="17"/>
  <c r="V83" i="17"/>
  <c r="U83" i="17"/>
  <c r="AJ110" i="17"/>
  <c r="AL110" i="17" s="1"/>
  <c r="AN110" i="17" s="1"/>
  <c r="AI110" i="17"/>
  <c r="M110" i="17" s="1"/>
  <c r="AC124" i="17"/>
  <c r="AD124" i="17"/>
  <c r="AF112" i="17"/>
  <c r="AE112" i="17"/>
  <c r="AA90" i="17"/>
  <c r="AB90" i="17"/>
  <c r="X92" i="17"/>
  <c r="W92" i="17"/>
  <c r="AH73" i="17"/>
  <c r="AG73" i="17"/>
  <c r="AH119" i="17"/>
  <c r="AG119" i="17"/>
  <c r="X84" i="17"/>
  <c r="W84" i="17"/>
  <c r="AH108" i="17"/>
  <c r="AG108" i="17"/>
  <c r="AF134" i="17"/>
  <c r="AH134" i="17" s="1"/>
  <c r="AJ134" i="17" s="1"/>
  <c r="AL134" i="17" s="1"/>
  <c r="AN134" i="17" s="1"/>
  <c r="AE134" i="17"/>
  <c r="M134" i="17" s="1"/>
  <c r="AD27" i="17"/>
  <c r="AC27" i="17"/>
  <c r="X80" i="17"/>
  <c r="W80" i="17"/>
  <c r="Y91" i="17"/>
  <c r="Z91" i="17"/>
  <c r="X67" i="17"/>
  <c r="W67" i="17"/>
  <c r="AJ30" i="17"/>
  <c r="AL30" i="17" s="1"/>
  <c r="AN30" i="17" s="1"/>
  <c r="AI30" i="17"/>
  <c r="M30" i="17" s="1"/>
  <c r="AA26" i="17"/>
  <c r="AB26" i="17"/>
  <c r="AD75" i="17"/>
  <c r="AC75" i="17"/>
  <c r="AB70" i="17"/>
  <c r="AA70" i="17"/>
  <c r="AA34" i="17"/>
  <c r="AB34" i="17"/>
  <c r="Z79" i="17"/>
  <c r="Y79" i="17"/>
  <c r="Y78" i="17"/>
  <c r="Z78" i="17"/>
  <c r="U93" i="17"/>
  <c r="V93" i="17"/>
  <c r="U82" i="17"/>
  <c r="V82" i="17"/>
  <c r="AF32" i="17"/>
  <c r="AE32" i="17"/>
  <c r="W68" i="17"/>
  <c r="X68" i="17"/>
  <c r="AH31" i="17"/>
  <c r="AG31" i="17"/>
  <c r="Z77" i="17"/>
  <c r="Y77" i="17"/>
  <c r="AC87" i="17"/>
  <c r="AD87" i="17"/>
  <c r="Z85" i="17"/>
  <c r="Y85" i="17"/>
  <c r="AC89" i="17"/>
  <c r="AD89" i="17"/>
  <c r="AC120" i="17"/>
  <c r="AD120" i="17"/>
  <c r="AD47" i="16"/>
  <c r="AC47" i="16"/>
  <c r="N71" i="16"/>
  <c r="M71" i="16"/>
  <c r="N69" i="16"/>
  <c r="M69" i="16"/>
  <c r="U61" i="16"/>
  <c r="V61" i="16"/>
  <c r="AC45" i="16"/>
  <c r="AD45" i="16"/>
  <c r="R65" i="16"/>
  <c r="Q65" i="16"/>
  <c r="T60" i="16"/>
  <c r="S60" i="16"/>
  <c r="K72" i="16"/>
  <c r="P70" i="16"/>
  <c r="O70" i="16"/>
  <c r="AF42" i="16"/>
  <c r="AH42" i="16" s="1"/>
  <c r="AJ42" i="16" s="1"/>
  <c r="AE42" i="16"/>
  <c r="I42" i="16" s="1"/>
  <c r="X54" i="16"/>
  <c r="W54" i="16"/>
  <c r="R63" i="16"/>
  <c r="Q63" i="16"/>
  <c r="P68" i="16"/>
  <c r="O68" i="16"/>
  <c r="T64" i="16"/>
  <c r="S64" i="16"/>
  <c r="Z55" i="16"/>
  <c r="Y55" i="16"/>
  <c r="U57" i="16"/>
  <c r="V57" i="16"/>
  <c r="P66" i="16"/>
  <c r="O66" i="16"/>
  <c r="K76" i="16"/>
  <c r="Z51" i="16"/>
  <c r="Y51" i="16"/>
  <c r="AB52" i="16"/>
  <c r="AA52" i="16"/>
  <c r="V59" i="16"/>
  <c r="U59" i="16"/>
  <c r="AB50" i="16"/>
  <c r="AA50" i="16"/>
  <c r="AC49" i="16"/>
  <c r="AD49" i="16"/>
  <c r="X56" i="16"/>
  <c r="W56" i="16"/>
  <c r="T62" i="16"/>
  <c r="S62" i="16"/>
  <c r="R67" i="16"/>
  <c r="Q67" i="16"/>
  <c r="K74" i="16"/>
  <c r="W58" i="16"/>
  <c r="X58" i="16"/>
  <c r="AA48" i="16"/>
  <c r="AB48" i="16"/>
  <c r="N73" i="16"/>
  <c r="M73" i="16"/>
  <c r="AE44" i="16"/>
  <c r="I44" i="16" s="1"/>
  <c r="AF44" i="16"/>
  <c r="AH44" i="16" s="1"/>
  <c r="AJ44" i="16" s="1"/>
  <c r="Z53" i="16"/>
  <c r="Y53" i="16"/>
  <c r="AF46" i="16"/>
  <c r="AH46" i="16" s="1"/>
  <c r="AJ46" i="16" s="1"/>
  <c r="AE46" i="16"/>
  <c r="I46" i="16" s="1"/>
  <c r="G34" i="1"/>
  <c r="K13" i="8"/>
  <c r="F13" i="12"/>
  <c r="N13" i="8"/>
  <c r="P13" i="8" s="1"/>
  <c r="F8" i="12"/>
  <c r="I71" i="12" s="1"/>
  <c r="N8" i="8"/>
  <c r="P8" i="8" s="1"/>
  <c r="AI108" i="9"/>
  <c r="AJ108" i="9"/>
  <c r="AK108" i="9" s="1"/>
  <c r="F39" i="8"/>
  <c r="K39" i="8" s="1"/>
  <c r="F42" i="8"/>
  <c r="K42" i="8" s="1"/>
  <c r="H42" i="8" s="1"/>
  <c r="G34" i="9"/>
  <c r="G35" i="9"/>
  <c r="AJ35" i="7"/>
  <c r="AK35" i="7" s="1"/>
  <c r="AI35" i="7"/>
  <c r="F11" i="8"/>
  <c r="F3" i="8"/>
  <c r="F61" i="8" s="1"/>
  <c r="K61" i="8" s="1"/>
  <c r="H61" i="8" s="1"/>
  <c r="F5" i="8"/>
  <c r="K8" i="8"/>
  <c r="F10" i="8"/>
  <c r="F45" i="8" s="1"/>
  <c r="K45" i="8" s="1"/>
  <c r="H45" i="8" s="1"/>
  <c r="F9" i="8"/>
  <c r="F6" i="8"/>
  <c r="N43" i="8" l="1"/>
  <c r="H43" i="8"/>
  <c r="M43" i="8"/>
  <c r="F58" i="8"/>
  <c r="K58" i="8" s="1"/>
  <c r="H58" i="8" s="1"/>
  <c r="F97" i="21"/>
  <c r="K97" i="21" s="1"/>
  <c r="H39" i="8"/>
  <c r="M5" i="22"/>
  <c r="AD98" i="9"/>
  <c r="AC98" i="9"/>
  <c r="AD99" i="9"/>
  <c r="AC99" i="9"/>
  <c r="AG60" i="17"/>
  <c r="AH60" i="17"/>
  <c r="W66" i="17"/>
  <c r="X66" i="17"/>
  <c r="Z54" i="17"/>
  <c r="Y54" i="17"/>
  <c r="W65" i="17"/>
  <c r="X65" i="17"/>
  <c r="AB63" i="17"/>
  <c r="AA63" i="17"/>
  <c r="Z53" i="17"/>
  <c r="Y53" i="17"/>
  <c r="Y64" i="17"/>
  <c r="Z64" i="17"/>
  <c r="AB55" i="17"/>
  <c r="AA55" i="17"/>
  <c r="AC56" i="17"/>
  <c r="AD56" i="17"/>
  <c r="AJ59" i="17"/>
  <c r="AL59" i="17" s="1"/>
  <c r="AN59" i="17" s="1"/>
  <c r="AI59" i="17"/>
  <c r="M59" i="17" s="1"/>
  <c r="AF61" i="17"/>
  <c r="AE61" i="17"/>
  <c r="AC62" i="17"/>
  <c r="AD62" i="17"/>
  <c r="AG58" i="17"/>
  <c r="AH58" i="17"/>
  <c r="AE57" i="17"/>
  <c r="AF57" i="17"/>
  <c r="N42" i="8"/>
  <c r="P42" i="8" s="1"/>
  <c r="Q42" i="8" s="1"/>
  <c r="F60" i="8"/>
  <c r="K60" i="8" s="1"/>
  <c r="H60" i="8" s="1"/>
  <c r="N61" i="8"/>
  <c r="M61" i="8"/>
  <c r="AD43" i="17"/>
  <c r="AC43" i="17"/>
  <c r="X39" i="17"/>
  <c r="W39" i="17"/>
  <c r="AB42" i="17"/>
  <c r="AA42" i="17"/>
  <c r="Y49" i="17"/>
  <c r="Z49" i="17"/>
  <c r="AD47" i="17"/>
  <c r="AC47" i="17"/>
  <c r="AF44" i="17"/>
  <c r="AE44" i="17"/>
  <c r="V51" i="17"/>
  <c r="U51" i="17"/>
  <c r="U52" i="17"/>
  <c r="V52" i="17"/>
  <c r="X40" i="17"/>
  <c r="W40" i="17"/>
  <c r="AH45" i="17"/>
  <c r="AG45" i="17"/>
  <c r="Z41" i="17"/>
  <c r="Y41" i="17"/>
  <c r="AA48" i="17"/>
  <c r="AB48" i="17"/>
  <c r="AF46" i="17"/>
  <c r="AE46" i="17"/>
  <c r="W50" i="17"/>
  <c r="X50" i="17"/>
  <c r="N58" i="8"/>
  <c r="AB37" i="17"/>
  <c r="AA37" i="17"/>
  <c r="AF131" i="9"/>
  <c r="AH131" i="9" s="1"/>
  <c r="AJ131" i="9" s="1"/>
  <c r="AE131" i="9"/>
  <c r="G131" i="9" s="1"/>
  <c r="AF126" i="9"/>
  <c r="AH126" i="9" s="1"/>
  <c r="AJ126" i="9" s="1"/>
  <c r="AE126" i="9"/>
  <c r="G126" i="9" s="1"/>
  <c r="N171" i="16"/>
  <c r="M171" i="16"/>
  <c r="O170" i="16"/>
  <c r="P170" i="16"/>
  <c r="H173" i="16"/>
  <c r="K172" i="16"/>
  <c r="R169" i="16"/>
  <c r="T169" i="16" s="1"/>
  <c r="V169" i="16" s="1"/>
  <c r="X169" i="16" s="1"/>
  <c r="Z169" i="16" s="1"/>
  <c r="AB169" i="16" s="1"/>
  <c r="AD169" i="16" s="1"/>
  <c r="AF169" i="16" s="1"/>
  <c r="AH169" i="16" s="1"/>
  <c r="AJ169" i="16" s="1"/>
  <c r="Q169" i="16"/>
  <c r="I169" i="16" s="1"/>
  <c r="F90" i="8"/>
  <c r="K90" i="8" s="1"/>
  <c r="M90" i="8" s="1"/>
  <c r="F46" i="8"/>
  <c r="K46" i="8" s="1"/>
  <c r="H46" i="8" s="1"/>
  <c r="N45" i="8"/>
  <c r="M45" i="8"/>
  <c r="Z68" i="17"/>
  <c r="Y68" i="17"/>
  <c r="W82" i="17"/>
  <c r="X82" i="17"/>
  <c r="AB78" i="17"/>
  <c r="AA78" i="17"/>
  <c r="AD34" i="17"/>
  <c r="AC34" i="17"/>
  <c r="AA91" i="17"/>
  <c r="AB91" i="17"/>
  <c r="AH115" i="17"/>
  <c r="AG115" i="17"/>
  <c r="AG88" i="17"/>
  <c r="AH88" i="17"/>
  <c r="AG125" i="17"/>
  <c r="AH125" i="17"/>
  <c r="X94" i="17"/>
  <c r="W94" i="17"/>
  <c r="AB36" i="17"/>
  <c r="AA36" i="17"/>
  <c r="AI133" i="17"/>
  <c r="M133" i="17" s="1"/>
  <c r="AJ133" i="17"/>
  <c r="AL133" i="17" s="1"/>
  <c r="AN133" i="17" s="1"/>
  <c r="AD86" i="17"/>
  <c r="AC86" i="17"/>
  <c r="AA25" i="17"/>
  <c r="AB25" i="17"/>
  <c r="AI109" i="17"/>
  <c r="M109" i="17" s="1"/>
  <c r="AJ109" i="17"/>
  <c r="AL109" i="17" s="1"/>
  <c r="AN109" i="17" s="1"/>
  <c r="AE89" i="17"/>
  <c r="AF89" i="17"/>
  <c r="AA85" i="17"/>
  <c r="AB85" i="17"/>
  <c r="AA77" i="17"/>
  <c r="AB77" i="17"/>
  <c r="AF75" i="17"/>
  <c r="AE75" i="17"/>
  <c r="AF27" i="17"/>
  <c r="AE27" i="17"/>
  <c r="AI108" i="17"/>
  <c r="M108" i="17" s="1"/>
  <c r="AJ108" i="17"/>
  <c r="AL108" i="17" s="1"/>
  <c r="AN108" i="17" s="1"/>
  <c r="AJ119" i="17"/>
  <c r="AL119" i="17" s="1"/>
  <c r="AN119" i="17" s="1"/>
  <c r="AI119" i="17"/>
  <c r="M119" i="17" s="1"/>
  <c r="Z92" i="17"/>
  <c r="Y92" i="17"/>
  <c r="AH112" i="17"/>
  <c r="AG112" i="17"/>
  <c r="AE113" i="17"/>
  <c r="AF113" i="17"/>
  <c r="AI111" i="17"/>
  <c r="M111" i="17" s="1"/>
  <c r="AJ111" i="17"/>
  <c r="AL111" i="17" s="1"/>
  <c r="AN111" i="17" s="1"/>
  <c r="AA38" i="17"/>
  <c r="AB38" i="17"/>
  <c r="AJ121" i="17"/>
  <c r="AL121" i="17" s="1"/>
  <c r="AN121" i="17" s="1"/>
  <c r="AI121" i="17"/>
  <c r="M121" i="17" s="1"/>
  <c r="AD117" i="17"/>
  <c r="AC117" i="17"/>
  <c r="AE71" i="17"/>
  <c r="AF71" i="17"/>
  <c r="AC118" i="17"/>
  <c r="AD118" i="17"/>
  <c r="AB69" i="17"/>
  <c r="AA69" i="17"/>
  <c r="AF87" i="17"/>
  <c r="AE87" i="17"/>
  <c r="X93" i="17"/>
  <c r="W93" i="17"/>
  <c r="AC26" i="17"/>
  <c r="AD26" i="17"/>
  <c r="AD90" i="17"/>
  <c r="AC90" i="17"/>
  <c r="AE124" i="17"/>
  <c r="AF124" i="17"/>
  <c r="AJ29" i="17"/>
  <c r="AL29" i="17" s="1"/>
  <c r="AN29" i="17" s="1"/>
  <c r="AI29" i="17"/>
  <c r="M29" i="17" s="1"/>
  <c r="AH72" i="17"/>
  <c r="AG72" i="17"/>
  <c r="AE116" i="17"/>
  <c r="AF116" i="17"/>
  <c r="AH132" i="17"/>
  <c r="AG132" i="17"/>
  <c r="AH28" i="17"/>
  <c r="AG28" i="17"/>
  <c r="AF123" i="17"/>
  <c r="AE123" i="17"/>
  <c r="AI31" i="17"/>
  <c r="M31" i="17" s="1"/>
  <c r="AJ31" i="17"/>
  <c r="AL31" i="17" s="1"/>
  <c r="AN31" i="17" s="1"/>
  <c r="AG32" i="17"/>
  <c r="AH32" i="17"/>
  <c r="AA79" i="17"/>
  <c r="AB79" i="17"/>
  <c r="AD70" i="17"/>
  <c r="AC70" i="17"/>
  <c r="Y67" i="17"/>
  <c r="Z67" i="17"/>
  <c r="Z80" i="17"/>
  <c r="Y80" i="17"/>
  <c r="Z84" i="17"/>
  <c r="Y84" i="17"/>
  <c r="AJ73" i="17"/>
  <c r="AL73" i="17" s="1"/>
  <c r="AN73" i="17" s="1"/>
  <c r="AI73" i="17"/>
  <c r="M73" i="17" s="1"/>
  <c r="W83" i="17"/>
  <c r="X83" i="17"/>
  <c r="AH122" i="17"/>
  <c r="AG122" i="17"/>
  <c r="Z81" i="17"/>
  <c r="Y81" i="17"/>
  <c r="AE33" i="17"/>
  <c r="AF33" i="17"/>
  <c r="AF114" i="17"/>
  <c r="AE114" i="17"/>
  <c r="AH74" i="17"/>
  <c r="AG74" i="17"/>
  <c r="AB24" i="17"/>
  <c r="AA24" i="17"/>
  <c r="AC76" i="17"/>
  <c r="AD76" i="17"/>
  <c r="AE120" i="17"/>
  <c r="AF120" i="17"/>
  <c r="Y58" i="16"/>
  <c r="Z58" i="16"/>
  <c r="K77" i="16"/>
  <c r="U62" i="16"/>
  <c r="V62" i="16"/>
  <c r="V64" i="16"/>
  <c r="U64" i="16"/>
  <c r="T63" i="16"/>
  <c r="S63" i="16"/>
  <c r="V60" i="16"/>
  <c r="U60" i="16"/>
  <c r="W61" i="16"/>
  <c r="X61" i="16"/>
  <c r="AF47" i="16"/>
  <c r="AH47" i="16" s="1"/>
  <c r="AJ47" i="16" s="1"/>
  <c r="AE47" i="16"/>
  <c r="I47" i="16" s="1"/>
  <c r="AB53" i="16"/>
  <c r="AA53" i="16"/>
  <c r="O73" i="16"/>
  <c r="P73" i="16"/>
  <c r="X59" i="16"/>
  <c r="W59" i="16"/>
  <c r="AB51" i="16"/>
  <c r="AA51" i="16"/>
  <c r="N72" i="16"/>
  <c r="M72" i="16"/>
  <c r="AE45" i="16"/>
  <c r="I45" i="16" s="1"/>
  <c r="AF45" i="16"/>
  <c r="AH45" i="16" s="1"/>
  <c r="AJ45" i="16" s="1"/>
  <c r="AC48" i="16"/>
  <c r="AD48" i="16"/>
  <c r="S67" i="16"/>
  <c r="T67" i="16"/>
  <c r="Z56" i="16"/>
  <c r="Y56" i="16"/>
  <c r="AC50" i="16"/>
  <c r="AD50" i="16"/>
  <c r="N76" i="16"/>
  <c r="M76" i="16"/>
  <c r="R66" i="16"/>
  <c r="Q66" i="16"/>
  <c r="AB55" i="16"/>
  <c r="AA55" i="16"/>
  <c r="R68" i="16"/>
  <c r="Q68" i="16"/>
  <c r="Y54" i="16"/>
  <c r="Z54" i="16"/>
  <c r="K75" i="16"/>
  <c r="S65" i="16"/>
  <c r="T65" i="16"/>
  <c r="P71" i="16"/>
  <c r="O71" i="16"/>
  <c r="N74" i="16"/>
  <c r="M74" i="16"/>
  <c r="AF49" i="16"/>
  <c r="AH49" i="16" s="1"/>
  <c r="AJ49" i="16" s="1"/>
  <c r="AE49" i="16"/>
  <c r="I49" i="16" s="1"/>
  <c r="AD52" i="16"/>
  <c r="AC52" i="16"/>
  <c r="K79" i="16"/>
  <c r="W57" i="16"/>
  <c r="X57" i="16"/>
  <c r="R70" i="16"/>
  <c r="Q70" i="16"/>
  <c r="P69" i="16"/>
  <c r="O69" i="16"/>
  <c r="D7" i="13"/>
  <c r="G108" i="9"/>
  <c r="F6" i="12"/>
  <c r="N6" i="8"/>
  <c r="P6" i="8" s="1"/>
  <c r="F5" i="12"/>
  <c r="N5" i="8"/>
  <c r="P5" i="8" s="1"/>
  <c r="F109" i="9"/>
  <c r="K109" i="9" s="1"/>
  <c r="F9" i="12"/>
  <c r="N9" i="8"/>
  <c r="P9" i="8" s="1"/>
  <c r="F57" i="8"/>
  <c r="K57" i="8" s="1"/>
  <c r="H57" i="8" s="1"/>
  <c r="F10" i="12"/>
  <c r="N10" i="8"/>
  <c r="P10" i="8" s="1"/>
  <c r="F53" i="8"/>
  <c r="K53" i="8" s="1"/>
  <c r="F3" i="12"/>
  <c r="N3" i="8"/>
  <c r="P3" i="8" s="1"/>
  <c r="F62" i="8"/>
  <c r="K62" i="8" s="1"/>
  <c r="H62" i="8" s="1"/>
  <c r="F11" i="12"/>
  <c r="N11" i="8"/>
  <c r="P11" i="8" s="1"/>
  <c r="F51" i="12"/>
  <c r="F53" i="12"/>
  <c r="F49" i="12"/>
  <c r="L8" i="12"/>
  <c r="N8" i="12" s="1"/>
  <c r="I8" i="12"/>
  <c r="I13" i="12"/>
  <c r="L13" i="12"/>
  <c r="N13" i="12" s="1"/>
  <c r="N57" i="8"/>
  <c r="F54" i="8"/>
  <c r="K54" i="8" s="1"/>
  <c r="H54" i="8" s="1"/>
  <c r="G35" i="7"/>
  <c r="K6" i="8"/>
  <c r="F51" i="8"/>
  <c r="K51" i="8" s="1"/>
  <c r="M51" i="8" s="1"/>
  <c r="F56" i="8"/>
  <c r="K56" i="8" s="1"/>
  <c r="H56" i="8" s="1"/>
  <c r="F37" i="8"/>
  <c r="K37" i="8" s="1"/>
  <c r="H37" i="8" s="1"/>
  <c r="F38" i="8"/>
  <c r="K38" i="8" s="1"/>
  <c r="H38" i="8" s="1"/>
  <c r="F36" i="8"/>
  <c r="K36" i="8" s="1"/>
  <c r="H36" i="8" s="1"/>
  <c r="F55" i="8"/>
  <c r="K55" i="8" s="1"/>
  <c r="H55" i="8" s="1"/>
  <c r="F49" i="8"/>
  <c r="K49" i="8" s="1"/>
  <c r="H49" i="8" s="1"/>
  <c r="F50" i="8"/>
  <c r="K50" i="8" s="1"/>
  <c r="H50" i="8" s="1"/>
  <c r="B4" i="10"/>
  <c r="C4" i="10" s="1"/>
  <c r="D4" i="10" s="1"/>
  <c r="F67" i="8"/>
  <c r="K67" i="8" s="1"/>
  <c r="M67" i="8" s="1"/>
  <c r="F65" i="8"/>
  <c r="K65" i="8" s="1"/>
  <c r="N65" i="8" s="1"/>
  <c r="F63" i="8"/>
  <c r="K63" i="8" s="1"/>
  <c r="H63" i="8" s="1"/>
  <c r="F47" i="8"/>
  <c r="K47" i="8" s="1"/>
  <c r="H47" i="8" s="1"/>
  <c r="F44" i="8"/>
  <c r="K44" i="8" s="1"/>
  <c r="H44" i="8" s="1"/>
  <c r="F35" i="8"/>
  <c r="K35" i="8" s="1"/>
  <c r="H35" i="8" s="1"/>
  <c r="F68" i="8"/>
  <c r="K68" i="8" s="1"/>
  <c r="M68" i="8" s="1"/>
  <c r="F66" i="8"/>
  <c r="K66" i="8" s="1"/>
  <c r="M66" i="8" s="1"/>
  <c r="F64" i="8"/>
  <c r="K64" i="8" s="1"/>
  <c r="M64" i="8" s="1"/>
  <c r="F52" i="8"/>
  <c r="K52" i="8" s="1"/>
  <c r="H52" i="8" s="1"/>
  <c r="F48" i="8"/>
  <c r="K48" i="8" s="1"/>
  <c r="H48" i="8" s="1"/>
  <c r="F40" i="8"/>
  <c r="K40" i="8" s="1"/>
  <c r="H40" i="8" s="1"/>
  <c r="F34" i="8"/>
  <c r="K34" i="8" s="1"/>
  <c r="H34" i="8" s="1"/>
  <c r="K11" i="8"/>
  <c r="B35" i="10"/>
  <c r="C35" i="10" s="1"/>
  <c r="K5" i="8"/>
  <c r="M42" i="8"/>
  <c r="K10" i="8"/>
  <c r="K3" i="8"/>
  <c r="N39" i="8"/>
  <c r="M39" i="8"/>
  <c r="K9" i="8"/>
  <c r="G39" i="10" l="1"/>
  <c r="G38" i="10"/>
  <c r="I74" i="12"/>
  <c r="I73" i="12"/>
  <c r="I72" i="12"/>
  <c r="I77" i="12"/>
  <c r="I75" i="12"/>
  <c r="I69" i="12"/>
  <c r="I76" i="12"/>
  <c r="P43" i="8"/>
  <c r="O43" i="8"/>
  <c r="M58" i="8"/>
  <c r="E4" i="10"/>
  <c r="G35" i="10"/>
  <c r="G33" i="10"/>
  <c r="G36" i="10"/>
  <c r="G32" i="10"/>
  <c r="G37" i="10"/>
  <c r="G34" i="10"/>
  <c r="R23" i="8"/>
  <c r="N97" i="21"/>
  <c r="M97" i="21"/>
  <c r="AF99" i="9"/>
  <c r="AE99" i="9"/>
  <c r="AF98" i="9"/>
  <c r="AE98" i="9"/>
  <c r="AH61" i="17"/>
  <c r="AG61" i="17"/>
  <c r="AH57" i="17"/>
  <c r="AG57" i="17"/>
  <c r="AE62" i="17"/>
  <c r="AF62" i="17"/>
  <c r="AI60" i="17"/>
  <c r="M60" i="17" s="1"/>
  <c r="AJ60" i="17"/>
  <c r="AL60" i="17" s="1"/>
  <c r="AN60" i="17" s="1"/>
  <c r="AC55" i="17"/>
  <c r="AD55" i="17"/>
  <c r="AD63" i="17"/>
  <c r="AC63" i="17"/>
  <c r="AA54" i="17"/>
  <c r="AB54" i="17"/>
  <c r="AI58" i="17"/>
  <c r="M58" i="17" s="1"/>
  <c r="AJ58" i="17"/>
  <c r="AL58" i="17" s="1"/>
  <c r="AN58" i="17" s="1"/>
  <c r="AE56" i="17"/>
  <c r="AF56" i="17"/>
  <c r="AA64" i="17"/>
  <c r="AB64" i="17"/>
  <c r="AB53" i="17"/>
  <c r="AA53" i="17"/>
  <c r="Y65" i="17"/>
  <c r="Z65" i="17"/>
  <c r="Y66" i="17"/>
  <c r="Z66" i="17"/>
  <c r="O42" i="8"/>
  <c r="M34" i="8"/>
  <c r="N55" i="8"/>
  <c r="O55" i="8" s="1"/>
  <c r="N54" i="8"/>
  <c r="O54" i="8" s="1"/>
  <c r="N48" i="8"/>
  <c r="P48" i="8" s="1"/>
  <c r="M63" i="8"/>
  <c r="N60" i="8"/>
  <c r="O60" i="8" s="1"/>
  <c r="R42" i="8"/>
  <c r="S42" i="8" s="1"/>
  <c r="N40" i="8"/>
  <c r="P40" i="8" s="1"/>
  <c r="N47" i="8"/>
  <c r="P47" i="8" s="1"/>
  <c r="Q47" i="8" s="1"/>
  <c r="M57" i="8"/>
  <c r="N35" i="8"/>
  <c r="P35" i="8" s="1"/>
  <c r="N90" i="8"/>
  <c r="P90" i="8" s="1"/>
  <c r="M60" i="8"/>
  <c r="P61" i="8"/>
  <c r="O61" i="8"/>
  <c r="Z50" i="17"/>
  <c r="Y50" i="17"/>
  <c r="AB41" i="17"/>
  <c r="AA41" i="17"/>
  <c r="X52" i="17"/>
  <c r="W52" i="17"/>
  <c r="AD42" i="17"/>
  <c r="AC42" i="17"/>
  <c r="AF43" i="17"/>
  <c r="AE43" i="17"/>
  <c r="AJ45" i="17"/>
  <c r="AL45" i="17" s="1"/>
  <c r="AN45" i="17" s="1"/>
  <c r="AI45" i="17"/>
  <c r="M45" i="17" s="1"/>
  <c r="AH44" i="17"/>
  <c r="AG44" i="17"/>
  <c r="AB49" i="17"/>
  <c r="AA49" i="17"/>
  <c r="AC48" i="17"/>
  <c r="AD48" i="17"/>
  <c r="Z40" i="17"/>
  <c r="Y40" i="17"/>
  <c r="W51" i="17"/>
  <c r="X51" i="17"/>
  <c r="AF47" i="17"/>
  <c r="AE47" i="17"/>
  <c r="AH46" i="17"/>
  <c r="AG46" i="17"/>
  <c r="Z39" i="17"/>
  <c r="Y39" i="17"/>
  <c r="P58" i="8"/>
  <c r="O58" i="8"/>
  <c r="AC37" i="17"/>
  <c r="AD37" i="17"/>
  <c r="Q170" i="16"/>
  <c r="I170" i="16" s="1"/>
  <c r="R170" i="16"/>
  <c r="T170" i="16" s="1"/>
  <c r="V170" i="16" s="1"/>
  <c r="X170" i="16" s="1"/>
  <c r="Z170" i="16" s="1"/>
  <c r="AB170" i="16" s="1"/>
  <c r="AD170" i="16" s="1"/>
  <c r="AF170" i="16" s="1"/>
  <c r="AH170" i="16" s="1"/>
  <c r="AJ170" i="16" s="1"/>
  <c r="N172" i="16"/>
  <c r="M172" i="16"/>
  <c r="H174" i="16"/>
  <c r="K173" i="16"/>
  <c r="O171" i="16"/>
  <c r="P171" i="16"/>
  <c r="P45" i="8"/>
  <c r="O45" i="8"/>
  <c r="N46" i="8"/>
  <c r="M46" i="8"/>
  <c r="AH33" i="17"/>
  <c r="AG33" i="17"/>
  <c r="AJ32" i="17"/>
  <c r="AL32" i="17" s="1"/>
  <c r="AN32" i="17" s="1"/>
  <c r="AI32" i="17"/>
  <c r="M32" i="17" s="1"/>
  <c r="Y93" i="17"/>
  <c r="Z93" i="17"/>
  <c r="AG89" i="17"/>
  <c r="AH89" i="17"/>
  <c r="AJ88" i="17"/>
  <c r="AL88" i="17" s="1"/>
  <c r="AN88" i="17" s="1"/>
  <c r="AI88" i="17"/>
  <c r="M88" i="17" s="1"/>
  <c r="AJ74" i="17"/>
  <c r="AL74" i="17" s="1"/>
  <c r="AN74" i="17" s="1"/>
  <c r="AI74" i="17"/>
  <c r="M74" i="17" s="1"/>
  <c r="AF26" i="17"/>
  <c r="AE26" i="17"/>
  <c r="AI112" i="17"/>
  <c r="M112" i="17" s="1"/>
  <c r="AJ112" i="17"/>
  <c r="AL112" i="17" s="1"/>
  <c r="AN112" i="17" s="1"/>
  <c r="Z94" i="17"/>
  <c r="Y94" i="17"/>
  <c r="AD24" i="17"/>
  <c r="AC24" i="17"/>
  <c r="Y83" i="17"/>
  <c r="Z83" i="17"/>
  <c r="AB67" i="17"/>
  <c r="AA67" i="17"/>
  <c r="AD79" i="17"/>
  <c r="AC79" i="17"/>
  <c r="AH116" i="17"/>
  <c r="AG116" i="17"/>
  <c r="AH87" i="17"/>
  <c r="AG87" i="17"/>
  <c r="AF118" i="17"/>
  <c r="AE118" i="17"/>
  <c r="AD38" i="17"/>
  <c r="AC38" i="17"/>
  <c r="AH113" i="17"/>
  <c r="AG113" i="17"/>
  <c r="AC85" i="17"/>
  <c r="AD85" i="17"/>
  <c r="AJ125" i="17"/>
  <c r="AL125" i="17" s="1"/>
  <c r="AN125" i="17" s="1"/>
  <c r="AI125" i="17"/>
  <c r="M125" i="17" s="1"/>
  <c r="Y82" i="17"/>
  <c r="Z82" i="17"/>
  <c r="AH124" i="17"/>
  <c r="AG124" i="17"/>
  <c r="AG71" i="17"/>
  <c r="AH71" i="17"/>
  <c r="AC77" i="17"/>
  <c r="AD77" i="17"/>
  <c r="AD25" i="17"/>
  <c r="AC25" i="17"/>
  <c r="AC91" i="17"/>
  <c r="AD91" i="17"/>
  <c r="AI122" i="17"/>
  <c r="M122" i="17" s="1"/>
  <c r="AJ122" i="17"/>
  <c r="AL122" i="17" s="1"/>
  <c r="AN122" i="17" s="1"/>
  <c r="AB80" i="17"/>
  <c r="AA80" i="17"/>
  <c r="AF70" i="17"/>
  <c r="AE70" i="17"/>
  <c r="AG123" i="17"/>
  <c r="AH123" i="17"/>
  <c r="AI132" i="17"/>
  <c r="M132" i="17" s="1"/>
  <c r="AJ132" i="17"/>
  <c r="AL132" i="17" s="1"/>
  <c r="AN132" i="17" s="1"/>
  <c r="AJ72" i="17"/>
  <c r="AL72" i="17" s="1"/>
  <c r="AN72" i="17" s="1"/>
  <c r="AI72" i="17"/>
  <c r="M72" i="17" s="1"/>
  <c r="AD69" i="17"/>
  <c r="AC69" i="17"/>
  <c r="AG27" i="17"/>
  <c r="AH27" i="17"/>
  <c r="AD78" i="17"/>
  <c r="AC78" i="17"/>
  <c r="AA68" i="17"/>
  <c r="AB68" i="17"/>
  <c r="AF76" i="17"/>
  <c r="AE76" i="17"/>
  <c r="AG114" i="17"/>
  <c r="AH114" i="17"/>
  <c r="AA81" i="17"/>
  <c r="AB81" i="17"/>
  <c r="AA84" i="17"/>
  <c r="AB84" i="17"/>
  <c r="AJ28" i="17"/>
  <c r="AL28" i="17" s="1"/>
  <c r="AN28" i="17" s="1"/>
  <c r="AI28" i="17"/>
  <c r="M28" i="17" s="1"/>
  <c r="AF90" i="17"/>
  <c r="AE90" i="17"/>
  <c r="AF117" i="17"/>
  <c r="AE117" i="17"/>
  <c r="AA92" i="17"/>
  <c r="AB92" i="17"/>
  <c r="AG75" i="17"/>
  <c r="AH75" i="17"/>
  <c r="AF86" i="17"/>
  <c r="AE86" i="17"/>
  <c r="AD36" i="17"/>
  <c r="AC36" i="17"/>
  <c r="AJ115" i="17"/>
  <c r="AL115" i="17" s="1"/>
  <c r="AN115" i="17" s="1"/>
  <c r="AI115" i="17"/>
  <c r="M115" i="17" s="1"/>
  <c r="AF34" i="17"/>
  <c r="AE34" i="17"/>
  <c r="AG120" i="17"/>
  <c r="AH120" i="17"/>
  <c r="R69" i="16"/>
  <c r="Q69" i="16"/>
  <c r="S68" i="16"/>
  <c r="T68" i="16"/>
  <c r="T66" i="16"/>
  <c r="S66" i="16"/>
  <c r="P72" i="16"/>
  <c r="O72" i="16"/>
  <c r="Z61" i="16"/>
  <c r="Y61" i="16"/>
  <c r="M77" i="16"/>
  <c r="N77" i="16"/>
  <c r="AF48" i="16"/>
  <c r="AH48" i="16" s="1"/>
  <c r="AJ48" i="16" s="1"/>
  <c r="AE48" i="16"/>
  <c r="I48" i="16" s="1"/>
  <c r="V63" i="16"/>
  <c r="U63" i="16"/>
  <c r="K80" i="16"/>
  <c r="T70" i="16"/>
  <c r="S70" i="16"/>
  <c r="M79" i="16"/>
  <c r="N79" i="16"/>
  <c r="R71" i="16"/>
  <c r="Q71" i="16"/>
  <c r="AD55" i="16"/>
  <c r="AC55" i="16"/>
  <c r="P76" i="16"/>
  <c r="O76" i="16"/>
  <c r="AB56" i="16"/>
  <c r="AA56" i="16"/>
  <c r="AD51" i="16"/>
  <c r="AC51" i="16"/>
  <c r="Q73" i="16"/>
  <c r="R73" i="16"/>
  <c r="X62" i="16"/>
  <c r="W62" i="16"/>
  <c r="AB58" i="16"/>
  <c r="AA58" i="16"/>
  <c r="AF52" i="16"/>
  <c r="AH52" i="16" s="1"/>
  <c r="AJ52" i="16" s="1"/>
  <c r="AE52" i="16"/>
  <c r="I52" i="16" s="1"/>
  <c r="P74" i="16"/>
  <c r="O74" i="16"/>
  <c r="M75" i="16"/>
  <c r="N75" i="16"/>
  <c r="Z59" i="16"/>
  <c r="Y59" i="16"/>
  <c r="K82" i="16"/>
  <c r="U65" i="16"/>
  <c r="V65" i="16"/>
  <c r="AA54" i="16"/>
  <c r="AB54" i="16"/>
  <c r="AC53" i="16"/>
  <c r="AD53" i="16"/>
  <c r="Z57" i="16"/>
  <c r="Y57" i="16"/>
  <c r="K78" i="16"/>
  <c r="AF50" i="16"/>
  <c r="AH50" i="16" s="1"/>
  <c r="AJ50" i="16" s="1"/>
  <c r="AE50" i="16"/>
  <c r="I50" i="16" s="1"/>
  <c r="V67" i="16"/>
  <c r="U67" i="16"/>
  <c r="X60" i="16"/>
  <c r="W60" i="16"/>
  <c r="X64" i="16"/>
  <c r="W64" i="16"/>
  <c r="F50" i="12"/>
  <c r="I50" i="12" s="1"/>
  <c r="I49" i="12"/>
  <c r="F52" i="12"/>
  <c r="I52" i="12" s="1"/>
  <c r="I51" i="12"/>
  <c r="I11" i="12"/>
  <c r="L11" i="12"/>
  <c r="N11" i="12" s="1"/>
  <c r="F55" i="12"/>
  <c r="I10" i="12"/>
  <c r="L10" i="12"/>
  <c r="N10" i="12" s="1"/>
  <c r="N109" i="9"/>
  <c r="M109" i="9"/>
  <c r="L5" i="12"/>
  <c r="N5" i="12" s="1"/>
  <c r="I5" i="12"/>
  <c r="F63" i="12"/>
  <c r="F61" i="12"/>
  <c r="F57" i="12"/>
  <c r="F59" i="12"/>
  <c r="I6" i="12"/>
  <c r="L6" i="12"/>
  <c r="N6" i="12" s="1"/>
  <c r="F54" i="12"/>
  <c r="I54" i="12" s="1"/>
  <c r="D66" i="12"/>
  <c r="F66" i="12" s="1"/>
  <c r="I66" i="12" s="1"/>
  <c r="I53" i="12"/>
  <c r="F17" i="12"/>
  <c r="F41" i="12"/>
  <c r="F23" i="12"/>
  <c r="F45" i="12"/>
  <c r="F47" i="12"/>
  <c r="I3" i="12"/>
  <c r="L3" i="12"/>
  <c r="N3" i="12" s="1"/>
  <c r="F43" i="12"/>
  <c r="F25" i="12"/>
  <c r="F37" i="12"/>
  <c r="F31" i="12"/>
  <c r="I9" i="12"/>
  <c r="L9" i="12"/>
  <c r="N9" i="12" s="1"/>
  <c r="M44" i="8"/>
  <c r="N44" i="8"/>
  <c r="P44" i="8" s="1"/>
  <c r="P57" i="8"/>
  <c r="O57" i="8"/>
  <c r="N53" i="8"/>
  <c r="M53" i="8"/>
  <c r="M47" i="8"/>
  <c r="M36" i="8"/>
  <c r="N36" i="8"/>
  <c r="O36" i="8" s="1"/>
  <c r="M52" i="8"/>
  <c r="N52" i="8"/>
  <c r="P52" i="8" s="1"/>
  <c r="M62" i="8"/>
  <c r="N62" i="8"/>
  <c r="M54" i="8"/>
  <c r="M35" i="8"/>
  <c r="N51" i="8"/>
  <c r="P51" i="8" s="1"/>
  <c r="N68" i="8"/>
  <c r="P68" i="8" s="1"/>
  <c r="M55" i="8"/>
  <c r="N63" i="8"/>
  <c r="P63" i="8" s="1"/>
  <c r="M48" i="8"/>
  <c r="N67" i="8"/>
  <c r="O67" i="8" s="1"/>
  <c r="N66" i="8"/>
  <c r="P66" i="8" s="1"/>
  <c r="N64" i="8"/>
  <c r="O64" i="8" s="1"/>
  <c r="M65" i="8"/>
  <c r="N34" i="8"/>
  <c r="P34" i="8" s="1"/>
  <c r="M40" i="8"/>
  <c r="N37" i="8"/>
  <c r="M37" i="8"/>
  <c r="M49" i="8"/>
  <c r="N49" i="8"/>
  <c r="O39" i="8"/>
  <c r="P39" i="8"/>
  <c r="N56" i="8"/>
  <c r="M56" i="8"/>
  <c r="M38" i="8"/>
  <c r="N38" i="8"/>
  <c r="M50" i="8"/>
  <c r="N50" i="8"/>
  <c r="O65" i="8"/>
  <c r="P65" i="8"/>
  <c r="R43" i="8" l="1"/>
  <c r="Q43" i="8"/>
  <c r="P60" i="8"/>
  <c r="R60" i="8" s="1"/>
  <c r="O97" i="21"/>
  <c r="P97" i="21"/>
  <c r="D92" i="8"/>
  <c r="F92" i="8" s="1"/>
  <c r="K92" i="8" s="1"/>
  <c r="D23" i="8"/>
  <c r="AH98" i="9"/>
  <c r="AG98" i="9"/>
  <c r="AH99" i="9"/>
  <c r="AG99" i="9"/>
  <c r="AD53" i="17"/>
  <c r="AC53" i="17"/>
  <c r="AJ57" i="17"/>
  <c r="AL57" i="17" s="1"/>
  <c r="AN57" i="17" s="1"/>
  <c r="AI57" i="17"/>
  <c r="M57" i="17" s="1"/>
  <c r="AA65" i="17"/>
  <c r="AB65" i="17"/>
  <c r="AC64" i="17"/>
  <c r="AD64" i="17"/>
  <c r="AG62" i="17"/>
  <c r="AH62" i="17"/>
  <c r="AF63" i="17"/>
  <c r="AE63" i="17"/>
  <c r="AA66" i="17"/>
  <c r="AB66" i="17"/>
  <c r="AG56" i="17"/>
  <c r="AH56" i="17"/>
  <c r="AD54" i="17"/>
  <c r="AC54" i="17"/>
  <c r="AF55" i="17"/>
  <c r="AE55" i="17"/>
  <c r="AJ61" i="17"/>
  <c r="AL61" i="17" s="1"/>
  <c r="AN61" i="17" s="1"/>
  <c r="AI61" i="17"/>
  <c r="M61" i="17" s="1"/>
  <c r="R47" i="8"/>
  <c r="S47" i="8" s="1"/>
  <c r="O48" i="8"/>
  <c r="P54" i="8"/>
  <c r="Q54" i="8" s="1"/>
  <c r="O35" i="8"/>
  <c r="O40" i="8"/>
  <c r="P55" i="8"/>
  <c r="Q55" i="8" s="1"/>
  <c r="O47" i="8"/>
  <c r="T42" i="8"/>
  <c r="U42" i="8" s="1"/>
  <c r="O90" i="8"/>
  <c r="R61" i="8"/>
  <c r="Q61" i="8"/>
  <c r="AJ44" i="17"/>
  <c r="AL44" i="17" s="1"/>
  <c r="AN44" i="17" s="1"/>
  <c r="AI44" i="17"/>
  <c r="M44" i="17" s="1"/>
  <c r="AH43" i="17"/>
  <c r="AG43" i="17"/>
  <c r="Y52" i="17"/>
  <c r="Z52" i="17"/>
  <c r="AB39" i="17"/>
  <c r="AA39" i="17"/>
  <c r="AH47" i="17"/>
  <c r="AG47" i="17"/>
  <c r="AB40" i="17"/>
  <c r="AA40" i="17"/>
  <c r="AC49" i="17"/>
  <c r="AD49" i="17"/>
  <c r="AA50" i="17"/>
  <c r="AB50" i="17"/>
  <c r="AJ46" i="17"/>
  <c r="AL46" i="17" s="1"/>
  <c r="AN46" i="17" s="1"/>
  <c r="AI46" i="17"/>
  <c r="M46" i="17" s="1"/>
  <c r="AD41" i="17"/>
  <c r="AC41" i="17"/>
  <c r="Z51" i="17"/>
  <c r="Y51" i="17"/>
  <c r="AE48" i="17"/>
  <c r="AF48" i="17"/>
  <c r="AF42" i="17"/>
  <c r="AE42" i="17"/>
  <c r="R58" i="8"/>
  <c r="Q58" i="8"/>
  <c r="AE37" i="17"/>
  <c r="AF37" i="17"/>
  <c r="N173" i="16"/>
  <c r="M173" i="16"/>
  <c r="O172" i="16"/>
  <c r="P172" i="16"/>
  <c r="R171" i="16"/>
  <c r="T171" i="16" s="1"/>
  <c r="V171" i="16" s="1"/>
  <c r="X171" i="16" s="1"/>
  <c r="Z171" i="16" s="1"/>
  <c r="AB171" i="16" s="1"/>
  <c r="AD171" i="16" s="1"/>
  <c r="AF171" i="16" s="1"/>
  <c r="AH171" i="16" s="1"/>
  <c r="AJ171" i="16" s="1"/>
  <c r="Q171" i="16"/>
  <c r="I171" i="16" s="1"/>
  <c r="H175" i="16"/>
  <c r="K174" i="16"/>
  <c r="O46" i="8"/>
  <c r="P46" i="8"/>
  <c r="R45" i="8"/>
  <c r="Q45" i="8"/>
  <c r="R90" i="8"/>
  <c r="Q90" i="8"/>
  <c r="AG86" i="17"/>
  <c r="AH86" i="17"/>
  <c r="AG90" i="17"/>
  <c r="AH90" i="17"/>
  <c r="AJ124" i="17"/>
  <c r="AL124" i="17" s="1"/>
  <c r="AN124" i="17" s="1"/>
  <c r="AI124" i="17"/>
  <c r="M124" i="17" s="1"/>
  <c r="AI75" i="17"/>
  <c r="M75" i="17" s="1"/>
  <c r="AJ75" i="17"/>
  <c r="AL75" i="17" s="1"/>
  <c r="AN75" i="17" s="1"/>
  <c r="AD81" i="17"/>
  <c r="AC81" i="17"/>
  <c r="AJ71" i="17"/>
  <c r="AL71" i="17" s="1"/>
  <c r="AN71" i="17" s="1"/>
  <c r="AI71" i="17"/>
  <c r="M71" i="17" s="1"/>
  <c r="AA82" i="17"/>
  <c r="AB82" i="17"/>
  <c r="AF85" i="17"/>
  <c r="AE85" i="17"/>
  <c r="AA83" i="17"/>
  <c r="AB83" i="17"/>
  <c r="AB93" i="17"/>
  <c r="AA93" i="17"/>
  <c r="AH34" i="17"/>
  <c r="AG34" i="17"/>
  <c r="AF36" i="17"/>
  <c r="AE36" i="17"/>
  <c r="AH117" i="17"/>
  <c r="AG117" i="17"/>
  <c r="AG76" i="17"/>
  <c r="AH76" i="17"/>
  <c r="AE78" i="17"/>
  <c r="AF78" i="17"/>
  <c r="AF69" i="17"/>
  <c r="AE69" i="17"/>
  <c r="AG70" i="17"/>
  <c r="AH70" i="17"/>
  <c r="AE25" i="17"/>
  <c r="AF25" i="17"/>
  <c r="AF38" i="17"/>
  <c r="AE38" i="17"/>
  <c r="AJ87" i="17"/>
  <c r="AL87" i="17" s="1"/>
  <c r="AN87" i="17" s="1"/>
  <c r="AI87" i="17"/>
  <c r="M87" i="17" s="1"/>
  <c r="AE79" i="17"/>
  <c r="AF79" i="17"/>
  <c r="AA94" i="17"/>
  <c r="AB94" i="17"/>
  <c r="AH26" i="17"/>
  <c r="AG26" i="17"/>
  <c r="AI33" i="17"/>
  <c r="M33" i="17" s="1"/>
  <c r="AJ33" i="17"/>
  <c r="AL33" i="17" s="1"/>
  <c r="AN33" i="17" s="1"/>
  <c r="AC80" i="17"/>
  <c r="AD80" i="17"/>
  <c r="AI113" i="17"/>
  <c r="M113" i="17" s="1"/>
  <c r="AJ113" i="17"/>
  <c r="AL113" i="17" s="1"/>
  <c r="AN113" i="17" s="1"/>
  <c r="AG118" i="17"/>
  <c r="AH118" i="17"/>
  <c r="AJ116" i="17"/>
  <c r="AL116" i="17" s="1"/>
  <c r="AN116" i="17" s="1"/>
  <c r="AI116" i="17"/>
  <c r="M116" i="17" s="1"/>
  <c r="AD67" i="17"/>
  <c r="AC67" i="17"/>
  <c r="AE24" i="17"/>
  <c r="AF24" i="17"/>
  <c r="AC92" i="17"/>
  <c r="AD92" i="17"/>
  <c r="AC84" i="17"/>
  <c r="AD84" i="17"/>
  <c r="AJ114" i="17"/>
  <c r="AL114" i="17" s="1"/>
  <c r="AN114" i="17" s="1"/>
  <c r="AI114" i="17"/>
  <c r="M114" i="17" s="1"/>
  <c r="AD68" i="17"/>
  <c r="AC68" i="17"/>
  <c r="AJ27" i="17"/>
  <c r="AL27" i="17" s="1"/>
  <c r="AN27" i="17" s="1"/>
  <c r="AI27" i="17"/>
  <c r="M27" i="17" s="1"/>
  <c r="AJ123" i="17"/>
  <c r="AL123" i="17" s="1"/>
  <c r="AN123" i="17" s="1"/>
  <c r="AI123" i="17"/>
  <c r="M123" i="17" s="1"/>
  <c r="AE91" i="17"/>
  <c r="AF91" i="17"/>
  <c r="AE77" i="17"/>
  <c r="AF77" i="17"/>
  <c r="AI89" i="17"/>
  <c r="M89" i="17" s="1"/>
  <c r="AJ89" i="17"/>
  <c r="AL89" i="17" s="1"/>
  <c r="AN89" i="17" s="1"/>
  <c r="AJ120" i="17"/>
  <c r="AL120" i="17" s="1"/>
  <c r="AN120" i="17" s="1"/>
  <c r="AI120" i="17"/>
  <c r="M120" i="17" s="1"/>
  <c r="X67" i="16"/>
  <c r="W67" i="16"/>
  <c r="AB57" i="16"/>
  <c r="AA57" i="16"/>
  <c r="AD54" i="16"/>
  <c r="AC54" i="16"/>
  <c r="AF55" i="16"/>
  <c r="AH55" i="16" s="1"/>
  <c r="AJ55" i="16" s="1"/>
  <c r="AE55" i="16"/>
  <c r="I55" i="16" s="1"/>
  <c r="M80" i="16"/>
  <c r="N80" i="16"/>
  <c r="P77" i="16"/>
  <c r="O77" i="16"/>
  <c r="T69" i="16"/>
  <c r="S69" i="16"/>
  <c r="M78" i="16"/>
  <c r="N78" i="16"/>
  <c r="AF53" i="16"/>
  <c r="AH53" i="16" s="1"/>
  <c r="AJ53" i="16" s="1"/>
  <c r="AE53" i="16"/>
  <c r="I53" i="16" s="1"/>
  <c r="M82" i="16"/>
  <c r="N82" i="16"/>
  <c r="K83" i="16"/>
  <c r="R72" i="16"/>
  <c r="Q72" i="16"/>
  <c r="V68" i="16"/>
  <c r="U68" i="16"/>
  <c r="W65" i="16"/>
  <c r="X65" i="16"/>
  <c r="Z62" i="16"/>
  <c r="Y62" i="16"/>
  <c r="AF51" i="16"/>
  <c r="AH51" i="16" s="1"/>
  <c r="AJ51" i="16" s="1"/>
  <c r="AE51" i="16"/>
  <c r="I51" i="16" s="1"/>
  <c r="R76" i="16"/>
  <c r="Q76" i="16"/>
  <c r="K81" i="16"/>
  <c r="K85" i="16"/>
  <c r="AB59" i="16"/>
  <c r="AA59" i="16"/>
  <c r="R74" i="16"/>
  <c r="Q74" i="16"/>
  <c r="AD58" i="16"/>
  <c r="AC58" i="16"/>
  <c r="AD56" i="16"/>
  <c r="AC56" i="16"/>
  <c r="O79" i="16"/>
  <c r="P79" i="16"/>
  <c r="V66" i="16"/>
  <c r="U66" i="16"/>
  <c r="Z60" i="16"/>
  <c r="Y60" i="16"/>
  <c r="O75" i="16"/>
  <c r="P75" i="16"/>
  <c r="Z64" i="16"/>
  <c r="Y64" i="16"/>
  <c r="T73" i="16"/>
  <c r="S73" i="16"/>
  <c r="T71" i="16"/>
  <c r="S71" i="16"/>
  <c r="V70" i="16"/>
  <c r="U70" i="16"/>
  <c r="X63" i="16"/>
  <c r="W63" i="16"/>
  <c r="AB61" i="16"/>
  <c r="AA61" i="16"/>
  <c r="O44" i="8"/>
  <c r="P36" i="8"/>
  <c r="Q36" i="8" s="1"/>
  <c r="F32" i="12"/>
  <c r="I32" i="12" s="1"/>
  <c r="F33" i="12"/>
  <c r="I31" i="12"/>
  <c r="F27" i="12"/>
  <c r="I25" i="12"/>
  <c r="F26" i="12"/>
  <c r="I26" i="12" s="1"/>
  <c r="F48" i="12"/>
  <c r="I48" i="12" s="1"/>
  <c r="I47" i="12"/>
  <c r="F24" i="12"/>
  <c r="I24" i="12" s="1"/>
  <c r="I23" i="12"/>
  <c r="I17" i="12"/>
  <c r="F18" i="12"/>
  <c r="I18" i="12" s="1"/>
  <c r="F19" i="12"/>
  <c r="K66" i="12"/>
  <c r="L66" i="12"/>
  <c r="F60" i="12"/>
  <c r="I60" i="12" s="1"/>
  <c r="I59" i="12"/>
  <c r="F62" i="12"/>
  <c r="I62" i="12" s="1"/>
  <c r="I61" i="12"/>
  <c r="F56" i="12"/>
  <c r="I56" i="12" s="1"/>
  <c r="I55" i="12"/>
  <c r="L52" i="12"/>
  <c r="K52" i="12"/>
  <c r="L50" i="12"/>
  <c r="K50" i="12"/>
  <c r="F39" i="12"/>
  <c r="I37" i="12"/>
  <c r="F38" i="12"/>
  <c r="I38" i="12" s="1"/>
  <c r="F44" i="12"/>
  <c r="I44" i="12" s="1"/>
  <c r="I43" i="12"/>
  <c r="I45" i="12"/>
  <c r="F46" i="12"/>
  <c r="I46" i="12" s="1"/>
  <c r="F42" i="12"/>
  <c r="I42" i="12" s="1"/>
  <c r="I41" i="12"/>
  <c r="K53" i="12"/>
  <c r="L53" i="12"/>
  <c r="L54" i="12"/>
  <c r="K54" i="12"/>
  <c r="F58" i="12"/>
  <c r="I58" i="12" s="1"/>
  <c r="I57" i="12"/>
  <c r="F64" i="12"/>
  <c r="I64" i="12" s="1"/>
  <c r="I63" i="12"/>
  <c r="P109" i="9"/>
  <c r="O109" i="9"/>
  <c r="L51" i="12"/>
  <c r="K51" i="12"/>
  <c r="K49" i="12"/>
  <c r="L49" i="12"/>
  <c r="R57" i="8"/>
  <c r="Q57" i="8"/>
  <c r="O52" i="8"/>
  <c r="P53" i="8"/>
  <c r="O53" i="8"/>
  <c r="O51" i="8"/>
  <c r="O62" i="8"/>
  <c r="P62" i="8"/>
  <c r="R52" i="8"/>
  <c r="Q52" i="8"/>
  <c r="O66" i="8"/>
  <c r="O34" i="8"/>
  <c r="O63" i="8"/>
  <c r="O68" i="8"/>
  <c r="P67" i="8"/>
  <c r="R67" i="8" s="1"/>
  <c r="P64" i="8"/>
  <c r="Q64" i="8" s="1"/>
  <c r="R48" i="8"/>
  <c r="Q48" i="8"/>
  <c r="O38" i="8"/>
  <c r="P38" i="8"/>
  <c r="Q44" i="8"/>
  <c r="R44" i="8"/>
  <c r="P49" i="8"/>
  <c r="O49" i="8"/>
  <c r="Q34" i="8"/>
  <c r="R34" i="8"/>
  <c r="R40" i="8"/>
  <c r="Q40" i="8"/>
  <c r="Q65" i="8"/>
  <c r="R65" i="8"/>
  <c r="O50" i="8"/>
  <c r="P50" i="8"/>
  <c r="Q63" i="8"/>
  <c r="R63" i="8"/>
  <c r="R51" i="8"/>
  <c r="Q51" i="8"/>
  <c r="Q39" i="8"/>
  <c r="R39" i="8"/>
  <c r="Q35" i="8"/>
  <c r="R35" i="8"/>
  <c r="O56" i="8"/>
  <c r="P56" i="8"/>
  <c r="Q66" i="8"/>
  <c r="R66" i="8"/>
  <c r="Q68" i="8"/>
  <c r="R68" i="8"/>
  <c r="P37" i="8"/>
  <c r="O37" i="8"/>
  <c r="Q60" i="8" l="1"/>
  <c r="T43" i="8"/>
  <c r="S43" i="8"/>
  <c r="N92" i="8"/>
  <c r="M92" i="8"/>
  <c r="Q97" i="21"/>
  <c r="R97" i="21"/>
  <c r="D24" i="8"/>
  <c r="F24" i="8" s="1"/>
  <c r="D26" i="8"/>
  <c r="F26" i="8" s="1"/>
  <c r="D25" i="8"/>
  <c r="F25" i="8" s="1"/>
  <c r="F23" i="8"/>
  <c r="AJ99" i="9"/>
  <c r="AK99" i="9" s="1"/>
  <c r="AI99" i="9"/>
  <c r="AJ98" i="9"/>
  <c r="AK98" i="9" s="1"/>
  <c r="AI98" i="9"/>
  <c r="AJ56" i="17"/>
  <c r="AL56" i="17" s="1"/>
  <c r="AN56" i="17" s="1"/>
  <c r="AI56" i="17"/>
  <c r="M56" i="17" s="1"/>
  <c r="AH55" i="17"/>
  <c r="AG55" i="17"/>
  <c r="AH63" i="17"/>
  <c r="AG63" i="17"/>
  <c r="AE64" i="17"/>
  <c r="AF64" i="17"/>
  <c r="AF53" i="17"/>
  <c r="AE53" i="17"/>
  <c r="AC66" i="17"/>
  <c r="AD66" i="17"/>
  <c r="AI62" i="17"/>
  <c r="M62" i="17" s="1"/>
  <c r="AJ62" i="17"/>
  <c r="AL62" i="17" s="1"/>
  <c r="AN62" i="17" s="1"/>
  <c r="AE54" i="17"/>
  <c r="AF54" i="17"/>
  <c r="AC65" i="17"/>
  <c r="AD65" i="17"/>
  <c r="T47" i="8"/>
  <c r="V47" i="8" s="1"/>
  <c r="X47" i="8" s="1"/>
  <c r="Z47" i="8" s="1"/>
  <c r="AB47" i="8" s="1"/>
  <c r="AD47" i="8" s="1"/>
  <c r="AF47" i="8" s="1"/>
  <c r="AH47" i="8" s="1"/>
  <c r="AJ47" i="8" s="1"/>
  <c r="R54" i="8"/>
  <c r="S54" i="8" s="1"/>
  <c r="R55" i="8"/>
  <c r="S55" i="8" s="1"/>
  <c r="V42" i="8"/>
  <c r="W42" i="8" s="1"/>
  <c r="T61" i="8"/>
  <c r="S61" i="8"/>
  <c r="T60" i="8"/>
  <c r="S60" i="8"/>
  <c r="AH42" i="17"/>
  <c r="AG42" i="17"/>
  <c r="AA51" i="17"/>
  <c r="AB51" i="17"/>
  <c r="AB52" i="17"/>
  <c r="AA52" i="17"/>
  <c r="AH48" i="17"/>
  <c r="AG48" i="17"/>
  <c r="AI47" i="17"/>
  <c r="M47" i="17" s="1"/>
  <c r="AJ47" i="17"/>
  <c r="AL47" i="17" s="1"/>
  <c r="AN47" i="17" s="1"/>
  <c r="AF41" i="17"/>
  <c r="AE41" i="17"/>
  <c r="AD50" i="17"/>
  <c r="AC50" i="17"/>
  <c r="AF49" i="17"/>
  <c r="AE49" i="17"/>
  <c r="AC40" i="17"/>
  <c r="AD40" i="17"/>
  <c r="AD39" i="17"/>
  <c r="AC39" i="17"/>
  <c r="AJ43" i="17"/>
  <c r="AL43" i="17" s="1"/>
  <c r="AN43" i="17" s="1"/>
  <c r="AI43" i="17"/>
  <c r="M43" i="17" s="1"/>
  <c r="T58" i="8"/>
  <c r="S58" i="8"/>
  <c r="AH37" i="17"/>
  <c r="AG37" i="17"/>
  <c r="K175" i="16"/>
  <c r="H176" i="16"/>
  <c r="N174" i="16"/>
  <c r="M174" i="16"/>
  <c r="O173" i="16"/>
  <c r="P173" i="16"/>
  <c r="R172" i="16"/>
  <c r="T172" i="16" s="1"/>
  <c r="V172" i="16" s="1"/>
  <c r="X172" i="16" s="1"/>
  <c r="Z172" i="16" s="1"/>
  <c r="AB172" i="16" s="1"/>
  <c r="AD172" i="16" s="1"/>
  <c r="AF172" i="16" s="1"/>
  <c r="AH172" i="16" s="1"/>
  <c r="AJ172" i="16" s="1"/>
  <c r="Q172" i="16"/>
  <c r="I172" i="16" s="1"/>
  <c r="T45" i="8"/>
  <c r="S45" i="8"/>
  <c r="Q46" i="8"/>
  <c r="R46" i="8"/>
  <c r="T90" i="8"/>
  <c r="S90" i="8"/>
  <c r="AH79" i="17"/>
  <c r="AG79" i="17"/>
  <c r="AJ117" i="17"/>
  <c r="AL117" i="17" s="1"/>
  <c r="AN117" i="17" s="1"/>
  <c r="AI117" i="17"/>
  <c r="M117" i="17" s="1"/>
  <c r="AE81" i="17"/>
  <c r="AF81" i="17"/>
  <c r="AH77" i="17"/>
  <c r="AG77" i="17"/>
  <c r="AF84" i="17"/>
  <c r="AE84" i="17"/>
  <c r="AH24" i="17"/>
  <c r="AG24" i="17"/>
  <c r="AD94" i="17"/>
  <c r="AC94" i="17"/>
  <c r="AG25" i="17"/>
  <c r="AH25" i="17"/>
  <c r="AI76" i="17"/>
  <c r="M76" i="17" s="1"/>
  <c r="AJ76" i="17"/>
  <c r="AL76" i="17" s="1"/>
  <c r="AN76" i="17" s="1"/>
  <c r="AJ90" i="17"/>
  <c r="AL90" i="17" s="1"/>
  <c r="AN90" i="17" s="1"/>
  <c r="AI90" i="17"/>
  <c r="M90" i="17" s="1"/>
  <c r="AG91" i="17"/>
  <c r="AH91" i="17"/>
  <c r="AE92" i="17"/>
  <c r="AF92" i="17"/>
  <c r="AI118" i="17"/>
  <c r="M118" i="17" s="1"/>
  <c r="AJ118" i="17"/>
  <c r="AL118" i="17" s="1"/>
  <c r="AN118" i="17" s="1"/>
  <c r="AF80" i="17"/>
  <c r="AE80" i="17"/>
  <c r="AI70" i="17"/>
  <c r="M70" i="17" s="1"/>
  <c r="AJ70" i="17"/>
  <c r="AL70" i="17" s="1"/>
  <c r="AN70" i="17" s="1"/>
  <c r="AH78" i="17"/>
  <c r="AG78" i="17"/>
  <c r="AC83" i="17"/>
  <c r="AD83" i="17"/>
  <c r="AD82" i="17"/>
  <c r="AC82" i="17"/>
  <c r="AI86" i="17"/>
  <c r="M86" i="17" s="1"/>
  <c r="AJ86" i="17"/>
  <c r="AL86" i="17" s="1"/>
  <c r="AN86" i="17" s="1"/>
  <c r="AE67" i="17"/>
  <c r="AF67" i="17"/>
  <c r="AI26" i="17"/>
  <c r="M26" i="17" s="1"/>
  <c r="AJ26" i="17"/>
  <c r="AL26" i="17" s="1"/>
  <c r="AN26" i="17" s="1"/>
  <c r="AH38" i="17"/>
  <c r="AG38" i="17"/>
  <c r="AI34" i="17"/>
  <c r="M34" i="17" s="1"/>
  <c r="AJ34" i="17"/>
  <c r="AL34" i="17" s="1"/>
  <c r="AN34" i="17" s="1"/>
  <c r="AE68" i="17"/>
  <c r="AF68" i="17"/>
  <c r="AG69" i="17"/>
  <c r="AH69" i="17"/>
  <c r="AG36" i="17"/>
  <c r="AH36" i="17"/>
  <c r="AC93" i="17"/>
  <c r="AD93" i="17"/>
  <c r="AH85" i="17"/>
  <c r="AG85" i="17"/>
  <c r="V71" i="16"/>
  <c r="U71" i="16"/>
  <c r="Q79" i="16"/>
  <c r="R79" i="16"/>
  <c r="AD61" i="16"/>
  <c r="AC61" i="16"/>
  <c r="X70" i="16"/>
  <c r="W70" i="16"/>
  <c r="V73" i="16"/>
  <c r="U73" i="16"/>
  <c r="Q75" i="16"/>
  <c r="R75" i="16"/>
  <c r="M85" i="16"/>
  <c r="N85" i="16"/>
  <c r="Z65" i="16"/>
  <c r="Y65" i="16"/>
  <c r="X68" i="16"/>
  <c r="W68" i="16"/>
  <c r="M83" i="16"/>
  <c r="N83" i="16"/>
  <c r="O82" i="16"/>
  <c r="P82" i="16"/>
  <c r="P78" i="16"/>
  <c r="O78" i="16"/>
  <c r="AF54" i="16"/>
  <c r="AH54" i="16" s="1"/>
  <c r="AJ54" i="16" s="1"/>
  <c r="AE54" i="16"/>
  <c r="I54" i="16" s="1"/>
  <c r="Z67" i="16"/>
  <c r="Y67" i="16"/>
  <c r="X66" i="16"/>
  <c r="W66" i="16"/>
  <c r="AF56" i="16"/>
  <c r="AH56" i="16" s="1"/>
  <c r="AJ56" i="16" s="1"/>
  <c r="AE56" i="16"/>
  <c r="I56" i="16" s="1"/>
  <c r="T74" i="16"/>
  <c r="S74" i="16"/>
  <c r="K88" i="16"/>
  <c r="K86" i="16"/>
  <c r="R77" i="16"/>
  <c r="Q77" i="16"/>
  <c r="Z63" i="16"/>
  <c r="Y63" i="16"/>
  <c r="AB64" i="16"/>
  <c r="AA64" i="16"/>
  <c r="M81" i="16"/>
  <c r="N81" i="16"/>
  <c r="T76" i="16"/>
  <c r="S76" i="16"/>
  <c r="AB62" i="16"/>
  <c r="AA62" i="16"/>
  <c r="T72" i="16"/>
  <c r="S72" i="16"/>
  <c r="O80" i="16"/>
  <c r="P80" i="16"/>
  <c r="AC57" i="16"/>
  <c r="AD57" i="16"/>
  <c r="AB60" i="16"/>
  <c r="AA60" i="16"/>
  <c r="AF58" i="16"/>
  <c r="AH58" i="16" s="1"/>
  <c r="AJ58" i="16" s="1"/>
  <c r="AE58" i="16"/>
  <c r="I58" i="16" s="1"/>
  <c r="AD59" i="16"/>
  <c r="AC59" i="16"/>
  <c r="K84" i="16"/>
  <c r="V69" i="16"/>
  <c r="U69" i="16"/>
  <c r="R36" i="8"/>
  <c r="S36" i="8" s="1"/>
  <c r="Q67" i="8"/>
  <c r="N51" i="12"/>
  <c r="M51" i="12"/>
  <c r="Q109" i="9"/>
  <c r="R109" i="9"/>
  <c r="K64" i="12"/>
  <c r="L64" i="12"/>
  <c r="L58" i="12"/>
  <c r="K58" i="12"/>
  <c r="N54" i="12"/>
  <c r="M54" i="12"/>
  <c r="K42" i="12"/>
  <c r="L42" i="12"/>
  <c r="K45" i="12"/>
  <c r="L45" i="12"/>
  <c r="K44" i="12"/>
  <c r="L44" i="12"/>
  <c r="K37" i="12"/>
  <c r="L37" i="12"/>
  <c r="L55" i="12"/>
  <c r="K55" i="12"/>
  <c r="K61" i="12"/>
  <c r="L61" i="12"/>
  <c r="K59" i="12"/>
  <c r="L59" i="12"/>
  <c r="M66" i="12"/>
  <c r="N66" i="12"/>
  <c r="F21" i="12"/>
  <c r="F20" i="12"/>
  <c r="I20" i="12" s="1"/>
  <c r="I19" i="12"/>
  <c r="K17" i="12"/>
  <c r="L17" i="12"/>
  <c r="K24" i="12"/>
  <c r="L24" i="12"/>
  <c r="L48" i="12"/>
  <c r="K48" i="12"/>
  <c r="K25" i="12"/>
  <c r="L25" i="12"/>
  <c r="K31" i="12"/>
  <c r="L31" i="12"/>
  <c r="K32" i="12"/>
  <c r="L32" i="12"/>
  <c r="M49" i="12"/>
  <c r="N49" i="12"/>
  <c r="L63" i="12"/>
  <c r="K63" i="12"/>
  <c r="L57" i="12"/>
  <c r="K57" i="12"/>
  <c r="M53" i="12"/>
  <c r="N53" i="12"/>
  <c r="L41" i="12"/>
  <c r="K41" i="12"/>
  <c r="L46" i="12"/>
  <c r="K46" i="12"/>
  <c r="L43" i="12"/>
  <c r="K43" i="12"/>
  <c r="K38" i="12"/>
  <c r="L38" i="12"/>
  <c r="F40" i="12"/>
  <c r="I40" i="12" s="1"/>
  <c r="I39" i="12"/>
  <c r="M50" i="12"/>
  <c r="N50" i="12"/>
  <c r="N52" i="12"/>
  <c r="M52" i="12"/>
  <c r="L56" i="12"/>
  <c r="K56" i="12"/>
  <c r="K62" i="12"/>
  <c r="L62" i="12"/>
  <c r="L60" i="12"/>
  <c r="K60" i="12"/>
  <c r="K18" i="12"/>
  <c r="L18" i="12"/>
  <c r="L23" i="12"/>
  <c r="K23" i="12"/>
  <c r="L47" i="12"/>
  <c r="K47" i="12"/>
  <c r="K26" i="12"/>
  <c r="L26" i="12"/>
  <c r="F28" i="12"/>
  <c r="I28" i="12" s="1"/>
  <c r="F29" i="12"/>
  <c r="I27" i="12"/>
  <c r="F35" i="12"/>
  <c r="I33" i="12"/>
  <c r="F34" i="12"/>
  <c r="I34" i="12" s="1"/>
  <c r="T57" i="8"/>
  <c r="S57" i="8"/>
  <c r="R53" i="8"/>
  <c r="Q53" i="8"/>
  <c r="Q62" i="8"/>
  <c r="R62" i="8"/>
  <c r="T52" i="8"/>
  <c r="S52" i="8"/>
  <c r="R64" i="8"/>
  <c r="T64" i="8" s="1"/>
  <c r="T54" i="8"/>
  <c r="S68" i="8"/>
  <c r="T68" i="8"/>
  <c r="T66" i="8"/>
  <c r="S66" i="8"/>
  <c r="Q56" i="8"/>
  <c r="R56" i="8"/>
  <c r="U47" i="8"/>
  <c r="G47" i="8" s="1"/>
  <c r="S35" i="8"/>
  <c r="T35" i="8"/>
  <c r="S39" i="8"/>
  <c r="T39" i="8"/>
  <c r="S63" i="8"/>
  <c r="T63" i="8"/>
  <c r="Q50" i="8"/>
  <c r="R50" i="8"/>
  <c r="T65" i="8"/>
  <c r="S65" i="8"/>
  <c r="Q49" i="8"/>
  <c r="R49" i="8"/>
  <c r="S48" i="8"/>
  <c r="T48" i="8"/>
  <c r="R37" i="8"/>
  <c r="Q37" i="8"/>
  <c r="T51" i="8"/>
  <c r="S51" i="8"/>
  <c r="S40" i="8"/>
  <c r="T40" i="8"/>
  <c r="S34" i="8"/>
  <c r="T34" i="8"/>
  <c r="S67" i="8"/>
  <c r="T67" i="8"/>
  <c r="S44" i="8"/>
  <c r="T44" i="8"/>
  <c r="Q38" i="8"/>
  <c r="R38" i="8"/>
  <c r="V43" i="8" l="1"/>
  <c r="U43" i="8"/>
  <c r="N23" i="8"/>
  <c r="P23" i="8" s="1"/>
  <c r="K23" i="8"/>
  <c r="T97" i="21"/>
  <c r="S97" i="21"/>
  <c r="N25" i="8"/>
  <c r="P25" i="8" s="1"/>
  <c r="K25" i="8"/>
  <c r="K26" i="8"/>
  <c r="N26" i="8"/>
  <c r="P26" i="8" s="1"/>
  <c r="K24" i="8"/>
  <c r="N24" i="8"/>
  <c r="P24" i="8" s="1"/>
  <c r="P92" i="8"/>
  <c r="O92" i="8"/>
  <c r="G99" i="9"/>
  <c r="G98" i="9"/>
  <c r="AH53" i="17"/>
  <c r="AG53" i="17"/>
  <c r="AJ63" i="17"/>
  <c r="AL63" i="17" s="1"/>
  <c r="AN63" i="17" s="1"/>
  <c r="AI63" i="17"/>
  <c r="M63" i="17" s="1"/>
  <c r="AH54" i="17"/>
  <c r="AG54" i="17"/>
  <c r="AE66" i="17"/>
  <c r="AF66" i="17"/>
  <c r="AG64" i="17"/>
  <c r="AH64" i="17"/>
  <c r="AJ55" i="17"/>
  <c r="AL55" i="17" s="1"/>
  <c r="AN55" i="17" s="1"/>
  <c r="AI55" i="17"/>
  <c r="M55" i="17" s="1"/>
  <c r="AE65" i="17"/>
  <c r="AF65" i="17"/>
  <c r="T55" i="8"/>
  <c r="V55" i="8" s="1"/>
  <c r="X55" i="8" s="1"/>
  <c r="Z55" i="8" s="1"/>
  <c r="AB55" i="8" s="1"/>
  <c r="AD55" i="8" s="1"/>
  <c r="AF55" i="8" s="1"/>
  <c r="AH55" i="8" s="1"/>
  <c r="AJ55" i="8" s="1"/>
  <c r="X42" i="8"/>
  <c r="Y42" i="8" s="1"/>
  <c r="V61" i="8"/>
  <c r="U61" i="8"/>
  <c r="V60" i="8"/>
  <c r="U60" i="8"/>
  <c r="AG49" i="17"/>
  <c r="AH49" i="17"/>
  <c r="AH41" i="17"/>
  <c r="AG41" i="17"/>
  <c r="AI48" i="17"/>
  <c r="M48" i="17" s="1"/>
  <c r="AJ48" i="17"/>
  <c r="AL48" i="17" s="1"/>
  <c r="AN48" i="17" s="1"/>
  <c r="AF39" i="17"/>
  <c r="AE39" i="17"/>
  <c r="AE50" i="17"/>
  <c r="AF50" i="17"/>
  <c r="AC52" i="17"/>
  <c r="AD52" i="17"/>
  <c r="AJ42" i="17"/>
  <c r="AL42" i="17" s="1"/>
  <c r="AN42" i="17" s="1"/>
  <c r="AI42" i="17"/>
  <c r="M42" i="17" s="1"/>
  <c r="AF40" i="17"/>
  <c r="AE40" i="17"/>
  <c r="AD51" i="17"/>
  <c r="AC51" i="17"/>
  <c r="V58" i="8"/>
  <c r="U58" i="8"/>
  <c r="T36" i="8"/>
  <c r="V36" i="8" s="1"/>
  <c r="AJ37" i="17"/>
  <c r="AL37" i="17" s="1"/>
  <c r="AN37" i="17" s="1"/>
  <c r="AI37" i="17"/>
  <c r="M37" i="17" s="1"/>
  <c r="R173" i="16"/>
  <c r="T173" i="16" s="1"/>
  <c r="V173" i="16" s="1"/>
  <c r="X173" i="16" s="1"/>
  <c r="Z173" i="16" s="1"/>
  <c r="AB173" i="16" s="1"/>
  <c r="AD173" i="16" s="1"/>
  <c r="AF173" i="16" s="1"/>
  <c r="AH173" i="16" s="1"/>
  <c r="AJ173" i="16" s="1"/>
  <c r="Q173" i="16"/>
  <c r="I173" i="16" s="1"/>
  <c r="H177" i="16"/>
  <c r="K176" i="16"/>
  <c r="O174" i="16"/>
  <c r="P174" i="16"/>
  <c r="N175" i="16"/>
  <c r="M175" i="16"/>
  <c r="T46" i="8"/>
  <c r="S46" i="8"/>
  <c r="V45" i="8"/>
  <c r="X45" i="8" s="1"/>
  <c r="Z45" i="8" s="1"/>
  <c r="AB45" i="8" s="1"/>
  <c r="AD45" i="8" s="1"/>
  <c r="AF45" i="8" s="1"/>
  <c r="AH45" i="8" s="1"/>
  <c r="AJ45" i="8" s="1"/>
  <c r="U45" i="8"/>
  <c r="G45" i="8" s="1"/>
  <c r="V90" i="8"/>
  <c r="U90" i="8"/>
  <c r="AJ85" i="17"/>
  <c r="AL85" i="17" s="1"/>
  <c r="AN85" i="17" s="1"/>
  <c r="AI85" i="17"/>
  <c r="M85" i="17" s="1"/>
  <c r="AI38" i="17"/>
  <c r="M38" i="17" s="1"/>
  <c r="AJ38" i="17"/>
  <c r="AL38" i="17" s="1"/>
  <c r="AN38" i="17" s="1"/>
  <c r="AF82" i="17"/>
  <c r="AE82" i="17"/>
  <c r="AJ24" i="17"/>
  <c r="AL24" i="17" s="1"/>
  <c r="AN24" i="17" s="1"/>
  <c r="AI24" i="17"/>
  <c r="M24" i="17" s="1"/>
  <c r="AI77" i="17"/>
  <c r="M77" i="17" s="1"/>
  <c r="AJ77" i="17"/>
  <c r="AL77" i="17" s="1"/>
  <c r="AN77" i="17" s="1"/>
  <c r="AI91" i="17"/>
  <c r="M91" i="17" s="1"/>
  <c r="AJ91" i="17"/>
  <c r="AL91" i="17" s="1"/>
  <c r="AN91" i="17" s="1"/>
  <c r="AH81" i="17"/>
  <c r="AG81" i="17"/>
  <c r="AF94" i="17"/>
  <c r="AE94" i="17"/>
  <c r="AG84" i="17"/>
  <c r="AH84" i="17"/>
  <c r="AJ79" i="17"/>
  <c r="AL79" i="17" s="1"/>
  <c r="AN79" i="17" s="1"/>
  <c r="AI79" i="17"/>
  <c r="M79" i="17" s="1"/>
  <c r="AJ78" i="17"/>
  <c r="AL78" i="17" s="1"/>
  <c r="AN78" i="17" s="1"/>
  <c r="AI78" i="17"/>
  <c r="M78" i="17" s="1"/>
  <c r="AH80" i="17"/>
  <c r="AG80" i="17"/>
  <c r="AE93" i="17"/>
  <c r="AF93" i="17"/>
  <c r="AI69" i="17"/>
  <c r="M69" i="17" s="1"/>
  <c r="AJ69" i="17"/>
  <c r="AL69" i="17" s="1"/>
  <c r="AN69" i="17" s="1"/>
  <c r="AE83" i="17"/>
  <c r="AF83" i="17"/>
  <c r="AJ36" i="17"/>
  <c r="AL36" i="17" s="1"/>
  <c r="AN36" i="17" s="1"/>
  <c r="AI36" i="17"/>
  <c r="M36" i="17" s="1"/>
  <c r="AH68" i="17"/>
  <c r="AG68" i="17"/>
  <c r="AH67" i="17"/>
  <c r="AG67" i="17"/>
  <c r="AH92" i="17"/>
  <c r="AG92" i="17"/>
  <c r="AJ25" i="17"/>
  <c r="AL25" i="17" s="1"/>
  <c r="AN25" i="17" s="1"/>
  <c r="AI25" i="17"/>
  <c r="M25" i="17" s="1"/>
  <c r="M88" i="16"/>
  <c r="N88" i="16"/>
  <c r="R82" i="16"/>
  <c r="Q82" i="16"/>
  <c r="O85" i="16"/>
  <c r="P85" i="16"/>
  <c r="S75" i="16"/>
  <c r="T75" i="16"/>
  <c r="T79" i="16"/>
  <c r="S79" i="16"/>
  <c r="X69" i="16"/>
  <c r="W69" i="16"/>
  <c r="AF59" i="16"/>
  <c r="AH59" i="16" s="1"/>
  <c r="AJ59" i="16" s="1"/>
  <c r="AE59" i="16"/>
  <c r="I59" i="16" s="1"/>
  <c r="AD60" i="16"/>
  <c r="AC60" i="16"/>
  <c r="R80" i="16"/>
  <c r="Q80" i="16"/>
  <c r="V72" i="16"/>
  <c r="U72" i="16"/>
  <c r="U76" i="16"/>
  <c r="V76" i="16"/>
  <c r="AB63" i="16"/>
  <c r="AA63" i="16"/>
  <c r="K91" i="16"/>
  <c r="Z68" i="16"/>
  <c r="Y68" i="16"/>
  <c r="Z70" i="16"/>
  <c r="Y70" i="16"/>
  <c r="M84" i="16"/>
  <c r="N84" i="16"/>
  <c r="O81" i="16"/>
  <c r="P81" i="16"/>
  <c r="K89" i="16"/>
  <c r="O83" i="16"/>
  <c r="P83" i="16"/>
  <c r="K87" i="16"/>
  <c r="AF57" i="16"/>
  <c r="AH57" i="16" s="1"/>
  <c r="AJ57" i="16" s="1"/>
  <c r="AE57" i="16"/>
  <c r="I57" i="16" s="1"/>
  <c r="AD62" i="16"/>
  <c r="AC62" i="16"/>
  <c r="AD64" i="16"/>
  <c r="AC64" i="16"/>
  <c r="T77" i="16"/>
  <c r="S77" i="16"/>
  <c r="M86" i="16"/>
  <c r="N86" i="16"/>
  <c r="V74" i="16"/>
  <c r="U74" i="16"/>
  <c r="Z66" i="16"/>
  <c r="Y66" i="16"/>
  <c r="AB67" i="16"/>
  <c r="AA67" i="16"/>
  <c r="R78" i="16"/>
  <c r="Q78" i="16"/>
  <c r="AA65" i="16"/>
  <c r="AB65" i="16"/>
  <c r="W73" i="16"/>
  <c r="X73" i="16"/>
  <c r="AF61" i="16"/>
  <c r="AH61" i="16" s="1"/>
  <c r="AJ61" i="16" s="1"/>
  <c r="AE61" i="16"/>
  <c r="I61" i="16" s="1"/>
  <c r="X71" i="16"/>
  <c r="W71" i="16"/>
  <c r="L33" i="12"/>
  <c r="K33" i="12"/>
  <c r="L27" i="12"/>
  <c r="K27" i="12"/>
  <c r="K28" i="12"/>
  <c r="L28" i="12"/>
  <c r="M47" i="12"/>
  <c r="N47" i="12"/>
  <c r="N23" i="12"/>
  <c r="M23" i="12"/>
  <c r="M60" i="12"/>
  <c r="N60" i="12"/>
  <c r="M56" i="12"/>
  <c r="N56" i="12"/>
  <c r="P52" i="12"/>
  <c r="O52" i="12"/>
  <c r="K40" i="12"/>
  <c r="L40" i="12"/>
  <c r="N43" i="12"/>
  <c r="M43" i="12"/>
  <c r="M46" i="12"/>
  <c r="N46" i="12"/>
  <c r="N41" i="12"/>
  <c r="M41" i="12"/>
  <c r="N57" i="12"/>
  <c r="M57" i="12"/>
  <c r="N63" i="12"/>
  <c r="M63" i="12"/>
  <c r="N32" i="12"/>
  <c r="M32" i="12"/>
  <c r="N31" i="12"/>
  <c r="M31" i="12"/>
  <c r="N25" i="12"/>
  <c r="M25" i="12"/>
  <c r="M24" i="12"/>
  <c r="N24" i="12"/>
  <c r="N17" i="12"/>
  <c r="M17" i="12"/>
  <c r="K19" i="12"/>
  <c r="L19" i="12"/>
  <c r="F22" i="12"/>
  <c r="I22" i="12" s="1"/>
  <c r="I21" i="12"/>
  <c r="M55" i="12"/>
  <c r="N55" i="12"/>
  <c r="O54" i="12"/>
  <c r="P54" i="12"/>
  <c r="N58" i="12"/>
  <c r="M58" i="12"/>
  <c r="O51" i="12"/>
  <c r="P51" i="12"/>
  <c r="L34" i="12"/>
  <c r="K34" i="12"/>
  <c r="F36" i="12"/>
  <c r="I36" i="12" s="1"/>
  <c r="I35" i="12"/>
  <c r="I29" i="12"/>
  <c r="F30" i="12"/>
  <c r="I30" i="12" s="1"/>
  <c r="N26" i="12"/>
  <c r="M26" i="12"/>
  <c r="N18" i="12"/>
  <c r="M18" i="12"/>
  <c r="M62" i="12"/>
  <c r="N62" i="12"/>
  <c r="O50" i="12"/>
  <c r="P50" i="12"/>
  <c r="L39" i="12"/>
  <c r="K39" i="12"/>
  <c r="N38" i="12"/>
  <c r="M38" i="12"/>
  <c r="O53" i="12"/>
  <c r="P53" i="12"/>
  <c r="P49" i="12"/>
  <c r="O49" i="12"/>
  <c r="N48" i="12"/>
  <c r="M48" i="12"/>
  <c r="K20" i="12"/>
  <c r="L20" i="12"/>
  <c r="O66" i="12"/>
  <c r="P66" i="12"/>
  <c r="M59" i="12"/>
  <c r="N59" i="12"/>
  <c r="M61" i="12"/>
  <c r="N61" i="12"/>
  <c r="M37" i="12"/>
  <c r="N37" i="12"/>
  <c r="N44" i="12"/>
  <c r="M44" i="12"/>
  <c r="M45" i="12"/>
  <c r="N45" i="12"/>
  <c r="N42" i="12"/>
  <c r="M42" i="12"/>
  <c r="N64" i="12"/>
  <c r="M64" i="12"/>
  <c r="T109" i="9"/>
  <c r="S109" i="9"/>
  <c r="V57" i="8"/>
  <c r="X57" i="8" s="1"/>
  <c r="Z57" i="8" s="1"/>
  <c r="AB57" i="8" s="1"/>
  <c r="AD57" i="8" s="1"/>
  <c r="AF57" i="8" s="1"/>
  <c r="AH57" i="8" s="1"/>
  <c r="AJ57" i="8" s="1"/>
  <c r="U57" i="8"/>
  <c r="G57" i="8" s="1"/>
  <c r="T53" i="8"/>
  <c r="S53" i="8"/>
  <c r="S62" i="8"/>
  <c r="T62" i="8"/>
  <c r="V52" i="8"/>
  <c r="U52" i="8"/>
  <c r="S64" i="8"/>
  <c r="V40" i="8"/>
  <c r="U40" i="8"/>
  <c r="U51" i="8"/>
  <c r="V51" i="8"/>
  <c r="S37" i="8"/>
  <c r="T37" i="8"/>
  <c r="U48" i="8"/>
  <c r="G48" i="8" s="1"/>
  <c r="V48" i="8"/>
  <c r="X48" i="8" s="1"/>
  <c r="Z48" i="8" s="1"/>
  <c r="AB48" i="8" s="1"/>
  <c r="AD48" i="8" s="1"/>
  <c r="AF48" i="8" s="1"/>
  <c r="AH48" i="8" s="1"/>
  <c r="AJ48" i="8" s="1"/>
  <c r="T49" i="8"/>
  <c r="S49" i="8"/>
  <c r="S50" i="8"/>
  <c r="T50" i="8"/>
  <c r="U63" i="8"/>
  <c r="V63" i="8"/>
  <c r="V39" i="8"/>
  <c r="U39" i="8"/>
  <c r="U35" i="8"/>
  <c r="V35" i="8"/>
  <c r="T56" i="8"/>
  <c r="S56" i="8"/>
  <c r="V68" i="8"/>
  <c r="U68" i="8"/>
  <c r="U54" i="8"/>
  <c r="V54" i="8"/>
  <c r="T38" i="8"/>
  <c r="S38" i="8"/>
  <c r="U44" i="8"/>
  <c r="G44" i="8" s="1"/>
  <c r="V44" i="8"/>
  <c r="X44" i="8" s="1"/>
  <c r="Z44" i="8" s="1"/>
  <c r="AB44" i="8" s="1"/>
  <c r="AD44" i="8" s="1"/>
  <c r="AF44" i="8" s="1"/>
  <c r="AH44" i="8" s="1"/>
  <c r="AJ44" i="8" s="1"/>
  <c r="U67" i="8"/>
  <c r="V67" i="8"/>
  <c r="U34" i="8"/>
  <c r="V34" i="8"/>
  <c r="U65" i="8"/>
  <c r="V65" i="8"/>
  <c r="U66" i="8"/>
  <c r="V66" i="8"/>
  <c r="U64" i="8"/>
  <c r="V64" i="8"/>
  <c r="X43" i="8" l="1"/>
  <c r="W43" i="8"/>
  <c r="R92" i="8"/>
  <c r="Q92" i="8"/>
  <c r="V97" i="21"/>
  <c r="U97" i="21"/>
  <c r="AG66" i="17"/>
  <c r="AH66" i="17"/>
  <c r="AG65" i="17"/>
  <c r="AH65" i="17"/>
  <c r="AI64" i="17"/>
  <c r="M64" i="17" s="1"/>
  <c r="AJ64" i="17"/>
  <c r="AL64" i="17" s="1"/>
  <c r="AN64" i="17" s="1"/>
  <c r="AI54" i="17"/>
  <c r="M54" i="17" s="1"/>
  <c r="AJ54" i="17"/>
  <c r="AL54" i="17" s="1"/>
  <c r="AN54" i="17" s="1"/>
  <c r="AJ53" i="17"/>
  <c r="AL53" i="17" s="1"/>
  <c r="AN53" i="17" s="1"/>
  <c r="AI53" i="17"/>
  <c r="M53" i="17" s="1"/>
  <c r="U55" i="8"/>
  <c r="G55" i="8" s="1"/>
  <c r="U36" i="8"/>
  <c r="Z42" i="8"/>
  <c r="AA42" i="8" s="1"/>
  <c r="G42" i="8" s="1"/>
  <c r="X60" i="8"/>
  <c r="W60" i="8"/>
  <c r="X61" i="8"/>
  <c r="W61" i="8"/>
  <c r="AE51" i="17"/>
  <c r="AF51" i="17"/>
  <c r="AH40" i="17"/>
  <c r="AG40" i="17"/>
  <c r="AF52" i="17"/>
  <c r="AE52" i="17"/>
  <c r="AH39" i="17"/>
  <c r="AG39" i="17"/>
  <c r="AJ41" i="17"/>
  <c r="AL41" i="17" s="1"/>
  <c r="AN41" i="17" s="1"/>
  <c r="AI41" i="17"/>
  <c r="M41" i="17" s="1"/>
  <c r="AH50" i="17"/>
  <c r="AG50" i="17"/>
  <c r="AJ49" i="17"/>
  <c r="AL49" i="17" s="1"/>
  <c r="AN49" i="17" s="1"/>
  <c r="AI49" i="17"/>
  <c r="M49" i="17" s="1"/>
  <c r="X58" i="8"/>
  <c r="W58" i="8"/>
  <c r="O175" i="16"/>
  <c r="P175" i="16"/>
  <c r="N176" i="16"/>
  <c r="M176" i="16"/>
  <c r="Q174" i="16"/>
  <c r="I174" i="16" s="1"/>
  <c r="R174" i="16"/>
  <c r="T174" i="16" s="1"/>
  <c r="V174" i="16" s="1"/>
  <c r="X174" i="16" s="1"/>
  <c r="Z174" i="16" s="1"/>
  <c r="AB174" i="16" s="1"/>
  <c r="AD174" i="16" s="1"/>
  <c r="AF174" i="16" s="1"/>
  <c r="AH174" i="16" s="1"/>
  <c r="AJ174" i="16" s="1"/>
  <c r="H178" i="16"/>
  <c r="K177" i="16"/>
  <c r="V46" i="8"/>
  <c r="X46" i="8" s="1"/>
  <c r="Z46" i="8" s="1"/>
  <c r="AB46" i="8" s="1"/>
  <c r="AD46" i="8" s="1"/>
  <c r="AF46" i="8" s="1"/>
  <c r="AH46" i="8" s="1"/>
  <c r="AJ46" i="8" s="1"/>
  <c r="U46" i="8"/>
  <c r="G46" i="8" s="1"/>
  <c r="X90" i="8"/>
  <c r="W90" i="8"/>
  <c r="AI80" i="17"/>
  <c r="M80" i="17" s="1"/>
  <c r="AJ80" i="17"/>
  <c r="AL80" i="17" s="1"/>
  <c r="AN80" i="17" s="1"/>
  <c r="AG83" i="17"/>
  <c r="AH83" i="17"/>
  <c r="AH93" i="17"/>
  <c r="AG93" i="17"/>
  <c r="AI84" i="17"/>
  <c r="M84" i="17" s="1"/>
  <c r="AJ84" i="17"/>
  <c r="AL84" i="17" s="1"/>
  <c r="AN84" i="17" s="1"/>
  <c r="AI67" i="17"/>
  <c r="M67" i="17" s="1"/>
  <c r="AJ67" i="17"/>
  <c r="AL67" i="17" s="1"/>
  <c r="AN67" i="17" s="1"/>
  <c r="AH94" i="17"/>
  <c r="AG94" i="17"/>
  <c r="AI92" i="17"/>
  <c r="M92" i="17" s="1"/>
  <c r="AJ92" i="17"/>
  <c r="AL92" i="17" s="1"/>
  <c r="AN92" i="17" s="1"/>
  <c r="AJ68" i="17"/>
  <c r="AL68" i="17" s="1"/>
  <c r="AN68" i="17" s="1"/>
  <c r="AI68" i="17"/>
  <c r="M68" i="17" s="1"/>
  <c r="AJ81" i="17"/>
  <c r="AL81" i="17" s="1"/>
  <c r="AN81" i="17" s="1"/>
  <c r="AI81" i="17"/>
  <c r="M81" i="17" s="1"/>
  <c r="AH82" i="17"/>
  <c r="AG82" i="17"/>
  <c r="Z71" i="16"/>
  <c r="Y71" i="16"/>
  <c r="O86" i="16"/>
  <c r="P86" i="16"/>
  <c r="AF62" i="16"/>
  <c r="AH62" i="16" s="1"/>
  <c r="AJ62" i="16" s="1"/>
  <c r="AE62" i="16"/>
  <c r="I62" i="16" s="1"/>
  <c r="M87" i="16"/>
  <c r="N87" i="16"/>
  <c r="M89" i="16"/>
  <c r="N89" i="16"/>
  <c r="K94" i="16"/>
  <c r="T80" i="16"/>
  <c r="S80" i="16"/>
  <c r="U79" i="16"/>
  <c r="V79" i="16"/>
  <c r="Q85" i="16"/>
  <c r="R85" i="16"/>
  <c r="S82" i="16"/>
  <c r="T82" i="16"/>
  <c r="AD65" i="16"/>
  <c r="AC65" i="16"/>
  <c r="T78" i="16"/>
  <c r="S78" i="16"/>
  <c r="AB66" i="16"/>
  <c r="AA66" i="16"/>
  <c r="AF64" i="16"/>
  <c r="AH64" i="16" s="1"/>
  <c r="AJ64" i="16" s="1"/>
  <c r="AE64" i="16"/>
  <c r="I64" i="16" s="1"/>
  <c r="K92" i="16"/>
  <c r="O88" i="16"/>
  <c r="P88" i="16"/>
  <c r="R83" i="16"/>
  <c r="Q83" i="16"/>
  <c r="P84" i="16"/>
  <c r="O84" i="16"/>
  <c r="AB70" i="16"/>
  <c r="AA70" i="16"/>
  <c r="AB68" i="16"/>
  <c r="AA68" i="16"/>
  <c r="AD63" i="16"/>
  <c r="AC63" i="16"/>
  <c r="W72" i="16"/>
  <c r="X72" i="16"/>
  <c r="AF60" i="16"/>
  <c r="AH60" i="16" s="1"/>
  <c r="AJ60" i="16" s="1"/>
  <c r="AE60" i="16"/>
  <c r="I60" i="16" s="1"/>
  <c r="Z69" i="16"/>
  <c r="Y69" i="16"/>
  <c r="V75" i="16"/>
  <c r="U75" i="16"/>
  <c r="Z73" i="16"/>
  <c r="Y73" i="16"/>
  <c r="AC67" i="16"/>
  <c r="AD67" i="16"/>
  <c r="X74" i="16"/>
  <c r="W74" i="16"/>
  <c r="V77" i="16"/>
  <c r="U77" i="16"/>
  <c r="K90" i="16"/>
  <c r="Q81" i="16"/>
  <c r="R81" i="16"/>
  <c r="M91" i="16"/>
  <c r="N91" i="16"/>
  <c r="X76" i="16"/>
  <c r="W76" i="16"/>
  <c r="O45" i="12"/>
  <c r="P45" i="12"/>
  <c r="O37" i="12"/>
  <c r="P37" i="12"/>
  <c r="O61" i="12"/>
  <c r="P61" i="12"/>
  <c r="O59" i="12"/>
  <c r="P59" i="12"/>
  <c r="R66" i="12"/>
  <c r="Q66" i="12"/>
  <c r="N20" i="12"/>
  <c r="M20" i="12"/>
  <c r="R53" i="12"/>
  <c r="Q53" i="12"/>
  <c r="R50" i="12"/>
  <c r="Q50" i="12"/>
  <c r="O62" i="12"/>
  <c r="P62" i="12"/>
  <c r="L30" i="12"/>
  <c r="K30" i="12"/>
  <c r="K35" i="12"/>
  <c r="L35" i="12"/>
  <c r="Q51" i="12"/>
  <c r="R51" i="12"/>
  <c r="R54" i="12"/>
  <c r="Q54" i="12"/>
  <c r="P55" i="12"/>
  <c r="O55" i="12"/>
  <c r="K21" i="12"/>
  <c r="L21" i="12"/>
  <c r="N19" i="12"/>
  <c r="M19" i="12"/>
  <c r="P24" i="12"/>
  <c r="O24" i="12"/>
  <c r="O46" i="12"/>
  <c r="P46" i="12"/>
  <c r="M40" i="12"/>
  <c r="N40" i="12"/>
  <c r="O56" i="12"/>
  <c r="P56" i="12"/>
  <c r="O60" i="12"/>
  <c r="P60" i="12"/>
  <c r="O47" i="12"/>
  <c r="P47" i="12"/>
  <c r="N28" i="12"/>
  <c r="M28" i="12"/>
  <c r="V109" i="9"/>
  <c r="U109" i="9"/>
  <c r="P64" i="12"/>
  <c r="O64" i="12"/>
  <c r="P42" i="12"/>
  <c r="O42" i="12"/>
  <c r="P44" i="12"/>
  <c r="O44" i="12"/>
  <c r="P48" i="12"/>
  <c r="O48" i="12"/>
  <c r="R49" i="12"/>
  <c r="Q49" i="12"/>
  <c r="O38" i="12"/>
  <c r="P38" i="12"/>
  <c r="N39" i="12"/>
  <c r="M39" i="12"/>
  <c r="O18" i="12"/>
  <c r="P18" i="12"/>
  <c r="O26" i="12"/>
  <c r="P26" i="12"/>
  <c r="L29" i="12"/>
  <c r="K29" i="12"/>
  <c r="L36" i="12"/>
  <c r="K36" i="12"/>
  <c r="N34" i="12"/>
  <c r="M34" i="12"/>
  <c r="P58" i="12"/>
  <c r="O58" i="12"/>
  <c r="K22" i="12"/>
  <c r="L22" i="12"/>
  <c r="P17" i="12"/>
  <c r="O17" i="12"/>
  <c r="O25" i="12"/>
  <c r="P25" i="12"/>
  <c r="P31" i="12"/>
  <c r="O31" i="12"/>
  <c r="P32" i="12"/>
  <c r="O32" i="12"/>
  <c r="P63" i="12"/>
  <c r="O63" i="12"/>
  <c r="P57" i="12"/>
  <c r="O57" i="12"/>
  <c r="P41" i="12"/>
  <c r="O41" i="12"/>
  <c r="P43" i="12"/>
  <c r="O43" i="12"/>
  <c r="Q52" i="12"/>
  <c r="R52" i="12"/>
  <c r="O23" i="12"/>
  <c r="P23" i="12"/>
  <c r="N27" i="12"/>
  <c r="M27" i="12"/>
  <c r="N33" i="12"/>
  <c r="M33" i="12"/>
  <c r="V53" i="8"/>
  <c r="U53" i="8"/>
  <c r="U62" i="8"/>
  <c r="V62" i="8"/>
  <c r="X52" i="8"/>
  <c r="W52" i="8"/>
  <c r="W64" i="8"/>
  <c r="X64" i="8"/>
  <c r="X66" i="8"/>
  <c r="W66" i="8"/>
  <c r="W65" i="8"/>
  <c r="X65" i="8"/>
  <c r="W34" i="8"/>
  <c r="X34" i="8"/>
  <c r="W67" i="8"/>
  <c r="X67" i="8"/>
  <c r="W54" i="8"/>
  <c r="X54" i="8"/>
  <c r="W35" i="8"/>
  <c r="X35" i="8"/>
  <c r="W63" i="8"/>
  <c r="X63" i="8"/>
  <c r="U50" i="8"/>
  <c r="V50" i="8"/>
  <c r="W36" i="8"/>
  <c r="X36" i="8"/>
  <c r="U37" i="8"/>
  <c r="V37" i="8"/>
  <c r="W51" i="8"/>
  <c r="X51" i="8"/>
  <c r="U38" i="8"/>
  <c r="V38" i="8"/>
  <c r="W68" i="8"/>
  <c r="X68" i="8"/>
  <c r="U56" i="8"/>
  <c r="G56" i="8" s="1"/>
  <c r="V56" i="8"/>
  <c r="X56" i="8" s="1"/>
  <c r="Z56" i="8" s="1"/>
  <c r="AB56" i="8" s="1"/>
  <c r="AD56" i="8" s="1"/>
  <c r="AF56" i="8" s="1"/>
  <c r="AH56" i="8" s="1"/>
  <c r="AJ56" i="8" s="1"/>
  <c r="W39" i="8"/>
  <c r="X39" i="8"/>
  <c r="U49" i="8"/>
  <c r="V49" i="8"/>
  <c r="W40" i="8"/>
  <c r="X40" i="8"/>
  <c r="Z43" i="8" l="1"/>
  <c r="Y43" i="8"/>
  <c r="X97" i="21"/>
  <c r="W97" i="21"/>
  <c r="T92" i="8"/>
  <c r="S92" i="8"/>
  <c r="AI66" i="17"/>
  <c r="M66" i="17" s="1"/>
  <c r="AJ66" i="17"/>
  <c r="AL66" i="17" s="1"/>
  <c r="AN66" i="17" s="1"/>
  <c r="AI65" i="17"/>
  <c r="M65" i="17" s="1"/>
  <c r="AJ65" i="17"/>
  <c r="AL65" i="17" s="1"/>
  <c r="AN65" i="17" s="1"/>
  <c r="AB42" i="8"/>
  <c r="AD42" i="8" s="1"/>
  <c r="AF42" i="8" s="1"/>
  <c r="AH42" i="8" s="1"/>
  <c r="AJ42" i="8" s="1"/>
  <c r="Z60" i="8"/>
  <c r="AB60" i="8" s="1"/>
  <c r="AD60" i="8" s="1"/>
  <c r="AF60" i="8" s="1"/>
  <c r="AH60" i="8" s="1"/>
  <c r="AJ60" i="8" s="1"/>
  <c r="Y60" i="8"/>
  <c r="G60" i="8" s="1"/>
  <c r="Z61" i="8"/>
  <c r="AB61" i="8" s="1"/>
  <c r="AD61" i="8" s="1"/>
  <c r="AF61" i="8" s="1"/>
  <c r="AH61" i="8" s="1"/>
  <c r="AJ61" i="8" s="1"/>
  <c r="Y61" i="8"/>
  <c r="G61" i="8" s="1"/>
  <c r="AH51" i="17"/>
  <c r="AG51" i="17"/>
  <c r="AJ40" i="17"/>
  <c r="AL40" i="17" s="1"/>
  <c r="AN40" i="17" s="1"/>
  <c r="AI40" i="17"/>
  <c r="M40" i="17" s="1"/>
  <c r="AI50" i="17"/>
  <c r="M50" i="17" s="1"/>
  <c r="AJ50" i="17"/>
  <c r="AL50" i="17" s="1"/>
  <c r="AN50" i="17" s="1"/>
  <c r="AJ39" i="17"/>
  <c r="AL39" i="17" s="1"/>
  <c r="AN39" i="17" s="1"/>
  <c r="AI39" i="17"/>
  <c r="M39" i="17" s="1"/>
  <c r="AG52" i="17"/>
  <c r="AH52" i="17"/>
  <c r="Z58" i="8"/>
  <c r="Y58" i="8"/>
  <c r="N177" i="16"/>
  <c r="M177" i="16"/>
  <c r="H179" i="16"/>
  <c r="K178" i="16"/>
  <c r="O176" i="16"/>
  <c r="P176" i="16"/>
  <c r="Q175" i="16"/>
  <c r="I175" i="16" s="1"/>
  <c r="R175" i="16"/>
  <c r="T175" i="16" s="1"/>
  <c r="V175" i="16" s="1"/>
  <c r="X175" i="16" s="1"/>
  <c r="Z175" i="16" s="1"/>
  <c r="AB175" i="16" s="1"/>
  <c r="AD175" i="16" s="1"/>
  <c r="AF175" i="16" s="1"/>
  <c r="AH175" i="16" s="1"/>
  <c r="AJ175" i="16" s="1"/>
  <c r="Z90" i="8"/>
  <c r="Y90" i="8"/>
  <c r="AJ83" i="17"/>
  <c r="AL83" i="17" s="1"/>
  <c r="AN83" i="17" s="1"/>
  <c r="AI83" i="17"/>
  <c r="M83" i="17" s="1"/>
  <c r="AI82" i="17"/>
  <c r="M82" i="17" s="1"/>
  <c r="AJ82" i="17"/>
  <c r="AL82" i="17" s="1"/>
  <c r="AN82" i="17" s="1"/>
  <c r="AI94" i="17"/>
  <c r="M94" i="17" s="1"/>
  <c r="AJ94" i="17"/>
  <c r="AL94" i="17" s="1"/>
  <c r="AN94" i="17" s="1"/>
  <c r="AI93" i="17"/>
  <c r="M93" i="17" s="1"/>
  <c r="AJ93" i="17"/>
  <c r="AL93" i="17" s="1"/>
  <c r="AN93" i="17" s="1"/>
  <c r="Z76" i="16"/>
  <c r="Y76" i="16"/>
  <c r="T81" i="16"/>
  <c r="S81" i="16"/>
  <c r="AF67" i="16"/>
  <c r="AH67" i="16" s="1"/>
  <c r="AJ67" i="16" s="1"/>
  <c r="AE67" i="16"/>
  <c r="I67" i="16" s="1"/>
  <c r="Z72" i="16"/>
  <c r="Y72" i="16"/>
  <c r="K93" i="16"/>
  <c r="M92" i="16"/>
  <c r="N92" i="16"/>
  <c r="V78" i="16"/>
  <c r="U78" i="16"/>
  <c r="M94" i="16"/>
  <c r="N94" i="16"/>
  <c r="N90" i="16"/>
  <c r="M90" i="16"/>
  <c r="Z74" i="16"/>
  <c r="Y74" i="16"/>
  <c r="AB73" i="16"/>
  <c r="AA73" i="16"/>
  <c r="X75" i="16"/>
  <c r="W75" i="16"/>
  <c r="AF63" i="16"/>
  <c r="AH63" i="16" s="1"/>
  <c r="AJ63" i="16" s="1"/>
  <c r="AE63" i="16"/>
  <c r="I63" i="16" s="1"/>
  <c r="AD70" i="16"/>
  <c r="AC70" i="16"/>
  <c r="T83" i="16"/>
  <c r="S83" i="16"/>
  <c r="K95" i="16"/>
  <c r="T85" i="16"/>
  <c r="S85" i="16"/>
  <c r="P89" i="16"/>
  <c r="O89" i="16"/>
  <c r="R88" i="16"/>
  <c r="Q88" i="16"/>
  <c r="AD66" i="16"/>
  <c r="AC66" i="16"/>
  <c r="AF65" i="16"/>
  <c r="AH65" i="16" s="1"/>
  <c r="AJ65" i="16" s="1"/>
  <c r="AE65" i="16"/>
  <c r="I65" i="16" s="1"/>
  <c r="U80" i="16"/>
  <c r="V80" i="16"/>
  <c r="P91" i="16"/>
  <c r="O91" i="16"/>
  <c r="X77" i="16"/>
  <c r="W77" i="16"/>
  <c r="AA69" i="16"/>
  <c r="AB69" i="16"/>
  <c r="AC68" i="16"/>
  <c r="AD68" i="16"/>
  <c r="Q84" i="16"/>
  <c r="R84" i="16"/>
  <c r="U82" i="16"/>
  <c r="V82" i="16"/>
  <c r="W79" i="16"/>
  <c r="X79" i="16"/>
  <c r="K97" i="16"/>
  <c r="P87" i="16"/>
  <c r="O87" i="16"/>
  <c r="Q86" i="16"/>
  <c r="R86" i="16"/>
  <c r="AB71" i="16"/>
  <c r="AA71" i="16"/>
  <c r="O33" i="12"/>
  <c r="P33" i="12"/>
  <c r="O27" i="12"/>
  <c r="P27" i="12"/>
  <c r="R43" i="12"/>
  <c r="Q43" i="12"/>
  <c r="R41" i="12"/>
  <c r="Q41" i="12"/>
  <c r="Q57" i="12"/>
  <c r="R57" i="12"/>
  <c r="R63" i="12"/>
  <c r="Q63" i="12"/>
  <c r="Q32" i="12"/>
  <c r="R32" i="12"/>
  <c r="Q31" i="12"/>
  <c r="R31" i="12"/>
  <c r="R17" i="12"/>
  <c r="Q17" i="12"/>
  <c r="Q58" i="12"/>
  <c r="R58" i="12"/>
  <c r="O34" i="12"/>
  <c r="P34" i="12"/>
  <c r="M36" i="12"/>
  <c r="N36" i="12"/>
  <c r="M29" i="12"/>
  <c r="N29" i="12"/>
  <c r="O39" i="12"/>
  <c r="P39" i="12"/>
  <c r="S49" i="12"/>
  <c r="T49" i="12"/>
  <c r="R48" i="12"/>
  <c r="Q48" i="12"/>
  <c r="R44" i="12"/>
  <c r="Q44" i="12"/>
  <c r="R42" i="12"/>
  <c r="Q42" i="12"/>
  <c r="R64" i="12"/>
  <c r="Q64" i="12"/>
  <c r="W109" i="9"/>
  <c r="X109" i="9"/>
  <c r="Q47" i="12"/>
  <c r="R47" i="12"/>
  <c r="Q60" i="12"/>
  <c r="R60" i="12"/>
  <c r="R56" i="12"/>
  <c r="Q56" i="12"/>
  <c r="P40" i="12"/>
  <c r="O40" i="12"/>
  <c r="Q46" i="12"/>
  <c r="R46" i="12"/>
  <c r="M21" i="12"/>
  <c r="N21" i="12"/>
  <c r="T51" i="12"/>
  <c r="S51" i="12"/>
  <c r="N35" i="12"/>
  <c r="M35" i="12"/>
  <c r="Q62" i="12"/>
  <c r="R62" i="12"/>
  <c r="Q59" i="12"/>
  <c r="R59" i="12"/>
  <c r="Q61" i="12"/>
  <c r="R61" i="12"/>
  <c r="R37" i="12"/>
  <c r="Q37" i="12"/>
  <c r="Q45" i="12"/>
  <c r="R45" i="12"/>
  <c r="Q23" i="12"/>
  <c r="R23" i="12"/>
  <c r="S52" i="12"/>
  <c r="T52" i="12"/>
  <c r="Q25" i="12"/>
  <c r="R25" i="12"/>
  <c r="N22" i="12"/>
  <c r="M22" i="12"/>
  <c r="Q26" i="12"/>
  <c r="R26" i="12"/>
  <c r="R18" i="12"/>
  <c r="Q18" i="12"/>
  <c r="R38" i="12"/>
  <c r="Q38" i="12"/>
  <c r="O28" i="12"/>
  <c r="P28" i="12"/>
  <c r="Q24" i="12"/>
  <c r="R24" i="12"/>
  <c r="O19" i="12"/>
  <c r="P19" i="12"/>
  <c r="R55" i="12"/>
  <c r="Q55" i="12"/>
  <c r="T54" i="12"/>
  <c r="S54" i="12"/>
  <c r="M30" i="12"/>
  <c r="N30" i="12"/>
  <c r="T50" i="12"/>
  <c r="S50" i="12"/>
  <c r="T53" i="12"/>
  <c r="S53" i="12"/>
  <c r="O20" i="12"/>
  <c r="P20" i="12"/>
  <c r="T66" i="12"/>
  <c r="S66" i="12"/>
  <c r="X53" i="8"/>
  <c r="Z53" i="8" s="1"/>
  <c r="AB53" i="8" s="1"/>
  <c r="AD53" i="8" s="1"/>
  <c r="AF53" i="8" s="1"/>
  <c r="AH53" i="8" s="1"/>
  <c r="AJ53" i="8" s="1"/>
  <c r="W53" i="8"/>
  <c r="G53" i="8" s="1"/>
  <c r="W62" i="8"/>
  <c r="X62" i="8"/>
  <c r="Z52" i="8"/>
  <c r="AB52" i="8" s="1"/>
  <c r="AD52" i="8" s="1"/>
  <c r="AF52" i="8" s="1"/>
  <c r="AH52" i="8" s="1"/>
  <c r="AJ52" i="8" s="1"/>
  <c r="Y52" i="8"/>
  <c r="G52" i="8" s="1"/>
  <c r="Z40" i="8"/>
  <c r="Y40" i="8"/>
  <c r="X49" i="8"/>
  <c r="W49" i="8"/>
  <c r="Y39" i="8"/>
  <c r="Z39" i="8"/>
  <c r="Y68" i="8"/>
  <c r="Z68" i="8"/>
  <c r="W38" i="8"/>
  <c r="X38" i="8"/>
  <c r="Z51" i="8"/>
  <c r="AB51" i="8" s="1"/>
  <c r="AD51" i="8" s="1"/>
  <c r="AF51" i="8" s="1"/>
  <c r="AH51" i="8" s="1"/>
  <c r="AJ51" i="8" s="1"/>
  <c r="Y51" i="8"/>
  <c r="G51" i="8" s="1"/>
  <c r="X37" i="8"/>
  <c r="W37" i="8"/>
  <c r="Y36" i="8"/>
  <c r="Z36" i="8"/>
  <c r="W50" i="8"/>
  <c r="X50" i="8"/>
  <c r="Y63" i="8"/>
  <c r="Z63" i="8"/>
  <c r="Y35" i="8"/>
  <c r="Z35" i="8"/>
  <c r="Y54" i="8"/>
  <c r="G54" i="8" s="1"/>
  <c r="Z54" i="8"/>
  <c r="AB54" i="8" s="1"/>
  <c r="AD54" i="8" s="1"/>
  <c r="AF54" i="8" s="1"/>
  <c r="AH54" i="8" s="1"/>
  <c r="AJ54" i="8" s="1"/>
  <c r="Z67" i="8"/>
  <c r="Y67" i="8"/>
  <c r="Y34" i="8"/>
  <c r="Z34" i="8"/>
  <c r="Y65" i="8"/>
  <c r="Z65" i="8"/>
  <c r="Y64" i="8"/>
  <c r="Z64" i="8"/>
  <c r="Y66" i="8"/>
  <c r="Z66" i="8"/>
  <c r="AB43" i="8" l="1"/>
  <c r="AD43" i="8" s="1"/>
  <c r="AF43" i="8" s="1"/>
  <c r="AH43" i="8" s="1"/>
  <c r="AJ43" i="8" s="1"/>
  <c r="AA43" i="8"/>
  <c r="G43" i="8" s="1"/>
  <c r="V92" i="8"/>
  <c r="U92" i="8"/>
  <c r="Z97" i="21"/>
  <c r="Y97" i="21"/>
  <c r="AI51" i="17"/>
  <c r="M51" i="17" s="1"/>
  <c r="AJ51" i="17"/>
  <c r="AL51" i="17" s="1"/>
  <c r="AN51" i="17" s="1"/>
  <c r="AJ52" i="17"/>
  <c r="AL52" i="17" s="1"/>
  <c r="AN52" i="17" s="1"/>
  <c r="AI52" i="17"/>
  <c r="M52" i="17" s="1"/>
  <c r="AB58" i="8"/>
  <c r="AD58" i="8" s="1"/>
  <c r="AF58" i="8" s="1"/>
  <c r="AH58" i="8" s="1"/>
  <c r="AJ58" i="8" s="1"/>
  <c r="AA58" i="8"/>
  <c r="G58" i="8" s="1"/>
  <c r="N178" i="16"/>
  <c r="M178" i="16"/>
  <c r="Q176" i="16"/>
  <c r="I176" i="16" s="1"/>
  <c r="R176" i="16"/>
  <c r="T176" i="16" s="1"/>
  <c r="V176" i="16" s="1"/>
  <c r="X176" i="16" s="1"/>
  <c r="Z176" i="16" s="1"/>
  <c r="AB176" i="16" s="1"/>
  <c r="AD176" i="16" s="1"/>
  <c r="AF176" i="16" s="1"/>
  <c r="AH176" i="16" s="1"/>
  <c r="AJ176" i="16" s="1"/>
  <c r="H180" i="16"/>
  <c r="K179" i="16"/>
  <c r="O177" i="16"/>
  <c r="P177" i="16"/>
  <c r="AB90" i="8"/>
  <c r="AA90" i="8"/>
  <c r="T86" i="16"/>
  <c r="S86" i="16"/>
  <c r="M97" i="16"/>
  <c r="N97" i="16"/>
  <c r="X82" i="16"/>
  <c r="W82" i="16"/>
  <c r="AF68" i="16"/>
  <c r="AH68" i="16" s="1"/>
  <c r="AJ68" i="16" s="1"/>
  <c r="AE68" i="16"/>
  <c r="I68" i="16" s="1"/>
  <c r="P92" i="16"/>
  <c r="O92" i="16"/>
  <c r="M93" i="16"/>
  <c r="N93" i="16"/>
  <c r="AB72" i="16"/>
  <c r="AA72" i="16"/>
  <c r="V81" i="16"/>
  <c r="U81" i="16"/>
  <c r="K100" i="16"/>
  <c r="R91" i="16"/>
  <c r="Q91" i="16"/>
  <c r="AF66" i="16"/>
  <c r="AH66" i="16" s="1"/>
  <c r="AJ66" i="16" s="1"/>
  <c r="AE66" i="16"/>
  <c r="I66" i="16" s="1"/>
  <c r="V85" i="16"/>
  <c r="U85" i="16"/>
  <c r="U83" i="16"/>
  <c r="V83" i="16"/>
  <c r="AC73" i="16"/>
  <c r="AD73" i="16"/>
  <c r="P90" i="16"/>
  <c r="O90" i="16"/>
  <c r="K96" i="16"/>
  <c r="Y79" i="16"/>
  <c r="Z79" i="16"/>
  <c r="S84" i="16"/>
  <c r="T84" i="16"/>
  <c r="Z77" i="16"/>
  <c r="Y77" i="16"/>
  <c r="R89" i="16"/>
  <c r="Q89" i="16"/>
  <c r="M95" i="16"/>
  <c r="N95" i="16"/>
  <c r="AB76" i="16"/>
  <c r="AA76" i="16"/>
  <c r="AD71" i="16"/>
  <c r="AC71" i="16"/>
  <c r="R87" i="16"/>
  <c r="Q87" i="16"/>
  <c r="AC69" i="16"/>
  <c r="AD69" i="16"/>
  <c r="X80" i="16"/>
  <c r="W80" i="16"/>
  <c r="T88" i="16"/>
  <c r="S88" i="16"/>
  <c r="K98" i="16"/>
  <c r="AF70" i="16"/>
  <c r="AH70" i="16" s="1"/>
  <c r="AJ70" i="16" s="1"/>
  <c r="AE70" i="16"/>
  <c r="I70" i="16" s="1"/>
  <c r="Z75" i="16"/>
  <c r="Y75" i="16"/>
  <c r="AB74" i="16"/>
  <c r="AA74" i="16"/>
  <c r="O94" i="16"/>
  <c r="P94" i="16"/>
  <c r="X78" i="16"/>
  <c r="W78" i="16"/>
  <c r="R20" i="12"/>
  <c r="Q20" i="12"/>
  <c r="O30" i="12"/>
  <c r="P30" i="12"/>
  <c r="R19" i="12"/>
  <c r="Q19" i="12"/>
  <c r="S24" i="12"/>
  <c r="T24" i="12"/>
  <c r="Q28" i="12"/>
  <c r="R28" i="12"/>
  <c r="T26" i="12"/>
  <c r="S26" i="12"/>
  <c r="T25" i="12"/>
  <c r="S25" i="12"/>
  <c r="V52" i="12"/>
  <c r="U52" i="12"/>
  <c r="T23" i="12"/>
  <c r="S23" i="12"/>
  <c r="S37" i="12"/>
  <c r="T37" i="12"/>
  <c r="P35" i="12"/>
  <c r="O35" i="12"/>
  <c r="V51" i="12"/>
  <c r="U51" i="12"/>
  <c r="R40" i="12"/>
  <c r="Q40" i="12"/>
  <c r="T56" i="12"/>
  <c r="S56" i="12"/>
  <c r="T64" i="12"/>
  <c r="S64" i="12"/>
  <c r="T42" i="12"/>
  <c r="S42" i="12"/>
  <c r="T44" i="12"/>
  <c r="S44" i="12"/>
  <c r="T48" i="12"/>
  <c r="S48" i="12"/>
  <c r="T17" i="12"/>
  <c r="S17" i="12"/>
  <c r="S63" i="12"/>
  <c r="T63" i="12"/>
  <c r="S41" i="12"/>
  <c r="T41" i="12"/>
  <c r="S43" i="12"/>
  <c r="T43" i="12"/>
  <c r="U66" i="12"/>
  <c r="V66" i="12"/>
  <c r="V53" i="12"/>
  <c r="U53" i="12"/>
  <c r="U50" i="12"/>
  <c r="V50" i="12"/>
  <c r="U54" i="12"/>
  <c r="V54" i="12"/>
  <c r="S55" i="12"/>
  <c r="T55" i="12"/>
  <c r="T38" i="12"/>
  <c r="S38" i="12"/>
  <c r="S18" i="12"/>
  <c r="T18" i="12"/>
  <c r="O22" i="12"/>
  <c r="P22" i="12"/>
  <c r="T45" i="12"/>
  <c r="S45" i="12"/>
  <c r="T61" i="12"/>
  <c r="S61" i="12"/>
  <c r="T59" i="12"/>
  <c r="S59" i="12"/>
  <c r="S62" i="12"/>
  <c r="T62" i="12"/>
  <c r="O21" i="12"/>
  <c r="P21" i="12"/>
  <c r="T46" i="12"/>
  <c r="S46" i="12"/>
  <c r="S60" i="12"/>
  <c r="T60" i="12"/>
  <c r="T47" i="12"/>
  <c r="S47" i="12"/>
  <c r="Y109" i="9"/>
  <c r="Z109" i="9"/>
  <c r="U49" i="12"/>
  <c r="V49" i="12"/>
  <c r="Q39" i="12"/>
  <c r="R39" i="12"/>
  <c r="O29" i="12"/>
  <c r="P29" i="12"/>
  <c r="O36" i="12"/>
  <c r="P36" i="12"/>
  <c r="Q34" i="12"/>
  <c r="R34" i="12"/>
  <c r="S58" i="12"/>
  <c r="T58" i="12"/>
  <c r="S31" i="12"/>
  <c r="T31" i="12"/>
  <c r="S32" i="12"/>
  <c r="T32" i="12"/>
  <c r="S57" i="12"/>
  <c r="T57" i="12"/>
  <c r="Q27" i="12"/>
  <c r="R27" i="12"/>
  <c r="Q33" i="12"/>
  <c r="R33" i="12"/>
  <c r="Y62" i="8"/>
  <c r="G62" i="8" s="1"/>
  <c r="Z62" i="8"/>
  <c r="AB62" i="8" s="1"/>
  <c r="AD62" i="8" s="1"/>
  <c r="AF62" i="8" s="1"/>
  <c r="AH62" i="8" s="1"/>
  <c r="AJ62" i="8" s="1"/>
  <c r="AA66" i="8"/>
  <c r="G66" i="8" s="1"/>
  <c r="AB66" i="8"/>
  <c r="AD66" i="8" s="1"/>
  <c r="AF66" i="8" s="1"/>
  <c r="AH66" i="8" s="1"/>
  <c r="AJ66" i="8" s="1"/>
  <c r="AA64" i="8"/>
  <c r="G64" i="8" s="1"/>
  <c r="AB64" i="8"/>
  <c r="AD64" i="8" s="1"/>
  <c r="AF64" i="8" s="1"/>
  <c r="AH64" i="8" s="1"/>
  <c r="AJ64" i="8" s="1"/>
  <c r="AA65" i="8"/>
  <c r="G65" i="8" s="1"/>
  <c r="AB65" i="8"/>
  <c r="AD65" i="8" s="1"/>
  <c r="AF65" i="8" s="1"/>
  <c r="AH65" i="8" s="1"/>
  <c r="AJ65" i="8" s="1"/>
  <c r="AA34" i="8"/>
  <c r="AB34" i="8"/>
  <c r="AA35" i="8"/>
  <c r="AB35" i="8"/>
  <c r="AA63" i="8"/>
  <c r="G63" i="8" s="1"/>
  <c r="AB63" i="8"/>
  <c r="AD63" i="8" s="1"/>
  <c r="AF63" i="8" s="1"/>
  <c r="AH63" i="8" s="1"/>
  <c r="AJ63" i="8" s="1"/>
  <c r="Z50" i="8"/>
  <c r="AB50" i="8" s="1"/>
  <c r="AD50" i="8" s="1"/>
  <c r="AF50" i="8" s="1"/>
  <c r="AH50" i="8" s="1"/>
  <c r="AJ50" i="8" s="1"/>
  <c r="Y50" i="8"/>
  <c r="G50" i="8" s="1"/>
  <c r="AA36" i="8"/>
  <c r="G36" i="8" s="1"/>
  <c r="AB36" i="8"/>
  <c r="AD36" i="8" s="1"/>
  <c r="AF36" i="8" s="1"/>
  <c r="AH36" i="8" s="1"/>
  <c r="AJ36" i="8" s="1"/>
  <c r="Y38" i="8"/>
  <c r="G38" i="8" s="1"/>
  <c r="Z38" i="8"/>
  <c r="AB38" i="8" s="1"/>
  <c r="AD38" i="8" s="1"/>
  <c r="AF38" i="8" s="1"/>
  <c r="AH38" i="8" s="1"/>
  <c r="AJ38" i="8" s="1"/>
  <c r="AA68" i="8"/>
  <c r="AB68" i="8"/>
  <c r="AA39" i="8"/>
  <c r="G39" i="8" s="1"/>
  <c r="AB39" i="8"/>
  <c r="AD39" i="8" s="1"/>
  <c r="AF39" i="8" s="1"/>
  <c r="AH39" i="8" s="1"/>
  <c r="AJ39" i="8" s="1"/>
  <c r="AA67" i="8"/>
  <c r="AB67" i="8"/>
  <c r="Y37" i="8"/>
  <c r="G37" i="8" s="1"/>
  <c r="Z37" i="8"/>
  <c r="AB37" i="8" s="1"/>
  <c r="AD37" i="8" s="1"/>
  <c r="AF37" i="8" s="1"/>
  <c r="AH37" i="8" s="1"/>
  <c r="AJ37" i="8" s="1"/>
  <c r="Y49" i="8"/>
  <c r="G49" i="8" s="1"/>
  <c r="Z49" i="8"/>
  <c r="AB49" i="8" s="1"/>
  <c r="AD49" i="8" s="1"/>
  <c r="AF49" i="8" s="1"/>
  <c r="AH49" i="8" s="1"/>
  <c r="AJ49" i="8" s="1"/>
  <c r="AA40" i="8"/>
  <c r="AB40" i="8"/>
  <c r="AA97" i="21" l="1"/>
  <c r="AB97" i="21"/>
  <c r="X92" i="8"/>
  <c r="W92" i="8"/>
  <c r="N179" i="16"/>
  <c r="M179" i="16"/>
  <c r="Q177" i="16"/>
  <c r="I177" i="16" s="1"/>
  <c r="R177" i="16"/>
  <c r="T177" i="16" s="1"/>
  <c r="V177" i="16" s="1"/>
  <c r="X177" i="16" s="1"/>
  <c r="Z177" i="16" s="1"/>
  <c r="AB177" i="16" s="1"/>
  <c r="AD177" i="16" s="1"/>
  <c r="AF177" i="16" s="1"/>
  <c r="AH177" i="16" s="1"/>
  <c r="AJ177" i="16" s="1"/>
  <c r="H181" i="16"/>
  <c r="K180" i="16"/>
  <c r="O178" i="16"/>
  <c r="P178" i="16"/>
  <c r="AD90" i="8"/>
  <c r="AC90" i="8"/>
  <c r="R94" i="16"/>
  <c r="Q94" i="16"/>
  <c r="AF69" i="16"/>
  <c r="AH69" i="16" s="1"/>
  <c r="AJ69" i="16" s="1"/>
  <c r="AE69" i="16"/>
  <c r="I69" i="16" s="1"/>
  <c r="P95" i="16"/>
  <c r="O95" i="16"/>
  <c r="W83" i="16"/>
  <c r="X83" i="16"/>
  <c r="P93" i="16"/>
  <c r="O93" i="16"/>
  <c r="Z78" i="16"/>
  <c r="Y78" i="16"/>
  <c r="AD74" i="16"/>
  <c r="AC74" i="16"/>
  <c r="U88" i="16"/>
  <c r="V88" i="16"/>
  <c r="AF71" i="16"/>
  <c r="AH71" i="16" s="1"/>
  <c r="AJ71" i="16" s="1"/>
  <c r="AE71" i="16"/>
  <c r="I71" i="16" s="1"/>
  <c r="AA79" i="16"/>
  <c r="AB79" i="16"/>
  <c r="N96" i="16"/>
  <c r="M96" i="16"/>
  <c r="R90" i="16"/>
  <c r="Q90" i="16"/>
  <c r="M100" i="16"/>
  <c r="N100" i="16"/>
  <c r="X81" i="16"/>
  <c r="W81" i="16"/>
  <c r="K101" i="16"/>
  <c r="AB77" i="16"/>
  <c r="AA77" i="16"/>
  <c r="K99" i="16"/>
  <c r="AE73" i="16"/>
  <c r="I73" i="16" s="1"/>
  <c r="AF73" i="16"/>
  <c r="AH73" i="16" s="1"/>
  <c r="AJ73" i="16" s="1"/>
  <c r="K103" i="16"/>
  <c r="Y82" i="16"/>
  <c r="Z82" i="16"/>
  <c r="U86" i="16"/>
  <c r="V86" i="16"/>
  <c r="AA75" i="16"/>
  <c r="AB75" i="16"/>
  <c r="M98" i="16"/>
  <c r="N98" i="16"/>
  <c r="Y80" i="16"/>
  <c r="Z80" i="16"/>
  <c r="S87" i="16"/>
  <c r="T87" i="16"/>
  <c r="AD76" i="16"/>
  <c r="AC76" i="16"/>
  <c r="T89" i="16"/>
  <c r="S89" i="16"/>
  <c r="U84" i="16"/>
  <c r="V84" i="16"/>
  <c r="W85" i="16"/>
  <c r="X85" i="16"/>
  <c r="S91" i="16"/>
  <c r="T91" i="16"/>
  <c r="AC72" i="16"/>
  <c r="AD72" i="16"/>
  <c r="R92" i="16"/>
  <c r="Q92" i="16"/>
  <c r="P97" i="16"/>
  <c r="O97" i="16"/>
  <c r="V47" i="12"/>
  <c r="U47" i="12"/>
  <c r="V46" i="12"/>
  <c r="U46" i="12"/>
  <c r="V59" i="12"/>
  <c r="U59" i="12"/>
  <c r="V61" i="12"/>
  <c r="U61" i="12"/>
  <c r="V45" i="12"/>
  <c r="U45" i="12"/>
  <c r="V38" i="12"/>
  <c r="U38" i="12"/>
  <c r="X53" i="12"/>
  <c r="W53" i="12"/>
  <c r="V17" i="12"/>
  <c r="U17" i="12"/>
  <c r="U48" i="12"/>
  <c r="V48" i="12"/>
  <c r="U44" i="12"/>
  <c r="V44" i="12"/>
  <c r="U42" i="12"/>
  <c r="V42" i="12"/>
  <c r="U64" i="12"/>
  <c r="V64" i="12"/>
  <c r="U56" i="12"/>
  <c r="V56" i="12"/>
  <c r="T40" i="12"/>
  <c r="S40" i="12"/>
  <c r="X51" i="12"/>
  <c r="W51" i="12"/>
  <c r="R35" i="12"/>
  <c r="Q35" i="12"/>
  <c r="V23" i="12"/>
  <c r="U23" i="12"/>
  <c r="X52" i="12"/>
  <c r="W52" i="12"/>
  <c r="V25" i="12"/>
  <c r="U25" i="12"/>
  <c r="V26" i="12"/>
  <c r="U26" i="12"/>
  <c r="S19" i="12"/>
  <c r="T19" i="12"/>
  <c r="S20" i="12"/>
  <c r="T20" i="12"/>
  <c r="S33" i="12"/>
  <c r="T33" i="12"/>
  <c r="T27" i="12"/>
  <c r="S27" i="12"/>
  <c r="U57" i="12"/>
  <c r="V57" i="12"/>
  <c r="U32" i="12"/>
  <c r="V32" i="12"/>
  <c r="U31" i="12"/>
  <c r="V31" i="12"/>
  <c r="U58" i="12"/>
  <c r="V58" i="12"/>
  <c r="S34" i="12"/>
  <c r="T34" i="12"/>
  <c r="Q36" i="12"/>
  <c r="R36" i="12"/>
  <c r="R29" i="12"/>
  <c r="Q29" i="12"/>
  <c r="S39" i="12"/>
  <c r="T39" i="12"/>
  <c r="W49" i="12"/>
  <c r="X49" i="12"/>
  <c r="AA109" i="9"/>
  <c r="AB109" i="9"/>
  <c r="V60" i="12"/>
  <c r="U60" i="12"/>
  <c r="R21" i="12"/>
  <c r="Q21" i="12"/>
  <c r="V62" i="12"/>
  <c r="U62" i="12"/>
  <c r="R22" i="12"/>
  <c r="Q22" i="12"/>
  <c r="U18" i="12"/>
  <c r="V18" i="12"/>
  <c r="U55" i="12"/>
  <c r="V55" i="12"/>
  <c r="W54" i="12"/>
  <c r="X54" i="12"/>
  <c r="W50" i="12"/>
  <c r="X50" i="12"/>
  <c r="W66" i="12"/>
  <c r="X66" i="12"/>
  <c r="U43" i="12"/>
  <c r="V43" i="12"/>
  <c r="U41" i="12"/>
  <c r="V41" i="12"/>
  <c r="U63" i="12"/>
  <c r="V63" i="12"/>
  <c r="V37" i="12"/>
  <c r="U37" i="12"/>
  <c r="T28" i="12"/>
  <c r="S28" i="12"/>
  <c r="V24" i="12"/>
  <c r="U24" i="12"/>
  <c r="R30" i="12"/>
  <c r="Q30" i="12"/>
  <c r="AD40" i="8"/>
  <c r="AC40" i="8"/>
  <c r="AD67" i="8"/>
  <c r="AF67" i="8" s="1"/>
  <c r="AH67" i="8" s="1"/>
  <c r="AJ67" i="8" s="1"/>
  <c r="AC67" i="8"/>
  <c r="G67" i="8" s="1"/>
  <c r="AC68" i="8"/>
  <c r="AD68" i="8"/>
  <c r="AD35" i="8"/>
  <c r="AC35" i="8"/>
  <c r="AC34" i="8"/>
  <c r="AD34" i="8"/>
  <c r="Z92" i="8" l="1"/>
  <c r="Y92" i="8"/>
  <c r="AC97" i="21"/>
  <c r="AD97" i="21"/>
  <c r="M180" i="16"/>
  <c r="N180" i="16"/>
  <c r="R178" i="16"/>
  <c r="T178" i="16" s="1"/>
  <c r="V178" i="16" s="1"/>
  <c r="X178" i="16" s="1"/>
  <c r="Z178" i="16" s="1"/>
  <c r="AB178" i="16" s="1"/>
  <c r="AD178" i="16" s="1"/>
  <c r="AF178" i="16" s="1"/>
  <c r="AH178" i="16" s="1"/>
  <c r="AJ178" i="16" s="1"/>
  <c r="Q178" i="16"/>
  <c r="I178" i="16" s="1"/>
  <c r="H182" i="16"/>
  <c r="K181" i="16"/>
  <c r="O179" i="16"/>
  <c r="P179" i="16"/>
  <c r="AF90" i="8"/>
  <c r="AE90" i="8"/>
  <c r="T92" i="16"/>
  <c r="S92" i="16"/>
  <c r="R97" i="16"/>
  <c r="Q97" i="16"/>
  <c r="V89" i="16"/>
  <c r="U89" i="16"/>
  <c r="M103" i="16"/>
  <c r="N103" i="16"/>
  <c r="M99" i="16"/>
  <c r="N99" i="16"/>
  <c r="AD79" i="16"/>
  <c r="AC79" i="16"/>
  <c r="AF74" i="16"/>
  <c r="AH74" i="16" s="1"/>
  <c r="AJ74" i="16" s="1"/>
  <c r="AE74" i="16"/>
  <c r="I74" i="16" s="1"/>
  <c r="U91" i="16"/>
  <c r="V91" i="16"/>
  <c r="W84" i="16"/>
  <c r="X84" i="16"/>
  <c r="AA80" i="16"/>
  <c r="AB80" i="16"/>
  <c r="AD75" i="16"/>
  <c r="AC75" i="16"/>
  <c r="AA82" i="16"/>
  <c r="AB82" i="16"/>
  <c r="K106" i="16"/>
  <c r="K102" i="16"/>
  <c r="M101" i="16"/>
  <c r="N101" i="16"/>
  <c r="Z81" i="16"/>
  <c r="Y81" i="16"/>
  <c r="T90" i="16"/>
  <c r="S90" i="16"/>
  <c r="X88" i="16"/>
  <c r="W88" i="16"/>
  <c r="R93" i="16"/>
  <c r="Q93" i="16"/>
  <c r="AF76" i="16"/>
  <c r="AH76" i="16" s="1"/>
  <c r="AJ76" i="16" s="1"/>
  <c r="AE76" i="16"/>
  <c r="I76" i="16" s="1"/>
  <c r="K104" i="16"/>
  <c r="O100" i="16"/>
  <c r="P100" i="16"/>
  <c r="AB78" i="16"/>
  <c r="AA78" i="16"/>
  <c r="AF72" i="16"/>
  <c r="AH72" i="16" s="1"/>
  <c r="AJ72" i="16" s="1"/>
  <c r="AE72" i="16"/>
  <c r="I72" i="16" s="1"/>
  <c r="Z85" i="16"/>
  <c r="Y85" i="16"/>
  <c r="U87" i="16"/>
  <c r="V87" i="16"/>
  <c r="O98" i="16"/>
  <c r="P98" i="16"/>
  <c r="W86" i="16"/>
  <c r="X86" i="16"/>
  <c r="AD77" i="16"/>
  <c r="AC77" i="16"/>
  <c r="O96" i="16"/>
  <c r="P96" i="16"/>
  <c r="Y83" i="16"/>
  <c r="Z83" i="16"/>
  <c r="R95" i="16"/>
  <c r="Q95" i="16"/>
  <c r="S94" i="16"/>
  <c r="T94" i="16"/>
  <c r="T30" i="12"/>
  <c r="S30" i="12"/>
  <c r="V28" i="12"/>
  <c r="U28" i="12"/>
  <c r="W63" i="12"/>
  <c r="X63" i="12"/>
  <c r="W41" i="12"/>
  <c r="X41" i="12"/>
  <c r="W43" i="12"/>
  <c r="X43" i="12"/>
  <c r="Y66" i="12"/>
  <c r="G66" i="12" s="1"/>
  <c r="Z66" i="12"/>
  <c r="AB66" i="12" s="1"/>
  <c r="AD66" i="12" s="1"/>
  <c r="AF66" i="12" s="1"/>
  <c r="AH66" i="12" s="1"/>
  <c r="Y50" i="12"/>
  <c r="Z50" i="12"/>
  <c r="Y54" i="12"/>
  <c r="Z54" i="12"/>
  <c r="W55" i="12"/>
  <c r="X55" i="12"/>
  <c r="W18" i="12"/>
  <c r="X18" i="12"/>
  <c r="AC109" i="9"/>
  <c r="AD109" i="9"/>
  <c r="Y49" i="12"/>
  <c r="Z49" i="12"/>
  <c r="U39" i="12"/>
  <c r="V39" i="12"/>
  <c r="S36" i="12"/>
  <c r="T36" i="12"/>
  <c r="U34" i="12"/>
  <c r="V34" i="12"/>
  <c r="W58" i="12"/>
  <c r="X58" i="12"/>
  <c r="W31" i="12"/>
  <c r="X31" i="12"/>
  <c r="X32" i="12"/>
  <c r="W32" i="12"/>
  <c r="W57" i="12"/>
  <c r="X57" i="12"/>
  <c r="U33" i="12"/>
  <c r="V33" i="12"/>
  <c r="X26" i="12"/>
  <c r="W26" i="12"/>
  <c r="X25" i="12"/>
  <c r="W25" i="12"/>
  <c r="Z52" i="12"/>
  <c r="Y52" i="12"/>
  <c r="X23" i="12"/>
  <c r="W23" i="12"/>
  <c r="T35" i="12"/>
  <c r="S35" i="12"/>
  <c r="Z51" i="12"/>
  <c r="Y51" i="12"/>
  <c r="V40" i="12"/>
  <c r="U40" i="12"/>
  <c r="X17" i="12"/>
  <c r="W17" i="12"/>
  <c r="Z53" i="12"/>
  <c r="Y53" i="12"/>
  <c r="W38" i="12"/>
  <c r="X38" i="12"/>
  <c r="X45" i="12"/>
  <c r="W45" i="12"/>
  <c r="X61" i="12"/>
  <c r="W61" i="12"/>
  <c r="X59" i="12"/>
  <c r="W59" i="12"/>
  <c r="X46" i="12"/>
  <c r="W46" i="12"/>
  <c r="W47" i="12"/>
  <c r="X47" i="12"/>
  <c r="X24" i="12"/>
  <c r="W24" i="12"/>
  <c r="X37" i="12"/>
  <c r="W37" i="12"/>
  <c r="S22" i="12"/>
  <c r="T22" i="12"/>
  <c r="X62" i="12"/>
  <c r="W62" i="12"/>
  <c r="T21" i="12"/>
  <c r="S21" i="12"/>
  <c r="X60" i="12"/>
  <c r="W60" i="12"/>
  <c r="T29" i="12"/>
  <c r="S29" i="12"/>
  <c r="V27" i="12"/>
  <c r="U27" i="12"/>
  <c r="U20" i="12"/>
  <c r="V20" i="12"/>
  <c r="U19" i="12"/>
  <c r="V19" i="12"/>
  <c r="W56" i="12"/>
  <c r="X56" i="12"/>
  <c r="W64" i="12"/>
  <c r="X64" i="12"/>
  <c r="W42" i="12"/>
  <c r="X42" i="12"/>
  <c r="W44" i="12"/>
  <c r="X44" i="12"/>
  <c r="W48" i="12"/>
  <c r="X48" i="12"/>
  <c r="AF35" i="8"/>
  <c r="AE35" i="8"/>
  <c r="AE40" i="8"/>
  <c r="G40" i="8" s="1"/>
  <c r="AF40" i="8"/>
  <c r="AH40" i="8" s="1"/>
  <c r="AJ40" i="8" s="1"/>
  <c r="AE34" i="8"/>
  <c r="AF34" i="8"/>
  <c r="AE68" i="8"/>
  <c r="G68" i="8" s="1"/>
  <c r="AF68" i="8"/>
  <c r="AH68" i="8" s="1"/>
  <c r="AJ68" i="8" s="1"/>
  <c r="AB92" i="8" l="1"/>
  <c r="AD92" i="8" s="1"/>
  <c r="AF92" i="8" s="1"/>
  <c r="AH92" i="8" s="1"/>
  <c r="AJ92" i="8" s="1"/>
  <c r="AA92" i="8"/>
  <c r="G92" i="8" s="1"/>
  <c r="AE97" i="21"/>
  <c r="AF97" i="21"/>
  <c r="M181" i="16"/>
  <c r="N181" i="16"/>
  <c r="O180" i="16"/>
  <c r="P180" i="16"/>
  <c r="Q179" i="16"/>
  <c r="I179" i="16" s="1"/>
  <c r="R179" i="16"/>
  <c r="T179" i="16" s="1"/>
  <c r="V179" i="16" s="1"/>
  <c r="X179" i="16" s="1"/>
  <c r="Z179" i="16" s="1"/>
  <c r="AB179" i="16" s="1"/>
  <c r="AD179" i="16" s="1"/>
  <c r="AF179" i="16" s="1"/>
  <c r="AH179" i="16" s="1"/>
  <c r="AJ179" i="16" s="1"/>
  <c r="H183" i="16"/>
  <c r="K182" i="16"/>
  <c r="AH90" i="8"/>
  <c r="AG90" i="8"/>
  <c r="AA83" i="16"/>
  <c r="AB83" i="16"/>
  <c r="R96" i="16"/>
  <c r="Q96" i="16"/>
  <c r="AF77" i="16"/>
  <c r="AH77" i="16" s="1"/>
  <c r="AJ77" i="16" s="1"/>
  <c r="AE77" i="16"/>
  <c r="I77" i="16" s="1"/>
  <c r="AA85" i="16"/>
  <c r="AB85" i="16"/>
  <c r="M102" i="16"/>
  <c r="N102" i="16"/>
  <c r="AC82" i="16"/>
  <c r="AD82" i="16"/>
  <c r="AD80" i="16"/>
  <c r="AC80" i="16"/>
  <c r="X91" i="16"/>
  <c r="W91" i="16"/>
  <c r="O103" i="16"/>
  <c r="P103" i="16"/>
  <c r="S95" i="16"/>
  <c r="T95" i="16"/>
  <c r="Z86" i="16"/>
  <c r="Y86" i="16"/>
  <c r="W87" i="16"/>
  <c r="X87" i="16"/>
  <c r="AD78" i="16"/>
  <c r="AC78" i="16"/>
  <c r="M104" i="16"/>
  <c r="N104" i="16"/>
  <c r="Y88" i="16"/>
  <c r="Z88" i="16"/>
  <c r="AA81" i="16"/>
  <c r="AB81" i="16"/>
  <c r="K105" i="16"/>
  <c r="AE79" i="16"/>
  <c r="I79" i="16" s="1"/>
  <c r="AF79" i="16"/>
  <c r="AH79" i="16" s="1"/>
  <c r="AJ79" i="16" s="1"/>
  <c r="X89" i="16"/>
  <c r="W89" i="16"/>
  <c r="V92" i="16"/>
  <c r="U92" i="16"/>
  <c r="U94" i="16"/>
  <c r="V94" i="16"/>
  <c r="K107" i="16"/>
  <c r="P101" i="16"/>
  <c r="O101" i="16"/>
  <c r="M106" i="16"/>
  <c r="N106" i="16"/>
  <c r="Y84" i="16"/>
  <c r="Z84" i="16"/>
  <c r="P99" i="16"/>
  <c r="O99" i="16"/>
  <c r="R98" i="16"/>
  <c r="Q98" i="16"/>
  <c r="R100" i="16"/>
  <c r="Q100" i="16"/>
  <c r="T93" i="16"/>
  <c r="S93" i="16"/>
  <c r="V90" i="16"/>
  <c r="U90" i="16"/>
  <c r="K109" i="16"/>
  <c r="AF75" i="16"/>
  <c r="AH75" i="16" s="1"/>
  <c r="AJ75" i="16" s="1"/>
  <c r="AE75" i="16"/>
  <c r="I75" i="16" s="1"/>
  <c r="T97" i="16"/>
  <c r="S97" i="16"/>
  <c r="X27" i="12"/>
  <c r="W27" i="12"/>
  <c r="V29" i="12"/>
  <c r="U29" i="12"/>
  <c r="Z60" i="12"/>
  <c r="Y60" i="12"/>
  <c r="U21" i="12"/>
  <c r="V21" i="12"/>
  <c r="Z62" i="12"/>
  <c r="Y62" i="12"/>
  <c r="Z37" i="12"/>
  <c r="Y37" i="12"/>
  <c r="Z24" i="12"/>
  <c r="Y24" i="12"/>
  <c r="Z47" i="12"/>
  <c r="Y47" i="12"/>
  <c r="Y38" i="12"/>
  <c r="Z38" i="12"/>
  <c r="X33" i="12"/>
  <c r="W33" i="12"/>
  <c r="Z57" i="12"/>
  <c r="Y57" i="12"/>
  <c r="Z31" i="12"/>
  <c r="Y31" i="12"/>
  <c r="Z58" i="12"/>
  <c r="Y58" i="12"/>
  <c r="X34" i="12"/>
  <c r="W34" i="12"/>
  <c r="V36" i="12"/>
  <c r="U36" i="12"/>
  <c r="X39" i="12"/>
  <c r="W39" i="12"/>
  <c r="AB49" i="12"/>
  <c r="AA49" i="12"/>
  <c r="AE109" i="9"/>
  <c r="AF109" i="9"/>
  <c r="Y18" i="12"/>
  <c r="Z18" i="12"/>
  <c r="Y55" i="12"/>
  <c r="Z55" i="12"/>
  <c r="AA54" i="12"/>
  <c r="AB54" i="12"/>
  <c r="AA50" i="12"/>
  <c r="AB50" i="12"/>
  <c r="Y43" i="12"/>
  <c r="Z43" i="12"/>
  <c r="Y41" i="12"/>
  <c r="Z41" i="12"/>
  <c r="Y63" i="12"/>
  <c r="Z63" i="12"/>
  <c r="Y48" i="12"/>
  <c r="Z48" i="12"/>
  <c r="Y44" i="12"/>
  <c r="Z44" i="12"/>
  <c r="Y42" i="12"/>
  <c r="Z42" i="12"/>
  <c r="Y64" i="12"/>
  <c r="Z64" i="12"/>
  <c r="Y56" i="12"/>
  <c r="Z56" i="12"/>
  <c r="W19" i="12"/>
  <c r="X19" i="12"/>
  <c r="W20" i="12"/>
  <c r="X20" i="12"/>
  <c r="U22" i="12"/>
  <c r="V22" i="12"/>
  <c r="Z46" i="12"/>
  <c r="Y46" i="12"/>
  <c r="Z59" i="12"/>
  <c r="Y59" i="12"/>
  <c r="Z61" i="12"/>
  <c r="Y61" i="12"/>
  <c r="Z45" i="12"/>
  <c r="Y45" i="12"/>
  <c r="AB53" i="12"/>
  <c r="AA53" i="12"/>
  <c r="Z17" i="12"/>
  <c r="Y17" i="12"/>
  <c r="W40" i="12"/>
  <c r="X40" i="12"/>
  <c r="AB51" i="12"/>
  <c r="AA51" i="12"/>
  <c r="U35" i="12"/>
  <c r="V35" i="12"/>
  <c r="Z23" i="12"/>
  <c r="Y23" i="12"/>
  <c r="AB52" i="12"/>
  <c r="AA52" i="12"/>
  <c r="Z25" i="12"/>
  <c r="Y25" i="12"/>
  <c r="Z26" i="12"/>
  <c r="Y26" i="12"/>
  <c r="Z32" i="12"/>
  <c r="Y32" i="12"/>
  <c r="X28" i="12"/>
  <c r="W28" i="12"/>
  <c r="V30" i="12"/>
  <c r="U30" i="12"/>
  <c r="AG34" i="8"/>
  <c r="AH34" i="8"/>
  <c r="AG35" i="8"/>
  <c r="AH35" i="8"/>
  <c r="AH97" i="21" l="1"/>
  <c r="AG97" i="21"/>
  <c r="O181" i="16"/>
  <c r="P181" i="16"/>
  <c r="N182" i="16"/>
  <c r="M182" i="16"/>
  <c r="Q180" i="16"/>
  <c r="I180" i="16" s="1"/>
  <c r="R180" i="16"/>
  <c r="T180" i="16" s="1"/>
  <c r="V180" i="16" s="1"/>
  <c r="X180" i="16" s="1"/>
  <c r="Z180" i="16" s="1"/>
  <c r="AB180" i="16" s="1"/>
  <c r="AD180" i="16" s="1"/>
  <c r="AF180" i="16" s="1"/>
  <c r="AH180" i="16" s="1"/>
  <c r="AJ180" i="16" s="1"/>
  <c r="H184" i="16"/>
  <c r="K183" i="16"/>
  <c r="AJ90" i="8"/>
  <c r="AK90" i="8" s="1"/>
  <c r="AI90" i="8"/>
  <c r="AA84" i="16"/>
  <c r="AB84" i="16"/>
  <c r="W94" i="16"/>
  <c r="X94" i="16"/>
  <c r="AF82" i="16"/>
  <c r="AH82" i="16" s="1"/>
  <c r="AJ82" i="16" s="1"/>
  <c r="AE82" i="16"/>
  <c r="I82" i="16" s="1"/>
  <c r="AC85" i="16"/>
  <c r="AD85" i="16"/>
  <c r="V93" i="16"/>
  <c r="U93" i="16"/>
  <c r="T98" i="16"/>
  <c r="S98" i="16"/>
  <c r="Q101" i="16"/>
  <c r="R101" i="16"/>
  <c r="Z89" i="16"/>
  <c r="Y89" i="16"/>
  <c r="M105" i="16"/>
  <c r="N105" i="16"/>
  <c r="AA88" i="16"/>
  <c r="AB88" i="16"/>
  <c r="Y91" i="16"/>
  <c r="Z91" i="16"/>
  <c r="T96" i="16"/>
  <c r="S96" i="16"/>
  <c r="K112" i="16"/>
  <c r="P106" i="16"/>
  <c r="O106" i="16"/>
  <c r="M107" i="16"/>
  <c r="N107" i="16"/>
  <c r="K108" i="16"/>
  <c r="AF78" i="16"/>
  <c r="AH78" i="16" s="1"/>
  <c r="AJ78" i="16" s="1"/>
  <c r="AE78" i="16"/>
  <c r="I78" i="16" s="1"/>
  <c r="AA86" i="16"/>
  <c r="AB86" i="16"/>
  <c r="R103" i="16"/>
  <c r="Q103" i="16"/>
  <c r="O102" i="16"/>
  <c r="P102" i="16"/>
  <c r="V97" i="16"/>
  <c r="U97" i="16"/>
  <c r="N109" i="16"/>
  <c r="M109" i="16"/>
  <c r="X90" i="16"/>
  <c r="W90" i="16"/>
  <c r="S100" i="16"/>
  <c r="T100" i="16"/>
  <c r="Q99" i="16"/>
  <c r="R99" i="16"/>
  <c r="K110" i="16"/>
  <c r="X92" i="16"/>
  <c r="W92" i="16"/>
  <c r="AD81" i="16"/>
  <c r="AC81" i="16"/>
  <c r="P104" i="16"/>
  <c r="O104" i="16"/>
  <c r="Y87" i="16"/>
  <c r="Z87" i="16"/>
  <c r="U95" i="16"/>
  <c r="V95" i="16"/>
  <c r="AF80" i="16"/>
  <c r="AH80" i="16" s="1"/>
  <c r="AJ80" i="16" s="1"/>
  <c r="AE80" i="16"/>
  <c r="I80" i="16" s="1"/>
  <c r="AC83" i="16"/>
  <c r="AD83" i="16"/>
  <c r="X30" i="12"/>
  <c r="W30" i="12"/>
  <c r="Z28" i="12"/>
  <c r="Y28" i="12"/>
  <c r="AA32" i="12"/>
  <c r="AB32" i="12"/>
  <c r="AA26" i="12"/>
  <c r="AB26" i="12"/>
  <c r="AA25" i="12"/>
  <c r="AB25" i="12"/>
  <c r="AD52" i="12"/>
  <c r="AF52" i="12" s="1"/>
  <c r="AH52" i="12" s="1"/>
  <c r="AC52" i="12"/>
  <c r="G52" i="12" s="1"/>
  <c r="AA23" i="12"/>
  <c r="AB23" i="12"/>
  <c r="AC51" i="12"/>
  <c r="AD51" i="12"/>
  <c r="AF51" i="12" s="1"/>
  <c r="AH51" i="12" s="1"/>
  <c r="AB17" i="12"/>
  <c r="AA17" i="12"/>
  <c r="AD53" i="12"/>
  <c r="AF53" i="12" s="1"/>
  <c r="AH53" i="12" s="1"/>
  <c r="AC53" i="12"/>
  <c r="G53" i="12" s="1"/>
  <c r="AA45" i="12"/>
  <c r="AB45" i="12"/>
  <c r="AB61" i="12"/>
  <c r="AA61" i="12"/>
  <c r="AB59" i="12"/>
  <c r="AA59" i="12"/>
  <c r="AA46" i="12"/>
  <c r="AB46" i="12"/>
  <c r="AA63" i="12"/>
  <c r="AB63" i="12"/>
  <c r="AB41" i="12"/>
  <c r="AA41" i="12"/>
  <c r="AB43" i="12"/>
  <c r="AA43" i="12"/>
  <c r="AD50" i="12"/>
  <c r="AF50" i="12" s="1"/>
  <c r="AH50" i="12" s="1"/>
  <c r="AC50" i="12"/>
  <c r="G50" i="12" s="1"/>
  <c r="AC54" i="12"/>
  <c r="G54" i="12" s="1"/>
  <c r="AD54" i="12"/>
  <c r="AF54" i="12" s="1"/>
  <c r="AH54" i="12" s="1"/>
  <c r="AA55" i="12"/>
  <c r="AB55" i="12"/>
  <c r="AB18" i="12"/>
  <c r="AA18" i="12"/>
  <c r="AG109" i="9"/>
  <c r="AH109" i="9"/>
  <c r="AB38" i="12"/>
  <c r="AA38" i="12"/>
  <c r="X21" i="12"/>
  <c r="W21" i="12"/>
  <c r="X35" i="12"/>
  <c r="W35" i="12"/>
  <c r="Z40" i="12"/>
  <c r="Y40" i="12"/>
  <c r="W22" i="12"/>
  <c r="X22" i="12"/>
  <c r="Y20" i="12"/>
  <c r="Z20" i="12"/>
  <c r="Y19" i="12"/>
  <c r="Z19" i="12"/>
  <c r="AA56" i="12"/>
  <c r="AB56" i="12"/>
  <c r="AA64" i="12"/>
  <c r="AB64" i="12"/>
  <c r="AA42" i="12"/>
  <c r="AB42" i="12"/>
  <c r="AA44" i="12"/>
  <c r="AB44" i="12"/>
  <c r="AA48" i="12"/>
  <c r="AB48" i="12"/>
  <c r="AC49" i="12"/>
  <c r="G49" i="12" s="1"/>
  <c r="AD49" i="12"/>
  <c r="AF49" i="12" s="1"/>
  <c r="AH49" i="12" s="1"/>
  <c r="Y39" i="12"/>
  <c r="Z39" i="12"/>
  <c r="W36" i="12"/>
  <c r="X36" i="12"/>
  <c r="Y34" i="12"/>
  <c r="Z34" i="12"/>
  <c r="AB58" i="12"/>
  <c r="AA58" i="12"/>
  <c r="AA31" i="12"/>
  <c r="AB31" i="12"/>
  <c r="AB57" i="12"/>
  <c r="AA57" i="12"/>
  <c r="Y33" i="12"/>
  <c r="Z33" i="12"/>
  <c r="AA47" i="12"/>
  <c r="AB47" i="12"/>
  <c r="AB24" i="12"/>
  <c r="AA24" i="12"/>
  <c r="AB37" i="12"/>
  <c r="AA37" i="12"/>
  <c r="AB62" i="12"/>
  <c r="AA62" i="12"/>
  <c r="AB60" i="12"/>
  <c r="AA60" i="12"/>
  <c r="X29" i="12"/>
  <c r="W29" i="12"/>
  <c r="Z27" i="12"/>
  <c r="Y27" i="12"/>
  <c r="G51" i="12"/>
  <c r="AI35" i="8"/>
  <c r="AJ35" i="8"/>
  <c r="AK35" i="8" s="1"/>
  <c r="AI34" i="8"/>
  <c r="AJ34" i="8"/>
  <c r="AK34" i="8" s="1"/>
  <c r="AJ97" i="21" l="1"/>
  <c r="AK97" i="21" s="1"/>
  <c r="AI97" i="21"/>
  <c r="N183" i="16"/>
  <c r="M183" i="16"/>
  <c r="H185" i="16"/>
  <c r="K184" i="16"/>
  <c r="O182" i="16"/>
  <c r="P182" i="16"/>
  <c r="Q181" i="16"/>
  <c r="I181" i="16" s="1"/>
  <c r="R181" i="16"/>
  <c r="T181" i="16" s="1"/>
  <c r="V181" i="16" s="1"/>
  <c r="X181" i="16" s="1"/>
  <c r="Z181" i="16" s="1"/>
  <c r="AB181" i="16" s="1"/>
  <c r="AD181" i="16" s="1"/>
  <c r="AF181" i="16" s="1"/>
  <c r="AH181" i="16" s="1"/>
  <c r="AJ181" i="16" s="1"/>
  <c r="G90" i="8"/>
  <c r="N110" i="16"/>
  <c r="M110" i="16"/>
  <c r="O107" i="16"/>
  <c r="P107" i="16"/>
  <c r="V96" i="16"/>
  <c r="U96" i="16"/>
  <c r="W95" i="16"/>
  <c r="X95" i="16"/>
  <c r="P109" i="16"/>
  <c r="O109" i="16"/>
  <c r="AC86" i="16"/>
  <c r="AD86" i="16"/>
  <c r="M108" i="16"/>
  <c r="N108" i="16"/>
  <c r="K115" i="16"/>
  <c r="AB89" i="16"/>
  <c r="AA89" i="16"/>
  <c r="V98" i="16"/>
  <c r="U98" i="16"/>
  <c r="Q104" i="16"/>
  <c r="R104" i="16"/>
  <c r="Z92" i="16"/>
  <c r="Y92" i="16"/>
  <c r="S99" i="16"/>
  <c r="T99" i="16"/>
  <c r="K111" i="16"/>
  <c r="R106" i="16"/>
  <c r="Q106" i="16"/>
  <c r="AA91" i="16"/>
  <c r="AB91" i="16"/>
  <c r="P105" i="16"/>
  <c r="O105" i="16"/>
  <c r="S101" i="16"/>
  <c r="T101" i="16"/>
  <c r="AF85" i="16"/>
  <c r="AH85" i="16" s="1"/>
  <c r="AJ85" i="16" s="1"/>
  <c r="AE85" i="16"/>
  <c r="I85" i="16" s="1"/>
  <c r="AD84" i="16"/>
  <c r="AC84" i="16"/>
  <c r="AA87" i="16"/>
  <c r="AB87" i="16"/>
  <c r="Z90" i="16"/>
  <c r="Y90" i="16"/>
  <c r="X97" i="16"/>
  <c r="W97" i="16"/>
  <c r="X93" i="16"/>
  <c r="W93" i="16"/>
  <c r="AF83" i="16"/>
  <c r="AH83" i="16" s="1"/>
  <c r="AJ83" i="16" s="1"/>
  <c r="AE83" i="16"/>
  <c r="I83" i="16" s="1"/>
  <c r="AE81" i="16"/>
  <c r="I81" i="16" s="1"/>
  <c r="AF81" i="16"/>
  <c r="AH81" i="16" s="1"/>
  <c r="AJ81" i="16" s="1"/>
  <c r="K113" i="16"/>
  <c r="V100" i="16"/>
  <c r="U100" i="16"/>
  <c r="R102" i="16"/>
  <c r="Q102" i="16"/>
  <c r="S103" i="16"/>
  <c r="T103" i="16"/>
  <c r="N112" i="16"/>
  <c r="M112" i="16"/>
  <c r="AC88" i="16"/>
  <c r="AD88" i="16"/>
  <c r="Z94" i="16"/>
  <c r="Y94" i="16"/>
  <c r="AA27" i="12"/>
  <c r="AB27" i="12"/>
  <c r="Y29" i="12"/>
  <c r="Z29" i="12"/>
  <c r="AD60" i="12"/>
  <c r="AF60" i="12" s="1"/>
  <c r="AH60" i="12" s="1"/>
  <c r="AC60" i="12"/>
  <c r="G60" i="12" s="1"/>
  <c r="AD62" i="12"/>
  <c r="AF62" i="12" s="1"/>
  <c r="AH62" i="12" s="1"/>
  <c r="AC62" i="12"/>
  <c r="G62" i="12" s="1"/>
  <c r="AD37" i="12"/>
  <c r="AF37" i="12" s="1"/>
  <c r="AH37" i="12" s="1"/>
  <c r="AC37" i="12"/>
  <c r="G37" i="12" s="1"/>
  <c r="AC24" i="12"/>
  <c r="G24" i="12" s="1"/>
  <c r="AD24" i="12"/>
  <c r="AF24" i="12" s="1"/>
  <c r="AH24" i="12" s="1"/>
  <c r="AD57" i="12"/>
  <c r="AF57" i="12" s="1"/>
  <c r="AH57" i="12" s="1"/>
  <c r="AC57" i="12"/>
  <c r="G57" i="12" s="1"/>
  <c r="AD58" i="12"/>
  <c r="AF58" i="12" s="1"/>
  <c r="AH58" i="12" s="1"/>
  <c r="AC58" i="12"/>
  <c r="G58" i="12" s="1"/>
  <c r="AA40" i="12"/>
  <c r="AB40" i="12"/>
  <c r="Y35" i="12"/>
  <c r="Z35" i="12"/>
  <c r="Y21" i="12"/>
  <c r="Z21" i="12"/>
  <c r="AD38" i="12"/>
  <c r="AF38" i="12" s="1"/>
  <c r="AH38" i="12" s="1"/>
  <c r="AC38" i="12"/>
  <c r="G38" i="12" s="1"/>
  <c r="AC18" i="12"/>
  <c r="G18" i="12" s="1"/>
  <c r="AD18" i="12"/>
  <c r="AF18" i="12" s="1"/>
  <c r="AH18" i="12" s="1"/>
  <c r="AC43" i="12"/>
  <c r="G43" i="12" s="1"/>
  <c r="AD43" i="12"/>
  <c r="AF43" i="12" s="1"/>
  <c r="AH43" i="12" s="1"/>
  <c r="AD41" i="12"/>
  <c r="AF41" i="12" s="1"/>
  <c r="AH41" i="12" s="1"/>
  <c r="AC41" i="12"/>
  <c r="G41" i="12" s="1"/>
  <c r="AD59" i="12"/>
  <c r="AF59" i="12" s="1"/>
  <c r="AH59" i="12" s="1"/>
  <c r="AC59" i="12"/>
  <c r="G59" i="12" s="1"/>
  <c r="AD61" i="12"/>
  <c r="AF61" i="12" s="1"/>
  <c r="AH61" i="12" s="1"/>
  <c r="AC61" i="12"/>
  <c r="G61" i="12" s="1"/>
  <c r="AD17" i="12"/>
  <c r="AF17" i="12" s="1"/>
  <c r="AH17" i="12" s="1"/>
  <c r="AC17" i="12"/>
  <c r="G17" i="12" s="1"/>
  <c r="AA28" i="12"/>
  <c r="AB28" i="12"/>
  <c r="Y30" i="12"/>
  <c r="Z30" i="12"/>
  <c r="AD47" i="12"/>
  <c r="AF47" i="12" s="1"/>
  <c r="AH47" i="12" s="1"/>
  <c r="AC47" i="12"/>
  <c r="G47" i="12" s="1"/>
  <c r="AB33" i="12"/>
  <c r="AA33" i="12"/>
  <c r="AC31" i="12"/>
  <c r="G31" i="12" s="1"/>
  <c r="AD31" i="12"/>
  <c r="AF31" i="12" s="1"/>
  <c r="AH31" i="12" s="1"/>
  <c r="AB34" i="12"/>
  <c r="AA34" i="12"/>
  <c r="Z36" i="12"/>
  <c r="Y36" i="12"/>
  <c r="AB39" i="12"/>
  <c r="AA39" i="12"/>
  <c r="AD48" i="12"/>
  <c r="AF48" i="12" s="1"/>
  <c r="AH48" i="12" s="1"/>
  <c r="AC48" i="12"/>
  <c r="G48" i="12" s="1"/>
  <c r="AD44" i="12"/>
  <c r="AF44" i="12" s="1"/>
  <c r="AH44" i="12" s="1"/>
  <c r="AC44" i="12"/>
  <c r="G44" i="12" s="1"/>
  <c r="AD42" i="12"/>
  <c r="AF42" i="12" s="1"/>
  <c r="AH42" i="12" s="1"/>
  <c r="AC42" i="12"/>
  <c r="G42" i="12" s="1"/>
  <c r="AC64" i="12"/>
  <c r="G64" i="12" s="1"/>
  <c r="AD64" i="12"/>
  <c r="AF64" i="12" s="1"/>
  <c r="AH64" i="12" s="1"/>
  <c r="AC56" i="12"/>
  <c r="G56" i="12" s="1"/>
  <c r="AD56" i="12"/>
  <c r="AF56" i="12" s="1"/>
  <c r="AH56" i="12" s="1"/>
  <c r="AA19" i="12"/>
  <c r="AB19" i="12"/>
  <c r="AA20" i="12"/>
  <c r="AB20" i="12"/>
  <c r="Z22" i="12"/>
  <c r="Y22" i="12"/>
  <c r="AI109" i="9"/>
  <c r="AJ109" i="9"/>
  <c r="AK109" i="9" s="1"/>
  <c r="AD55" i="12"/>
  <c r="AF55" i="12" s="1"/>
  <c r="AH55" i="12" s="1"/>
  <c r="AC55" i="12"/>
  <c r="G55" i="12" s="1"/>
  <c r="AC63" i="12"/>
  <c r="G63" i="12" s="1"/>
  <c r="AD63" i="12"/>
  <c r="AF63" i="12" s="1"/>
  <c r="AH63" i="12" s="1"/>
  <c r="AD46" i="12"/>
  <c r="AF46" i="12" s="1"/>
  <c r="AH46" i="12" s="1"/>
  <c r="AC46" i="12"/>
  <c r="G46" i="12" s="1"/>
  <c r="AD45" i="12"/>
  <c r="AF45" i="12" s="1"/>
  <c r="AH45" i="12" s="1"/>
  <c r="AC45" i="12"/>
  <c r="G45" i="12" s="1"/>
  <c r="AC23" i="12"/>
  <c r="G23" i="12" s="1"/>
  <c r="AD23" i="12"/>
  <c r="AF23" i="12" s="1"/>
  <c r="AH23" i="12" s="1"/>
  <c r="AD25" i="12"/>
  <c r="AF25" i="12" s="1"/>
  <c r="AH25" i="12" s="1"/>
  <c r="AC25" i="12"/>
  <c r="G25" i="12" s="1"/>
  <c r="AD26" i="12"/>
  <c r="AF26" i="12" s="1"/>
  <c r="AH26" i="12" s="1"/>
  <c r="AC26" i="12"/>
  <c r="G26" i="12" s="1"/>
  <c r="AD32" i="12"/>
  <c r="AF32" i="12" s="1"/>
  <c r="AH32" i="12" s="1"/>
  <c r="AC32" i="12"/>
  <c r="G32" i="12" s="1"/>
  <c r="G34" i="8"/>
  <c r="G35" i="8"/>
  <c r="G97" i="21" l="1"/>
  <c r="Q182" i="16"/>
  <c r="I182" i="16" s="1"/>
  <c r="R182" i="16"/>
  <c r="T182" i="16" s="1"/>
  <c r="V182" i="16" s="1"/>
  <c r="X182" i="16" s="1"/>
  <c r="Z182" i="16" s="1"/>
  <c r="AB182" i="16" s="1"/>
  <c r="AD182" i="16" s="1"/>
  <c r="AF182" i="16" s="1"/>
  <c r="AH182" i="16" s="1"/>
  <c r="AJ182" i="16" s="1"/>
  <c r="H186" i="16"/>
  <c r="K185" i="16"/>
  <c r="N184" i="16"/>
  <c r="M184" i="16"/>
  <c r="O183" i="16"/>
  <c r="P183" i="16"/>
  <c r="T102" i="16"/>
  <c r="S102" i="16"/>
  <c r="AF84" i="16"/>
  <c r="AH84" i="16" s="1"/>
  <c r="AJ84" i="16" s="1"/>
  <c r="AE84" i="16"/>
  <c r="I84" i="16" s="1"/>
  <c r="N111" i="16"/>
  <c r="M111" i="16"/>
  <c r="K118" i="16"/>
  <c r="AE86" i="16"/>
  <c r="I86" i="16" s="1"/>
  <c r="AF86" i="16"/>
  <c r="AH86" i="16" s="1"/>
  <c r="AJ86" i="16" s="1"/>
  <c r="Y95" i="16"/>
  <c r="Z95" i="16"/>
  <c r="Q107" i="16"/>
  <c r="R107" i="16"/>
  <c r="AA94" i="16"/>
  <c r="AB94" i="16"/>
  <c r="O112" i="16"/>
  <c r="P112" i="16"/>
  <c r="W100" i="16"/>
  <c r="X100" i="16"/>
  <c r="Z93" i="16"/>
  <c r="Y93" i="16"/>
  <c r="Z97" i="16"/>
  <c r="Y97" i="16"/>
  <c r="AC87" i="16"/>
  <c r="AD87" i="16"/>
  <c r="AB92" i="16"/>
  <c r="AA92" i="16"/>
  <c r="W98" i="16"/>
  <c r="X98" i="16"/>
  <c r="M115" i="16"/>
  <c r="N115" i="16"/>
  <c r="AE88" i="16"/>
  <c r="I88" i="16" s="1"/>
  <c r="AF88" i="16"/>
  <c r="AH88" i="16" s="1"/>
  <c r="AJ88" i="16" s="1"/>
  <c r="N113" i="16"/>
  <c r="M113" i="16"/>
  <c r="R105" i="16"/>
  <c r="Q105" i="16"/>
  <c r="T106" i="16"/>
  <c r="S106" i="16"/>
  <c r="U99" i="16"/>
  <c r="V99" i="16"/>
  <c r="T104" i="16"/>
  <c r="S104" i="16"/>
  <c r="O108" i="16"/>
  <c r="P108" i="16"/>
  <c r="U103" i="16"/>
  <c r="V103" i="16"/>
  <c r="K116" i="16"/>
  <c r="AB90" i="16"/>
  <c r="AA90" i="16"/>
  <c r="V101" i="16"/>
  <c r="U101" i="16"/>
  <c r="AD91" i="16"/>
  <c r="AC91" i="16"/>
  <c r="K114" i="16"/>
  <c r="AD89" i="16"/>
  <c r="AC89" i="16"/>
  <c r="R109" i="16"/>
  <c r="Q109" i="16"/>
  <c r="W96" i="16"/>
  <c r="X96" i="16"/>
  <c r="P110" i="16"/>
  <c r="O110" i="16"/>
  <c r="AC20" i="12"/>
  <c r="AD20" i="12"/>
  <c r="AF20" i="12" s="1"/>
  <c r="AH20" i="12" s="1"/>
  <c r="AI20" i="12" s="1"/>
  <c r="AC19" i="12"/>
  <c r="AD19" i="12"/>
  <c r="AF19" i="12" s="1"/>
  <c r="AH19" i="12" s="1"/>
  <c r="AI19" i="12" s="1"/>
  <c r="AB30" i="12"/>
  <c r="AA30" i="12"/>
  <c r="AD28" i="12"/>
  <c r="AF28" i="12" s="1"/>
  <c r="AH28" i="12" s="1"/>
  <c r="AC28" i="12"/>
  <c r="G28" i="12" s="1"/>
  <c r="AB21" i="12"/>
  <c r="AA21" i="12"/>
  <c r="AB35" i="12"/>
  <c r="AA35" i="12"/>
  <c r="AD40" i="12"/>
  <c r="AF40" i="12" s="1"/>
  <c r="AH40" i="12" s="1"/>
  <c r="AC40" i="12"/>
  <c r="G40" i="12" s="1"/>
  <c r="AB29" i="12"/>
  <c r="AA29" i="12"/>
  <c r="AD27" i="12"/>
  <c r="AF27" i="12" s="1"/>
  <c r="AH27" i="12" s="1"/>
  <c r="AC27" i="12"/>
  <c r="G27" i="12" s="1"/>
  <c r="AA22" i="12"/>
  <c r="AB22" i="12"/>
  <c r="AC39" i="12"/>
  <c r="G39" i="12" s="1"/>
  <c r="AD39" i="12"/>
  <c r="AF39" i="12" s="1"/>
  <c r="AH39" i="12" s="1"/>
  <c r="AA36" i="12"/>
  <c r="AB36" i="12"/>
  <c r="AC34" i="12"/>
  <c r="G34" i="12" s="1"/>
  <c r="AD34" i="12"/>
  <c r="AF34" i="12" s="1"/>
  <c r="AH34" i="12" s="1"/>
  <c r="AC33" i="12"/>
  <c r="G33" i="12" s="1"/>
  <c r="AD33" i="12"/>
  <c r="AF33" i="12" s="1"/>
  <c r="AH33" i="12" s="1"/>
  <c r="G109" i="9"/>
  <c r="O184" i="16" l="1"/>
  <c r="P184" i="16"/>
  <c r="H187" i="16"/>
  <c r="K186" i="16"/>
  <c r="Q183" i="16"/>
  <c r="I183" i="16" s="1"/>
  <c r="R183" i="16"/>
  <c r="T183" i="16" s="1"/>
  <c r="V183" i="16" s="1"/>
  <c r="X183" i="16" s="1"/>
  <c r="Z183" i="16" s="1"/>
  <c r="AB183" i="16" s="1"/>
  <c r="AD183" i="16" s="1"/>
  <c r="AF183" i="16" s="1"/>
  <c r="AH183" i="16" s="1"/>
  <c r="AJ183" i="16" s="1"/>
  <c r="M185" i="16"/>
  <c r="N185" i="16"/>
  <c r="Q110" i="16"/>
  <c r="R110" i="16"/>
  <c r="M116" i="16"/>
  <c r="N116" i="16"/>
  <c r="T105" i="16"/>
  <c r="S105" i="16"/>
  <c r="W103" i="16"/>
  <c r="X103" i="16"/>
  <c r="R108" i="16"/>
  <c r="Q108" i="16"/>
  <c r="V104" i="16"/>
  <c r="U104" i="16"/>
  <c r="U106" i="16"/>
  <c r="V106" i="16"/>
  <c r="P115" i="16"/>
  <c r="O115" i="16"/>
  <c r="AB93" i="16"/>
  <c r="AA93" i="16"/>
  <c r="AF89" i="16"/>
  <c r="AH89" i="16" s="1"/>
  <c r="AJ89" i="16" s="1"/>
  <c r="AE89" i="16"/>
  <c r="I89" i="16" s="1"/>
  <c r="AF91" i="16"/>
  <c r="AH91" i="16" s="1"/>
  <c r="AJ91" i="16" s="1"/>
  <c r="AE91" i="16"/>
  <c r="I91" i="16" s="1"/>
  <c r="AD90" i="16"/>
  <c r="AC90" i="16"/>
  <c r="X99" i="16"/>
  <c r="W99" i="16"/>
  <c r="P113" i="16"/>
  <c r="O113" i="16"/>
  <c r="AD92" i="16"/>
  <c r="AC92" i="16"/>
  <c r="Y100" i="16"/>
  <c r="Z100" i="16"/>
  <c r="AC94" i="16"/>
  <c r="AD94" i="16"/>
  <c r="AA95" i="16"/>
  <c r="AB95" i="16"/>
  <c r="K121" i="16"/>
  <c r="P111" i="16"/>
  <c r="O111" i="16"/>
  <c r="T109" i="16"/>
  <c r="S109" i="16"/>
  <c r="M114" i="16"/>
  <c r="N114" i="16"/>
  <c r="Z98" i="16"/>
  <c r="Y98" i="16"/>
  <c r="AB97" i="16"/>
  <c r="AA97" i="16"/>
  <c r="N118" i="16"/>
  <c r="M118" i="16"/>
  <c r="U102" i="16"/>
  <c r="V102" i="16"/>
  <c r="Y96" i="16"/>
  <c r="Z96" i="16"/>
  <c r="K117" i="16"/>
  <c r="X101" i="16"/>
  <c r="W101" i="16"/>
  <c r="K119" i="16"/>
  <c r="AE87" i="16"/>
  <c r="I87" i="16" s="1"/>
  <c r="AF87" i="16"/>
  <c r="AH87" i="16" s="1"/>
  <c r="AJ87" i="16" s="1"/>
  <c r="Q112" i="16"/>
  <c r="R112" i="16"/>
  <c r="S107" i="16"/>
  <c r="T107" i="16"/>
  <c r="G19" i="12"/>
  <c r="G20" i="12"/>
  <c r="AD36" i="12"/>
  <c r="AF36" i="12" s="1"/>
  <c r="AH36" i="12" s="1"/>
  <c r="AC36" i="12"/>
  <c r="G36" i="12" s="1"/>
  <c r="AD22" i="12"/>
  <c r="AF22" i="12" s="1"/>
  <c r="AH22" i="12" s="1"/>
  <c r="AC22" i="12"/>
  <c r="G22" i="12" s="1"/>
  <c r="AC29" i="12"/>
  <c r="G29" i="12" s="1"/>
  <c r="AD29" i="12"/>
  <c r="AF29" i="12" s="1"/>
  <c r="AH29" i="12" s="1"/>
  <c r="AC35" i="12"/>
  <c r="G35" i="12" s="1"/>
  <c r="AD35" i="12"/>
  <c r="AF35" i="12" s="1"/>
  <c r="AH35" i="12" s="1"/>
  <c r="AC21" i="12"/>
  <c r="G21" i="12" s="1"/>
  <c r="AD21" i="12"/>
  <c r="AF21" i="12" s="1"/>
  <c r="AH21" i="12" s="1"/>
  <c r="AC30" i="12"/>
  <c r="G30" i="12" s="1"/>
  <c r="AD30" i="12"/>
  <c r="AF30" i="12" s="1"/>
  <c r="AH30" i="12" s="1"/>
  <c r="F148" i="16" l="1"/>
  <c r="F149" i="16"/>
  <c r="F150" i="16"/>
  <c r="F151" i="16"/>
  <c r="F152" i="16"/>
  <c r="F153" i="16"/>
  <c r="K187" i="16"/>
  <c r="F138" i="16"/>
  <c r="F154" i="16"/>
  <c r="F145" i="16"/>
  <c r="F137" i="16"/>
  <c r="F135" i="16"/>
  <c r="F139" i="16"/>
  <c r="F146" i="16"/>
  <c r="F140" i="16"/>
  <c r="F142" i="16"/>
  <c r="F155" i="16"/>
  <c r="F143" i="16"/>
  <c r="F136" i="16"/>
  <c r="F144" i="16"/>
  <c r="F141" i="16"/>
  <c r="F147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Q184" i="16"/>
  <c r="I184" i="16" s="1"/>
  <c r="R184" i="16"/>
  <c r="T184" i="16" s="1"/>
  <c r="V184" i="16" s="1"/>
  <c r="X184" i="16" s="1"/>
  <c r="Z184" i="16" s="1"/>
  <c r="AB184" i="16" s="1"/>
  <c r="AD184" i="16" s="1"/>
  <c r="AF184" i="16" s="1"/>
  <c r="AH184" i="16" s="1"/>
  <c r="AJ184" i="16" s="1"/>
  <c r="O185" i="16"/>
  <c r="P185" i="16"/>
  <c r="F186" i="16"/>
  <c r="N186" i="16"/>
  <c r="M186" i="16"/>
  <c r="U107" i="16"/>
  <c r="V107" i="16"/>
  <c r="AB96" i="16"/>
  <c r="AA96" i="16"/>
  <c r="AB100" i="16"/>
  <c r="AA100" i="16"/>
  <c r="S112" i="16"/>
  <c r="T112" i="16"/>
  <c r="N119" i="16"/>
  <c r="M119" i="16"/>
  <c r="N117" i="16"/>
  <c r="M117" i="16"/>
  <c r="X102" i="16"/>
  <c r="W102" i="16"/>
  <c r="V109" i="16"/>
  <c r="U109" i="16"/>
  <c r="N121" i="16"/>
  <c r="M121" i="16"/>
  <c r="AF94" i="16"/>
  <c r="AH94" i="16" s="1"/>
  <c r="AJ94" i="16" s="1"/>
  <c r="AE94" i="16"/>
  <c r="I94" i="16" s="1"/>
  <c r="R113" i="16"/>
  <c r="Q113" i="16"/>
  <c r="W104" i="16"/>
  <c r="X104" i="16"/>
  <c r="K122" i="16"/>
  <c r="K120" i="16"/>
  <c r="AD97" i="16"/>
  <c r="AC97" i="16"/>
  <c r="O114" i="16"/>
  <c r="P114" i="16"/>
  <c r="K124" i="16"/>
  <c r="AF92" i="16"/>
  <c r="AH92" i="16" s="1"/>
  <c r="AJ92" i="16" s="1"/>
  <c r="AE92" i="16"/>
  <c r="I92" i="16" s="1"/>
  <c r="AF90" i="16"/>
  <c r="AH90" i="16" s="1"/>
  <c r="AJ90" i="16" s="1"/>
  <c r="AE90" i="16"/>
  <c r="I90" i="16" s="1"/>
  <c r="AD93" i="16"/>
  <c r="AC93" i="16"/>
  <c r="X106" i="16"/>
  <c r="W106" i="16"/>
  <c r="T110" i="16"/>
  <c r="S110" i="16"/>
  <c r="AD95" i="16"/>
  <c r="AC95" i="16"/>
  <c r="T108" i="16"/>
  <c r="S108" i="16"/>
  <c r="V105" i="16"/>
  <c r="U105" i="16"/>
  <c r="Z101" i="16"/>
  <c r="Y101" i="16"/>
  <c r="O118" i="16"/>
  <c r="P118" i="16"/>
  <c r="AB98" i="16"/>
  <c r="AA98" i="16"/>
  <c r="R111" i="16"/>
  <c r="Q111" i="16"/>
  <c r="Y99" i="16"/>
  <c r="Z99" i="16"/>
  <c r="R115" i="16"/>
  <c r="Q115" i="16"/>
  <c r="Z103" i="16"/>
  <c r="Y103" i="16"/>
  <c r="O116" i="16"/>
  <c r="P116" i="16"/>
  <c r="Q185" i="16" l="1"/>
  <c r="I185" i="16" s="1"/>
  <c r="R185" i="16"/>
  <c r="T185" i="16" s="1"/>
  <c r="V185" i="16" s="1"/>
  <c r="X185" i="16" s="1"/>
  <c r="Z185" i="16" s="1"/>
  <c r="AB185" i="16" s="1"/>
  <c r="AD185" i="16" s="1"/>
  <c r="AF185" i="16" s="1"/>
  <c r="AH185" i="16" s="1"/>
  <c r="AJ185" i="16" s="1"/>
  <c r="O186" i="16"/>
  <c r="P186" i="16"/>
  <c r="M187" i="16"/>
  <c r="N187" i="16"/>
  <c r="AB99" i="16"/>
  <c r="AA99" i="16"/>
  <c r="X105" i="16"/>
  <c r="W105" i="16"/>
  <c r="AF97" i="16"/>
  <c r="AH97" i="16" s="1"/>
  <c r="AJ97" i="16" s="1"/>
  <c r="AE97" i="16"/>
  <c r="I97" i="16" s="1"/>
  <c r="N122" i="16"/>
  <c r="M122" i="16"/>
  <c r="Y102" i="16"/>
  <c r="Z102" i="16"/>
  <c r="AD100" i="16"/>
  <c r="AC100" i="16"/>
  <c r="Q116" i="16"/>
  <c r="R116" i="16"/>
  <c r="R118" i="16"/>
  <c r="Q118" i="16"/>
  <c r="U108" i="16"/>
  <c r="V108" i="16"/>
  <c r="AF93" i="16"/>
  <c r="AH93" i="16" s="1"/>
  <c r="AJ93" i="16" s="1"/>
  <c r="AE93" i="16"/>
  <c r="I93" i="16" s="1"/>
  <c r="K123" i="16"/>
  <c r="P117" i="16"/>
  <c r="O117" i="16"/>
  <c r="AD96" i="16"/>
  <c r="AC96" i="16"/>
  <c r="T115" i="16"/>
  <c r="S115" i="16"/>
  <c r="T111" i="16"/>
  <c r="S111" i="16"/>
  <c r="N124" i="16"/>
  <c r="M124" i="16"/>
  <c r="K125" i="16"/>
  <c r="Z104" i="16"/>
  <c r="Y104" i="16"/>
  <c r="T113" i="16"/>
  <c r="S113" i="16"/>
  <c r="P121" i="16"/>
  <c r="O121" i="16"/>
  <c r="W107" i="16"/>
  <c r="X107" i="16"/>
  <c r="Z106" i="16"/>
  <c r="Y106" i="16"/>
  <c r="K127" i="16"/>
  <c r="K130" i="16"/>
  <c r="P119" i="16"/>
  <c r="O119" i="16"/>
  <c r="AA103" i="16"/>
  <c r="AB103" i="16"/>
  <c r="AD98" i="16"/>
  <c r="AC98" i="16"/>
  <c r="AB101" i="16"/>
  <c r="AA101" i="16"/>
  <c r="AF95" i="16"/>
  <c r="AH95" i="16" s="1"/>
  <c r="AJ95" i="16" s="1"/>
  <c r="AE95" i="16"/>
  <c r="I95" i="16" s="1"/>
  <c r="U110" i="16"/>
  <c r="V110" i="16"/>
  <c r="R114" i="16"/>
  <c r="Q114" i="16"/>
  <c r="N120" i="16"/>
  <c r="M120" i="16"/>
  <c r="X109" i="16"/>
  <c r="W109" i="16"/>
  <c r="V112" i="16"/>
  <c r="U112" i="16"/>
  <c r="P187" i="16" l="1"/>
  <c r="O187" i="16"/>
  <c r="Q186" i="16"/>
  <c r="I186" i="16" s="1"/>
  <c r="R186" i="16"/>
  <c r="T186" i="16" s="1"/>
  <c r="V186" i="16" s="1"/>
  <c r="X186" i="16" s="1"/>
  <c r="Z186" i="16" s="1"/>
  <c r="AB186" i="16" s="1"/>
  <c r="AD186" i="16" s="1"/>
  <c r="AF186" i="16" s="1"/>
  <c r="AH186" i="16" s="1"/>
  <c r="AJ186" i="16" s="1"/>
  <c r="AD103" i="16"/>
  <c r="AC103" i="16"/>
  <c r="M130" i="16"/>
  <c r="N130" i="16"/>
  <c r="V113" i="16"/>
  <c r="U113" i="16"/>
  <c r="K131" i="16"/>
  <c r="K128" i="16"/>
  <c r="R121" i="16"/>
  <c r="Q121" i="16"/>
  <c r="AB104" i="16"/>
  <c r="AA104" i="16"/>
  <c r="O124" i="16"/>
  <c r="P124" i="16"/>
  <c r="N123" i="16"/>
  <c r="M123" i="16"/>
  <c r="X108" i="16"/>
  <c r="W108" i="16"/>
  <c r="AE100" i="16"/>
  <c r="I100" i="16" s="1"/>
  <c r="AF100" i="16"/>
  <c r="AH100" i="16" s="1"/>
  <c r="AJ100" i="16" s="1"/>
  <c r="O122" i="16"/>
  <c r="P122" i="16"/>
  <c r="Z105" i="16"/>
  <c r="Y105" i="16"/>
  <c r="Z109" i="16"/>
  <c r="Y109" i="16"/>
  <c r="T114" i="16"/>
  <c r="S114" i="16"/>
  <c r="AE98" i="16"/>
  <c r="I98" i="16" s="1"/>
  <c r="AF98" i="16"/>
  <c r="AH98" i="16" s="1"/>
  <c r="AJ98" i="16" s="1"/>
  <c r="R119" i="16"/>
  <c r="Q119" i="16"/>
  <c r="AB106" i="16"/>
  <c r="AA106" i="16"/>
  <c r="N125" i="16"/>
  <c r="M125" i="16"/>
  <c r="V115" i="16"/>
  <c r="U115" i="16"/>
  <c r="R117" i="16"/>
  <c r="Q117" i="16"/>
  <c r="K126" i="16"/>
  <c r="T116" i="16"/>
  <c r="S116" i="16"/>
  <c r="AB102" i="16"/>
  <c r="AA102" i="16"/>
  <c r="W112" i="16"/>
  <c r="X112" i="16"/>
  <c r="X110" i="16"/>
  <c r="W110" i="16"/>
  <c r="AD99" i="16"/>
  <c r="AC99" i="16"/>
  <c r="O120" i="16"/>
  <c r="P120" i="16"/>
  <c r="AD101" i="16"/>
  <c r="AC101" i="16"/>
  <c r="M127" i="16"/>
  <c r="N127" i="16"/>
  <c r="Y107" i="16"/>
  <c r="Z107" i="16"/>
  <c r="V111" i="16"/>
  <c r="U111" i="16"/>
  <c r="AE96" i="16"/>
  <c r="I96" i="16" s="1"/>
  <c r="AF96" i="16"/>
  <c r="AH96" i="16" s="1"/>
  <c r="AJ96" i="16" s="1"/>
  <c r="T118" i="16"/>
  <c r="S118" i="16"/>
  <c r="R187" i="16" l="1"/>
  <c r="T187" i="16" s="1"/>
  <c r="V187" i="16" s="1"/>
  <c r="X187" i="16" s="1"/>
  <c r="Z187" i="16" s="1"/>
  <c r="AB187" i="16" s="1"/>
  <c r="AD187" i="16" s="1"/>
  <c r="AF187" i="16" s="1"/>
  <c r="AH187" i="16" s="1"/>
  <c r="AJ187" i="16" s="1"/>
  <c r="Q187" i="16"/>
  <c r="I187" i="16" s="1"/>
  <c r="V118" i="16"/>
  <c r="U118" i="16"/>
  <c r="O127" i="16"/>
  <c r="P127" i="16"/>
  <c r="Y112" i="16"/>
  <c r="Z112" i="16"/>
  <c r="X115" i="16"/>
  <c r="W115" i="16"/>
  <c r="AB109" i="16"/>
  <c r="AA109" i="16"/>
  <c r="U116" i="16"/>
  <c r="V116" i="16"/>
  <c r="AA107" i="16"/>
  <c r="AB107" i="16"/>
  <c r="T117" i="16"/>
  <c r="S117" i="16"/>
  <c r="P125" i="16"/>
  <c r="O125" i="16"/>
  <c r="T119" i="16"/>
  <c r="S119" i="16"/>
  <c r="V114" i="16"/>
  <c r="U114" i="16"/>
  <c r="AB105" i="16"/>
  <c r="AA105" i="16"/>
  <c r="O123" i="16"/>
  <c r="P123" i="16"/>
  <c r="AD104" i="16"/>
  <c r="AC104" i="16"/>
  <c r="X113" i="16"/>
  <c r="W113" i="16"/>
  <c r="AF103" i="16"/>
  <c r="AH103" i="16" s="1"/>
  <c r="AJ103" i="16" s="1"/>
  <c r="AE103" i="16"/>
  <c r="I103" i="16" s="1"/>
  <c r="X111" i="16"/>
  <c r="W111" i="16"/>
  <c r="R120" i="16"/>
  <c r="Q120" i="16"/>
  <c r="K132" i="16"/>
  <c r="K129" i="16"/>
  <c r="AD106" i="16"/>
  <c r="AC106" i="16"/>
  <c r="Z108" i="16"/>
  <c r="Y108" i="16"/>
  <c r="T121" i="16"/>
  <c r="S121" i="16"/>
  <c r="M131" i="16"/>
  <c r="N131" i="16"/>
  <c r="AF101" i="16"/>
  <c r="AH101" i="16" s="1"/>
  <c r="AJ101" i="16" s="1"/>
  <c r="AE101" i="16"/>
  <c r="I101" i="16" s="1"/>
  <c r="AF99" i="16"/>
  <c r="AH99" i="16" s="1"/>
  <c r="AJ99" i="16" s="1"/>
  <c r="AE99" i="16"/>
  <c r="I99" i="16" s="1"/>
  <c r="Z110" i="16"/>
  <c r="Y110" i="16"/>
  <c r="AC102" i="16"/>
  <c r="AD102" i="16"/>
  <c r="N126" i="16"/>
  <c r="M126" i="16"/>
  <c r="R122" i="16"/>
  <c r="Q122" i="16"/>
  <c r="Q124" i="16"/>
  <c r="R124" i="16"/>
  <c r="M128" i="16"/>
  <c r="N128" i="16"/>
  <c r="P130" i="16"/>
  <c r="O130" i="16"/>
  <c r="AF102" i="16" l="1"/>
  <c r="AH102" i="16" s="1"/>
  <c r="AJ102" i="16" s="1"/>
  <c r="AE102" i="16"/>
  <c r="I102" i="16" s="1"/>
  <c r="V121" i="16"/>
  <c r="U121" i="16"/>
  <c r="AF106" i="16"/>
  <c r="AH106" i="16" s="1"/>
  <c r="AJ106" i="16" s="1"/>
  <c r="AE106" i="16"/>
  <c r="I106" i="16" s="1"/>
  <c r="S120" i="16"/>
  <c r="T120" i="16"/>
  <c r="AE104" i="16"/>
  <c r="I104" i="16" s="1"/>
  <c r="AF104" i="16"/>
  <c r="AH104" i="16" s="1"/>
  <c r="AJ104" i="16" s="1"/>
  <c r="AD105" i="16"/>
  <c r="AC105" i="16"/>
  <c r="U119" i="16"/>
  <c r="V119" i="16"/>
  <c r="V117" i="16"/>
  <c r="U117" i="16"/>
  <c r="W116" i="16"/>
  <c r="X116" i="16"/>
  <c r="Z115" i="16"/>
  <c r="Y115" i="16"/>
  <c r="T122" i="16"/>
  <c r="S122" i="16"/>
  <c r="P131" i="16"/>
  <c r="O131" i="16"/>
  <c r="N129" i="16"/>
  <c r="M129" i="16"/>
  <c r="R123" i="16"/>
  <c r="Q123" i="16"/>
  <c r="AB112" i="16"/>
  <c r="AA112" i="16"/>
  <c r="R130" i="16"/>
  <c r="Q130" i="16"/>
  <c r="S124" i="16"/>
  <c r="T124" i="16"/>
  <c r="AB108" i="16"/>
  <c r="AA108" i="16"/>
  <c r="M132" i="16"/>
  <c r="N132" i="16"/>
  <c r="Z111" i="16"/>
  <c r="Y111" i="16"/>
  <c r="Z113" i="16"/>
  <c r="Y113" i="16"/>
  <c r="X114" i="16"/>
  <c r="W114" i="16"/>
  <c r="R125" i="16"/>
  <c r="Q125" i="16"/>
  <c r="AD107" i="16"/>
  <c r="AC107" i="16"/>
  <c r="AD109" i="16"/>
  <c r="AC109" i="16"/>
  <c r="X118" i="16"/>
  <c r="W118" i="16"/>
  <c r="O128" i="16"/>
  <c r="P128" i="16"/>
  <c r="P126" i="16"/>
  <c r="O126" i="16"/>
  <c r="AB110" i="16"/>
  <c r="AA110" i="16"/>
  <c r="R127" i="16"/>
  <c r="Q127" i="16"/>
  <c r="R131" i="16" l="1"/>
  <c r="Q131" i="16"/>
  <c r="U120" i="16"/>
  <c r="V120" i="16"/>
  <c r="R126" i="16"/>
  <c r="Q126" i="16"/>
  <c r="Z118" i="16"/>
  <c r="Y118" i="16"/>
  <c r="AF107" i="16"/>
  <c r="AH107" i="16" s="1"/>
  <c r="AJ107" i="16" s="1"/>
  <c r="AE107" i="16"/>
  <c r="I107" i="16" s="1"/>
  <c r="Z114" i="16"/>
  <c r="Y114" i="16"/>
  <c r="AB111" i="16"/>
  <c r="AA111" i="16"/>
  <c r="AD108" i="16"/>
  <c r="AC108" i="16"/>
  <c r="AC112" i="16"/>
  <c r="AD112" i="16"/>
  <c r="AB115" i="16"/>
  <c r="AA115" i="16"/>
  <c r="X117" i="16"/>
  <c r="W117" i="16"/>
  <c r="AF105" i="16"/>
  <c r="AH105" i="16" s="1"/>
  <c r="AJ105" i="16" s="1"/>
  <c r="AE105" i="16"/>
  <c r="I105" i="16" s="1"/>
  <c r="X121" i="16"/>
  <c r="W121" i="16"/>
  <c r="R128" i="16"/>
  <c r="Q128" i="16"/>
  <c r="P132" i="16"/>
  <c r="O132" i="16"/>
  <c r="T130" i="16"/>
  <c r="S130" i="16"/>
  <c r="P129" i="16"/>
  <c r="O129" i="16"/>
  <c r="Z116" i="16"/>
  <c r="Y116" i="16"/>
  <c r="X119" i="16"/>
  <c r="W119" i="16"/>
  <c r="T127" i="16"/>
  <c r="S127" i="16"/>
  <c r="AD110" i="16"/>
  <c r="AC110" i="16"/>
  <c r="AF109" i="16"/>
  <c r="AH109" i="16" s="1"/>
  <c r="AJ109" i="16" s="1"/>
  <c r="AE109" i="16"/>
  <c r="I109" i="16" s="1"/>
  <c r="T125" i="16"/>
  <c r="S125" i="16"/>
  <c r="AB113" i="16"/>
  <c r="AA113" i="16"/>
  <c r="V124" i="16"/>
  <c r="U124" i="16"/>
  <c r="T123" i="16"/>
  <c r="S123" i="16"/>
  <c r="V122" i="16"/>
  <c r="U122" i="16"/>
  <c r="AD113" i="16" l="1"/>
  <c r="AC113" i="16"/>
  <c r="V127" i="16"/>
  <c r="U127" i="16"/>
  <c r="Z119" i="16"/>
  <c r="Y119" i="16"/>
  <c r="R132" i="16"/>
  <c r="Q132" i="16"/>
  <c r="S128" i="16"/>
  <c r="T128" i="16"/>
  <c r="AD115" i="16"/>
  <c r="AC115" i="16"/>
  <c r="AD111" i="16"/>
  <c r="AC111" i="16"/>
  <c r="W124" i="16"/>
  <c r="X124" i="16"/>
  <c r="V125" i="16"/>
  <c r="U125" i="16"/>
  <c r="AF110" i="16"/>
  <c r="AH110" i="16" s="1"/>
  <c r="AJ110" i="16" s="1"/>
  <c r="AE110" i="16"/>
  <c r="I110" i="16" s="1"/>
  <c r="AA116" i="16"/>
  <c r="AB116" i="16"/>
  <c r="U130" i="16"/>
  <c r="V130" i="16"/>
  <c r="Z121" i="16"/>
  <c r="Y121" i="16"/>
  <c r="Z117" i="16"/>
  <c r="Y117" i="16"/>
  <c r="AE112" i="16"/>
  <c r="I112" i="16" s="1"/>
  <c r="AF112" i="16"/>
  <c r="AH112" i="16" s="1"/>
  <c r="AJ112" i="16" s="1"/>
  <c r="AF108" i="16"/>
  <c r="AH108" i="16" s="1"/>
  <c r="AJ108" i="16" s="1"/>
  <c r="AE108" i="16"/>
  <c r="I108" i="16" s="1"/>
  <c r="AB114" i="16"/>
  <c r="AA114" i="16"/>
  <c r="AB118" i="16"/>
  <c r="AA118" i="16"/>
  <c r="W120" i="16"/>
  <c r="X120" i="16"/>
  <c r="R129" i="16"/>
  <c r="Q129" i="16"/>
  <c r="S126" i="16"/>
  <c r="T126" i="16"/>
  <c r="X122" i="16"/>
  <c r="W122" i="16"/>
  <c r="V123" i="16"/>
  <c r="U123" i="16"/>
  <c r="T131" i="16"/>
  <c r="S131" i="16"/>
  <c r="X130" i="16" l="1"/>
  <c r="W130" i="16"/>
  <c r="AF111" i="16"/>
  <c r="AH111" i="16" s="1"/>
  <c r="AJ111" i="16" s="1"/>
  <c r="AE111" i="16"/>
  <c r="I111" i="16" s="1"/>
  <c r="AB119" i="16"/>
  <c r="AA119" i="16"/>
  <c r="AF113" i="16"/>
  <c r="AH113" i="16" s="1"/>
  <c r="AJ113" i="16" s="1"/>
  <c r="AE113" i="16"/>
  <c r="I113" i="16" s="1"/>
  <c r="V126" i="16"/>
  <c r="U126" i="16"/>
  <c r="AD118" i="16"/>
  <c r="AC118" i="16"/>
  <c r="AB117" i="16"/>
  <c r="AA117" i="16"/>
  <c r="Z124" i="16"/>
  <c r="Y124" i="16"/>
  <c r="V131" i="16"/>
  <c r="U131" i="16"/>
  <c r="X123" i="16"/>
  <c r="W123" i="16"/>
  <c r="Y120" i="16"/>
  <c r="Z120" i="16"/>
  <c r="AC116" i="16"/>
  <c r="AD116" i="16"/>
  <c r="AF115" i="16"/>
  <c r="AH115" i="16" s="1"/>
  <c r="AJ115" i="16" s="1"/>
  <c r="AE115" i="16"/>
  <c r="I115" i="16" s="1"/>
  <c r="T132" i="16"/>
  <c r="S132" i="16"/>
  <c r="X127" i="16"/>
  <c r="W127" i="16"/>
  <c r="Z122" i="16"/>
  <c r="Y122" i="16"/>
  <c r="T129" i="16"/>
  <c r="S129" i="16"/>
  <c r="AD114" i="16"/>
  <c r="AC114" i="16"/>
  <c r="AB121" i="16"/>
  <c r="AA121" i="16"/>
  <c r="X125" i="16"/>
  <c r="W125" i="16"/>
  <c r="V128" i="16"/>
  <c r="U128" i="16"/>
  <c r="Z125" i="16" l="1"/>
  <c r="Y125" i="16"/>
  <c r="AF114" i="16"/>
  <c r="AH114" i="16" s="1"/>
  <c r="AJ114" i="16" s="1"/>
  <c r="AE114" i="16"/>
  <c r="I114" i="16" s="1"/>
  <c r="AB122" i="16"/>
  <c r="AA122" i="16"/>
  <c r="V132" i="16"/>
  <c r="U132" i="16"/>
  <c r="Z123" i="16"/>
  <c r="Y123" i="16"/>
  <c r="AD117" i="16"/>
  <c r="AC117" i="16"/>
  <c r="W126" i="16"/>
  <c r="X126" i="16"/>
  <c r="W128" i="16"/>
  <c r="X128" i="16"/>
  <c r="AA120" i="16"/>
  <c r="AB120" i="16"/>
  <c r="AA124" i="16"/>
  <c r="AB124" i="16"/>
  <c r="AD119" i="16"/>
  <c r="AC119" i="16"/>
  <c r="Z130" i="16"/>
  <c r="Y130" i="16"/>
  <c r="AD121" i="16"/>
  <c r="AC121" i="16"/>
  <c r="V129" i="16"/>
  <c r="U129" i="16"/>
  <c r="Z127" i="16"/>
  <c r="Y127" i="16"/>
  <c r="X131" i="16"/>
  <c r="W131" i="16"/>
  <c r="AF118" i="16"/>
  <c r="AH118" i="16" s="1"/>
  <c r="AJ118" i="16" s="1"/>
  <c r="AE118" i="16"/>
  <c r="I118" i="16" s="1"/>
  <c r="AF116" i="16"/>
  <c r="AH116" i="16" s="1"/>
  <c r="AJ116" i="16" s="1"/>
  <c r="AE116" i="16"/>
  <c r="I116" i="16" s="1"/>
  <c r="AD124" i="16" l="1"/>
  <c r="AC124" i="16"/>
  <c r="AF117" i="16"/>
  <c r="AH117" i="16" s="1"/>
  <c r="AJ117" i="16" s="1"/>
  <c r="AE117" i="16"/>
  <c r="I117" i="16" s="1"/>
  <c r="Z131" i="16"/>
  <c r="Y131" i="16"/>
  <c r="AC120" i="16"/>
  <c r="AD120" i="16"/>
  <c r="Z128" i="16"/>
  <c r="Y128" i="16"/>
  <c r="AB123" i="16"/>
  <c r="AA123" i="16"/>
  <c r="X129" i="16"/>
  <c r="W129" i="16"/>
  <c r="AB130" i="16"/>
  <c r="AA130" i="16"/>
  <c r="Y126" i="16"/>
  <c r="Z126" i="16"/>
  <c r="X132" i="16"/>
  <c r="W132" i="16"/>
  <c r="AB127" i="16"/>
  <c r="AA127" i="16"/>
  <c r="AF121" i="16"/>
  <c r="AH121" i="16" s="1"/>
  <c r="AJ121" i="16" s="1"/>
  <c r="AE121" i="16"/>
  <c r="I121" i="16" s="1"/>
  <c r="AF119" i="16"/>
  <c r="AH119" i="16" s="1"/>
  <c r="AJ119" i="16" s="1"/>
  <c r="AE119" i="16"/>
  <c r="I119" i="16" s="1"/>
  <c r="AD122" i="16"/>
  <c r="AC122" i="16"/>
  <c r="AB125" i="16"/>
  <c r="AA125" i="16"/>
  <c r="AD125" i="16" l="1"/>
  <c r="AC125" i="16"/>
  <c r="AB126" i="16"/>
  <c r="AA126" i="16"/>
  <c r="AD127" i="16"/>
  <c r="AC127" i="16"/>
  <c r="Z129" i="16"/>
  <c r="Y129" i="16"/>
  <c r="AB128" i="16"/>
  <c r="AA128" i="16"/>
  <c r="AB131" i="16"/>
  <c r="AA131" i="16"/>
  <c r="AE124" i="16"/>
  <c r="I124" i="16" s="1"/>
  <c r="AF124" i="16"/>
  <c r="AH124" i="16" s="1"/>
  <c r="AJ124" i="16" s="1"/>
  <c r="AF122" i="16"/>
  <c r="AH122" i="16" s="1"/>
  <c r="AJ122" i="16" s="1"/>
  <c r="AE122" i="16"/>
  <c r="I122" i="16" s="1"/>
  <c r="AF120" i="16"/>
  <c r="AH120" i="16" s="1"/>
  <c r="AJ120" i="16" s="1"/>
  <c r="AE120" i="16"/>
  <c r="I120" i="16" s="1"/>
  <c r="Z132" i="16"/>
  <c r="Y132" i="16"/>
  <c r="AD130" i="16"/>
  <c r="AC130" i="16"/>
  <c r="AD123" i="16"/>
  <c r="AC123" i="16"/>
  <c r="AC126" i="16" l="1"/>
  <c r="AD126" i="16"/>
  <c r="AD131" i="16"/>
  <c r="AC131" i="16"/>
  <c r="AB129" i="16"/>
  <c r="AA129" i="16"/>
  <c r="AF130" i="16"/>
  <c r="AH130" i="16" s="1"/>
  <c r="AJ130" i="16" s="1"/>
  <c r="AE130" i="16"/>
  <c r="I130" i="16" s="1"/>
  <c r="AF123" i="16"/>
  <c r="AH123" i="16" s="1"/>
  <c r="AJ123" i="16" s="1"/>
  <c r="AE123" i="16"/>
  <c r="I123" i="16" s="1"/>
  <c r="AB132" i="16"/>
  <c r="AA132" i="16"/>
  <c r="AF127" i="16"/>
  <c r="AH127" i="16" s="1"/>
  <c r="AJ127" i="16" s="1"/>
  <c r="AE127" i="16"/>
  <c r="I127" i="16" s="1"/>
  <c r="AD128" i="16"/>
  <c r="AC128" i="16"/>
  <c r="AF125" i="16"/>
  <c r="AH125" i="16" s="1"/>
  <c r="AJ125" i="16" s="1"/>
  <c r="AE125" i="16"/>
  <c r="I125" i="16" s="1"/>
  <c r="AE126" i="16" l="1"/>
  <c r="I126" i="16" s="1"/>
  <c r="AF126" i="16"/>
  <c r="AH126" i="16" s="1"/>
  <c r="AJ126" i="16" s="1"/>
  <c r="AD132" i="16"/>
  <c r="AC132" i="16"/>
  <c r="AF131" i="16"/>
  <c r="AH131" i="16" s="1"/>
  <c r="AJ131" i="16" s="1"/>
  <c r="AE131" i="16"/>
  <c r="I131" i="16" s="1"/>
  <c r="AF128" i="16"/>
  <c r="AH128" i="16" s="1"/>
  <c r="AJ128" i="16" s="1"/>
  <c r="AE128" i="16"/>
  <c r="I128" i="16" s="1"/>
  <c r="AD129" i="16"/>
  <c r="AC129" i="16"/>
  <c r="AF132" i="16" l="1"/>
  <c r="AH132" i="16" s="1"/>
  <c r="AJ132" i="16" s="1"/>
  <c r="AE132" i="16"/>
  <c r="I132" i="16" s="1"/>
  <c r="AF129" i="16"/>
  <c r="AH129" i="16" s="1"/>
  <c r="AJ129" i="16" s="1"/>
  <c r="AE129" i="16"/>
  <c r="I129" i="16" s="1"/>
  <c r="G97" i="17"/>
  <c r="E96" i="17"/>
  <c r="E98" i="17"/>
  <c r="G98" i="17" s="1"/>
  <c r="E99" i="17" l="1"/>
  <c r="E100" i="17" s="1"/>
  <c r="E95" i="17"/>
  <c r="G95" i="17" s="1"/>
  <c r="G96" i="17"/>
  <c r="G99" i="17" l="1"/>
  <c r="G100" i="17"/>
  <c r="E101" i="17"/>
  <c r="L101" i="17" s="1"/>
  <c r="E102" i="17" l="1"/>
  <c r="G101" i="17"/>
  <c r="G102" i="17" l="1"/>
  <c r="E103" i="17"/>
  <c r="E104" i="17" l="1"/>
  <c r="G103" i="17"/>
  <c r="G104" i="17" l="1"/>
  <c r="E105" i="17"/>
  <c r="G105" i="17" l="1"/>
  <c r="E106" i="17"/>
  <c r="G106" i="17" l="1"/>
  <c r="E107" i="17"/>
  <c r="G107" i="17" s="1"/>
  <c r="O101" i="17"/>
  <c r="Q101" i="17" s="1"/>
  <c r="L102" i="17"/>
  <c r="L103" i="17" s="1"/>
  <c r="L100" i="17"/>
  <c r="O100" i="17" s="1"/>
  <c r="R100" i="17" s="1"/>
  <c r="R101" i="17" l="1"/>
  <c r="S101" i="17" s="1"/>
  <c r="L99" i="17"/>
  <c r="O99" i="17" s="1"/>
  <c r="Q100" i="17"/>
  <c r="L104" i="17"/>
  <c r="O103" i="17"/>
  <c r="O102" i="17"/>
  <c r="T100" i="17"/>
  <c r="S100" i="17"/>
  <c r="L98" i="17" l="1"/>
  <c r="O98" i="17" s="1"/>
  <c r="T101" i="17"/>
  <c r="U101" i="17" s="1"/>
  <c r="R103" i="17"/>
  <c r="Q103" i="17"/>
  <c r="Q99" i="17"/>
  <c r="R99" i="17"/>
  <c r="U100" i="17"/>
  <c r="V100" i="17"/>
  <c r="Q102" i="17"/>
  <c r="R102" i="17"/>
  <c r="L105" i="17"/>
  <c r="O104" i="17"/>
  <c r="L97" i="17" l="1"/>
  <c r="L96" i="17" s="1"/>
  <c r="V101" i="17"/>
  <c r="X101" i="17" s="1"/>
  <c r="Q104" i="17"/>
  <c r="R104" i="17"/>
  <c r="O105" i="17"/>
  <c r="L106" i="17"/>
  <c r="X100" i="17"/>
  <c r="W100" i="17"/>
  <c r="S103" i="17"/>
  <c r="T103" i="17"/>
  <c r="Q98" i="17"/>
  <c r="R98" i="17"/>
  <c r="S102" i="17"/>
  <c r="T102" i="17"/>
  <c r="T99" i="17"/>
  <c r="S99" i="17"/>
  <c r="O97" i="17" l="1"/>
  <c r="R97" i="17" s="1"/>
  <c r="W101" i="17"/>
  <c r="T98" i="17"/>
  <c r="S98" i="17"/>
  <c r="L95" i="17"/>
  <c r="O95" i="17" s="1"/>
  <c r="O96" i="17"/>
  <c r="Y100" i="17"/>
  <c r="Z100" i="17"/>
  <c r="U99" i="17"/>
  <c r="V99" i="17"/>
  <c r="L107" i="17"/>
  <c r="O107" i="17" s="1"/>
  <c r="O106" i="17"/>
  <c r="T104" i="17"/>
  <c r="S104" i="17"/>
  <c r="Y101" i="17"/>
  <c r="Z101" i="17"/>
  <c r="V102" i="17"/>
  <c r="U102" i="17"/>
  <c r="U103" i="17"/>
  <c r="V103" i="17"/>
  <c r="Q105" i="17"/>
  <c r="R105" i="17"/>
  <c r="Q97" i="17" l="1"/>
  <c r="R107" i="17"/>
  <c r="Q107" i="17"/>
  <c r="W99" i="17"/>
  <c r="X99" i="17"/>
  <c r="Q96" i="17"/>
  <c r="R96" i="17"/>
  <c r="S105" i="17"/>
  <c r="T105" i="17"/>
  <c r="W102" i="17"/>
  <c r="X102" i="17"/>
  <c r="U104" i="17"/>
  <c r="V104" i="17"/>
  <c r="T97" i="17"/>
  <c r="S97" i="17"/>
  <c r="AB100" i="17"/>
  <c r="AA100" i="17"/>
  <c r="W103" i="17"/>
  <c r="X103" i="17"/>
  <c r="AA101" i="17"/>
  <c r="AB101" i="17"/>
  <c r="R106" i="17"/>
  <c r="Q106" i="17"/>
  <c r="U98" i="17"/>
  <c r="V98" i="17"/>
  <c r="R95" i="17"/>
  <c r="Q95" i="17"/>
  <c r="T106" i="17" l="1"/>
  <c r="S106" i="17"/>
  <c r="AD101" i="17"/>
  <c r="AC101" i="17"/>
  <c r="AD100" i="17"/>
  <c r="AC100" i="17"/>
  <c r="T107" i="17"/>
  <c r="S107" i="17"/>
  <c r="S95" i="17"/>
  <c r="T95" i="17"/>
  <c r="Z103" i="17"/>
  <c r="Y103" i="17"/>
  <c r="Z102" i="17"/>
  <c r="Y102" i="17"/>
  <c r="V105" i="17"/>
  <c r="U105" i="17"/>
  <c r="Y99" i="17"/>
  <c r="Z99" i="17"/>
  <c r="V97" i="17"/>
  <c r="U97" i="17"/>
  <c r="W98" i="17"/>
  <c r="X98" i="17"/>
  <c r="X104" i="17"/>
  <c r="W104" i="17"/>
  <c r="S96" i="17"/>
  <c r="T96" i="17"/>
  <c r="AA102" i="17" l="1"/>
  <c r="AB102" i="17"/>
  <c r="U96" i="17"/>
  <c r="V96" i="17"/>
  <c r="W97" i="17"/>
  <c r="X97" i="17"/>
  <c r="X105" i="17"/>
  <c r="W105" i="17"/>
  <c r="AA103" i="17"/>
  <c r="AB103" i="17"/>
  <c r="AE101" i="17"/>
  <c r="AF101" i="17"/>
  <c r="Y98" i="17"/>
  <c r="Z98" i="17"/>
  <c r="AB99" i="17"/>
  <c r="AA99" i="17"/>
  <c r="U107" i="17"/>
  <c r="V107" i="17"/>
  <c r="AF100" i="17"/>
  <c r="AE100" i="17"/>
  <c r="V95" i="17"/>
  <c r="U95" i="17"/>
  <c r="Y104" i="17"/>
  <c r="Z104" i="17"/>
  <c r="U106" i="17"/>
  <c r="V106" i="17"/>
  <c r="AB104" i="17" l="1"/>
  <c r="AA104" i="17"/>
  <c r="W96" i="17"/>
  <c r="X96" i="17"/>
  <c r="X106" i="17"/>
  <c r="W106" i="17"/>
  <c r="AG100" i="17"/>
  <c r="AH100" i="17"/>
  <c r="AC99" i="17"/>
  <c r="AD99" i="17"/>
  <c r="Z105" i="17"/>
  <c r="Y105" i="17"/>
  <c r="X107" i="17"/>
  <c r="W107" i="17"/>
  <c r="AA98" i="17"/>
  <c r="AB98" i="17"/>
  <c r="AD103" i="17"/>
  <c r="AC103" i="17"/>
  <c r="Y97" i="17"/>
  <c r="Z97" i="17"/>
  <c r="AH101" i="17"/>
  <c r="AG101" i="17"/>
  <c r="W95" i="17"/>
  <c r="X95" i="17"/>
  <c r="AD102" i="17"/>
  <c r="AC102" i="17"/>
  <c r="Y106" i="17" l="1"/>
  <c r="Z106" i="17"/>
  <c r="AC104" i="17"/>
  <c r="AD104" i="17"/>
  <c r="AI101" i="17"/>
  <c r="M101" i="17" s="1"/>
  <c r="AJ101" i="17"/>
  <c r="AL101" i="17" s="1"/>
  <c r="AN101" i="17" s="1"/>
  <c r="AI100" i="17"/>
  <c r="M100" i="17" s="1"/>
  <c r="AJ100" i="17"/>
  <c r="AL100" i="17" s="1"/>
  <c r="AN100" i="17" s="1"/>
  <c r="Z96" i="17"/>
  <c r="Y96" i="17"/>
  <c r="Y95" i="17"/>
  <c r="Z95" i="17"/>
  <c r="AF103" i="17"/>
  <c r="AE103" i="17"/>
  <c r="Y107" i="17"/>
  <c r="Z107" i="17"/>
  <c r="AA105" i="17"/>
  <c r="AB105" i="17"/>
  <c r="AE102" i="17"/>
  <c r="AF102" i="17"/>
  <c r="AA97" i="17"/>
  <c r="AB97" i="17"/>
  <c r="AC98" i="17"/>
  <c r="AD98" i="17"/>
  <c r="AF99" i="17"/>
  <c r="AE99" i="17"/>
  <c r="AD97" i="17" l="1"/>
  <c r="AC97" i="17"/>
  <c r="AD105" i="17"/>
  <c r="AC105" i="17"/>
  <c r="AB106" i="17"/>
  <c r="AA106" i="17"/>
  <c r="AH99" i="17"/>
  <c r="AG99" i="17"/>
  <c r="AG103" i="17"/>
  <c r="AH103" i="17"/>
  <c r="AA96" i="17"/>
  <c r="AB96" i="17"/>
  <c r="AE98" i="17"/>
  <c r="AF98" i="17"/>
  <c r="AG102" i="17"/>
  <c r="AH102" i="17"/>
  <c r="AA107" i="17"/>
  <c r="AB107" i="17"/>
  <c r="AB95" i="17"/>
  <c r="AA95" i="17"/>
  <c r="AF104" i="17"/>
  <c r="AE104" i="17"/>
  <c r="AC106" i="17" l="1"/>
  <c r="AD106" i="17"/>
  <c r="AE97" i="17"/>
  <c r="AF97" i="17"/>
  <c r="AC107" i="17"/>
  <c r="AD107" i="17"/>
  <c r="AG98" i="17"/>
  <c r="AH98" i="17"/>
  <c r="AD96" i="17"/>
  <c r="AC96" i="17"/>
  <c r="AH104" i="17"/>
  <c r="AG104" i="17"/>
  <c r="AJ99" i="17"/>
  <c r="AL99" i="17" s="1"/>
  <c r="AN99" i="17" s="1"/>
  <c r="AI99" i="17"/>
  <c r="M99" i="17" s="1"/>
  <c r="AF105" i="17"/>
  <c r="AE105" i="17"/>
  <c r="AD95" i="17"/>
  <c r="AC95" i="17"/>
  <c r="AJ102" i="17"/>
  <c r="AL102" i="17" s="1"/>
  <c r="AN102" i="17" s="1"/>
  <c r="AI102" i="17"/>
  <c r="M102" i="17" s="1"/>
  <c r="AI103" i="17"/>
  <c r="M103" i="17" s="1"/>
  <c r="AJ103" i="17"/>
  <c r="AL103" i="17" s="1"/>
  <c r="AN103" i="17" s="1"/>
  <c r="AE95" i="17" l="1"/>
  <c r="AF95" i="17"/>
  <c r="AE107" i="17"/>
  <c r="AF107" i="17"/>
  <c r="AE106" i="17"/>
  <c r="AF106" i="17"/>
  <c r="AE96" i="17"/>
  <c r="AF96" i="17"/>
  <c r="AG105" i="17"/>
  <c r="AH105" i="17"/>
  <c r="AI104" i="17"/>
  <c r="M104" i="17" s="1"/>
  <c r="AJ104" i="17"/>
  <c r="AL104" i="17" s="1"/>
  <c r="AN104" i="17" s="1"/>
  <c r="AJ98" i="17"/>
  <c r="AL98" i="17" s="1"/>
  <c r="AN98" i="17" s="1"/>
  <c r="AI98" i="17"/>
  <c r="M98" i="17" s="1"/>
  <c r="AG97" i="17"/>
  <c r="AH97" i="17"/>
  <c r="AH96" i="17" l="1"/>
  <c r="AG96" i="17"/>
  <c r="AH95" i="17"/>
  <c r="AG95" i="17"/>
  <c r="AJ105" i="17"/>
  <c r="AL105" i="17" s="1"/>
  <c r="AN105" i="17" s="1"/>
  <c r="AI105" i="17"/>
  <c r="M105" i="17" s="1"/>
  <c r="AG107" i="17"/>
  <c r="AH107" i="17"/>
  <c r="AI97" i="17"/>
  <c r="M97" i="17" s="1"/>
  <c r="AJ97" i="17"/>
  <c r="AL97" i="17" s="1"/>
  <c r="AN97" i="17" s="1"/>
  <c r="AG106" i="17"/>
  <c r="AH106" i="17"/>
  <c r="AI96" i="17" l="1"/>
  <c r="M96" i="17" s="1"/>
  <c r="AJ96" i="17"/>
  <c r="AL96" i="17" s="1"/>
  <c r="AN96" i="17" s="1"/>
  <c r="AI106" i="17"/>
  <c r="M106" i="17" s="1"/>
  <c r="AJ106" i="17"/>
  <c r="AL106" i="17" s="1"/>
  <c r="AN106" i="17" s="1"/>
  <c r="AJ107" i="17"/>
  <c r="AL107" i="17" s="1"/>
  <c r="AN107" i="17" s="1"/>
  <c r="AI107" i="17"/>
  <c r="M107" i="17" s="1"/>
  <c r="AI95" i="17"/>
  <c r="M95" i="17" s="1"/>
  <c r="AJ95" i="17"/>
  <c r="AL95" i="17" s="1"/>
  <c r="AN95" i="17" s="1"/>
  <c r="N8" i="26"/>
  <c r="P8" i="26" s="1"/>
  <c r="F54" i="26"/>
  <c r="K54" i="26" s="1"/>
  <c r="F39" i="26"/>
  <c r="K39" i="26" s="1"/>
  <c r="F8" i="26"/>
  <c r="F43" i="26" s="1"/>
  <c r="K43" i="26" s="1"/>
  <c r="D5" i="26"/>
  <c r="D9" i="26" s="1"/>
  <c r="F9" i="26" s="1"/>
  <c r="D6" i="26" l="1"/>
  <c r="F6" i="26" s="1"/>
  <c r="D10" i="26"/>
  <c r="F10" i="26" s="1"/>
  <c r="K10" i="26" s="1"/>
  <c r="N43" i="26"/>
  <c r="M43" i="26"/>
  <c r="H43" i="26"/>
  <c r="N10" i="26"/>
  <c r="P10" i="26" s="1"/>
  <c r="F44" i="26"/>
  <c r="K44" i="26" s="1"/>
  <c r="F57" i="26"/>
  <c r="K57" i="26" s="1"/>
  <c r="AM118" i="26"/>
  <c r="AM131" i="26"/>
  <c r="AM123" i="26"/>
  <c r="D138" i="26"/>
  <c r="AM120" i="26"/>
  <c r="N6" i="26"/>
  <c r="P6" i="26" s="1"/>
  <c r="AM132" i="26"/>
  <c r="AM119" i="26"/>
  <c r="AM125" i="26"/>
  <c r="AM133" i="26"/>
  <c r="F51" i="26"/>
  <c r="K51" i="26" s="1"/>
  <c r="AM111" i="26"/>
  <c r="D110" i="26" s="1"/>
  <c r="K6" i="26"/>
  <c r="K9" i="26"/>
  <c r="N9" i="26"/>
  <c r="P9" i="26" s="1"/>
  <c r="F49" i="26"/>
  <c r="K49" i="26" s="1"/>
  <c r="F50" i="26"/>
  <c r="K50" i="26" s="1"/>
  <c r="H39" i="26"/>
  <c r="M39" i="26"/>
  <c r="N39" i="26"/>
  <c r="H54" i="26"/>
  <c r="M54" i="26"/>
  <c r="N54" i="26"/>
  <c r="F5" i="26"/>
  <c r="D29" i="26"/>
  <c r="F29" i="26" s="1"/>
  <c r="D30" i="26"/>
  <c r="F30" i="26" s="1"/>
  <c r="K8" i="26"/>
  <c r="F55" i="26"/>
  <c r="K55" i="26" s="1"/>
  <c r="F42" i="26"/>
  <c r="K42" i="26" s="1"/>
  <c r="D11" i="26"/>
  <c r="F11" i="26" s="1"/>
  <c r="F45" i="26" l="1"/>
  <c r="K45" i="26" s="1"/>
  <c r="H45" i="26" s="1"/>
  <c r="P54" i="26"/>
  <c r="O54" i="26"/>
  <c r="M49" i="26"/>
  <c r="H49" i="26"/>
  <c r="N49" i="26"/>
  <c r="D135" i="26"/>
  <c r="D137" i="26"/>
  <c r="D134" i="26"/>
  <c r="F131" i="26"/>
  <c r="K131" i="26" s="1"/>
  <c r="F133" i="26"/>
  <c r="K133" i="26" s="1"/>
  <c r="F129" i="26"/>
  <c r="K129" i="26" s="1"/>
  <c r="F113" i="26"/>
  <c r="K113" i="26" s="1"/>
  <c r="F112" i="26"/>
  <c r="K112" i="26" s="1"/>
  <c r="F127" i="26"/>
  <c r="K127" i="26" s="1"/>
  <c r="F125" i="26"/>
  <c r="K125" i="26" s="1"/>
  <c r="F130" i="26"/>
  <c r="K130" i="26" s="1"/>
  <c r="F121" i="26"/>
  <c r="K121" i="26" s="1"/>
  <c r="F128" i="26"/>
  <c r="K128" i="26" s="1"/>
  <c r="F114" i="26"/>
  <c r="K114" i="26" s="1"/>
  <c r="F117" i="26"/>
  <c r="K117" i="26" s="1"/>
  <c r="F120" i="26"/>
  <c r="K120" i="26" s="1"/>
  <c r="D136" i="26"/>
  <c r="F118" i="26"/>
  <c r="K118" i="26" s="1"/>
  <c r="F111" i="26"/>
  <c r="K111" i="26" s="1"/>
  <c r="F119" i="26"/>
  <c r="K119" i="26" s="1"/>
  <c r="F116" i="26"/>
  <c r="K116" i="26" s="1"/>
  <c r="F123" i="26"/>
  <c r="K123" i="26" s="1"/>
  <c r="F124" i="26"/>
  <c r="K124" i="26" s="1"/>
  <c r="F115" i="26"/>
  <c r="K115" i="26" s="1"/>
  <c r="F122" i="26"/>
  <c r="K122" i="26" s="1"/>
  <c r="F132" i="26"/>
  <c r="K132" i="26" s="1"/>
  <c r="F126" i="26"/>
  <c r="K126" i="26" s="1"/>
  <c r="N11" i="26"/>
  <c r="P11" i="26" s="1"/>
  <c r="K11" i="26"/>
  <c r="F62" i="26"/>
  <c r="K62" i="26" s="1"/>
  <c r="F60" i="26"/>
  <c r="K60" i="26" s="1"/>
  <c r="N30" i="26"/>
  <c r="P30" i="26" s="1"/>
  <c r="K30" i="26"/>
  <c r="H42" i="26"/>
  <c r="N42" i="26"/>
  <c r="M42" i="26"/>
  <c r="M51" i="26"/>
  <c r="N51" i="26"/>
  <c r="N29" i="26"/>
  <c r="P29" i="26" s="1"/>
  <c r="K29" i="26"/>
  <c r="M57" i="26"/>
  <c r="N57" i="26"/>
  <c r="H57" i="26"/>
  <c r="H55" i="26"/>
  <c r="M55" i="26"/>
  <c r="N55" i="26"/>
  <c r="K5" i="26"/>
  <c r="F56" i="26"/>
  <c r="K56" i="26" s="1"/>
  <c r="F37" i="26"/>
  <c r="K37" i="26" s="1"/>
  <c r="F58" i="26"/>
  <c r="K58" i="26" s="1"/>
  <c r="F38" i="26"/>
  <c r="K38" i="26" s="1"/>
  <c r="N5" i="26"/>
  <c r="P5" i="26" s="1"/>
  <c r="F36" i="26"/>
  <c r="K36" i="26" s="1"/>
  <c r="F108" i="26"/>
  <c r="K108" i="26" s="1"/>
  <c r="O39" i="26"/>
  <c r="P39" i="26"/>
  <c r="H50" i="26"/>
  <c r="N50" i="26"/>
  <c r="M50" i="26"/>
  <c r="H44" i="26"/>
  <c r="M44" i="26"/>
  <c r="N44" i="26"/>
  <c r="O43" i="26"/>
  <c r="P43" i="26"/>
  <c r="M45" i="26" l="1"/>
  <c r="N45" i="26"/>
  <c r="O45" i="26" s="1"/>
  <c r="H36" i="26"/>
  <c r="N36" i="26"/>
  <c r="M36" i="26"/>
  <c r="N124" i="26"/>
  <c r="M124" i="26"/>
  <c r="M117" i="26"/>
  <c r="N117" i="26"/>
  <c r="M113" i="26"/>
  <c r="N113" i="26"/>
  <c r="Q43" i="26"/>
  <c r="R43" i="26"/>
  <c r="H56" i="26"/>
  <c r="M56" i="26"/>
  <c r="N56" i="26"/>
  <c r="N123" i="26"/>
  <c r="M123" i="26"/>
  <c r="M114" i="26"/>
  <c r="N114" i="26"/>
  <c r="M129" i="26"/>
  <c r="N129" i="26"/>
  <c r="H38" i="26"/>
  <c r="M38" i="26"/>
  <c r="N38" i="26"/>
  <c r="H62" i="26"/>
  <c r="N62" i="26"/>
  <c r="M62" i="26"/>
  <c r="M122" i="26"/>
  <c r="N122" i="26"/>
  <c r="M116" i="26"/>
  <c r="N116" i="26"/>
  <c r="M128" i="26"/>
  <c r="N128" i="26"/>
  <c r="N127" i="26"/>
  <c r="M127" i="26"/>
  <c r="M133" i="26"/>
  <c r="N133" i="26"/>
  <c r="H37" i="26"/>
  <c r="M37" i="26"/>
  <c r="N37" i="26"/>
  <c r="N126" i="26"/>
  <c r="M126" i="26"/>
  <c r="M111" i="26"/>
  <c r="N111" i="26"/>
  <c r="M130" i="26"/>
  <c r="N130" i="26"/>
  <c r="Q39" i="26"/>
  <c r="R39" i="26"/>
  <c r="O42" i="26"/>
  <c r="P42" i="26"/>
  <c r="H60" i="26"/>
  <c r="M60" i="26"/>
  <c r="N60" i="26"/>
  <c r="N132" i="26"/>
  <c r="M132" i="26"/>
  <c r="M118" i="26"/>
  <c r="N118" i="26"/>
  <c r="M125" i="26"/>
  <c r="N125" i="26"/>
  <c r="O44" i="26"/>
  <c r="P44" i="26"/>
  <c r="P50" i="26"/>
  <c r="O50" i="26"/>
  <c r="N108" i="26"/>
  <c r="M108" i="26"/>
  <c r="H58" i="26"/>
  <c r="M58" i="26"/>
  <c r="N58" i="26"/>
  <c r="R23" i="26"/>
  <c r="O55" i="26"/>
  <c r="P55" i="26"/>
  <c r="O57" i="26"/>
  <c r="P57" i="26"/>
  <c r="O51" i="26"/>
  <c r="P51" i="26"/>
  <c r="M115" i="26"/>
  <c r="N115" i="26"/>
  <c r="N119" i="26"/>
  <c r="M119" i="26"/>
  <c r="M120" i="26"/>
  <c r="N120" i="26"/>
  <c r="N121" i="26"/>
  <c r="M121" i="26"/>
  <c r="M112" i="26"/>
  <c r="N112" i="26"/>
  <c r="M131" i="26"/>
  <c r="N131" i="26"/>
  <c r="O49" i="26"/>
  <c r="P49" i="26"/>
  <c r="R54" i="26"/>
  <c r="Q54" i="26"/>
  <c r="P45" i="26" l="1"/>
  <c r="R45" i="26" s="1"/>
  <c r="O112" i="26"/>
  <c r="P112" i="26"/>
  <c r="O115" i="26"/>
  <c r="P115" i="26"/>
  <c r="R44" i="26"/>
  <c r="Q44" i="26"/>
  <c r="O37" i="26"/>
  <c r="P37" i="26"/>
  <c r="O117" i="26"/>
  <c r="P117" i="26"/>
  <c r="O60" i="26"/>
  <c r="P60" i="26"/>
  <c r="P116" i="26"/>
  <c r="O116" i="26"/>
  <c r="O56" i="26"/>
  <c r="P56" i="26"/>
  <c r="O131" i="26"/>
  <c r="P131" i="26"/>
  <c r="Q55" i="26"/>
  <c r="R55" i="26"/>
  <c r="S39" i="26"/>
  <c r="T39" i="26"/>
  <c r="O111" i="26"/>
  <c r="P111" i="26"/>
  <c r="O127" i="26"/>
  <c r="P127" i="26"/>
  <c r="P38" i="26"/>
  <c r="O38" i="26"/>
  <c r="P129" i="26"/>
  <c r="O129" i="26"/>
  <c r="O113" i="26"/>
  <c r="P113" i="26"/>
  <c r="Q49" i="26"/>
  <c r="R49" i="26"/>
  <c r="O120" i="26"/>
  <c r="P120" i="26"/>
  <c r="Q57" i="26"/>
  <c r="R57" i="26"/>
  <c r="D92" i="26"/>
  <c r="F92" i="26" s="1"/>
  <c r="K92" i="26" s="1"/>
  <c r="D23" i="26"/>
  <c r="O132" i="26"/>
  <c r="P132" i="26"/>
  <c r="R42" i="26"/>
  <c r="Q42" i="26"/>
  <c r="O130" i="26"/>
  <c r="P130" i="26"/>
  <c r="O62" i="26"/>
  <c r="P62" i="26"/>
  <c r="O114" i="26"/>
  <c r="P114" i="26"/>
  <c r="S43" i="26"/>
  <c r="T43" i="26"/>
  <c r="O58" i="26"/>
  <c r="P58" i="26"/>
  <c r="O108" i="26"/>
  <c r="P108" i="26"/>
  <c r="O118" i="26"/>
  <c r="P118" i="26"/>
  <c r="O126" i="26"/>
  <c r="P126" i="26"/>
  <c r="Q51" i="26"/>
  <c r="R51" i="26"/>
  <c r="S54" i="26"/>
  <c r="T54" i="26"/>
  <c r="P121" i="26"/>
  <c r="O121" i="26"/>
  <c r="O119" i="26"/>
  <c r="P119" i="26"/>
  <c r="Q50" i="26"/>
  <c r="R50" i="26"/>
  <c r="O125" i="26"/>
  <c r="P125" i="26"/>
  <c r="O133" i="26"/>
  <c r="P133" i="26"/>
  <c r="O128" i="26"/>
  <c r="P128" i="26"/>
  <c r="O122" i="26"/>
  <c r="P122" i="26"/>
  <c r="O123" i="26"/>
  <c r="P123" i="26"/>
  <c r="O124" i="26"/>
  <c r="P124" i="26"/>
  <c r="O36" i="26"/>
  <c r="P36" i="26"/>
  <c r="Q45" i="26" l="1"/>
  <c r="Q121" i="26"/>
  <c r="R121" i="26"/>
  <c r="Q114" i="26"/>
  <c r="R114" i="26"/>
  <c r="Q127" i="26"/>
  <c r="R127" i="26"/>
  <c r="Q131" i="26"/>
  <c r="R131" i="26"/>
  <c r="Q124" i="26"/>
  <c r="R124" i="26"/>
  <c r="Q122" i="26"/>
  <c r="R122" i="26"/>
  <c r="S42" i="26"/>
  <c r="T42" i="26"/>
  <c r="S55" i="26"/>
  <c r="T55" i="26"/>
  <c r="U54" i="26"/>
  <c r="V54" i="26"/>
  <c r="U43" i="26"/>
  <c r="V43" i="26"/>
  <c r="Q62" i="26"/>
  <c r="R62" i="26"/>
  <c r="Q130" i="26"/>
  <c r="R130" i="26"/>
  <c r="Q132" i="26"/>
  <c r="R132" i="26"/>
  <c r="N92" i="26"/>
  <c r="M92" i="26"/>
  <c r="Q38" i="26"/>
  <c r="R38" i="26"/>
  <c r="R111" i="26"/>
  <c r="Q111" i="26"/>
  <c r="S45" i="26"/>
  <c r="T45" i="26"/>
  <c r="Q123" i="26"/>
  <c r="R123" i="26"/>
  <c r="T51" i="26"/>
  <c r="S51" i="26"/>
  <c r="Q129" i="26"/>
  <c r="R129" i="26"/>
  <c r="U39" i="26"/>
  <c r="V39" i="26"/>
  <c r="Q60" i="26"/>
  <c r="R60" i="26"/>
  <c r="Q117" i="26"/>
  <c r="R117" i="26"/>
  <c r="Q133" i="26"/>
  <c r="R133" i="26"/>
  <c r="Q125" i="26"/>
  <c r="R125" i="26"/>
  <c r="Q119" i="26"/>
  <c r="R119" i="26"/>
  <c r="R126" i="26"/>
  <c r="Q126" i="26"/>
  <c r="Q108" i="26"/>
  <c r="R108" i="26"/>
  <c r="D24" i="26"/>
  <c r="F24" i="26" s="1"/>
  <c r="F23" i="26"/>
  <c r="D25" i="26"/>
  <c r="F25" i="26" s="1"/>
  <c r="D26" i="26"/>
  <c r="F26" i="26" s="1"/>
  <c r="R120" i="26"/>
  <c r="Q120" i="26"/>
  <c r="Q116" i="26"/>
  <c r="R116" i="26"/>
  <c r="Q115" i="26"/>
  <c r="R115" i="26"/>
  <c r="Q36" i="26"/>
  <c r="R36" i="26"/>
  <c r="R128" i="26"/>
  <c r="Q128" i="26"/>
  <c r="S50" i="26"/>
  <c r="T50" i="26"/>
  <c r="Q118" i="26"/>
  <c r="R118" i="26"/>
  <c r="Q58" i="26"/>
  <c r="R58" i="26"/>
  <c r="S57" i="26"/>
  <c r="T57" i="26"/>
  <c r="S49" i="26"/>
  <c r="T49" i="26"/>
  <c r="Q113" i="26"/>
  <c r="R113" i="26"/>
  <c r="Q56" i="26"/>
  <c r="R56" i="26"/>
  <c r="R37" i="26"/>
  <c r="Q37" i="26"/>
  <c r="S44" i="26"/>
  <c r="T44" i="26"/>
  <c r="R112" i="26"/>
  <c r="Q112" i="26"/>
  <c r="S37" i="26" l="1"/>
  <c r="T37" i="26"/>
  <c r="T115" i="26"/>
  <c r="S115" i="26"/>
  <c r="S117" i="26"/>
  <c r="T117" i="26"/>
  <c r="S123" i="26"/>
  <c r="T123" i="26"/>
  <c r="W43" i="26"/>
  <c r="X43" i="26"/>
  <c r="U55" i="26"/>
  <c r="V55" i="26"/>
  <c r="X55" i="26" s="1"/>
  <c r="Z55" i="26" s="1"/>
  <c r="AB55" i="26" s="1"/>
  <c r="AD55" i="26" s="1"/>
  <c r="AF55" i="26" s="1"/>
  <c r="AH55" i="26" s="1"/>
  <c r="AJ55" i="26" s="1"/>
  <c r="S131" i="26"/>
  <c r="T131" i="26"/>
  <c r="T120" i="26"/>
  <c r="S120" i="26"/>
  <c r="K24" i="26"/>
  <c r="N24" i="26"/>
  <c r="P24" i="26" s="1"/>
  <c r="T126" i="26"/>
  <c r="S126" i="26"/>
  <c r="S111" i="26"/>
  <c r="T111" i="26"/>
  <c r="O92" i="26"/>
  <c r="P92" i="26"/>
  <c r="G55" i="26"/>
  <c r="S56" i="26"/>
  <c r="T56" i="26"/>
  <c r="U49" i="26"/>
  <c r="V49" i="26"/>
  <c r="S58" i="26"/>
  <c r="T58" i="26"/>
  <c r="U50" i="26"/>
  <c r="V50" i="26"/>
  <c r="S36" i="26"/>
  <c r="T36" i="26"/>
  <c r="S116" i="26"/>
  <c r="T116" i="26"/>
  <c r="F97" i="26"/>
  <c r="K97" i="26" s="1"/>
  <c r="F100" i="26"/>
  <c r="K100" i="26" s="1"/>
  <c r="N26" i="26"/>
  <c r="P26" i="26" s="1"/>
  <c r="K26" i="26"/>
  <c r="F98" i="26"/>
  <c r="K98" i="26" s="1"/>
  <c r="F99" i="26"/>
  <c r="K99" i="26" s="1"/>
  <c r="S108" i="26"/>
  <c r="T108" i="26"/>
  <c r="S119" i="26"/>
  <c r="T119" i="26"/>
  <c r="S133" i="26"/>
  <c r="T133" i="26"/>
  <c r="T60" i="26"/>
  <c r="S60" i="26"/>
  <c r="S129" i="26"/>
  <c r="T129" i="26"/>
  <c r="U51" i="26"/>
  <c r="V51" i="26"/>
  <c r="U45" i="26"/>
  <c r="G45" i="26" s="1"/>
  <c r="V45" i="26"/>
  <c r="X45" i="26" s="1"/>
  <c r="Z45" i="26" s="1"/>
  <c r="AB45" i="26" s="1"/>
  <c r="AD45" i="26" s="1"/>
  <c r="AF45" i="26" s="1"/>
  <c r="AH45" i="26" s="1"/>
  <c r="AJ45" i="26" s="1"/>
  <c r="S38" i="26"/>
  <c r="T38" i="26"/>
  <c r="S132" i="26"/>
  <c r="T132" i="26"/>
  <c r="S62" i="26"/>
  <c r="T62" i="26"/>
  <c r="X54" i="26"/>
  <c r="W54" i="26"/>
  <c r="U42" i="26"/>
  <c r="V42" i="26"/>
  <c r="S124" i="26"/>
  <c r="T124" i="26"/>
  <c r="T127" i="26"/>
  <c r="S127" i="26"/>
  <c r="S121" i="26"/>
  <c r="T121" i="26"/>
  <c r="S112" i="26"/>
  <c r="T112" i="26"/>
  <c r="T113" i="26"/>
  <c r="S113" i="26"/>
  <c r="U57" i="26"/>
  <c r="G57" i="26" s="1"/>
  <c r="V57" i="26"/>
  <c r="X57" i="26" s="1"/>
  <c r="Z57" i="26" s="1"/>
  <c r="AB57" i="26" s="1"/>
  <c r="AD57" i="26" s="1"/>
  <c r="AF57" i="26" s="1"/>
  <c r="AH57" i="26" s="1"/>
  <c r="AJ57" i="26" s="1"/>
  <c r="S118" i="26"/>
  <c r="T118" i="26"/>
  <c r="K23" i="26"/>
  <c r="N23" i="26"/>
  <c r="P23" i="26" s="1"/>
  <c r="S125" i="26"/>
  <c r="T125" i="26"/>
  <c r="W39" i="26"/>
  <c r="X39" i="26"/>
  <c r="T130" i="26"/>
  <c r="S130" i="26"/>
  <c r="S122" i="26"/>
  <c r="T122" i="26"/>
  <c r="S114" i="26"/>
  <c r="T114" i="26"/>
  <c r="U44" i="26"/>
  <c r="G44" i="26" s="1"/>
  <c r="V44" i="26"/>
  <c r="X44" i="26" s="1"/>
  <c r="Z44" i="26" s="1"/>
  <c r="AB44" i="26" s="1"/>
  <c r="AD44" i="26" s="1"/>
  <c r="AF44" i="26" s="1"/>
  <c r="AH44" i="26" s="1"/>
  <c r="AJ44" i="26" s="1"/>
  <c r="S128" i="26"/>
  <c r="T128" i="26"/>
  <c r="N25" i="26"/>
  <c r="P25" i="26" s="1"/>
  <c r="K25" i="26"/>
  <c r="U112" i="26" l="1"/>
  <c r="V112" i="26"/>
  <c r="W42" i="26"/>
  <c r="X42" i="26"/>
  <c r="U62" i="26"/>
  <c r="V62" i="26"/>
  <c r="U38" i="26"/>
  <c r="V38" i="26"/>
  <c r="W51" i="26"/>
  <c r="X51" i="26"/>
  <c r="V119" i="26"/>
  <c r="U119" i="26"/>
  <c r="M100" i="26"/>
  <c r="N100" i="26"/>
  <c r="U37" i="26"/>
  <c r="V37" i="26"/>
  <c r="M98" i="26"/>
  <c r="N98" i="26"/>
  <c r="U123" i="26"/>
  <c r="V123" i="26"/>
  <c r="V122" i="26"/>
  <c r="U122" i="26"/>
  <c r="U118" i="26"/>
  <c r="V118" i="26"/>
  <c r="V121" i="26"/>
  <c r="U121" i="26"/>
  <c r="U124" i="26"/>
  <c r="V124" i="26"/>
  <c r="V132" i="26"/>
  <c r="U132" i="26"/>
  <c r="U129" i="26"/>
  <c r="V129" i="26"/>
  <c r="U133" i="26"/>
  <c r="V133" i="26"/>
  <c r="U108" i="26"/>
  <c r="V108" i="26"/>
  <c r="U116" i="26"/>
  <c r="V116" i="26"/>
  <c r="W50" i="26"/>
  <c r="X50" i="26"/>
  <c r="W49" i="26"/>
  <c r="X49" i="26"/>
  <c r="Q92" i="26"/>
  <c r="R92" i="26"/>
  <c r="U131" i="26"/>
  <c r="V131" i="26"/>
  <c r="Y43" i="26"/>
  <c r="Z43" i="26"/>
  <c r="U128" i="26"/>
  <c r="V128" i="26"/>
  <c r="U114" i="26"/>
  <c r="V114" i="26"/>
  <c r="M99" i="26"/>
  <c r="N99" i="26"/>
  <c r="U36" i="26"/>
  <c r="V36" i="26"/>
  <c r="U58" i="26"/>
  <c r="V58" i="26"/>
  <c r="U56" i="26"/>
  <c r="G56" i="26" s="1"/>
  <c r="V56" i="26"/>
  <c r="X56" i="26" s="1"/>
  <c r="Z56" i="26" s="1"/>
  <c r="AB56" i="26" s="1"/>
  <c r="AD56" i="26" s="1"/>
  <c r="AF56" i="26" s="1"/>
  <c r="AH56" i="26" s="1"/>
  <c r="AJ56" i="26" s="1"/>
  <c r="U111" i="26"/>
  <c r="V111" i="26"/>
  <c r="U126" i="26"/>
  <c r="V126" i="26"/>
  <c r="U120" i="26"/>
  <c r="V120" i="26"/>
  <c r="U130" i="26"/>
  <c r="V130" i="26"/>
  <c r="U125" i="26"/>
  <c r="V125" i="26"/>
  <c r="U127" i="26"/>
  <c r="V127" i="26"/>
  <c r="U60" i="26"/>
  <c r="V60" i="26"/>
  <c r="N97" i="26"/>
  <c r="M97" i="26"/>
  <c r="Y39" i="26"/>
  <c r="Z39" i="26"/>
  <c r="U113" i="26"/>
  <c r="V113" i="26"/>
  <c r="Y54" i="26"/>
  <c r="G54" i="26" s="1"/>
  <c r="Z54" i="26"/>
  <c r="AB54" i="26" s="1"/>
  <c r="AD54" i="26" s="1"/>
  <c r="AF54" i="26" s="1"/>
  <c r="AH54" i="26" s="1"/>
  <c r="AJ54" i="26" s="1"/>
  <c r="U117" i="26"/>
  <c r="V117" i="26"/>
  <c r="U115" i="26"/>
  <c r="V115" i="26"/>
  <c r="O97" i="26" l="1"/>
  <c r="P97" i="26"/>
  <c r="W130" i="26"/>
  <c r="X130" i="26"/>
  <c r="W126" i="26"/>
  <c r="X126" i="26"/>
  <c r="W36" i="26"/>
  <c r="X36" i="26"/>
  <c r="W114" i="26"/>
  <c r="X114" i="26"/>
  <c r="W132" i="26"/>
  <c r="X132" i="26"/>
  <c r="W37" i="26"/>
  <c r="X37" i="26"/>
  <c r="W38" i="26"/>
  <c r="X38" i="26"/>
  <c r="Y42" i="26"/>
  <c r="Z42" i="26"/>
  <c r="W117" i="26"/>
  <c r="X117" i="26"/>
  <c r="AA39" i="26"/>
  <c r="G39" i="26" s="1"/>
  <c r="AB39" i="26"/>
  <c r="AD39" i="26" s="1"/>
  <c r="AF39" i="26" s="1"/>
  <c r="AH39" i="26" s="1"/>
  <c r="AJ39" i="26" s="1"/>
  <c r="W60" i="26"/>
  <c r="X60" i="26"/>
  <c r="AA43" i="26"/>
  <c r="G43" i="26" s="1"/>
  <c r="AB43" i="26"/>
  <c r="AD43" i="26" s="1"/>
  <c r="AF43" i="26" s="1"/>
  <c r="AH43" i="26" s="1"/>
  <c r="AJ43" i="26" s="1"/>
  <c r="S92" i="26"/>
  <c r="T92" i="26"/>
  <c r="Y50" i="26"/>
  <c r="G50" i="26" s="1"/>
  <c r="Z50" i="26"/>
  <c r="AB50" i="26" s="1"/>
  <c r="AD50" i="26" s="1"/>
  <c r="AF50" i="26" s="1"/>
  <c r="AH50" i="26" s="1"/>
  <c r="AJ50" i="26" s="1"/>
  <c r="W108" i="26"/>
  <c r="X108" i="26"/>
  <c r="W129" i="26"/>
  <c r="X129" i="26"/>
  <c r="W121" i="26"/>
  <c r="X121" i="26"/>
  <c r="W122" i="26"/>
  <c r="X122" i="26"/>
  <c r="O98" i="26"/>
  <c r="P98" i="26"/>
  <c r="W119" i="26"/>
  <c r="X119" i="26"/>
  <c r="W113" i="26"/>
  <c r="X113" i="26"/>
  <c r="W125" i="26"/>
  <c r="X125" i="26"/>
  <c r="W120" i="26"/>
  <c r="X120" i="26"/>
  <c r="W111" i="26"/>
  <c r="X111" i="26"/>
  <c r="W58" i="26"/>
  <c r="X58" i="26"/>
  <c r="O99" i="26"/>
  <c r="P99" i="26"/>
  <c r="W128" i="26"/>
  <c r="X128" i="26"/>
  <c r="W124" i="26"/>
  <c r="X124" i="26"/>
  <c r="X118" i="26"/>
  <c r="W118" i="26"/>
  <c r="O100" i="26"/>
  <c r="P100" i="26"/>
  <c r="Y51" i="26"/>
  <c r="G51" i="26" s="1"/>
  <c r="Z51" i="26"/>
  <c r="AB51" i="26" s="1"/>
  <c r="AD51" i="26" s="1"/>
  <c r="AF51" i="26" s="1"/>
  <c r="AH51" i="26" s="1"/>
  <c r="AJ51" i="26" s="1"/>
  <c r="X62" i="26"/>
  <c r="W62" i="26"/>
  <c r="W112" i="26"/>
  <c r="X112" i="26"/>
  <c r="W115" i="26"/>
  <c r="X115" i="26"/>
  <c r="W127" i="26"/>
  <c r="X127" i="26"/>
  <c r="W131" i="26"/>
  <c r="X131" i="26"/>
  <c r="Y49" i="26"/>
  <c r="G49" i="26" s="1"/>
  <c r="Z49" i="26"/>
  <c r="AB49" i="26" s="1"/>
  <c r="AD49" i="26" s="1"/>
  <c r="AF49" i="26" s="1"/>
  <c r="AH49" i="26" s="1"/>
  <c r="AJ49" i="26" s="1"/>
  <c r="W116" i="26"/>
  <c r="X116" i="26"/>
  <c r="W133" i="26"/>
  <c r="X133" i="26"/>
  <c r="W123" i="26"/>
  <c r="X123" i="26"/>
  <c r="Y121" i="26" l="1"/>
  <c r="Z121" i="26"/>
  <c r="Z126" i="26"/>
  <c r="Y126" i="26"/>
  <c r="Y123" i="26"/>
  <c r="Z123" i="26"/>
  <c r="Z115" i="26"/>
  <c r="Y115" i="26"/>
  <c r="Q100" i="26"/>
  <c r="R100" i="26"/>
  <c r="Y118" i="26"/>
  <c r="Z118" i="26"/>
  <c r="Q99" i="26"/>
  <c r="R99" i="26"/>
  <c r="Y125" i="26"/>
  <c r="Z125" i="26"/>
  <c r="Q97" i="26"/>
  <c r="R97" i="26"/>
  <c r="Z116" i="26"/>
  <c r="Y116" i="26"/>
  <c r="Y131" i="26"/>
  <c r="Z131" i="26"/>
  <c r="Z127" i="26"/>
  <c r="Y127" i="26"/>
  <c r="Y62" i="26"/>
  <c r="G62" i="26" s="1"/>
  <c r="Z62" i="26"/>
  <c r="AB62" i="26" s="1"/>
  <c r="AD62" i="26" s="1"/>
  <c r="AF62" i="26" s="1"/>
  <c r="AH62" i="26" s="1"/>
  <c r="AJ62" i="26" s="1"/>
  <c r="Y124" i="26"/>
  <c r="Z124" i="26"/>
  <c r="Z119" i="26"/>
  <c r="Y119" i="26"/>
  <c r="Y122" i="26"/>
  <c r="Z122" i="26"/>
  <c r="Y129" i="26"/>
  <c r="Z129" i="26"/>
  <c r="Y36" i="26"/>
  <c r="Z36" i="26"/>
  <c r="Y130" i="26"/>
  <c r="Z130" i="26"/>
  <c r="Y133" i="26"/>
  <c r="Z133" i="26"/>
  <c r="Q98" i="26"/>
  <c r="R98" i="26"/>
  <c r="Y108" i="26"/>
  <c r="Z108" i="26"/>
  <c r="U92" i="26"/>
  <c r="V92" i="26"/>
  <c r="Y37" i="26"/>
  <c r="G37" i="26" s="1"/>
  <c r="Z37" i="26"/>
  <c r="AB37" i="26" s="1"/>
  <c r="AD37" i="26" s="1"/>
  <c r="AF37" i="26" s="1"/>
  <c r="AH37" i="26" s="1"/>
  <c r="AJ37" i="26" s="1"/>
  <c r="Z114" i="26"/>
  <c r="Y114" i="26"/>
  <c r="Y111" i="26"/>
  <c r="Z111" i="26"/>
  <c r="Y60" i="26"/>
  <c r="G60" i="26" s="1"/>
  <c r="Z60" i="26"/>
  <c r="AB60" i="26" s="1"/>
  <c r="AD60" i="26" s="1"/>
  <c r="AF60" i="26" s="1"/>
  <c r="AH60" i="26" s="1"/>
  <c r="AJ60" i="26" s="1"/>
  <c r="Y117" i="26"/>
  <c r="Z117" i="26"/>
  <c r="Y38" i="26"/>
  <c r="G38" i="26" s="1"/>
  <c r="Z38" i="26"/>
  <c r="AB38" i="26" s="1"/>
  <c r="AD38" i="26" s="1"/>
  <c r="AF38" i="26" s="1"/>
  <c r="AH38" i="26" s="1"/>
  <c r="AJ38" i="26" s="1"/>
  <c r="Z112" i="26"/>
  <c r="Y112" i="26"/>
  <c r="Y128" i="26"/>
  <c r="Z128" i="26"/>
  <c r="Y58" i="26"/>
  <c r="Z58" i="26"/>
  <c r="Y120" i="26"/>
  <c r="Z120" i="26"/>
  <c r="Y113" i="26"/>
  <c r="Z113" i="26"/>
  <c r="AA42" i="26"/>
  <c r="G42" i="26" s="1"/>
  <c r="AB42" i="26"/>
  <c r="AD42" i="26" s="1"/>
  <c r="AF42" i="26" s="1"/>
  <c r="AH42" i="26" s="1"/>
  <c r="AJ42" i="26" s="1"/>
  <c r="Z132" i="26"/>
  <c r="Y132" i="26"/>
  <c r="AA119" i="26" l="1"/>
  <c r="AB119" i="26"/>
  <c r="AA118" i="26"/>
  <c r="AB118" i="26"/>
  <c r="AB113" i="26"/>
  <c r="AA113" i="26"/>
  <c r="AA58" i="26"/>
  <c r="G58" i="26" s="1"/>
  <c r="AB58" i="26"/>
  <c r="AD58" i="26" s="1"/>
  <c r="AF58" i="26" s="1"/>
  <c r="AH58" i="26" s="1"/>
  <c r="AJ58" i="26" s="1"/>
  <c r="W92" i="26"/>
  <c r="X92" i="26"/>
  <c r="AA133" i="26"/>
  <c r="AB133" i="26"/>
  <c r="AB126" i="26"/>
  <c r="AA126" i="26"/>
  <c r="AB112" i="26"/>
  <c r="AA112" i="26"/>
  <c r="AA117" i="26"/>
  <c r="AB117" i="26"/>
  <c r="AA111" i="26"/>
  <c r="AB111" i="26"/>
  <c r="AA124" i="26"/>
  <c r="AB124" i="26"/>
  <c r="S99" i="26"/>
  <c r="T99" i="26"/>
  <c r="T100" i="26"/>
  <c r="S100" i="26"/>
  <c r="AA123" i="26"/>
  <c r="AB123" i="26"/>
  <c r="AB121" i="26"/>
  <c r="AA121" i="26"/>
  <c r="AA131" i="26"/>
  <c r="AB131" i="26"/>
  <c r="AB125" i="26"/>
  <c r="AA125" i="26"/>
  <c r="AA114" i="26"/>
  <c r="AB114" i="26"/>
  <c r="S98" i="26"/>
  <c r="T98" i="26"/>
  <c r="AA36" i="26"/>
  <c r="G36" i="26" s="1"/>
  <c r="AB36" i="26"/>
  <c r="AD36" i="26" s="1"/>
  <c r="AF36" i="26" s="1"/>
  <c r="AH36" i="26" s="1"/>
  <c r="AJ36" i="26" s="1"/>
  <c r="AB122" i="26"/>
  <c r="AA122" i="26"/>
  <c r="S97" i="26"/>
  <c r="T97" i="26"/>
  <c r="AB115" i="26"/>
  <c r="AA115" i="26"/>
  <c r="AA132" i="26"/>
  <c r="AB132" i="26"/>
  <c r="AA120" i="26"/>
  <c r="AB120" i="26"/>
  <c r="AA128" i="26"/>
  <c r="AB128" i="26"/>
  <c r="AA108" i="26"/>
  <c r="AB108" i="26"/>
  <c r="AA130" i="26"/>
  <c r="AB130" i="26"/>
  <c r="AA129" i="26"/>
  <c r="AB129" i="26"/>
  <c r="AA127" i="26"/>
  <c r="AB127" i="26"/>
  <c r="AA116" i="26"/>
  <c r="AB116" i="26"/>
  <c r="AC127" i="26" l="1"/>
  <c r="AD127" i="26"/>
  <c r="AC114" i="26"/>
  <c r="AD114" i="26"/>
  <c r="AC121" i="26"/>
  <c r="AD121" i="26"/>
  <c r="U100" i="26"/>
  <c r="V100" i="26"/>
  <c r="AC111" i="26"/>
  <c r="AD111" i="26"/>
  <c r="AD123" i="26"/>
  <c r="AC123" i="26"/>
  <c r="U99" i="26"/>
  <c r="V99" i="26"/>
  <c r="AC124" i="26"/>
  <c r="AD124" i="26"/>
  <c r="AD112" i="26"/>
  <c r="AC112" i="26"/>
  <c r="AC118" i="26"/>
  <c r="AD118" i="26"/>
  <c r="AD108" i="26"/>
  <c r="AC108" i="26"/>
  <c r="U98" i="26"/>
  <c r="V98" i="26"/>
  <c r="AC117" i="26"/>
  <c r="AD117" i="26"/>
  <c r="Y92" i="26"/>
  <c r="Z92" i="26"/>
  <c r="AC130" i="26"/>
  <c r="AD130" i="26"/>
  <c r="AC128" i="26"/>
  <c r="AD128" i="26"/>
  <c r="AD132" i="26"/>
  <c r="AC132" i="26"/>
  <c r="U97" i="26"/>
  <c r="V97" i="26"/>
  <c r="AC131" i="26"/>
  <c r="AD131" i="26"/>
  <c r="AC133" i="26"/>
  <c r="AD133" i="26"/>
  <c r="AC116" i="26"/>
  <c r="AD116" i="26"/>
  <c r="AC129" i="26"/>
  <c r="AD129" i="26"/>
  <c r="AC120" i="26"/>
  <c r="AD120" i="26"/>
  <c r="AD115" i="26"/>
  <c r="AC115" i="26"/>
  <c r="AC122" i="26"/>
  <c r="AD122" i="26"/>
  <c r="AC125" i="26"/>
  <c r="AD125" i="26"/>
  <c r="AC126" i="26"/>
  <c r="AD126" i="26"/>
  <c r="AC113" i="26"/>
  <c r="AD113" i="26"/>
  <c r="AC119" i="26"/>
  <c r="AD119" i="26"/>
  <c r="AE125" i="26" l="1"/>
  <c r="G125" i="26" s="1"/>
  <c r="AF125" i="26"/>
  <c r="AH125" i="26" s="1"/>
  <c r="AJ125" i="26" s="1"/>
  <c r="AE128" i="26"/>
  <c r="G128" i="26" s="1"/>
  <c r="AF128" i="26"/>
  <c r="AH128" i="26" s="1"/>
  <c r="AJ128" i="26" s="1"/>
  <c r="W98" i="26"/>
  <c r="X98" i="26"/>
  <c r="AF118" i="26"/>
  <c r="AH118" i="26" s="1"/>
  <c r="AJ118" i="26" s="1"/>
  <c r="AE118" i="26"/>
  <c r="G118" i="26" s="1"/>
  <c r="AE124" i="26"/>
  <c r="G124" i="26" s="1"/>
  <c r="AF124" i="26"/>
  <c r="AH124" i="26" s="1"/>
  <c r="AJ124" i="26" s="1"/>
  <c r="W100" i="26"/>
  <c r="X100" i="26"/>
  <c r="AE119" i="26"/>
  <c r="G119" i="26" s="1"/>
  <c r="AF119" i="26"/>
  <c r="AH119" i="26" s="1"/>
  <c r="AJ119" i="26" s="1"/>
  <c r="AF126" i="26"/>
  <c r="AH126" i="26" s="1"/>
  <c r="AJ126" i="26" s="1"/>
  <c r="AE126" i="26"/>
  <c r="G126" i="26" s="1"/>
  <c r="AA92" i="26"/>
  <c r="G92" i="26" s="1"/>
  <c r="AB92" i="26"/>
  <c r="AD92" i="26" s="1"/>
  <c r="AF92" i="26" s="1"/>
  <c r="AH92" i="26" s="1"/>
  <c r="AJ92" i="26" s="1"/>
  <c r="AE115" i="26"/>
  <c r="G115" i="26" s="1"/>
  <c r="AF115" i="26"/>
  <c r="AH115" i="26" s="1"/>
  <c r="AJ115" i="26" s="1"/>
  <c r="AE129" i="26"/>
  <c r="AF129" i="26"/>
  <c r="AH129" i="26" s="1"/>
  <c r="AJ129" i="26" s="1"/>
  <c r="AE131" i="26"/>
  <c r="G131" i="26" s="1"/>
  <c r="AF131" i="26"/>
  <c r="AH131" i="26" s="1"/>
  <c r="AJ131" i="26" s="1"/>
  <c r="AE130" i="26"/>
  <c r="G130" i="26" s="1"/>
  <c r="AF130" i="26"/>
  <c r="AH130" i="26" s="1"/>
  <c r="AJ130" i="26" s="1"/>
  <c r="W99" i="26"/>
  <c r="X99" i="26"/>
  <c r="AF111" i="26"/>
  <c r="AH111" i="26" s="1"/>
  <c r="AJ111" i="26" s="1"/>
  <c r="AE111" i="26"/>
  <c r="G111" i="26" s="1"/>
  <c r="AE121" i="26"/>
  <c r="G121" i="26" s="1"/>
  <c r="AF121" i="26"/>
  <c r="AH121" i="26" s="1"/>
  <c r="AJ121" i="26" s="1"/>
  <c r="AF127" i="26"/>
  <c r="AH127" i="26" s="1"/>
  <c r="AJ127" i="26" s="1"/>
  <c r="AE127" i="26"/>
  <c r="G127" i="26" s="1"/>
  <c r="AE120" i="26"/>
  <c r="G120" i="26" s="1"/>
  <c r="AF120" i="26"/>
  <c r="AH120" i="26" s="1"/>
  <c r="AJ120" i="26" s="1"/>
  <c r="AE116" i="26"/>
  <c r="G116" i="26" s="1"/>
  <c r="AF116" i="26"/>
  <c r="AH116" i="26" s="1"/>
  <c r="AJ116" i="26" s="1"/>
  <c r="W97" i="26"/>
  <c r="X97" i="26"/>
  <c r="AE114" i="26"/>
  <c r="G114" i="26" s="1"/>
  <c r="AF114" i="26"/>
  <c r="AH114" i="26" s="1"/>
  <c r="AJ114" i="26" s="1"/>
  <c r="AE123" i="26"/>
  <c r="G123" i="26" s="1"/>
  <c r="AF123" i="26"/>
  <c r="AH123" i="26" s="1"/>
  <c r="AJ123" i="26" s="1"/>
  <c r="AE113" i="26"/>
  <c r="G113" i="26" s="1"/>
  <c r="AF113" i="26"/>
  <c r="AH113" i="26" s="1"/>
  <c r="AJ113" i="26" s="1"/>
  <c r="AE122" i="26"/>
  <c r="G122" i="26" s="1"/>
  <c r="AF122" i="26"/>
  <c r="AH122" i="26" s="1"/>
  <c r="AJ122" i="26" s="1"/>
  <c r="G129" i="26"/>
  <c r="AE133" i="26"/>
  <c r="G133" i="26" s="1"/>
  <c r="AF133" i="26"/>
  <c r="AH133" i="26" s="1"/>
  <c r="AJ133" i="26" s="1"/>
  <c r="AE132" i="26"/>
  <c r="G132" i="26" s="1"/>
  <c r="AF132" i="26"/>
  <c r="AH132" i="26" s="1"/>
  <c r="AJ132" i="26" s="1"/>
  <c r="AF117" i="26"/>
  <c r="AH117" i="26" s="1"/>
  <c r="AJ117" i="26" s="1"/>
  <c r="AE117" i="26"/>
  <c r="G117" i="26" s="1"/>
  <c r="AF108" i="26"/>
  <c r="AE108" i="26"/>
  <c r="AE112" i="26"/>
  <c r="G112" i="26" s="1"/>
  <c r="AF112" i="26"/>
  <c r="AH112" i="26" s="1"/>
  <c r="AJ112" i="26" s="1"/>
  <c r="Y98" i="26" l="1"/>
  <c r="G98" i="26" s="1"/>
  <c r="Z98" i="26"/>
  <c r="AB98" i="26" s="1"/>
  <c r="AD98" i="26" s="1"/>
  <c r="AF98" i="26" s="1"/>
  <c r="AH98" i="26" s="1"/>
  <c r="AJ98" i="26" s="1"/>
  <c r="AG108" i="26"/>
  <c r="AH108" i="26"/>
  <c r="Y100" i="26"/>
  <c r="G100" i="26" s="1"/>
  <c r="Z100" i="26"/>
  <c r="AB100" i="26" s="1"/>
  <c r="AD100" i="26" s="1"/>
  <c r="AF100" i="26" s="1"/>
  <c r="AH100" i="26" s="1"/>
  <c r="AJ100" i="26" s="1"/>
  <c r="Y97" i="26"/>
  <c r="G97" i="26" s="1"/>
  <c r="Z97" i="26"/>
  <c r="AB97" i="26" s="1"/>
  <c r="AD97" i="26" s="1"/>
  <c r="AF97" i="26" s="1"/>
  <c r="AH97" i="26" s="1"/>
  <c r="AJ97" i="26" s="1"/>
  <c r="Y99" i="26"/>
  <c r="G99" i="26" s="1"/>
  <c r="Z99" i="26"/>
  <c r="AB99" i="26" s="1"/>
  <c r="AD99" i="26" s="1"/>
  <c r="AF99" i="26" s="1"/>
  <c r="AH99" i="26" s="1"/>
  <c r="AJ99" i="26" s="1"/>
  <c r="AI108" i="26" l="1"/>
  <c r="AJ108" i="26"/>
  <c r="AK108" i="26" s="1"/>
  <c r="G108" i="26" l="1"/>
  <c r="I12" i="27"/>
  <c r="L12" i="27"/>
  <c r="N12" i="27" s="1"/>
  <c r="I13" i="27"/>
  <c r="F15" i="27"/>
  <c r="I15" i="27" s="1"/>
  <c r="F37" i="27"/>
  <c r="I37" i="27" s="1"/>
  <c r="L37" i="27" s="1"/>
  <c r="L13" i="27"/>
  <c r="N13" i="27" s="1"/>
  <c r="F14" i="27"/>
  <c r="I14" i="27" s="1"/>
  <c r="M37" i="27" l="1"/>
  <c r="N37" i="27"/>
  <c r="K37" i="27"/>
  <c r="F17" i="27"/>
  <c r="L14" i="27"/>
  <c r="N14" i="27" s="1"/>
  <c r="L15" i="27"/>
  <c r="N15" i="27" s="1"/>
  <c r="F19" i="27" l="1"/>
  <c r="F20" i="27" s="1"/>
  <c r="L17" i="27"/>
  <c r="N17" i="27" s="1"/>
  <c r="I17" i="27"/>
  <c r="P37" i="27"/>
  <c r="O37" i="27"/>
  <c r="I20" i="27" l="1"/>
  <c r="L20" i="27"/>
  <c r="N20" i="27" s="1"/>
  <c r="Q37" i="27"/>
  <c r="R37" i="27"/>
  <c r="I19" i="27"/>
  <c r="L19" i="27"/>
  <c r="N19" i="27" s="1"/>
  <c r="T37" i="27" l="1"/>
  <c r="S37" i="27"/>
  <c r="U37" i="27" l="1"/>
  <c r="V37" i="27"/>
  <c r="W37" i="27" l="1"/>
  <c r="X37" i="27"/>
  <c r="Y37" i="27" l="1"/>
  <c r="Z37" i="27"/>
  <c r="AB37" i="27" l="1"/>
  <c r="AA37" i="27"/>
  <c r="AD37" i="27" l="1"/>
  <c r="AF37" i="27" s="1"/>
  <c r="AH37" i="27" s="1"/>
  <c r="AC37" i="27"/>
  <c r="G37" i="27" s="1"/>
</calcChain>
</file>

<file path=xl/sharedStrings.xml><?xml version="1.0" encoding="utf-8"?>
<sst xmlns="http://schemas.openxmlformats.org/spreadsheetml/2006/main" count="3131" uniqueCount="1912">
  <si>
    <t>Avogadro constant</t>
  </si>
  <si>
    <t>Rydberg constant</t>
  </si>
  <si>
    <t>Quantum of action</t>
  </si>
  <si>
    <t>Boltzmann constant</t>
  </si>
  <si>
    <t>Gas constant</t>
  </si>
  <si>
    <t>Unified atomic mass unit</t>
  </si>
  <si>
    <t>Bohr Radius</t>
  </si>
  <si>
    <t>Elementary electric charge</t>
  </si>
  <si>
    <t>Newtonian constant of gravitation</t>
  </si>
  <si>
    <t>Adjusted Planck length</t>
  </si>
  <si>
    <t>Maximum density of water</t>
  </si>
  <si>
    <t>Standard gravitational acceleration</t>
  </si>
  <si>
    <t>Astronomical unit</t>
  </si>
  <si>
    <t>Black-body radiation at the ice point</t>
    <phoneticPr fontId="1"/>
  </si>
  <si>
    <t>Molar volume of an ideal gas</t>
    <phoneticPr fontId="1"/>
  </si>
  <si>
    <t>Time</t>
  </si>
  <si>
    <t>Material quantity</t>
  </si>
  <si>
    <t>Length</t>
  </si>
  <si>
    <t>Energy</t>
  </si>
  <si>
    <t>Temperature</t>
  </si>
  <si>
    <t>Mass</t>
  </si>
  <si>
    <t>Work</t>
  </si>
  <si>
    <t>Force</t>
  </si>
  <si>
    <t>Pressure</t>
  </si>
  <si>
    <t>Charge</t>
  </si>
  <si>
    <t>Electrical current</t>
  </si>
  <si>
    <t>Units</t>
    <phoneticPr fontId="1"/>
  </si>
  <si>
    <t>Constants</t>
    <phoneticPr fontId="1"/>
  </si>
  <si>
    <t>Fine Structure Constant</t>
    <phoneticPr fontId="1"/>
  </si>
  <si>
    <t>Planck length</t>
    <phoneticPr fontId="1"/>
  </si>
  <si>
    <t>Speed of light in vacuum</t>
    <phoneticPr fontId="1"/>
  </si>
  <si>
    <t>Local Time</t>
    <phoneticPr fontId="1"/>
  </si>
  <si>
    <t>4π/α</t>
    <phoneticPr fontId="1"/>
  </si>
  <si>
    <t>4π/α^2</t>
    <phoneticPr fontId="1"/>
  </si>
  <si>
    <t>1/α</t>
    <phoneticPr fontId="1"/>
  </si>
  <si>
    <t>(1/α)^0.5</t>
    <phoneticPr fontId="1"/>
  </si>
  <si>
    <t>4π</t>
    <phoneticPr fontId="1"/>
  </si>
  <si>
    <t>1/4π</t>
    <phoneticPr fontId="1"/>
  </si>
  <si>
    <t>α/4π</t>
    <phoneticPr fontId="1"/>
  </si>
  <si>
    <t>α^0.5</t>
    <phoneticPr fontId="1"/>
  </si>
  <si>
    <t>α</t>
    <phoneticPr fontId="1"/>
  </si>
  <si>
    <t>α^2/4π</t>
    <phoneticPr fontId="1"/>
  </si>
  <si>
    <t>Item</t>
    <phoneticPr fontId="1"/>
  </si>
  <si>
    <t>Raw Value</t>
    <phoneticPr fontId="1"/>
  </si>
  <si>
    <t>Power</t>
    <phoneticPr fontId="1"/>
  </si>
  <si>
    <t>Dozenal</t>
    <phoneticPr fontId="1"/>
  </si>
  <si>
    <t>Decimal</t>
    <phoneticPr fontId="1"/>
  </si>
  <si>
    <t>Value/Unit</t>
    <phoneticPr fontId="1"/>
  </si>
  <si>
    <t>Specific heat of water</t>
    <phoneticPr fontId="1"/>
  </si>
  <si>
    <t>Dimensionless Numbers</t>
    <phoneticPr fontId="1"/>
  </si>
  <si>
    <t>Electron mass</t>
    <phoneticPr fontId="1"/>
  </si>
  <si>
    <t>Astronomical unit / c0</t>
    <phoneticPr fontId="1"/>
  </si>
  <si>
    <t>Astronomical unit / c0 / (12^(-3)day)</t>
    <phoneticPr fontId="1"/>
  </si>
  <si>
    <t>Density of ice at the ice point</t>
    <phoneticPr fontId="1"/>
  </si>
  <si>
    <t>Precision</t>
    <phoneticPr fontId="1"/>
  </si>
  <si>
    <t>Unit Value</t>
    <phoneticPr fontId="1"/>
  </si>
  <si>
    <t>s</t>
    <phoneticPr fontId="1"/>
  </si>
  <si>
    <t>m</t>
    <phoneticPr fontId="1"/>
  </si>
  <si>
    <t>J</t>
    <phoneticPr fontId="1"/>
  </si>
  <si>
    <t>K</t>
    <phoneticPr fontId="1"/>
  </si>
  <si>
    <t>mol</t>
    <phoneticPr fontId="1"/>
  </si>
  <si>
    <t>kg</t>
    <phoneticPr fontId="1"/>
  </si>
  <si>
    <t>W</t>
    <phoneticPr fontId="1"/>
  </si>
  <si>
    <t>N</t>
    <phoneticPr fontId="1"/>
  </si>
  <si>
    <t>Pa</t>
    <phoneticPr fontId="1"/>
  </si>
  <si>
    <t>C</t>
    <phoneticPr fontId="1"/>
  </si>
  <si>
    <t>A</t>
    <phoneticPr fontId="1"/>
  </si>
  <si>
    <t>1/mol</t>
    <phoneticPr fontId="1"/>
  </si>
  <si>
    <t>m/s</t>
    <phoneticPr fontId="1"/>
  </si>
  <si>
    <t>Js</t>
    <phoneticPr fontId="1"/>
  </si>
  <si>
    <t>J/K</t>
    <phoneticPr fontId="1"/>
  </si>
  <si>
    <t>J/(mol K)</t>
    <phoneticPr fontId="1"/>
  </si>
  <si>
    <t>(m/s)^4/N</t>
    <phoneticPr fontId="1"/>
  </si>
  <si>
    <t>m^3/mol</t>
    <phoneticPr fontId="1"/>
  </si>
  <si>
    <t>kg/m^3</t>
    <phoneticPr fontId="1"/>
  </si>
  <si>
    <t>m/s^2</t>
    <phoneticPr fontId="1"/>
  </si>
  <si>
    <t>W/m^2/K^4</t>
    <phoneticPr fontId="1"/>
  </si>
  <si>
    <t>Electrical potential difference</t>
    <phoneticPr fontId="1"/>
  </si>
  <si>
    <t>V</t>
    <phoneticPr fontId="1"/>
  </si>
  <si>
    <t>error/year</t>
  </si>
  <si>
    <t>0123456789XE</t>
    <phoneticPr fontId="1"/>
  </si>
  <si>
    <t>Rydberg</t>
    <phoneticPr fontId="1"/>
  </si>
  <si>
    <t>Bohr</t>
    <phoneticPr fontId="1"/>
  </si>
  <si>
    <t>Clock</t>
    <phoneticPr fontId="1"/>
  </si>
  <si>
    <t>Clock_by_Rydberg</t>
    <phoneticPr fontId="1"/>
  </si>
  <si>
    <t>Newtonian constant</t>
    <phoneticPr fontId="1"/>
  </si>
  <si>
    <t>Force Unit</t>
    <phoneticPr fontId="1"/>
  </si>
  <si>
    <t>sigma</t>
    <phoneticPr fontId="1"/>
  </si>
  <si>
    <t>s. dev</t>
    <phoneticPr fontId="1"/>
  </si>
  <si>
    <t>35*12^40 Units</t>
    <phoneticPr fontId="1"/>
  </si>
  <si>
    <t>Acceleration Unit</t>
    <phoneticPr fontId="1"/>
  </si>
  <si>
    <t>(5.5-1/12^2) Units</t>
    <phoneticPr fontId="1"/>
  </si>
  <si>
    <t>Dozenal</t>
  </si>
  <si>
    <t>Temperature of the triple point of water</t>
    <phoneticPr fontId="1"/>
  </si>
  <si>
    <t>Standard atmosphere</t>
    <phoneticPr fontId="1"/>
  </si>
  <si>
    <t>Unit Symbol</t>
    <phoneticPr fontId="1"/>
  </si>
  <si>
    <t>Impedance</t>
    <phoneticPr fontId="1"/>
  </si>
  <si>
    <t>J/kg/K</t>
    <phoneticPr fontId="1"/>
  </si>
  <si>
    <t>Ut queant laxis</t>
  </si>
  <si>
    <t>Resonare fibris</t>
  </si>
  <si>
    <t xml:space="preserve">Mira gestorum </t>
  </si>
  <si>
    <t>Famuli tuorum</t>
  </si>
  <si>
    <t xml:space="preserve">Solve polluti </t>
  </si>
  <si>
    <t>Sancte Ioannes</t>
  </si>
  <si>
    <t xml:space="preserve"> </t>
    <phoneticPr fontId="1"/>
  </si>
  <si>
    <r>
      <t xml:space="preserve">suffix </t>
    </r>
    <r>
      <rPr>
        <i/>
        <sz val="9"/>
        <color theme="1"/>
        <rFont val="Times New Roman"/>
        <family val="1"/>
      </rPr>
      <t>u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</si>
  <si>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e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</si>
  <si>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B</t>
    </r>
    <phoneticPr fontId="1"/>
  </si>
  <si>
    <t>Ω/ sr</t>
    <phoneticPr fontId="1"/>
  </si>
  <si>
    <t>W/m^2</t>
    <phoneticPr fontId="1"/>
  </si>
  <si>
    <t>-</t>
    <phoneticPr fontId="1"/>
  </si>
  <si>
    <t>-log(Sqrt([H+][OH-])/(mol/m^3))</t>
    <phoneticPr fontId="1"/>
  </si>
  <si>
    <t>log(12)</t>
    <phoneticPr fontId="1"/>
  </si>
  <si>
    <r>
      <t>Surface tension of water at 25</t>
    </r>
    <r>
      <rPr>
        <sz val="9"/>
        <color theme="1"/>
        <rFont val="ＭＳ Ｐ明朝"/>
        <family val="1"/>
        <charset val="128"/>
      </rPr>
      <t>℃</t>
    </r>
    <phoneticPr fontId="1"/>
  </si>
  <si>
    <t>N/m</t>
    <phoneticPr fontId="1"/>
  </si>
  <si>
    <t>year/day</t>
    <phoneticPr fontId="1"/>
  </si>
  <si>
    <t>Tropical Year Length</t>
    <phoneticPr fontId="1"/>
  </si>
  <si>
    <t>Astronomical unit / c0 / (12^(-3)day')</t>
    <phoneticPr fontId="1"/>
  </si>
  <si>
    <t>foot</t>
    <phoneticPr fontId="1"/>
  </si>
  <si>
    <t>ft</t>
    <phoneticPr fontId="1"/>
  </si>
  <si>
    <t>1/foot</t>
    <phoneticPr fontId="1"/>
  </si>
  <si>
    <t>1/ft</t>
    <phoneticPr fontId="1"/>
  </si>
  <si>
    <t>square foot</t>
    <phoneticPr fontId="1"/>
  </si>
  <si>
    <t>ft^2</t>
    <phoneticPr fontId="1"/>
  </si>
  <si>
    <t>1/square foot</t>
    <phoneticPr fontId="1"/>
  </si>
  <si>
    <t>ft^(-2)</t>
    <phoneticPr fontId="1"/>
  </si>
  <si>
    <t>cubic foot</t>
    <phoneticPr fontId="1"/>
  </si>
  <si>
    <t>1/cubic foot</t>
    <phoneticPr fontId="1"/>
  </si>
  <si>
    <t>ft^3</t>
    <phoneticPr fontId="1"/>
  </si>
  <si>
    <t>ft^(-3)</t>
    <phoneticPr fontId="1"/>
  </si>
  <si>
    <t>inch</t>
    <phoneticPr fontId="1"/>
  </si>
  <si>
    <t>1/inch</t>
    <phoneticPr fontId="1"/>
  </si>
  <si>
    <t>square inch</t>
    <phoneticPr fontId="1"/>
  </si>
  <si>
    <t>1/square inch</t>
    <phoneticPr fontId="1"/>
  </si>
  <si>
    <t>cubic inch</t>
    <phoneticPr fontId="1"/>
  </si>
  <si>
    <t>1/cubic inch</t>
    <phoneticPr fontId="1"/>
  </si>
  <si>
    <t>in</t>
    <phoneticPr fontId="1"/>
  </si>
  <si>
    <t>1/in</t>
    <phoneticPr fontId="1"/>
  </si>
  <si>
    <t>in^2</t>
    <phoneticPr fontId="1"/>
  </si>
  <si>
    <t>in^(-2)</t>
    <phoneticPr fontId="1"/>
  </si>
  <si>
    <t>in^3</t>
    <phoneticPr fontId="1"/>
  </si>
  <si>
    <t>in^(-3)</t>
    <phoneticPr fontId="1"/>
  </si>
  <si>
    <t>yard</t>
    <phoneticPr fontId="1"/>
  </si>
  <si>
    <t>1/yard</t>
    <phoneticPr fontId="1"/>
  </si>
  <si>
    <t>square yard</t>
    <phoneticPr fontId="1"/>
  </si>
  <si>
    <t>cubic yard</t>
    <phoneticPr fontId="1"/>
  </si>
  <si>
    <t>1/cubic yard</t>
    <phoneticPr fontId="1"/>
  </si>
  <si>
    <t>yd</t>
    <phoneticPr fontId="1"/>
  </si>
  <si>
    <t>1/yd</t>
    <phoneticPr fontId="1"/>
  </si>
  <si>
    <t>yd^2</t>
    <phoneticPr fontId="1"/>
  </si>
  <si>
    <t>yd^(-2)</t>
    <phoneticPr fontId="1"/>
  </si>
  <si>
    <t>yd^3</t>
    <phoneticPr fontId="1"/>
  </si>
  <si>
    <t>yd^(-3)</t>
    <phoneticPr fontId="1"/>
  </si>
  <si>
    <t>mile</t>
    <phoneticPr fontId="1"/>
  </si>
  <si>
    <t>1/mile</t>
    <phoneticPr fontId="1"/>
  </si>
  <si>
    <t>square mile</t>
    <phoneticPr fontId="1"/>
  </si>
  <si>
    <t>1/square mile</t>
    <phoneticPr fontId="1"/>
  </si>
  <si>
    <t>1/square yard</t>
    <phoneticPr fontId="1"/>
  </si>
  <si>
    <t>ml</t>
    <phoneticPr fontId="1"/>
  </si>
  <si>
    <t>1/ml</t>
    <phoneticPr fontId="1"/>
  </si>
  <si>
    <t>ml^2</t>
    <phoneticPr fontId="1"/>
  </si>
  <si>
    <t>ml^(-2)</t>
    <phoneticPr fontId="1"/>
  </si>
  <si>
    <t>acre</t>
    <phoneticPr fontId="1"/>
  </si>
  <si>
    <t>1/acre</t>
    <phoneticPr fontId="1"/>
  </si>
  <si>
    <t>ac</t>
    <phoneticPr fontId="1"/>
  </si>
  <si>
    <t>1/ac</t>
    <phoneticPr fontId="1"/>
  </si>
  <si>
    <t>gal</t>
    <phoneticPr fontId="1"/>
  </si>
  <si>
    <t>1/gal</t>
    <phoneticPr fontId="1"/>
  </si>
  <si>
    <t>gallon(UK)</t>
    <phoneticPr fontId="1"/>
  </si>
  <si>
    <t>1/gallon(UK)</t>
    <phoneticPr fontId="1"/>
  </si>
  <si>
    <t>gallon(US)</t>
    <phoneticPr fontId="1"/>
  </si>
  <si>
    <t>1/gallon(US)</t>
    <phoneticPr fontId="1"/>
  </si>
  <si>
    <t>pound</t>
    <phoneticPr fontId="1"/>
  </si>
  <si>
    <t>1/pound</t>
    <phoneticPr fontId="1"/>
  </si>
  <si>
    <t>lb</t>
    <phoneticPr fontId="1"/>
  </si>
  <si>
    <t>1/lb</t>
    <phoneticPr fontId="1"/>
  </si>
  <si>
    <t>ounce</t>
    <phoneticPr fontId="1"/>
  </si>
  <si>
    <t>1/ounce</t>
    <phoneticPr fontId="1"/>
  </si>
  <si>
    <t>oz</t>
    <phoneticPr fontId="1"/>
  </si>
  <si>
    <t>1/oz</t>
    <phoneticPr fontId="1"/>
  </si>
  <si>
    <t>pound force</t>
    <phoneticPr fontId="1"/>
  </si>
  <si>
    <t>1/pound force</t>
    <phoneticPr fontId="1"/>
  </si>
  <si>
    <t>lbw</t>
    <phoneticPr fontId="1"/>
  </si>
  <si>
    <t>1/lbw</t>
    <phoneticPr fontId="1"/>
  </si>
  <si>
    <t>foot/second</t>
    <phoneticPr fontId="1"/>
  </si>
  <si>
    <t>1/(foot/second)</t>
    <phoneticPr fontId="1"/>
  </si>
  <si>
    <t>ft/s</t>
    <phoneticPr fontId="1"/>
  </si>
  <si>
    <t>1/(ft/s)</t>
    <phoneticPr fontId="1"/>
  </si>
  <si>
    <t>mile/hour</t>
    <phoneticPr fontId="1"/>
  </si>
  <si>
    <t>1/(mile/hour)</t>
    <phoneticPr fontId="1"/>
  </si>
  <si>
    <t>ml/h</t>
    <phoneticPr fontId="1"/>
  </si>
  <si>
    <t>1/(ml/h)</t>
    <phoneticPr fontId="1"/>
  </si>
  <si>
    <r>
      <t>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</si>
  <si>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</si>
  <si>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t>1/K</t>
    <phoneticPr fontId="1"/>
  </si>
  <si>
    <r>
      <t>100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</si>
  <si>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</si>
  <si>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r>
      <t>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</si>
  <si>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</si>
  <si>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r>
      <t>100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</si>
  <si>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</si>
  <si>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t>yard-pound units</t>
    <phoneticPr fontId="1"/>
  </si>
  <si>
    <t>Units of Universal Unit System</t>
    <phoneticPr fontId="1"/>
  </si>
  <si>
    <r>
      <t xml:space="preserve">suffix </t>
    </r>
    <r>
      <rPr>
        <i/>
        <sz val="9"/>
        <color theme="1"/>
        <rFont val="Times New Roman"/>
        <family val="1"/>
      </rPr>
      <t>h</t>
    </r>
    <phoneticPr fontId="1"/>
  </si>
  <si>
    <r>
      <t>s_</t>
    </r>
    <r>
      <rPr>
        <i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e</t>
    </r>
    <phoneticPr fontId="1"/>
  </si>
  <si>
    <r>
      <t>s_</t>
    </r>
    <r>
      <rPr>
        <i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h</t>
    </r>
    <phoneticPr fontId="1"/>
  </si>
  <si>
    <t>troy ounce</t>
    <phoneticPr fontId="1"/>
  </si>
  <si>
    <t>1/troy ounce</t>
    <phoneticPr fontId="1"/>
  </si>
  <si>
    <t>$/toz</t>
    <phoneticPr fontId="1"/>
  </si>
  <si>
    <t>toz</t>
    <phoneticPr fontId="1"/>
  </si>
  <si>
    <t>1/toz</t>
    <phoneticPr fontId="1"/>
  </si>
  <si>
    <t>atomic</t>
    <phoneticPr fontId="1"/>
  </si>
  <si>
    <t>cosmic</t>
  </si>
  <si>
    <t>Prefix</t>
    <phoneticPr fontId="1"/>
  </si>
  <si>
    <t>tris-atomic</t>
    <phoneticPr fontId="1"/>
  </si>
  <si>
    <t>tris-cosmic</t>
    <phoneticPr fontId="1"/>
  </si>
  <si>
    <t>Ω</t>
    <phoneticPr fontId="1"/>
  </si>
  <si>
    <t>g</t>
    <phoneticPr fontId="1"/>
  </si>
  <si>
    <t>P</t>
    <phoneticPr fontId="1"/>
  </si>
  <si>
    <t>AΩ</t>
    <phoneticPr fontId="1"/>
  </si>
  <si>
    <t>s/Ω</t>
    <phoneticPr fontId="1"/>
  </si>
  <si>
    <t>Magnetic flux</t>
    <phoneticPr fontId="1"/>
  </si>
  <si>
    <t>Wb</t>
    <phoneticPr fontId="1"/>
  </si>
  <si>
    <t>Magnetic flux density</t>
    <phoneticPr fontId="1"/>
  </si>
  <si>
    <t>T</t>
    <phoneticPr fontId="1"/>
  </si>
  <si>
    <t>Inductance</t>
    <phoneticPr fontId="1"/>
  </si>
  <si>
    <t>sΩ</t>
    <phoneticPr fontId="1"/>
  </si>
  <si>
    <t>H</t>
    <phoneticPr fontId="1"/>
  </si>
  <si>
    <t>mm</t>
    <phoneticPr fontId="1"/>
  </si>
  <si>
    <t>ms</t>
    <phoneticPr fontId="1"/>
  </si>
  <si>
    <t>mJ</t>
    <phoneticPr fontId="1"/>
  </si>
  <si>
    <t>mW</t>
    <phoneticPr fontId="1"/>
  </si>
  <si>
    <t>mN</t>
    <phoneticPr fontId="1"/>
  </si>
  <si>
    <t>mC</t>
    <phoneticPr fontId="1"/>
  </si>
  <si>
    <t>mA</t>
    <phoneticPr fontId="1"/>
  </si>
  <si>
    <t>mF</t>
    <phoneticPr fontId="1"/>
  </si>
  <si>
    <t>the Universal System of Units Standard</t>
    <phoneticPr fontId="1"/>
  </si>
  <si>
    <t>the Universal Unit System with the GCD Unit</t>
    <phoneticPr fontId="1"/>
  </si>
  <si>
    <t>suffix</t>
    <phoneticPr fontId="1"/>
  </si>
  <si>
    <t>u</t>
    <phoneticPr fontId="1"/>
  </si>
  <si>
    <t>e</t>
    <phoneticPr fontId="1"/>
  </si>
  <si>
    <t>h</t>
    <phoneticPr fontId="1"/>
  </si>
  <si>
    <t>suffix meaning</t>
    <phoneticPr fontId="1"/>
  </si>
  <si>
    <t>system name</t>
    <phoneticPr fontId="1"/>
  </si>
  <si>
    <t>'universal'</t>
    <phoneticPr fontId="1"/>
  </si>
  <si>
    <t>length unit called</t>
    <phoneticPr fontId="1"/>
  </si>
  <si>
    <t>'universal meter'</t>
    <phoneticPr fontId="1"/>
  </si>
  <si>
    <t>'GCD meter'</t>
    <phoneticPr fontId="1"/>
  </si>
  <si>
    <t>1000000;/R_infinity</t>
    <phoneticPr fontId="1"/>
  </si>
  <si>
    <t>86400.s * c_0 / 128. / 12.^11.</t>
    <phoneticPr fontId="1"/>
  </si>
  <si>
    <t>1001700;/R_infinity</t>
    <phoneticPr fontId="1"/>
  </si>
  <si>
    <t>length unit definition</t>
    <phoneticPr fontId="1"/>
  </si>
  <si>
    <t>length unit quantity</t>
    <phoneticPr fontId="1"/>
  </si>
  <si>
    <t>mass unit quantity / kg</t>
    <phoneticPr fontId="1"/>
  </si>
  <si>
    <t>unit</t>
    <phoneticPr fontId="1"/>
  </si>
  <si>
    <t>time unit quantity</t>
    <phoneticPr fontId="1"/>
  </si>
  <si>
    <t>time unit called</t>
    <phoneticPr fontId="1"/>
  </si>
  <si>
    <t>'universal second'</t>
    <phoneticPr fontId="1"/>
  </si>
  <si>
    <t>'GCD second'</t>
    <phoneticPr fontId="1"/>
  </si>
  <si>
    <t>time unit * 128. * 12.^3</t>
    <phoneticPr fontId="1"/>
  </si>
  <si>
    <t>difference from 86400.s</t>
    <phoneticPr fontId="1"/>
  </si>
  <si>
    <t>the GCD of calendar time units of the 'earth'</t>
    <phoneticPr fontId="1"/>
  </si>
  <si>
    <t>the beginning of 20th century</t>
    <phoneticPr fontId="1"/>
  </si>
  <si>
    <t>(time unit * 128. * 12.^3) just becomes 1 day</t>
    <phoneticPr fontId="1"/>
  </si>
  <si>
    <t>about 4.7 million years ago</t>
    <phoneticPr fontId="1"/>
  </si>
  <si>
    <t>about 1400. years later</t>
    <phoneticPr fontId="1"/>
  </si>
  <si>
    <t>suffix h</t>
    <phoneticPr fontId="1"/>
  </si>
  <si>
    <t>Amount of substance</t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</si>
  <si>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K</t>
    </r>
    <phoneticPr fontId="1"/>
  </si>
  <si>
    <t>Rydberg constant for H</t>
    <phoneticPr fontId="1"/>
  </si>
  <si>
    <t>μ(Reduced mass)</t>
    <phoneticPr fontId="1"/>
  </si>
  <si>
    <t>'septi'</t>
    <phoneticPr fontId="1"/>
  </si>
  <si>
    <t>'year'</t>
    <phoneticPr fontId="1"/>
  </si>
  <si>
    <t>365. 31./128. days</t>
  </si>
  <si>
    <t>units</t>
  </si>
  <si>
    <t>non-coherent Earth local calendar time</t>
    <phoneticPr fontId="1"/>
  </si>
  <si>
    <t>'degree S'</t>
    <phoneticPr fontId="1"/>
  </si>
  <si>
    <t>the gravitational acceleration of the Earth</t>
  </si>
  <si>
    <t>(at the beginning of year 1900.)</t>
    <phoneticPr fontId="1"/>
  </si>
  <si>
    <t>'Earth solar'</t>
    <phoneticPr fontId="1"/>
  </si>
  <si>
    <t>the rotation period of the Earth</t>
  </si>
  <si>
    <t>the Earth local extension
(not part of the Universal Unit System)</t>
    <phoneticPr fontId="1"/>
  </si>
  <si>
    <t>'Earth meridian'</t>
    <phoneticPr fontId="1"/>
  </si>
  <si>
    <t>the meridian length of the Earth</t>
  </si>
  <si>
    <t>..</t>
    <phoneticPr fontId="1"/>
  </si>
  <si>
    <t>5</t>
    <phoneticPr fontId="1"/>
  </si>
  <si>
    <t>5th power</t>
  </si>
  <si>
    <t>4</t>
    <phoneticPr fontId="1"/>
  </si>
  <si>
    <t>4th power</t>
  </si>
  <si>
    <t>3</t>
    <phoneticPr fontId="1"/>
  </si>
  <si>
    <t>3rd power</t>
  </si>
  <si>
    <t>2nd power</t>
  </si>
  <si>
    <t>- (ex. dm_-h)</t>
    <phoneticPr fontId="1"/>
  </si>
  <si>
    <t>universal mol</t>
  </si>
  <si>
    <r>
      <rPr>
        <sz val="9"/>
        <color theme="1"/>
        <rFont val="ＭＳ Ｐゴシック"/>
        <family val="2"/>
        <charset val="128"/>
      </rPr>
      <t>○</t>
    </r>
    <phoneticPr fontId="1"/>
  </si>
  <si>
    <t>e</t>
  </si>
  <si>
    <t>'electron'</t>
    <phoneticPr fontId="1"/>
  </si>
  <si>
    <t>elementary electric charge</t>
    <phoneticPr fontId="1"/>
  </si>
  <si>
    <t>O_2</t>
    <phoneticPr fontId="1"/>
  </si>
  <si>
    <t>O_1</t>
    <phoneticPr fontId="1"/>
  </si>
  <si>
    <t>total solid angle of a hypersphere</t>
  </si>
  <si>
    <t>logarithm of an integer</t>
  </si>
  <si>
    <t>k_B</t>
    <phoneticPr fontId="1"/>
  </si>
  <si>
    <t>h_bar</t>
    <phoneticPr fontId="1"/>
  </si>
  <si>
    <t>'quantum'</t>
    <phoneticPr fontId="1"/>
  </si>
  <si>
    <t>the quantum of action</t>
  </si>
  <si>
    <t>c_0</t>
    <phoneticPr fontId="1"/>
  </si>
  <si>
    <t>'light'</t>
    <phoneticPr fontId="1"/>
  </si>
  <si>
    <t>the speed of light in vacuum</t>
    <phoneticPr fontId="1"/>
  </si>
  <si>
    <t>R_infinity</t>
    <phoneticPr fontId="1"/>
  </si>
  <si>
    <r>
      <t>R</t>
    </r>
    <r>
      <rPr>
        <b/>
        <i/>
        <vertAlign val="subscript"/>
        <sz val="9"/>
        <color rgb="FF000000"/>
        <rFont val="Verdana"/>
        <family val="2"/>
      </rPr>
      <t>∞</t>
    </r>
  </si>
  <si>
    <t>'Rydberg'</t>
    <phoneticPr fontId="1"/>
  </si>
  <si>
    <t>the Rydberg constant</t>
    <phoneticPr fontId="1"/>
  </si>
  <si>
    <t>defining constants</t>
    <phoneticPr fontId="1"/>
  </si>
  <si>
    <t>G_h</t>
    <phoneticPr fontId="1"/>
  </si>
  <si>
    <t>O_h</t>
    <phoneticPr fontId="1"/>
  </si>
  <si>
    <t>A_h</t>
    <phoneticPr fontId="1"/>
  </si>
  <si>
    <t>'harmonic Ampere'</t>
    <phoneticPr fontId="1"/>
  </si>
  <si>
    <t>harmonic Ampere</t>
  </si>
  <si>
    <t>The prefix 'universal' shoud be used if the universal unit is equal to the harmonic unit.</t>
    <phoneticPr fontId="1"/>
  </si>
  <si>
    <t>C_u</t>
    <phoneticPr fontId="1"/>
  </si>
  <si>
    <t>'universal Coulomb'</t>
    <phoneticPr fontId="1"/>
  </si>
  <si>
    <t>universal Coulomb</t>
    <phoneticPr fontId="1"/>
  </si>
  <si>
    <t>derived units of electro-magnetic quantities</t>
    <phoneticPr fontId="1"/>
  </si>
  <si>
    <t>P_h</t>
    <phoneticPr fontId="1"/>
  </si>
  <si>
    <t>'harmonic Pascal'</t>
    <phoneticPr fontId="1"/>
  </si>
  <si>
    <t>harmonic Pascal</t>
  </si>
  <si>
    <t>N_h</t>
    <phoneticPr fontId="1"/>
  </si>
  <si>
    <t>'harmonic Newton'</t>
    <phoneticPr fontId="1"/>
  </si>
  <si>
    <t>harmonic Newton</t>
  </si>
  <si>
    <t>W_h</t>
    <phoneticPr fontId="1"/>
  </si>
  <si>
    <t>'harmonic Watt'</t>
    <phoneticPr fontId="1"/>
  </si>
  <si>
    <t>harmonic Watt</t>
  </si>
  <si>
    <t>harmonic gram</t>
  </si>
  <si>
    <t>derived units of dynamical quantities</t>
    <phoneticPr fontId="1"/>
  </si>
  <si>
    <t>K_h</t>
    <phoneticPr fontId="1"/>
  </si>
  <si>
    <t>'harmonic Kelvin'</t>
    <phoneticPr fontId="1"/>
  </si>
  <si>
    <t>J_h</t>
    <phoneticPr fontId="1"/>
  </si>
  <si>
    <t>'harmonic Joule'</t>
    <phoneticPr fontId="1"/>
  </si>
  <si>
    <t>harmonic Joule</t>
  </si>
  <si>
    <t>harmonic second</t>
  </si>
  <si>
    <t>harmonic meter</t>
  </si>
  <si>
    <t>base units that are not natural units</t>
    <phoneticPr fontId="1"/>
  </si>
  <si>
    <t>mol_n</t>
    <phoneticPr fontId="1"/>
  </si>
  <si>
    <t>or 'natural mole'</t>
    <phoneticPr fontId="1"/>
  </si>
  <si>
    <t>The SI notes "when the mole is used, the elementary entities must be specified and may be atoms, molecules, ions, electrons, other particles, or specified groups of such particles."</t>
    <phoneticPr fontId="1"/>
  </si>
  <si>
    <t>natural unit of impedance</t>
  </si>
  <si>
    <t>rad^2</t>
    <phoneticPr fontId="1"/>
  </si>
  <si>
    <t>rad</t>
  </si>
  <si>
    <t>rad is called 'radian'</t>
    <phoneticPr fontId="1"/>
  </si>
  <si>
    <t>plane angle</t>
  </si>
  <si>
    <t>naper</t>
  </si>
  <si>
    <t>'naper'</t>
    <phoneticPr fontId="1"/>
  </si>
  <si>
    <t>logarithm of Napier's constant</t>
  </si>
  <si>
    <t>remarks</t>
    <phoneticPr fontId="1"/>
  </si>
  <si>
    <t>derived</t>
    <phoneticPr fontId="1"/>
  </si>
  <si>
    <t>base</t>
    <phoneticPr fontId="1"/>
  </si>
  <si>
    <t>coherent</t>
    <phoneticPr fontId="1"/>
  </si>
  <si>
    <t>natural</t>
    <phoneticPr fontId="1"/>
  </si>
  <si>
    <t>plain text</t>
    <phoneticPr fontId="1"/>
  </si>
  <si>
    <t>symbol</t>
    <phoneticPr fontId="1"/>
  </si>
  <si>
    <t>called</t>
    <phoneticPr fontId="1"/>
  </si>
  <si>
    <t>description</t>
  </si>
  <si>
    <t>category</t>
  </si>
  <si>
    <t>Field Strength</t>
    <phoneticPr fontId="1"/>
  </si>
  <si>
    <t>O</t>
    <phoneticPr fontId="1"/>
  </si>
  <si>
    <t>Flux density</t>
    <phoneticPr fontId="1"/>
  </si>
  <si>
    <t>G</t>
    <phoneticPr fontId="1"/>
  </si>
  <si>
    <t>mA/m</t>
    <phoneticPr fontId="1"/>
  </si>
  <si>
    <t>mC/m^2</t>
    <phoneticPr fontId="1"/>
  </si>
  <si>
    <t>°S</t>
    <phoneticPr fontId="1"/>
  </si>
  <si>
    <t>non-coherent Earth local unit and supplementary constants</t>
    <phoneticPr fontId="1"/>
  </si>
  <si>
    <t>2^43</t>
    <phoneticPr fontId="1"/>
  </si>
  <si>
    <t>2^(-17) circle / rad</t>
    <phoneticPr fontId="1"/>
  </si>
  <si>
    <t>10;</t>
    <phoneticPr fontId="1"/>
  </si>
  <si>
    <t>100;</t>
    <phoneticPr fontId="1"/>
  </si>
  <si>
    <t>1000;</t>
    <phoneticPr fontId="1"/>
  </si>
  <si>
    <t>1,0000;</t>
    <phoneticPr fontId="1"/>
  </si>
  <si>
    <t>10,0000;</t>
    <phoneticPr fontId="1"/>
  </si>
  <si>
    <t>100,0000;</t>
    <phoneticPr fontId="1"/>
  </si>
  <si>
    <t>1000,0000;</t>
    <phoneticPr fontId="1"/>
  </si>
  <si>
    <t>1,0000,0000;</t>
    <phoneticPr fontId="1"/>
  </si>
  <si>
    <t>6000,0000;</t>
    <phoneticPr fontId="1"/>
  </si>
  <si>
    <t>octal centuries</t>
    <phoneticPr fontId="1"/>
  </si>
  <si>
    <t>years</t>
    <phoneticPr fontId="1"/>
  </si>
  <si>
    <t>2000,0000;</t>
    <phoneticPr fontId="1"/>
  </si>
  <si>
    <t>age of the solar system</t>
    <phoneticPr fontId="1"/>
  </si>
  <si>
    <t>age of the universe</t>
    <phoneticPr fontId="1"/>
  </si>
  <si>
    <t>Hadean</t>
  </si>
  <si>
    <t>Archean</t>
  </si>
  <si>
    <t>Eoarchean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</si>
  <si>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</si>
  <si>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</si>
  <si>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</si>
  <si>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</si>
  <si>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</si>
  <si>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</si>
  <si>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</si>
  <si>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</si>
  <si>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</si>
  <si>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</si>
  <si>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</si>
  <si>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</si>
  <si>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</si>
  <si>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</si>
  <si>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</si>
  <si>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Ediacaran</t>
  </si>
  <si>
    <t>Cryogenian</t>
  </si>
  <si>
    <t>Phanerozoic</t>
  </si>
  <si>
    <t>Paleozoic</t>
  </si>
  <si>
    <t>Cambrian</t>
  </si>
  <si>
    <t>Terreneuvian</t>
  </si>
  <si>
    <t>Fortunian</t>
  </si>
  <si>
    <t>Age_2</t>
  </si>
  <si>
    <t>Epoch_2</t>
  </si>
  <si>
    <t>Age_3</t>
  </si>
  <si>
    <t>Age_4</t>
  </si>
  <si>
    <t>Epoch_3</t>
  </si>
  <si>
    <t>Age_5</t>
  </si>
  <si>
    <t>Drumian</t>
  </si>
  <si>
    <t>Guzhangian</t>
  </si>
  <si>
    <t>Furongian</t>
  </si>
  <si>
    <t>Paibian</t>
  </si>
  <si>
    <t>Age_9</t>
  </si>
  <si>
    <t>Age_10</t>
  </si>
  <si>
    <t>Ordovician</t>
  </si>
  <si>
    <t>Early_Ordovician</t>
  </si>
  <si>
    <t>Tremadocian</t>
  </si>
  <si>
    <t>Floian</t>
  </si>
  <si>
    <t>Middle_Ordovician</t>
  </si>
  <si>
    <t>Dapingian</t>
  </si>
  <si>
    <t>Darriwilian</t>
  </si>
  <si>
    <t>Late_Ordovician</t>
  </si>
  <si>
    <t>Sandbian</t>
  </si>
  <si>
    <t>Katian</t>
  </si>
  <si>
    <t>Hirnantian</t>
  </si>
  <si>
    <t>Silurian</t>
  </si>
  <si>
    <t>Llandovery</t>
  </si>
  <si>
    <t>Rhuddanian</t>
  </si>
  <si>
    <t>Aeronian</t>
    <phoneticPr fontId="1"/>
  </si>
  <si>
    <t>Telychian</t>
  </si>
  <si>
    <t>Wenlock</t>
  </si>
  <si>
    <t>Sheinwoodian</t>
  </si>
  <si>
    <t>Homerian</t>
  </si>
  <si>
    <t>Ludlow</t>
  </si>
  <si>
    <t>Gorstian</t>
  </si>
  <si>
    <t>Ludfordian</t>
  </si>
  <si>
    <t>Pridoli</t>
  </si>
  <si>
    <t>Devonian</t>
  </si>
  <si>
    <t>Early_Devonian</t>
  </si>
  <si>
    <t>Lochkovian</t>
  </si>
  <si>
    <t>Pragian</t>
  </si>
  <si>
    <t>Emsian</t>
  </si>
  <si>
    <t>Middle_Devonian</t>
  </si>
  <si>
    <t>Eifelian</t>
  </si>
  <si>
    <t>Givetian</t>
  </si>
  <si>
    <t>Late_Devonian</t>
  </si>
  <si>
    <t>Frasnian</t>
  </si>
  <si>
    <t>Famennian</t>
  </si>
  <si>
    <t>Carboniferous</t>
  </si>
  <si>
    <t>Mississippian</t>
  </si>
  <si>
    <t>Tournaisian</t>
  </si>
  <si>
    <t>Visean</t>
  </si>
  <si>
    <t>Serpukhovian</t>
  </si>
  <si>
    <t>Pennsylvanian</t>
  </si>
  <si>
    <t>Bashkirian</t>
  </si>
  <si>
    <t>Moscovian</t>
  </si>
  <si>
    <t>Kasimovian</t>
  </si>
  <si>
    <t>Gzhelian</t>
  </si>
  <si>
    <t>Permian</t>
  </si>
  <si>
    <t>Cisuralian</t>
  </si>
  <si>
    <t>Asselian</t>
  </si>
  <si>
    <t>Sakmarian</t>
  </si>
  <si>
    <t>Artinskian</t>
  </si>
  <si>
    <t>Kungurian</t>
  </si>
  <si>
    <t>Guadalupian</t>
  </si>
  <si>
    <t>Roadian</t>
  </si>
  <si>
    <t>Wordian</t>
  </si>
  <si>
    <t>Capitanian</t>
  </si>
  <si>
    <t>Lopingian</t>
  </si>
  <si>
    <t>Wuchiapingian</t>
  </si>
  <si>
    <t>Changhsingian</t>
  </si>
  <si>
    <t>Mesozoic</t>
  </si>
  <si>
    <t>Triassic</t>
  </si>
  <si>
    <t>Early_Triassic</t>
  </si>
  <si>
    <t>Induan</t>
  </si>
  <si>
    <t>Olenekian</t>
  </si>
  <si>
    <t>Middle_Triassic</t>
  </si>
  <si>
    <t>Anisian</t>
  </si>
  <si>
    <t>Ladinian</t>
  </si>
  <si>
    <t>Late_Triassic</t>
  </si>
  <si>
    <t>Carnian</t>
  </si>
  <si>
    <t>Norian</t>
  </si>
  <si>
    <t>Rhaetian</t>
  </si>
  <si>
    <t>Jurassic</t>
  </si>
  <si>
    <t>Early_Jurassic</t>
  </si>
  <si>
    <t>Hettangian</t>
  </si>
  <si>
    <t>Sinemurian</t>
  </si>
  <si>
    <t>Pliensbachian</t>
  </si>
  <si>
    <t>Toarcian</t>
  </si>
  <si>
    <t>Middle_Jurassic</t>
  </si>
  <si>
    <t>Aalenian</t>
  </si>
  <si>
    <t>Bajocian</t>
  </si>
  <si>
    <t>Bathonian</t>
  </si>
  <si>
    <t>Callovian</t>
  </si>
  <si>
    <t>Late_Jurassic</t>
  </si>
  <si>
    <t>Oxfordian</t>
  </si>
  <si>
    <t>Kimmeridgian</t>
  </si>
  <si>
    <t>Tithonian</t>
  </si>
  <si>
    <t>Cretaceous</t>
  </si>
  <si>
    <t>Early_Cretaceous</t>
  </si>
  <si>
    <t>Berriasian</t>
  </si>
  <si>
    <t>Valanginian</t>
  </si>
  <si>
    <t>Hauterivian</t>
  </si>
  <si>
    <t>Barremian</t>
  </si>
  <si>
    <t>Aptian</t>
  </si>
  <si>
    <t>Albian</t>
  </si>
  <si>
    <t>Late_Cretaceous</t>
  </si>
  <si>
    <t>Cenomanian</t>
  </si>
  <si>
    <t>Turonian</t>
  </si>
  <si>
    <t>Coniacian</t>
  </si>
  <si>
    <t>Santonian</t>
  </si>
  <si>
    <t>Campanian</t>
  </si>
  <si>
    <t>Maastrichtian</t>
  </si>
  <si>
    <t>Cenozoic</t>
  </si>
  <si>
    <t>Paleogene</t>
  </si>
  <si>
    <t>Paleocene</t>
  </si>
  <si>
    <t>Danian</t>
  </si>
  <si>
    <t>Selandian</t>
  </si>
  <si>
    <t>Thanetian</t>
  </si>
  <si>
    <t>Eocene</t>
  </si>
  <si>
    <t>Ypresian</t>
  </si>
  <si>
    <t>Lutetian</t>
  </si>
  <si>
    <t>Bartonian</t>
  </si>
  <si>
    <t>Priabonian</t>
  </si>
  <si>
    <t>Oligocene</t>
  </si>
  <si>
    <t>Rupelian</t>
  </si>
  <si>
    <t>Chattian</t>
  </si>
  <si>
    <t>Neogene</t>
  </si>
  <si>
    <t>Miocene</t>
  </si>
  <si>
    <t>Aquitanian</t>
  </si>
  <si>
    <t>Burdigalian</t>
  </si>
  <si>
    <t>Langhian</t>
  </si>
  <si>
    <t>Serravallian</t>
  </si>
  <si>
    <t>Tortonian</t>
  </si>
  <si>
    <t>Messinian</t>
  </si>
  <si>
    <t>Pliocene</t>
  </si>
  <si>
    <t>Zanclean</t>
  </si>
  <si>
    <t>Piacenzian</t>
  </si>
  <si>
    <t>Quaternary</t>
  </si>
  <si>
    <t>Pleistocene</t>
  </si>
  <si>
    <t>Gelasian</t>
  </si>
  <si>
    <t>Calabrian</t>
  </si>
  <si>
    <t>Ionian</t>
  </si>
  <si>
    <t>Tarantian</t>
  </si>
  <si>
    <t>Holocene</t>
  </si>
  <si>
    <t>eon</t>
    <phoneticPr fontId="1"/>
  </si>
  <si>
    <t>era</t>
    <phoneticPr fontId="1"/>
  </si>
  <si>
    <t>period</t>
  </si>
  <si>
    <t>epoch</t>
  </si>
  <si>
    <t>age</t>
  </si>
  <si>
    <t>Prefix</t>
    <phoneticPr fontId="1"/>
  </si>
  <si>
    <t>universal</t>
    <phoneticPr fontId="1"/>
  </si>
  <si>
    <t>harmonic</t>
    <phoneticPr fontId="1"/>
  </si>
  <si>
    <t>year/century</t>
    <phoneticPr fontId="1"/>
  </si>
  <si>
    <t>century</t>
    <phoneticPr fontId="1"/>
  </si>
  <si>
    <t>year</t>
    <phoneticPr fontId="1"/>
  </si>
  <si>
    <t>m</t>
    <phoneticPr fontId="1"/>
  </si>
  <si>
    <t>km</t>
    <phoneticPr fontId="1"/>
  </si>
  <si>
    <t>nm</t>
    <phoneticPr fontId="1"/>
  </si>
  <si>
    <t>0;000001</t>
    <phoneticPr fontId="1"/>
  </si>
  <si>
    <t>0;00001</t>
    <phoneticPr fontId="1"/>
  </si>
  <si>
    <t>0;0001</t>
    <phoneticPr fontId="1"/>
  </si>
  <si>
    <t>0;001</t>
    <phoneticPr fontId="1"/>
  </si>
  <si>
    <t>0;01</t>
    <phoneticPr fontId="1"/>
  </si>
  <si>
    <t>0;1</t>
    <phoneticPr fontId="1"/>
  </si>
  <si>
    <t>s</t>
    <phoneticPr fontId="1"/>
  </si>
  <si>
    <t>ks</t>
    <phoneticPr fontId="1"/>
  </si>
  <si>
    <t>Ms</t>
    <phoneticPr fontId="1"/>
  </si>
  <si>
    <t>ns</t>
    <phoneticPr fontId="1"/>
  </si>
  <si>
    <t>μs</t>
    <phoneticPr fontId="1"/>
  </si>
  <si>
    <t>g</t>
    <phoneticPr fontId="1"/>
  </si>
  <si>
    <t>μg</t>
    <phoneticPr fontId="1"/>
  </si>
  <si>
    <t>mg</t>
    <phoneticPr fontId="1"/>
  </si>
  <si>
    <t>kg</t>
    <phoneticPr fontId="1"/>
  </si>
  <si>
    <t>Mg</t>
    <phoneticPr fontId="1"/>
  </si>
  <si>
    <t>Dozenal-&gt;Decimal</t>
    <phoneticPr fontId="1"/>
  </si>
  <si>
    <t>Decimal-&gt;Dozenal</t>
    <phoneticPr fontId="1"/>
  </si>
  <si>
    <t>Unit</t>
    <phoneticPr fontId="1"/>
  </si>
  <si>
    <t>K</t>
  </si>
  <si>
    <t>K</t>
    <phoneticPr fontId="1"/>
  </si>
  <si>
    <t>mK</t>
    <phoneticPr fontId="1"/>
  </si>
  <si>
    <t>kK</t>
    <phoneticPr fontId="1"/>
  </si>
  <si>
    <t>MK</t>
    <phoneticPr fontId="1"/>
  </si>
  <si>
    <t>μK</t>
    <phoneticPr fontId="1"/>
  </si>
  <si>
    <t>μm</t>
    <phoneticPr fontId="1"/>
  </si>
  <si>
    <t>nK</t>
    <phoneticPr fontId="1"/>
  </si>
  <si>
    <t>mile</t>
  </si>
  <si>
    <t>mile</t>
    <phoneticPr fontId="1"/>
  </si>
  <si>
    <t>m</t>
    <phoneticPr fontId="1"/>
  </si>
  <si>
    <t>mile</t>
    <phoneticPr fontId="1"/>
  </si>
  <si>
    <t>yard-pound units</t>
    <phoneticPr fontId="1"/>
  </si>
  <si>
    <t>meter</t>
    <phoneticPr fontId="1"/>
  </si>
  <si>
    <t>second</t>
    <phoneticPr fontId="1"/>
  </si>
  <si>
    <t>gram</t>
    <phoneticPr fontId="1"/>
  </si>
  <si>
    <t>Kelvin</t>
    <phoneticPr fontId="1"/>
  </si>
  <si>
    <t>Conversion</t>
    <phoneticPr fontId="1"/>
  </si>
  <si>
    <t>acre</t>
    <phoneticPr fontId="1"/>
  </si>
  <si>
    <t>g</t>
    <phoneticPr fontId="1"/>
  </si>
  <si>
    <t>gold price (sample)</t>
    <phoneticPr fontId="1"/>
  </si>
  <si>
    <t>$/g</t>
    <phoneticPr fontId="1"/>
  </si>
  <si>
    <t>3000;</t>
    <phoneticPr fontId="1"/>
  </si>
  <si>
    <t>0;1</t>
    <phoneticPr fontId="1"/>
  </si>
  <si>
    <t>g</t>
    <phoneticPr fontId="1"/>
  </si>
  <si>
    <t>the Harmonic Universal Unit System</t>
  </si>
  <si>
    <t>'human' or 'harmonic universal'</t>
  </si>
  <si>
    <t>'harmonic universal secondr' or simply 'harmonic second'</t>
  </si>
  <si>
    <t>'harmonic universal meter' or simply 'harmonic meter'</t>
  </si>
  <si>
    <t>1;</t>
    <phoneticPr fontId="1"/>
  </si>
  <si>
    <t>10;</t>
    <phoneticPr fontId="1"/>
  </si>
  <si>
    <t>100;</t>
    <phoneticPr fontId="1"/>
  </si>
  <si>
    <t>1000;</t>
    <phoneticPr fontId="1"/>
  </si>
  <si>
    <t>10;</t>
    <phoneticPr fontId="1"/>
  </si>
  <si>
    <t>10,0000,0000;</t>
    <phoneticPr fontId="1"/>
  </si>
  <si>
    <t>100,0000,0000;</t>
    <phoneticPr fontId="1"/>
  </si>
  <si>
    <t>1000;</t>
    <phoneticPr fontId="1"/>
  </si>
  <si>
    <t>1,0000;</t>
    <phoneticPr fontId="1"/>
  </si>
  <si>
    <t>m^2</t>
    <phoneticPr fontId="1"/>
  </si>
  <si>
    <t>m^3</t>
    <phoneticPr fontId="1"/>
  </si>
  <si>
    <t>hour</t>
    <phoneticPr fontId="1"/>
  </si>
  <si>
    <t>day</t>
    <phoneticPr fontId="1"/>
  </si>
  <si>
    <t>deg S</t>
    <phoneticPr fontId="1"/>
  </si>
  <si>
    <t>0K</t>
  </si>
  <si>
    <t>-78℃</t>
  </si>
  <si>
    <t>-55℃</t>
  </si>
  <si>
    <t>-32℃</t>
  </si>
  <si>
    <t>0℉</t>
  </si>
  <si>
    <t>-9℃</t>
  </si>
  <si>
    <t>0℃</t>
  </si>
  <si>
    <t>3.98℃</t>
  </si>
  <si>
    <t>14℃</t>
  </si>
  <si>
    <t>20℃</t>
  </si>
  <si>
    <t>37℃</t>
  </si>
  <si>
    <t>100℉</t>
  </si>
  <si>
    <t>58.8℃</t>
  </si>
  <si>
    <t>60℃</t>
  </si>
  <si>
    <t>83℃</t>
  </si>
  <si>
    <t>100℃</t>
  </si>
  <si>
    <r>
      <t>0.1</t>
    </r>
    <r>
      <rPr>
        <sz val="9"/>
        <color theme="1"/>
        <rFont val="ＭＳ Ｐ明朝"/>
        <family val="1"/>
        <charset val="128"/>
      </rPr>
      <t>℃</t>
    </r>
    <phoneticPr fontId="1"/>
  </si>
  <si>
    <r>
      <t>99.974</t>
    </r>
    <r>
      <rPr>
        <sz val="9"/>
        <color theme="1"/>
        <rFont val="ＭＳ Ｐ明朝"/>
        <family val="1"/>
        <charset val="128"/>
      </rPr>
      <t>℃</t>
    </r>
    <phoneticPr fontId="1"/>
  </si>
  <si>
    <t>coldest air recorded on the Earth</t>
    <phoneticPr fontId="1"/>
  </si>
  <si>
    <r>
      <t>-89.4</t>
    </r>
    <r>
      <rPr>
        <sz val="9"/>
        <color theme="1"/>
        <rFont val="ＭＳ Ｐ明朝"/>
        <family val="1"/>
        <charset val="128"/>
      </rPr>
      <t>℃</t>
    </r>
    <phoneticPr fontId="1"/>
  </si>
  <si>
    <t>absolute zero</t>
    <phoneticPr fontId="1"/>
  </si>
  <si>
    <t>melting point of ice</t>
    <phoneticPr fontId="1"/>
  </si>
  <si>
    <t>ttriple point of water</t>
    <phoneticPr fontId="1"/>
  </si>
  <si>
    <t>hottest air recorded on the Earth</t>
    <phoneticPr fontId="1"/>
  </si>
  <si>
    <t>maximum density point of water</t>
    <phoneticPr fontId="1"/>
  </si>
  <si>
    <r>
      <t>99.9839</t>
    </r>
    <r>
      <rPr>
        <sz val="9"/>
        <color theme="1"/>
        <rFont val="ＭＳ Ｐ明朝"/>
        <family val="1"/>
        <charset val="128"/>
      </rPr>
      <t>℃</t>
    </r>
    <phoneticPr fontId="1"/>
  </si>
  <si>
    <t>boiling point of water(ITS-90)</t>
    <phoneticPr fontId="1"/>
  </si>
  <si>
    <t>boiling point of water(VSMOW)</t>
    <phoneticPr fontId="1"/>
  </si>
  <si>
    <r>
      <t>15</t>
    </r>
    <r>
      <rPr>
        <sz val="9"/>
        <color theme="1"/>
        <rFont val="ＭＳ Ｐ明朝"/>
        <family val="1"/>
        <charset val="128"/>
      </rPr>
      <t>℃</t>
    </r>
    <phoneticPr fontId="1"/>
  </si>
  <si>
    <r>
      <t>25.5</t>
    </r>
    <r>
      <rPr>
        <sz val="9"/>
        <color theme="1"/>
        <rFont val="ＭＳ Ｐ明朝"/>
        <family val="1"/>
        <charset val="128"/>
      </rPr>
      <t>℃</t>
    </r>
    <phoneticPr fontId="1"/>
  </si>
  <si>
    <t>melting point of ice(VSMOW)</t>
    <phoneticPr fontId="1"/>
  </si>
  <si>
    <r>
      <t>0.000089</t>
    </r>
    <r>
      <rPr>
        <sz val="9"/>
        <color theme="1"/>
        <rFont val="ＭＳ Ｐ明朝"/>
        <family val="1"/>
        <charset val="128"/>
      </rPr>
      <t>℃</t>
    </r>
    <phoneticPr fontId="1"/>
  </si>
  <si>
    <r>
      <t>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</si>
  <si>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m</t>
    <phoneticPr fontId="1"/>
  </si>
  <si>
    <t>km/hour</t>
    <phoneticPr fontId="1"/>
  </si>
  <si>
    <t>base units that are natural units</t>
    <phoneticPr fontId="1"/>
  </si>
  <si>
    <t>non-coherent supplementary constants</t>
    <phoneticPr fontId="1"/>
  </si>
  <si>
    <t>Rydberg constant</t>
    <phoneticPr fontId="1"/>
  </si>
  <si>
    <t>1/ft</t>
    <phoneticPr fontId="1"/>
  </si>
  <si>
    <t>-</t>
    <phoneticPr fontId="1"/>
  </si>
  <si>
    <t>1 / (Rydberg * Bohr)</t>
    <phoneticPr fontId="1"/>
  </si>
  <si>
    <t>Bohr radius</t>
    <phoneticPr fontId="1"/>
  </si>
  <si>
    <t>ft</t>
    <phoneticPr fontId="1"/>
  </si>
  <si>
    <r>
      <t>61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</si>
  <si>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78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</si>
  <si>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100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</si>
  <si>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CE</t>
    <phoneticPr fontId="1"/>
  </si>
  <si>
    <t>year before CE2000</t>
    <phoneticPr fontId="1"/>
  </si>
  <si>
    <t>Holocene</t>
    <phoneticPr fontId="1"/>
  </si>
  <si>
    <t>y or a</t>
    <phoneticPr fontId="1"/>
  </si>
  <si>
    <t>12^16 / 2^48</t>
    <phoneticPr fontId="1"/>
  </si>
  <si>
    <t>J</t>
    <phoneticPr fontId="1"/>
  </si>
  <si>
    <t>kmol</t>
    <phoneticPr fontId="1"/>
  </si>
  <si>
    <t>kg</t>
    <phoneticPr fontId="1"/>
  </si>
  <si>
    <t>W</t>
    <phoneticPr fontId="1"/>
  </si>
  <si>
    <t>N</t>
    <phoneticPr fontId="1"/>
  </si>
  <si>
    <t>kPa</t>
    <phoneticPr fontId="1"/>
  </si>
  <si>
    <t>A/m</t>
    <phoneticPr fontId="1"/>
  </si>
  <si>
    <t>kT</t>
    <phoneticPr fontId="1"/>
  </si>
  <si>
    <t>kΩ</t>
    <phoneticPr fontId="1"/>
  </si>
  <si>
    <t>photon energy at 540THz</t>
    <phoneticPr fontId="1"/>
  </si>
  <si>
    <t>J</t>
    <phoneticPr fontId="1"/>
  </si>
  <si>
    <t>(according to the definition of candela)</t>
    <phoneticPr fontId="1"/>
  </si>
  <si>
    <t>luminous flux</t>
    <phoneticPr fontId="1"/>
  </si>
  <si>
    <t>lm</t>
    <phoneticPr fontId="1"/>
  </si>
  <si>
    <t>luminous intensity</t>
    <phoneticPr fontId="1"/>
  </si>
  <si>
    <t>Ω_1/m</t>
    <phoneticPr fontId="1"/>
  </si>
  <si>
    <t>cd</t>
    <phoneticPr fontId="1"/>
  </si>
  <si>
    <t>klx</t>
    <phoneticPr fontId="1"/>
  </si>
  <si>
    <t>illuminance and luminous emittance</t>
    <phoneticPr fontId="1"/>
  </si>
  <si>
    <t>mol_n/s</t>
    <phoneticPr fontId="1"/>
  </si>
  <si>
    <t>kat</t>
    <phoneticPr fontId="1"/>
  </si>
  <si>
    <t>mol/s</t>
    <phoneticPr fontId="1"/>
  </si>
  <si>
    <t>Bq</t>
    <phoneticPr fontId="1"/>
  </si>
  <si>
    <t>J/g</t>
    <phoneticPr fontId="1"/>
  </si>
  <si>
    <t>Gy</t>
    <phoneticPr fontId="1"/>
  </si>
  <si>
    <t>Sv</t>
    <phoneticPr fontId="1"/>
  </si>
  <si>
    <t>frequency</t>
    <phoneticPr fontId="1"/>
  </si>
  <si>
    <t>Ω_1/s</t>
    <phoneticPr fontId="1"/>
  </si>
  <si>
    <t>Hz</t>
    <phoneticPr fontId="1"/>
  </si>
  <si>
    <t>lx</t>
    <phoneticPr fontId="1"/>
  </si>
  <si>
    <t>Gf</t>
    <phoneticPr fontId="1"/>
  </si>
  <si>
    <t>Tm</t>
    <phoneticPr fontId="1"/>
  </si>
  <si>
    <t>Mz</t>
    <phoneticPr fontId="1"/>
  </si>
  <si>
    <t>Mg</t>
    <phoneticPr fontId="1"/>
  </si>
  <si>
    <t>Pm</t>
    <phoneticPr fontId="1"/>
  </si>
  <si>
    <t>Kr</t>
    <phoneticPr fontId="1"/>
  </si>
  <si>
    <t>Electric current</t>
    <phoneticPr fontId="1"/>
  </si>
  <si>
    <t>Ql</t>
    <phoneticPr fontId="1"/>
  </si>
  <si>
    <t>Pv</t>
    <phoneticPr fontId="1"/>
  </si>
  <si>
    <t>Wg</t>
    <phoneticPr fontId="1"/>
  </si>
  <si>
    <t>Og</t>
    <phoneticPr fontId="1"/>
  </si>
  <si>
    <t>Electric potential difference</t>
    <phoneticPr fontId="1"/>
  </si>
  <si>
    <t>Electric capacitance</t>
    <phoneticPr fontId="1"/>
  </si>
  <si>
    <t>Kp</t>
    <phoneticPr fontId="1"/>
  </si>
  <si>
    <t>Fm</t>
    <phoneticPr fontId="1"/>
  </si>
  <si>
    <t>Fz</t>
    <phoneticPr fontId="1"/>
  </si>
  <si>
    <t>Gn</t>
    <phoneticPr fontId="1"/>
  </si>
  <si>
    <t>Pl</t>
    <phoneticPr fontId="1"/>
  </si>
  <si>
    <t>Mlz</t>
    <phoneticPr fontId="1"/>
  </si>
  <si>
    <t>Fq</t>
    <phoneticPr fontId="1"/>
  </si>
  <si>
    <t>Lp</t>
    <phoneticPr fontId="1"/>
  </si>
  <si>
    <t>Ld</t>
    <phoneticPr fontId="1"/>
  </si>
  <si>
    <t>QLd</t>
    <phoneticPr fontId="1"/>
  </si>
  <si>
    <t>Cg</t>
    <phoneticPr fontId="1"/>
  </si>
  <si>
    <t>Kr/Gf</t>
    <phoneticPr fontId="1"/>
  </si>
  <si>
    <t>Ql/Sf</t>
    <phoneticPr fontId="1"/>
  </si>
  <si>
    <t>1W/W_s</t>
    <phoneticPr fontId="1"/>
  </si>
  <si>
    <t>The prefix 'harmonic' can be omitted if the expression includes the prefix 'atomic'.</t>
    <phoneticPr fontId="1"/>
  </si>
  <si>
    <t>The prefix 'harmonic' can be omitted if the expression includes the prefix 'cosmic'.</t>
    <phoneticPr fontId="1"/>
  </si>
  <si>
    <r>
      <t>2</t>
    </r>
    <r>
      <rPr>
        <sz val="9"/>
        <color theme="1"/>
        <rFont val="Verdana"/>
        <family val="2"/>
      </rPr>
      <t/>
    </r>
    <phoneticPr fontId="1"/>
  </si>
  <si>
    <t>+ (ex. 6;s_2+h)</t>
    <phoneticPr fontId="1"/>
  </si>
  <si>
    <t>2</t>
    <phoneticPr fontId="1"/>
  </si>
  <si>
    <t>'harmonic meter' or 'harmon'</t>
    <phoneticPr fontId="1"/>
  </si>
  <si>
    <t>'harmonic gram' or 'looloh'</t>
    <phoneticPr fontId="1"/>
  </si>
  <si>
    <t>meter^3</t>
    <phoneticPr fontId="1"/>
  </si>
  <si>
    <t>dam^3</t>
    <phoneticPr fontId="1"/>
  </si>
  <si>
    <t>dm^3</t>
    <phoneticPr fontId="1"/>
  </si>
  <si>
    <t>cm^3</t>
    <phoneticPr fontId="1"/>
  </si>
  <si>
    <t>mm^3</t>
    <phoneticPr fontId="1"/>
  </si>
  <si>
    <t>m</t>
    <phoneticPr fontId="1"/>
  </si>
  <si>
    <t>Sea depth at standard atmosphere</t>
    <phoneticPr fontId="1"/>
  </si>
  <si>
    <t>P/m</t>
    <phoneticPr fontId="1"/>
  </si>
  <si>
    <t>J</t>
    <phoneticPr fontId="1"/>
  </si>
  <si>
    <t>K</t>
    <phoneticPr fontId="1"/>
  </si>
  <si>
    <t>W</t>
    <phoneticPr fontId="1"/>
  </si>
  <si>
    <t>N</t>
    <phoneticPr fontId="1"/>
  </si>
  <si>
    <t>lm</t>
    <phoneticPr fontId="1"/>
  </si>
  <si>
    <t>cd</t>
    <phoneticPr fontId="1"/>
  </si>
  <si>
    <t>lx</t>
    <phoneticPr fontId="1"/>
  </si>
  <si>
    <t>s</t>
    <phoneticPr fontId="1"/>
  </si>
  <si>
    <t>C</t>
    <phoneticPr fontId="1"/>
  </si>
  <si>
    <t>A</t>
    <phoneticPr fontId="1"/>
  </si>
  <si>
    <t>C/m^2</t>
    <phoneticPr fontId="1"/>
  </si>
  <si>
    <t>log(10)</t>
    <phoneticPr fontId="1"/>
  </si>
  <si>
    <t>digit</t>
    <phoneticPr fontId="1"/>
  </si>
  <si>
    <r>
      <t>1;bi-atomic sensible Watt(W</t>
    </r>
    <r>
      <rPr>
        <vertAlign val="subscript"/>
        <sz val="9"/>
        <color theme="1"/>
        <rFont val="Times New Roman"/>
        <family val="1"/>
      </rPr>
      <t>2-s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</si>
  <si>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t>540THz</t>
    <phoneticPr fontId="1"/>
  </si>
  <si>
    <t>Luminous flux</t>
    <phoneticPr fontId="1"/>
  </si>
  <si>
    <t>Luminous intensity</t>
    <phoneticPr fontId="1"/>
  </si>
  <si>
    <t>Illuminance and luminous emittance</t>
    <phoneticPr fontId="1"/>
  </si>
  <si>
    <t>Catalytic activity</t>
    <phoneticPr fontId="1"/>
  </si>
  <si>
    <t>Radio activity</t>
    <phoneticPr fontId="1"/>
  </si>
  <si>
    <t>Absorbed radiation dose</t>
    <phoneticPr fontId="1"/>
  </si>
  <si>
    <t>Equivalent dose</t>
    <phoneticPr fontId="1"/>
  </si>
  <si>
    <t>Frequency</t>
    <phoneticPr fontId="1"/>
  </si>
  <si>
    <t>Check</t>
    <phoneticPr fontId="1"/>
  </si>
  <si>
    <t>m (= fathom)</t>
    <phoneticPr fontId="1"/>
  </si>
  <si>
    <t>m (= 0.1 fathom)</t>
    <phoneticPr fontId="1"/>
  </si>
  <si>
    <t>mK</t>
    <phoneticPr fontId="1"/>
  </si>
  <si>
    <t>meter^2</t>
    <phoneticPr fontId="1"/>
  </si>
  <si>
    <t>mm^2</t>
    <phoneticPr fontId="1"/>
  </si>
  <si>
    <t>cm^2</t>
    <phoneticPr fontId="1"/>
  </si>
  <si>
    <t>dm^2</t>
    <phoneticPr fontId="1"/>
  </si>
  <si>
    <t>dam^2</t>
    <phoneticPr fontId="1"/>
  </si>
  <si>
    <t>hm^2</t>
    <phoneticPr fontId="1"/>
  </si>
  <si>
    <t>km^2</t>
    <phoneticPr fontId="1"/>
  </si>
  <si>
    <t>pm</t>
    <phoneticPr fontId="1"/>
  </si>
  <si>
    <t>as</t>
    <phoneticPr fontId="1"/>
  </si>
  <si>
    <t>pJ</t>
    <phoneticPr fontId="1"/>
  </si>
  <si>
    <t>MW</t>
    <phoneticPr fontId="1"/>
  </si>
  <si>
    <t>MA/m^2</t>
    <phoneticPr fontId="1"/>
  </si>
  <si>
    <t>aWb</t>
    <phoneticPr fontId="1"/>
  </si>
  <si>
    <t>aH</t>
    <phoneticPr fontId="1"/>
  </si>
  <si>
    <t>PHz</t>
    <phoneticPr fontId="1"/>
  </si>
  <si>
    <t>Elm</t>
    <phoneticPr fontId="1"/>
  </si>
  <si>
    <t>Ecd</t>
    <phoneticPr fontId="1"/>
  </si>
  <si>
    <t>μkat</t>
    <phoneticPr fontId="1"/>
  </si>
  <si>
    <t>PBq</t>
    <phoneticPr fontId="1"/>
  </si>
  <si>
    <t>PGy</t>
    <phoneticPr fontId="1"/>
  </si>
  <si>
    <t>PSv</t>
    <phoneticPr fontId="1"/>
  </si>
  <si>
    <t>TK</t>
    <phoneticPr fontId="1"/>
  </si>
  <si>
    <t>harmonic Ørsted</t>
    <phoneticPr fontId="1"/>
  </si>
  <si>
    <t>'harmonic Ørsted'</t>
    <phoneticPr fontId="1"/>
  </si>
  <si>
    <t>H</t>
  </si>
  <si>
    <t>hydrogen</t>
  </si>
  <si>
    <t>D</t>
  </si>
  <si>
    <t>deuterium</t>
  </si>
  <si>
    <t>He</t>
  </si>
  <si>
    <t>helium</t>
  </si>
  <si>
    <t>Li</t>
  </si>
  <si>
    <t>lithium</t>
  </si>
  <si>
    <t>Be</t>
  </si>
  <si>
    <t>beryllium</t>
  </si>
  <si>
    <t>B</t>
  </si>
  <si>
    <t>bron</t>
  </si>
  <si>
    <t>C</t>
  </si>
  <si>
    <t>carbon</t>
  </si>
  <si>
    <t>C-13</t>
  </si>
  <si>
    <t>carbon-13</t>
  </si>
  <si>
    <t>N</t>
  </si>
  <si>
    <t>nitrogen</t>
  </si>
  <si>
    <t>N-15</t>
  </si>
  <si>
    <t>nitrogen 15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</si>
  <si>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</si>
  <si>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</si>
  <si>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</si>
  <si>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</si>
  <si>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</si>
  <si>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</si>
  <si>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</si>
  <si>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</si>
  <si>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</si>
  <si>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</si>
  <si>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</si>
  <si>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aluminium (aluminum)</t>
  </si>
  <si>
    <t>Si</t>
  </si>
  <si>
    <t>silicon</t>
  </si>
  <si>
    <t>P</t>
  </si>
  <si>
    <t>phosphorus</t>
  </si>
  <si>
    <t>S</t>
  </si>
  <si>
    <t>sulfur (sulpfur)</t>
  </si>
  <si>
    <t>Cl</t>
  </si>
  <si>
    <t>chlorine</t>
  </si>
  <si>
    <t>Ar</t>
  </si>
  <si>
    <t>argon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</si>
  <si>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</si>
  <si>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</si>
  <si>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</si>
  <si>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</si>
  <si>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</si>
  <si>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</si>
  <si>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</si>
  <si>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</si>
  <si>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</si>
  <si>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</si>
  <si>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</si>
  <si>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</si>
  <si>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</si>
  <si>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</si>
  <si>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</si>
  <si>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</si>
  <si>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</si>
  <si>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</si>
  <si>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</si>
  <si>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</si>
  <si>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</si>
  <si>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</si>
  <si>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</si>
  <si>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</si>
  <si>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</si>
  <si>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</si>
  <si>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</si>
  <si>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</si>
  <si>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</si>
  <si>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</si>
  <si>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</si>
  <si>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</si>
  <si>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</si>
  <si>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</si>
  <si>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</si>
  <si>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</si>
  <si>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</si>
  <si>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</si>
  <si>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</si>
  <si>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</si>
  <si>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</si>
  <si>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</si>
  <si>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</si>
  <si>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</si>
  <si>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</si>
  <si>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</si>
  <si>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</si>
  <si>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</si>
  <si>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</si>
  <si>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</si>
  <si>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</si>
  <si>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</si>
  <si>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</si>
  <si>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</si>
  <si>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</si>
  <si>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</si>
  <si>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</si>
  <si>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</si>
  <si>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</si>
  <si>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</si>
  <si>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</si>
  <si>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</si>
  <si>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</si>
  <si>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</si>
  <si>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</si>
  <si>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</si>
  <si>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</si>
  <si>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</si>
  <si>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</si>
  <si>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</si>
  <si>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</si>
  <si>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</si>
  <si>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</si>
  <si>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</si>
  <si>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</si>
  <si>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</si>
  <si>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</si>
  <si>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</si>
  <si>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</si>
  <si>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</si>
  <si>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</si>
  <si>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</si>
  <si>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</si>
  <si>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</si>
  <si>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</si>
  <si>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</si>
  <si>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</si>
  <si>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</si>
  <si>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</si>
  <si>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</si>
  <si>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</si>
  <si>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</si>
  <si>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</si>
  <si>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</si>
  <si>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</si>
  <si>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</si>
  <si>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</si>
  <si>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</si>
  <si>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</si>
  <si>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</si>
  <si>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</si>
  <si>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</si>
  <si>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</si>
  <si>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</si>
  <si>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</si>
  <si>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</si>
  <si>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</si>
  <si>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</si>
  <si>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</si>
  <si>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</si>
  <si>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</si>
  <si>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</si>
  <si>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</si>
  <si>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</si>
  <si>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</si>
  <si>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</si>
  <si>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</si>
  <si>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</si>
  <si>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</si>
  <si>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</si>
  <si>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</si>
  <si>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</si>
  <si>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</si>
  <si>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</si>
  <si>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</si>
  <si>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</si>
  <si>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</si>
  <si>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</si>
  <si>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</si>
  <si>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</si>
  <si>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</si>
  <si>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</si>
  <si>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</si>
  <si>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</si>
  <si>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</si>
  <si>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</si>
  <si>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</si>
  <si>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</si>
  <si>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</si>
  <si>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</si>
  <si>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</si>
  <si>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</si>
  <si>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</si>
  <si>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</si>
  <si>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</si>
  <si>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</si>
  <si>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</si>
  <si>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</si>
  <si>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</si>
  <si>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</si>
  <si>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</si>
  <si>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</si>
  <si>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</si>
  <si>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</si>
  <si>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</si>
  <si>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</si>
  <si>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</si>
  <si>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</si>
  <si>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</si>
  <si>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</si>
  <si>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</si>
  <si>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</si>
  <si>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</si>
  <si>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</si>
  <si>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</si>
  <si>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</si>
  <si>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</si>
  <si>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</si>
  <si>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</si>
  <si>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</si>
  <si>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</si>
  <si>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</si>
  <si>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</si>
  <si>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</si>
  <si>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</si>
  <si>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</si>
  <si>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</si>
  <si>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</si>
  <si>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</si>
  <si>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</si>
  <si>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Ds</t>
  </si>
  <si>
    <t>darmstadtium</t>
  </si>
  <si>
    <t>Rg</t>
  </si>
  <si>
    <t>Cn</t>
  </si>
  <si>
    <t>roentgenium</t>
  </si>
  <si>
    <t>Uut</t>
  </si>
  <si>
    <t>copernicium</t>
  </si>
  <si>
    <t>Unq</t>
  </si>
  <si>
    <t>ununtrium</t>
  </si>
  <si>
    <t>Uup</t>
  </si>
  <si>
    <t>ununquadium</t>
  </si>
  <si>
    <t>Uuh</t>
  </si>
  <si>
    <t>ununpentium</t>
  </si>
  <si>
    <t>Uuo</t>
  </si>
  <si>
    <t>ununhexium</t>
  </si>
  <si>
    <t>ununoctium</t>
  </si>
  <si>
    <t>unified atomic mass unit</t>
    <phoneticPr fontId="1"/>
  </si>
  <si>
    <t>suffix u</t>
    <phoneticPr fontId="1"/>
  </si>
  <si>
    <t>suffix e</t>
    <phoneticPr fontId="1"/>
  </si>
  <si>
    <t>Atomic weight</t>
    <phoneticPr fontId="1"/>
  </si>
  <si>
    <t>mass / unit</t>
    <phoneticPr fontId="1"/>
  </si>
  <si>
    <t>Mean</t>
    <phoneticPr fontId="1"/>
  </si>
  <si>
    <t>Typical</t>
    <phoneticPr fontId="1"/>
  </si>
  <si>
    <t>Name</t>
    <phoneticPr fontId="1"/>
  </si>
  <si>
    <t>tungsten</t>
    <phoneticPr fontId="1"/>
  </si>
  <si>
    <t>suffix Bohr</t>
    <phoneticPr fontId="1"/>
  </si>
  <si>
    <t xml:space="preserve">Atomic number </t>
    <phoneticPr fontId="1"/>
  </si>
  <si>
    <t>Chemical symbol</t>
    <phoneticPr fontId="1"/>
  </si>
  <si>
    <t>tri-atomic harmonic gram</t>
    <phoneticPr fontId="1"/>
  </si>
  <si>
    <t>tri-atomic universal gram</t>
    <phoneticPr fontId="1"/>
  </si>
  <si>
    <t>tri-atomic GCD gram</t>
    <phoneticPr fontId="1"/>
  </si>
  <si>
    <t>DATA from</t>
    <phoneticPr fontId="1"/>
  </si>
  <si>
    <t>http://ours.be/sci/aw.php</t>
    <phoneticPr fontId="1"/>
  </si>
  <si>
    <t>/</t>
    <phoneticPr fontId="1"/>
  </si>
  <si>
    <t>do</t>
    <phoneticPr fontId="1"/>
  </si>
  <si>
    <t>re</t>
    <phoneticPr fontId="1"/>
  </si>
  <si>
    <t>mi</t>
    <phoneticPr fontId="1"/>
  </si>
  <si>
    <t>fa</t>
    <phoneticPr fontId="1"/>
  </si>
  <si>
    <t>so</t>
    <phoneticPr fontId="1"/>
  </si>
  <si>
    <t>ti</t>
    <phoneticPr fontId="1"/>
  </si>
  <si>
    <t>ut</t>
    <phoneticPr fontId="1"/>
  </si>
  <si>
    <t>atomic la</t>
    <phoneticPr fontId="1"/>
  </si>
  <si>
    <t>atomic ti</t>
    <phoneticPr fontId="1"/>
  </si>
  <si>
    <t>atomic ut</t>
    <phoneticPr fontId="1"/>
  </si>
  <si>
    <t>atomic do</t>
    <phoneticPr fontId="1"/>
  </si>
  <si>
    <t>atomic re</t>
    <phoneticPr fontId="1"/>
  </si>
  <si>
    <t>atomic mi</t>
    <phoneticPr fontId="1"/>
  </si>
  <si>
    <t>atomic fa</t>
    <phoneticPr fontId="1"/>
  </si>
  <si>
    <t>cosmic mi</t>
    <phoneticPr fontId="1"/>
  </si>
  <si>
    <t>cosmic re</t>
    <phoneticPr fontId="1"/>
  </si>
  <si>
    <t>cosmic do</t>
    <phoneticPr fontId="1"/>
  </si>
  <si>
    <t>cosmic ut</t>
    <phoneticPr fontId="1"/>
  </si>
  <si>
    <t>cosmic ti</t>
    <phoneticPr fontId="1"/>
  </si>
  <si>
    <t>cosmic la</t>
    <phoneticPr fontId="1"/>
  </si>
  <si>
    <t>cosmic so</t>
    <phoneticPr fontId="1"/>
  </si>
  <si>
    <t>cosmic</t>
    <phoneticPr fontId="1"/>
  </si>
  <si>
    <t>(Dominus)</t>
    <phoneticPr fontId="1"/>
  </si>
  <si>
    <t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</si>
  <si>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</si>
  <si>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b/>
        <i/>
        <sz val="9"/>
        <color rgb="FF000000"/>
        <rFont val="Verdana"/>
        <family val="2"/>
      </rPr>
      <t>ħ</t>
    </r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</si>
  <si>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</si>
  <si>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</si>
  <si>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t>rad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'steradian'</t>
    </r>
    <phoneticPr fontId="1"/>
  </si>
  <si>
    <r>
      <rPr>
        <i/>
        <sz val="9"/>
        <color theme="1"/>
        <rFont val="Times New Roman"/>
        <family val="1"/>
      </rPr>
      <t>substance name</t>
    </r>
    <r>
      <rPr>
        <sz val="9"/>
        <color theme="1"/>
        <rFont val="Times New Roman"/>
        <family val="1"/>
      </rPr>
      <t xml:space="preserve">
(ex.Carbon dioxide)</t>
    </r>
    <phoneticPr fontId="1"/>
  </si>
  <si>
    <r>
      <t xml:space="preserve">substance symbol
</t>
    </r>
    <r>
      <rPr>
        <sz val="9"/>
        <color rgb="FF000000"/>
        <rFont val="Times New Roman"/>
        <family val="1"/>
      </rPr>
      <t xml:space="preserve"> (ex. CO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)</t>
    </r>
    <phoneticPr fontId="1"/>
  </si>
  <si>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 (ex. CO_2)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</si>
  <si>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n</t>
    </r>
    <phoneticPr fontId="1"/>
  </si>
  <si>
    <r>
      <t>J</t>
    </r>
    <r>
      <rPr>
        <b/>
        <vertAlign val="subscript"/>
        <sz val="9"/>
        <color rgb="FF000000"/>
        <rFont val="Times New Roman"/>
        <family val="1"/>
      </rPr>
      <t>h</t>
    </r>
  </si>
  <si>
    <r>
      <t>harmonic Kelvin (=10;</t>
    </r>
    <r>
      <rPr>
        <vertAlign val="superscript"/>
        <sz val="9"/>
        <color rgb="FF000000"/>
        <rFont val="Times New Roman"/>
        <family val="1"/>
      </rPr>
      <t>-4</t>
    </r>
    <r>
      <rPr>
        <sz val="9"/>
        <color rgb="FF000000"/>
        <rFont val="Times New Roman"/>
        <family val="1"/>
      </rPr>
      <t>°S)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</si>
  <si>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h</t>
    </r>
  </si>
  <si>
    <r>
      <t>W</t>
    </r>
    <r>
      <rPr>
        <b/>
        <vertAlign val="subscript"/>
        <sz val="9"/>
        <color rgb="FF000000"/>
        <rFont val="Times New Roman"/>
        <family val="1"/>
      </rPr>
      <t>h</t>
    </r>
  </si>
  <si>
    <r>
      <t>N</t>
    </r>
    <r>
      <rPr>
        <b/>
        <vertAlign val="subscript"/>
        <sz val="9"/>
        <color rgb="FF000000"/>
        <rFont val="Times New Roman"/>
        <family val="1"/>
      </rPr>
      <t>h</t>
    </r>
  </si>
  <si>
    <r>
      <t>P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</si>
  <si>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u</t>
    </r>
    <phoneticPr fontId="1"/>
  </si>
  <si>
    <r>
      <t>A</t>
    </r>
    <r>
      <rPr>
        <b/>
        <vertAlign val="subscript"/>
        <sz val="9"/>
        <color rgb="FF000000"/>
        <rFont val="Times New Roman"/>
        <family val="1"/>
      </rPr>
      <t>h</t>
    </r>
  </si>
  <si>
    <r>
      <t>O</t>
    </r>
    <r>
      <rPr>
        <b/>
        <vertAlign val="subscript"/>
        <sz val="9"/>
        <color rgb="FF000000"/>
        <rFont val="Times New Roman"/>
        <family val="1"/>
      </rPr>
      <t>h</t>
    </r>
  </si>
  <si>
    <r>
      <t>G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</si>
  <si>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0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</si>
  <si>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B</t>
    </r>
    <phoneticPr fontId="1"/>
  </si>
  <si>
    <r>
      <t>Ω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'sphere' or 'turn'</t>
    </r>
    <phoneticPr fontId="1"/>
  </si>
  <si>
    <r>
      <t xml:space="preserve">'universal mole' with </t>
    </r>
    <r>
      <rPr>
        <i/>
        <sz val="9"/>
        <color rgb="FF000000"/>
        <rFont val="Times New Roman"/>
        <family val="1"/>
      </rPr>
      <t>substance name</t>
    </r>
    <r>
      <rPr>
        <sz val="9"/>
        <color rgb="FF000000"/>
        <rFont val="Times New Roman"/>
        <family val="1"/>
      </rPr>
      <t xml:space="preserve">
(ex. universal mole Carbon dioxide)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</si>
  <si>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u</t>
    </r>
    <r>
      <rPr>
        <b/>
        <i/>
        <vertAlign val="subscript"/>
        <sz val="9"/>
        <color rgb="FF000000"/>
        <rFont val="Times New Roman"/>
        <family val="1"/>
      </rPr>
      <t xml:space="preserve"> </t>
    </r>
    <r>
      <rPr>
        <i/>
        <sz val="9"/>
        <color rgb="FF000000"/>
        <rFont val="Times New Roman"/>
        <family val="1"/>
      </rPr>
      <t xml:space="preserve">substance symbol
</t>
    </r>
    <r>
      <rPr>
        <sz val="9"/>
        <color rgb="FF000000"/>
        <rFont val="Times New Roman"/>
        <family val="1"/>
      </rPr>
      <t>(ex.</t>
    </r>
    <r>
      <rPr>
        <i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mol</t>
    </r>
    <r>
      <rPr>
        <vertAlign val="subscript"/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CO</t>
    </r>
    <r>
      <rPr>
        <vertAlign val="subscript"/>
        <sz val="9"/>
        <color rgb="FF000000"/>
        <rFont val="Times New Roman"/>
        <family val="1"/>
      </rPr>
      <t>2</t>
    </r>
    <r>
      <rPr>
        <i/>
        <sz val="9"/>
        <color rgb="FF000000"/>
        <rFont val="Times New Roman"/>
        <family val="1"/>
      </rPr>
      <t>)</t>
    </r>
    <phoneticPr fontId="1"/>
  </si>
  <si>
    <r>
      <t xml:space="preserve">mol_u </t>
    </r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(ex. mol_u CO_2)</t>
    </r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</si>
  <si>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-3</t>
    </r>
  </si>
  <si>
    <r>
      <t>10;</t>
    </r>
    <r>
      <rPr>
        <vertAlign val="superscript"/>
        <sz val="9"/>
        <color rgb="FF000000"/>
        <rFont val="Times New Roman"/>
        <family val="1"/>
      </rPr>
      <t>-8</t>
    </r>
  </si>
  <si>
    <r>
      <t>-</t>
    </r>
    <r>
      <rPr>
        <sz val="9"/>
        <color theme="1"/>
        <rFont val="Times New Roman"/>
        <family val="1"/>
      </rPr>
      <t xml:space="preserve"> (ex. dm</t>
    </r>
    <r>
      <rPr>
        <b/>
        <vertAlign val="subscript"/>
        <sz val="9"/>
        <color theme="1"/>
        <rFont val="Times New Roman"/>
        <family val="1"/>
      </rPr>
      <t>-h</t>
    </r>
    <r>
      <rPr>
        <sz val="9"/>
        <color theme="1"/>
        <rFont val="Times New Roman"/>
        <family val="1"/>
      </rPr>
      <t>)</t>
    </r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</si>
  <si>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3</t>
    </r>
  </si>
  <si>
    <r>
      <t>10;</t>
    </r>
    <r>
      <rPr>
        <vertAlign val="superscript"/>
        <sz val="9"/>
        <color rgb="FF000000"/>
        <rFont val="Times New Roman"/>
        <family val="1"/>
      </rPr>
      <t>8</t>
    </r>
  </si>
  <si>
    <r>
      <t>+</t>
    </r>
    <r>
      <rPr>
        <sz val="9"/>
        <color theme="1"/>
        <rFont val="Times New Roman"/>
        <family val="1"/>
      </rPr>
      <t xml:space="preserve"> (ex. 6;s</t>
    </r>
    <r>
      <rPr>
        <vertAlign val="subscript"/>
        <sz val="9"/>
        <color theme="1"/>
        <rFont val="Times New Roman"/>
        <family val="1"/>
      </rPr>
      <t>2+h</t>
    </r>
    <r>
      <rPr>
        <sz val="9"/>
        <color theme="1"/>
        <rFont val="Times New Roman"/>
        <family val="1"/>
      </rPr>
      <t>)</t>
    </r>
    <phoneticPr fontId="1"/>
  </si>
  <si>
    <r>
      <rPr>
        <b/>
        <i/>
        <sz val="9"/>
        <color rgb="FF000000"/>
        <rFont val="Times New Roman"/>
        <family val="1"/>
      </rPr>
      <t>m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</si>
  <si>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s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</si>
  <si>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g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</si>
  <si>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t>2</t>
    </r>
    <r>
      <rPr>
        <vertAlign val="superscript"/>
        <sz val="9"/>
        <color rgb="FF000000"/>
        <rFont val="Times New Roman"/>
        <family val="1"/>
      </rPr>
      <t>6</t>
    </r>
    <r>
      <rPr>
        <sz val="9"/>
        <color rgb="FF000000"/>
        <rFont val="Times New Roman"/>
        <family val="1"/>
      </rPr>
      <t xml:space="preserve"> years</t>
    </r>
  </si>
  <si>
    <r>
      <t>y</t>
    </r>
    <r>
      <rPr>
        <sz val="9"/>
        <color rgb="FF000000"/>
        <rFont val="Times New Roman"/>
        <family val="1"/>
      </rPr>
      <t xml:space="preserve"> or</t>
    </r>
    <r>
      <rPr>
        <b/>
        <sz val="9"/>
        <color rgb="FF000000"/>
        <rFont val="Times New Roman"/>
        <family val="1"/>
      </rPr>
      <t xml:space="preserve"> a</t>
    </r>
    <phoneticPr fontId="1"/>
  </si>
  <si>
    <t>fal</t>
    <phoneticPr fontId="1"/>
  </si>
  <si>
    <t>mil</t>
    <phoneticPr fontId="1"/>
  </si>
  <si>
    <t>rel</t>
    <phoneticPr fontId="1"/>
  </si>
  <si>
    <t>dol</t>
    <phoneticPr fontId="1"/>
  </si>
  <si>
    <t>utl</t>
    <phoneticPr fontId="1"/>
  </si>
  <si>
    <t>til</t>
    <phoneticPr fontId="1"/>
  </si>
  <si>
    <t>sol</t>
    <phoneticPr fontId="1"/>
  </si>
  <si>
    <t>adjectives</t>
    <phoneticPr fontId="1"/>
  </si>
  <si>
    <t>noun</t>
    <phoneticPr fontId="1"/>
  </si>
  <si>
    <t>nautical mile</t>
    <phoneticPr fontId="1"/>
  </si>
  <si>
    <r>
      <t>10000;m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/0;1day</t>
    </r>
    <phoneticPr fontId="1"/>
  </si>
  <si>
    <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/s</t>
    </r>
    <r>
      <rPr>
        <vertAlign val="subscript"/>
        <sz val="9"/>
        <color theme="1"/>
        <rFont val="Times New Roman"/>
        <family val="1"/>
      </rPr>
      <t>h</t>
    </r>
    <phoneticPr fontId="1"/>
  </si>
  <si>
    <t>100000;</t>
    <phoneticPr fontId="1"/>
  </si>
  <si>
    <t>m/day</t>
    <phoneticPr fontId="1"/>
  </si>
  <si>
    <t>Power</t>
    <phoneticPr fontId="1"/>
  </si>
  <si>
    <t>mK</t>
    <phoneticPr fontId="1"/>
  </si>
  <si>
    <t>Acceleration</t>
    <phoneticPr fontId="1"/>
  </si>
  <si>
    <t>G</t>
    <phoneticPr fontId="1"/>
  </si>
  <si>
    <r>
      <t xml:space="preserve">sep or </t>
    </r>
    <r>
      <rPr>
        <b/>
        <sz val="9"/>
        <color theme="1"/>
        <rFont val="ＭＳ Ｐ明朝"/>
        <family val="1"/>
        <charset val="128"/>
      </rPr>
      <t>“</t>
    </r>
    <r>
      <rPr>
        <b/>
        <sz val="9"/>
        <color theme="1"/>
        <rFont val="Times New Roman"/>
        <family val="1"/>
      </rPr>
      <t>'</t>
    </r>
    <r>
      <rPr>
        <b/>
        <sz val="9"/>
        <color theme="1"/>
        <rFont val="ＭＳ Ｐ明朝"/>
        <family val="1"/>
        <charset val="128"/>
      </rPr>
      <t>”</t>
    </r>
    <phoneticPr fontId="1"/>
  </si>
  <si>
    <r>
      <t xml:space="preserve">sep or </t>
    </r>
    <r>
      <rPr>
        <sz val="9"/>
        <color theme="1"/>
        <rFont val="ＭＳ Ｐ明朝"/>
        <family val="1"/>
        <charset val="128"/>
      </rPr>
      <t>“</t>
    </r>
    <r>
      <rPr>
        <sz val="9"/>
        <color theme="1"/>
        <rFont val="Times New Roman"/>
        <family val="1"/>
      </rPr>
      <t>'</t>
    </r>
    <r>
      <rPr>
        <sz val="9"/>
        <color theme="1"/>
        <rFont val="ＭＳ Ｐ明朝"/>
        <family val="1"/>
        <charset val="128"/>
      </rPr>
      <t>”</t>
    </r>
    <phoneticPr fontId="1"/>
  </si>
  <si>
    <t>light Julian year</t>
    <phoneticPr fontId="1"/>
  </si>
  <si>
    <t>10 persec</t>
    <phoneticPr fontId="1"/>
  </si>
  <si>
    <t>Solar luminosity</t>
    <phoneticPr fontId="1"/>
  </si>
  <si>
    <t>Temperature</t>
    <phoneticPr fontId="1"/>
  </si>
  <si>
    <t>Earth rotation</t>
    <phoneticPr fontId="1"/>
  </si>
  <si>
    <t>L0/L1</t>
    <phoneticPr fontId="1"/>
  </si>
  <si>
    <t>distance/m</t>
    <phoneticPr fontId="1"/>
  </si>
  <si>
    <t>astronomical unit</t>
    <phoneticPr fontId="1"/>
  </si>
  <si>
    <t xml:space="preserve">Solar constant </t>
    <phoneticPr fontId="1"/>
  </si>
  <si>
    <t>W/m^2</t>
    <phoneticPr fontId="1"/>
  </si>
  <si>
    <t>W/sr</t>
    <phoneticPr fontId="1"/>
  </si>
  <si>
    <t xml:space="preserve">illuminance/lx </t>
    <phoneticPr fontId="1"/>
  </si>
  <si>
    <t>Solar luminous intencity</t>
    <phoneticPr fontId="1"/>
  </si>
  <si>
    <t>cd</t>
    <phoneticPr fontId="1"/>
  </si>
  <si>
    <t xml:space="preserve">Solar luminous efficacy </t>
    <phoneticPr fontId="1"/>
  </si>
  <si>
    <t>lm/W</t>
    <phoneticPr fontId="1"/>
  </si>
  <si>
    <t>apparent mag.</t>
    <phoneticPr fontId="1"/>
  </si>
  <si>
    <t>10;bi-cosmic meter</t>
    <phoneticPr fontId="1"/>
  </si>
  <si>
    <t>photon scale</t>
    <phoneticPr fontId="1"/>
  </si>
  <si>
    <t>W_h/m_h^2</t>
    <phoneticPr fontId="1"/>
  </si>
  <si>
    <t>W_h/sr</t>
    <phoneticPr fontId="1"/>
  </si>
  <si>
    <t>W_s/sr</t>
    <phoneticPr fontId="1"/>
  </si>
  <si>
    <t>W_s/W_h</t>
    <phoneticPr fontId="1"/>
  </si>
  <si>
    <t>Solar radiation intencity</t>
    <phoneticPr fontId="1"/>
  </si>
  <si>
    <t>Penz</t>
    <phoneticPr fontId="1"/>
  </si>
  <si>
    <t>QuaraPenz</t>
    <phoneticPr fontId="1"/>
  </si>
  <si>
    <t>QuaraLyde</t>
    <phoneticPr fontId="1"/>
  </si>
  <si>
    <t>Lytef</t>
    <phoneticPr fontId="1"/>
  </si>
  <si>
    <t>=Bril</t>
    <phoneticPr fontId="1"/>
  </si>
  <si>
    <t>illuminance
/W_2-s/m_h^2</t>
    <phoneticPr fontId="1"/>
  </si>
  <si>
    <t>Brite scale</t>
    <phoneticPr fontId="1"/>
  </si>
  <si>
    <t>apparent magnitude 0.0</t>
    <phoneticPr fontId="1"/>
  </si>
  <si>
    <t>Brite scale 0.0</t>
    <phoneticPr fontId="1"/>
  </si>
  <si>
    <t>apparent magnitude 6.0</t>
    <phoneticPr fontId="1"/>
  </si>
  <si>
    <t>apparent magnitude 5.0</t>
    <phoneticPr fontId="1"/>
  </si>
  <si>
    <t>L0</t>
    <phoneticPr fontId="1"/>
  </si>
  <si>
    <t>L1</t>
    <phoneticPr fontId="1"/>
  </si>
  <si>
    <t>remark</t>
    <phoneticPr fontId="1"/>
  </si>
  <si>
    <t>distance</t>
    <phoneticPr fontId="1"/>
  </si>
  <si>
    <t>=Brite</t>
    <phoneticPr fontId="1"/>
  </si>
  <si>
    <t>m/s^2</t>
    <phoneticPr fontId="1"/>
  </si>
  <si>
    <t>atomic sub</t>
    <phoneticPr fontId="1"/>
  </si>
  <si>
    <t>sub</t>
    <phoneticPr fontId="1"/>
  </si>
  <si>
    <t>exponential notation</t>
    <phoneticPr fontId="1"/>
  </si>
  <si>
    <t>DoReMi system</t>
    <phoneticPr fontId="1"/>
  </si>
  <si>
    <t>power</t>
    <phoneticPr fontId="1"/>
  </si>
  <si>
    <t>I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</si>
  <si>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-4</t>
    </r>
    <phoneticPr fontId="1"/>
  </si>
  <si>
    <t>'sub'</t>
    <phoneticPr fontId="1"/>
  </si>
  <si>
    <t>s</t>
    <phoneticPr fontId="1"/>
  </si>
  <si>
    <t>s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</si>
  <si>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4</t>
    </r>
    <phoneticPr fontId="1"/>
  </si>
  <si>
    <t>K</t>
    <phoneticPr fontId="1"/>
  </si>
  <si>
    <t>S</t>
    <phoneticPr fontId="1"/>
  </si>
  <si>
    <t>_4-</t>
    <phoneticPr fontId="32"/>
  </si>
  <si>
    <t>_4-D</t>
  </si>
  <si>
    <t>_4-H</t>
  </si>
  <si>
    <t>_4-K</t>
  </si>
  <si>
    <t>_3-s</t>
  </si>
  <si>
    <t>_3-m</t>
    <phoneticPr fontId="32"/>
  </si>
  <si>
    <t>_3-c</t>
    <phoneticPr fontId="32"/>
  </si>
  <si>
    <t>_3-d</t>
    <phoneticPr fontId="32"/>
  </si>
  <si>
    <t>_3-</t>
    <phoneticPr fontId="32"/>
  </si>
  <si>
    <t>_3-D</t>
  </si>
  <si>
    <t>_3-H</t>
  </si>
  <si>
    <t>_3-K</t>
  </si>
  <si>
    <t>_2-s</t>
  </si>
  <si>
    <t>_2-m</t>
    <phoneticPr fontId="32"/>
  </si>
  <si>
    <t>_2-c</t>
    <phoneticPr fontId="32"/>
  </si>
  <si>
    <t>_2-d</t>
    <phoneticPr fontId="32"/>
  </si>
  <si>
    <t>_2-</t>
    <phoneticPr fontId="32"/>
  </si>
  <si>
    <t>_2-D</t>
  </si>
  <si>
    <t>_2-H</t>
  </si>
  <si>
    <t>_2-K</t>
  </si>
  <si>
    <t>_-s</t>
  </si>
  <si>
    <t>_-m</t>
    <phoneticPr fontId="32"/>
  </si>
  <si>
    <t>_-c</t>
    <phoneticPr fontId="32"/>
  </si>
  <si>
    <t>_-d</t>
    <phoneticPr fontId="32"/>
  </si>
  <si>
    <t>_-</t>
    <phoneticPr fontId="32"/>
  </si>
  <si>
    <t>_-D</t>
  </si>
  <si>
    <t>_-H</t>
  </si>
  <si>
    <t>_-K</t>
  </si>
  <si>
    <t>_s</t>
  </si>
  <si>
    <t>_m</t>
    <phoneticPr fontId="32"/>
  </si>
  <si>
    <t>_c</t>
    <phoneticPr fontId="32"/>
  </si>
  <si>
    <t>_d</t>
    <phoneticPr fontId="32"/>
  </si>
  <si>
    <t>_D</t>
  </si>
  <si>
    <t>_H</t>
  </si>
  <si>
    <t>_S</t>
  </si>
  <si>
    <t>_+m</t>
    <phoneticPr fontId="32"/>
  </si>
  <si>
    <t>_+c</t>
    <phoneticPr fontId="32"/>
  </si>
  <si>
    <t>_+d</t>
    <phoneticPr fontId="32"/>
  </si>
  <si>
    <t>_+</t>
    <phoneticPr fontId="32"/>
  </si>
  <si>
    <t>_+D</t>
  </si>
  <si>
    <t>_+H</t>
  </si>
  <si>
    <t>_+K</t>
  </si>
  <si>
    <t>_+S</t>
  </si>
  <si>
    <t>_2+m</t>
    <phoneticPr fontId="32"/>
  </si>
  <si>
    <t>_2+c</t>
    <phoneticPr fontId="32"/>
  </si>
  <si>
    <t>_2+d</t>
    <phoneticPr fontId="32"/>
  </si>
  <si>
    <t>_2+</t>
    <phoneticPr fontId="32"/>
  </si>
  <si>
    <t>_2+D</t>
  </si>
  <si>
    <t>_2+H</t>
  </si>
  <si>
    <t>_2+K</t>
  </si>
  <si>
    <t>_2+S</t>
  </si>
  <si>
    <t>_3+m</t>
    <phoneticPr fontId="32"/>
  </si>
  <si>
    <t>_3+c</t>
    <phoneticPr fontId="32"/>
  </si>
  <si>
    <t>_3+d</t>
    <phoneticPr fontId="32"/>
  </si>
  <si>
    <t>_3+</t>
    <phoneticPr fontId="32"/>
  </si>
  <si>
    <t>_3+D</t>
  </si>
  <si>
    <t>_3+H</t>
  </si>
  <si>
    <t>_3+K</t>
  </si>
  <si>
    <t>_3+S</t>
  </si>
  <si>
    <t>_4+m</t>
    <phoneticPr fontId="32"/>
  </si>
  <si>
    <t>_4+c</t>
    <phoneticPr fontId="32"/>
  </si>
  <si>
    <t>_4+d</t>
    <phoneticPr fontId="32"/>
  </si>
  <si>
    <t>_4+</t>
    <phoneticPr fontId="32"/>
  </si>
  <si>
    <t>_4+D</t>
  </si>
  <si>
    <t>_4+H</t>
  </si>
  <si>
    <t>_4+K</t>
  </si>
  <si>
    <t>_4+S</t>
  </si>
  <si>
    <t>_5+m</t>
    <phoneticPr fontId="32"/>
  </si>
  <si>
    <t>_5+c</t>
    <phoneticPr fontId="32"/>
  </si>
  <si>
    <t>_5+d</t>
    <phoneticPr fontId="32"/>
  </si>
  <si>
    <t>_5+</t>
    <phoneticPr fontId="32"/>
  </si>
  <si>
    <t>_5+D</t>
  </si>
  <si>
    <t>value</t>
    <phoneticPr fontId="32"/>
  </si>
  <si>
    <t>notation</t>
    <phoneticPr fontId="32"/>
  </si>
  <si>
    <t>called</t>
    <phoneticPr fontId="32"/>
  </si>
  <si>
    <t>12^0</t>
    <phoneticPr fontId="32"/>
  </si>
  <si>
    <t>semy-atomic</t>
  </si>
  <si>
    <t>semy-cosmic</t>
  </si>
  <si>
    <t>'milly'</t>
    <phoneticPr fontId="1"/>
  </si>
  <si>
    <t>atomic milly</t>
  </si>
  <si>
    <t>milly</t>
  </si>
  <si>
    <t>cosmic milly</t>
  </si>
  <si>
    <t>atomic centy</t>
  </si>
  <si>
    <t>centy</t>
  </si>
  <si>
    <t>cosmic centy</t>
  </si>
  <si>
    <t>2;bi-cosmic milly cycle / s</t>
    <phoneticPr fontId="1"/>
  </si>
  <si>
    <t>origin of prefix part</t>
  </si>
  <si>
    <t>Old Norse</t>
  </si>
  <si>
    <t>Old French</t>
  </si>
  <si>
    <t>Latin</t>
  </si>
  <si>
    <t>Germanic</t>
  </si>
  <si>
    <r>
      <t>g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ll</t>
    </r>
    <phoneticPr fontId="1"/>
  </si>
  <si>
    <t>g_h or ll</t>
    <phoneticPr fontId="1"/>
  </si>
  <si>
    <r>
      <t>If a unit is omitted after square or cube, the unit shall be deemed to as harmonic meter.(ex. 'square(sq)' expresses 'square harmonic meter', and 'cube(cb)' expresses 'cubic harmonic meter'). A square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and sub square (=10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ssq. A cubic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 xml:space="preserve"> and sub cube (=10;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scb</t>
    </r>
    <r>
      <rPr>
        <sz val="9"/>
        <color theme="1"/>
        <rFont val="Times New Roman"/>
        <family val="1"/>
      </rPr>
      <t xml:space="preserve">. </t>
    </r>
    <phoneticPr fontId="1"/>
  </si>
  <si>
    <t>Gravitic meter</t>
    <phoneticPr fontId="1"/>
  </si>
  <si>
    <t>m_h or hm</t>
    <phoneticPr fontId="1"/>
  </si>
  <si>
    <t>Stefan-Boltzmann constant</t>
    <phoneticPr fontId="1"/>
  </si>
  <si>
    <t>harmonic Gauß</t>
    <phoneticPr fontId="1"/>
  </si>
  <si>
    <t>'harmonic Gauß' or 'harmonic Gauss'</t>
    <phoneticPr fontId="1"/>
  </si>
  <si>
    <t>1W/W_sen</t>
    <phoneticPr fontId="1"/>
  </si>
  <si>
    <t>W_sen</t>
    <phoneticPr fontId="1"/>
  </si>
  <si>
    <t>W_sen/sr</t>
    <phoneticPr fontId="1"/>
  </si>
  <si>
    <t>W_sen/Ω_2</t>
    <phoneticPr fontId="1"/>
  </si>
  <si>
    <t>W_sen/m^2</t>
    <phoneticPr fontId="1"/>
  </si>
  <si>
    <t>J_sen/g</t>
    <phoneticPr fontId="1"/>
  </si>
  <si>
    <r>
      <t>The prefix 'sensible' is added when the unit is used for equivalent dose.
 (ex. sensible Joule/gram[J</t>
    </r>
    <r>
      <rPr>
        <vertAlign val="subscript"/>
        <sz val="9"/>
        <color theme="1"/>
        <rFont val="Times New Roman"/>
        <family val="1"/>
      </rPr>
      <t>sen</t>
    </r>
    <r>
      <rPr>
        <sz val="9"/>
        <color theme="1"/>
        <rFont val="Times New Roman"/>
        <family val="1"/>
      </rPr>
      <t>/g, J_sen/g])</t>
    </r>
    <phoneticPr fontId="1"/>
  </si>
  <si>
    <r>
      <t>The prefix 'sensible' is added when the unit is used for luminous flux. (ex. sensible Watt[W</t>
    </r>
    <r>
      <rPr>
        <vertAlign val="subscript"/>
        <sz val="9"/>
        <color theme="1"/>
        <rFont val="Times New Roman"/>
        <family val="1"/>
      </rPr>
      <t>sen</t>
    </r>
    <r>
      <rPr>
        <sz val="9"/>
        <color theme="1"/>
        <rFont val="Times New Roman"/>
        <family val="1"/>
      </rPr>
      <t>, W_sen])</t>
    </r>
    <phoneticPr fontId="1"/>
  </si>
  <si>
    <r>
      <t>The prefix 'sensible' is added when the unit is used for phone pressure.
 (ex. sensible Pascal[P</t>
    </r>
    <r>
      <rPr>
        <vertAlign val="subscript"/>
        <sz val="9"/>
        <color theme="1"/>
        <rFont val="Times New Roman"/>
        <family val="1"/>
      </rPr>
      <t>sen</t>
    </r>
    <r>
      <rPr>
        <sz val="9"/>
        <color theme="1"/>
        <rFont val="Times New Roman"/>
        <family val="1"/>
      </rPr>
      <t>, P_sen])</t>
    </r>
    <phoneticPr fontId="1"/>
  </si>
  <si>
    <t>'span' or 'octal century'</t>
    <phoneticPr fontId="1"/>
  </si>
  <si>
    <r>
      <t>span</t>
    </r>
    <r>
      <rPr>
        <sz val="9"/>
        <color rgb="FF000000"/>
        <rFont val="Times New Roman"/>
        <family val="1"/>
      </rPr>
      <t xml:space="preserve"> or</t>
    </r>
    <r>
      <rPr>
        <i/>
        <sz val="9"/>
        <color rgb="FF000000"/>
        <rFont val="ＭＳ Ｐゴシック"/>
        <family val="3"/>
        <charset val="128"/>
      </rPr>
      <t xml:space="preserve"> “`”</t>
    </r>
    <phoneticPr fontId="1"/>
  </si>
  <si>
    <t>span or “`”</t>
    <phoneticPr fontId="1"/>
  </si>
  <si>
    <t>one</t>
  </si>
  <si>
    <t>dozen</t>
  </si>
  <si>
    <t>gross</t>
  </si>
  <si>
    <t>myllion</t>
  </si>
  <si>
    <t>byllion</t>
  </si>
  <si>
    <t>MJ</t>
    <phoneticPr fontId="1"/>
  </si>
  <si>
    <t>aC</t>
    <phoneticPr fontId="1"/>
  </si>
  <si>
    <t>YA</t>
    <phoneticPr fontId="1"/>
  </si>
  <si>
    <t>YV</t>
    <phoneticPr fontId="1"/>
  </si>
  <si>
    <t>Ekat</t>
    <phoneticPr fontId="1"/>
  </si>
  <si>
    <r>
      <t xml:space="preserve">suffix </t>
    </r>
    <r>
      <rPr>
        <i/>
        <sz val="9"/>
        <color theme="1"/>
        <rFont val="Times New Roman"/>
        <family val="1"/>
      </rPr>
      <t>G</t>
    </r>
    <phoneticPr fontId="1"/>
  </si>
  <si>
    <t>°C</t>
    <phoneticPr fontId="1"/>
  </si>
  <si>
    <t>1;_/3.3M</t>
    <phoneticPr fontId="1"/>
  </si>
  <si>
    <t>2;_/3.3M</t>
    <phoneticPr fontId="1"/>
  </si>
  <si>
    <t>1;_/3.2M</t>
    <phoneticPr fontId="1"/>
  </si>
  <si>
    <t>3;_/3.2M</t>
    <phoneticPr fontId="1"/>
  </si>
  <si>
    <r>
      <t>3000; SK</t>
    </r>
    <r>
      <rPr>
        <vertAlign val="subscript"/>
        <sz val="9"/>
        <color theme="1"/>
        <rFont val="Times New Roman"/>
        <family val="1"/>
      </rPr>
      <t>h</t>
    </r>
    <phoneticPr fontId="1"/>
  </si>
  <si>
    <r>
      <t>°</t>
    </r>
    <r>
      <rPr>
        <sz val="9"/>
        <color theme="1"/>
        <rFont val="ＭＳ Ｐ明朝"/>
        <family val="1"/>
        <charset val="128"/>
      </rPr>
      <t>Ｃ</t>
    </r>
    <phoneticPr fontId="1"/>
  </si>
  <si>
    <t>10;</t>
  </si>
  <si>
    <t>100;</t>
  </si>
  <si>
    <t>1000;</t>
  </si>
  <si>
    <t>1,0000;</t>
  </si>
  <si>
    <t>1*M^1</t>
  </si>
  <si>
    <t>1*M^2</t>
  </si>
  <si>
    <t>1*M^4</t>
  </si>
  <si>
    <t>1*M^10@</t>
  </si>
  <si>
    <t>1*M^20@</t>
  </si>
  <si>
    <t>/M^4</t>
  </si>
  <si>
    <t>/M^3@7</t>
  </si>
  <si>
    <t>/M^3@6</t>
  </si>
  <si>
    <t>/M^3@5</t>
  </si>
  <si>
    <t>/M^3@4</t>
  </si>
  <si>
    <t>/M^3@3</t>
  </si>
  <si>
    <t>/M^3@2</t>
  </si>
  <si>
    <t>/M^3@1</t>
  </si>
  <si>
    <t>/M^3</t>
  </si>
  <si>
    <t>/M^2@7</t>
  </si>
  <si>
    <t>/M^2@6</t>
  </si>
  <si>
    <t>/M^2@5</t>
  </si>
  <si>
    <t>/M^2@4</t>
  </si>
  <si>
    <t>/M^2@3</t>
  </si>
  <si>
    <t>/M^2@2</t>
  </si>
  <si>
    <t>/M^2@1</t>
  </si>
  <si>
    <t>/M^2</t>
  </si>
  <si>
    <t>/M^1@7</t>
  </si>
  <si>
    <t>/M^1@6</t>
  </si>
  <si>
    <t>/M^1@5</t>
  </si>
  <si>
    <t>/M^1@4</t>
  </si>
  <si>
    <t>/M^1@3</t>
  </si>
  <si>
    <t>/M^1@2</t>
  </si>
  <si>
    <t>/M^1@1</t>
  </si>
  <si>
    <t>*M^1@1</t>
  </si>
  <si>
    <t>*M^1@2</t>
  </si>
  <si>
    <t>*M^1@3</t>
  </si>
  <si>
    <t>*M^1@4</t>
  </si>
  <si>
    <t>*M^1@5</t>
  </si>
  <si>
    <t>*M^1@6</t>
  </si>
  <si>
    <t>*M^1@7</t>
  </si>
  <si>
    <t>*M^2</t>
  </si>
  <si>
    <t>*M^2@1</t>
  </si>
  <si>
    <t>*M^2@2</t>
  </si>
  <si>
    <t>*M^2@3</t>
  </si>
  <si>
    <t>*M^2@4</t>
  </si>
  <si>
    <t>*M^2@5</t>
  </si>
  <si>
    <t>*M^2@6</t>
  </si>
  <si>
    <t>*M^2@7</t>
  </si>
  <si>
    <t>*M^3</t>
  </si>
  <si>
    <t>*M^3@1</t>
  </si>
  <si>
    <t>*M^3@2</t>
  </si>
  <si>
    <t>*M^3@3</t>
  </si>
  <si>
    <t>*M^3@4</t>
  </si>
  <si>
    <t>*M^3@5</t>
  </si>
  <si>
    <t>*M^3@6</t>
  </si>
  <si>
    <t>*M^3@7</t>
  </si>
  <si>
    <t>*M^4</t>
  </si>
  <si>
    <t>*M^4@1</t>
  </si>
  <si>
    <t>*M^4@2</t>
  </si>
  <si>
    <t>*M^4@3</t>
  </si>
  <si>
    <t>*M^4@4</t>
  </si>
  <si>
    <t>*M^4@5</t>
  </si>
  <si>
    <t>*M^4@6</t>
  </si>
  <si>
    <t>*M^4@7</t>
  </si>
  <si>
    <t>*M^5</t>
    <phoneticPr fontId="1"/>
  </si>
  <si>
    <t>*M^5@1</t>
    <phoneticPr fontId="1"/>
  </si>
  <si>
    <t>@</t>
    <phoneticPr fontId="1"/>
  </si>
  <si>
    <t>octal radix point</t>
    <phoneticPr fontId="1"/>
  </si>
  <si>
    <t>.</t>
    <phoneticPr fontId="1"/>
  </si>
  <si>
    <t>decimal radix point</t>
    <phoneticPr fontId="1"/>
  </si>
  <si>
    <t>;</t>
    <phoneticPr fontId="1"/>
  </si>
  <si>
    <t>duodecimal radix point</t>
    <phoneticPr fontId="1"/>
  </si>
  <si>
    <t>digit group separator</t>
    <phoneticPr fontId="1"/>
  </si>
  <si>
    <r>
      <t>HH</t>
    </r>
    <r>
      <rPr>
        <b/>
        <sz val="9"/>
        <color theme="1"/>
        <rFont val="Times New Roman"/>
        <family val="1"/>
      </rPr>
      <t xml:space="preserve"> : </t>
    </r>
    <r>
      <rPr>
        <sz val="9"/>
        <color theme="1"/>
        <rFont val="Times New Roman"/>
        <family val="1"/>
      </rPr>
      <t>MM</t>
    </r>
    <phoneticPr fontId="1"/>
  </si>
  <si>
    <r>
      <t>CC</t>
    </r>
    <r>
      <rPr>
        <b/>
        <sz val="9"/>
        <color theme="1"/>
        <rFont val="Times New Roman"/>
        <family val="1"/>
      </rPr>
      <t xml:space="preserve"> `</t>
    </r>
    <r>
      <rPr>
        <sz val="9"/>
        <color theme="1"/>
        <rFont val="Times New Roman"/>
        <family val="1"/>
      </rPr>
      <t xml:space="preserve"> YY</t>
    </r>
    <phoneticPr fontId="1"/>
  </si>
  <si>
    <r>
      <t>MM</t>
    </r>
    <r>
      <rPr>
        <b/>
        <sz val="9"/>
        <color theme="1"/>
        <rFont val="Times New Roman"/>
        <family val="1"/>
      </rPr>
      <t xml:space="preserve"> ' </t>
    </r>
    <r>
      <rPr>
        <sz val="9"/>
        <color theme="1"/>
        <rFont val="Times New Roman"/>
        <family val="1"/>
      </rPr>
      <t>SS</t>
    </r>
    <phoneticPr fontId="1"/>
  </si>
  <si>
    <t>,</t>
    <phoneticPr fontId="1"/>
  </si>
  <si>
    <r>
      <t>The CC part unit is 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times of the YY part unit</t>
    </r>
    <phoneticPr fontId="1"/>
  </si>
  <si>
    <r>
      <t>The SS part unit is 2</t>
    </r>
    <r>
      <rPr>
        <vertAlign val="superscript"/>
        <sz val="9"/>
        <color theme="1"/>
        <rFont val="Times New Roman"/>
        <family val="1"/>
      </rPr>
      <t>-7</t>
    </r>
    <r>
      <rPr>
        <sz val="9"/>
        <color theme="1"/>
        <rFont val="Times New Roman"/>
        <family val="1"/>
      </rPr>
      <t xml:space="preserve"> times least significant digit of the MM part unit</t>
    </r>
    <phoneticPr fontId="1"/>
  </si>
  <si>
    <t>These are all pronounced 'point'</t>
    <phoneticPr fontId="1"/>
  </si>
  <si>
    <t>'.' and ',' exchange their roles each other in some countries.</t>
    <phoneticPr fontId="1"/>
  </si>
  <si>
    <t>Constant</t>
    <phoneticPr fontId="1"/>
  </si>
  <si>
    <t>Value</t>
    <phoneticPr fontId="1"/>
  </si>
  <si>
    <t>Expression</t>
    <phoneticPr fontId="1"/>
  </si>
  <si>
    <t>one over dozen byllion</t>
    <phoneticPr fontId="1"/>
  </si>
  <si>
    <t>Octal</t>
    <phoneticPr fontId="1"/>
  </si>
  <si>
    <t>http://dozenal.com</t>
    <phoneticPr fontId="1"/>
  </si>
  <si>
    <t>GCD of year and day (11minutes15seconds)</t>
    <phoneticPr fontId="1"/>
  </si>
  <si>
    <t>Please visit</t>
    <phoneticPr fontId="1"/>
  </si>
  <si>
    <t>Gravitic</t>
    <phoneticPr fontId="1"/>
  </si>
  <si>
    <t>Gravitic (0 sigma)</t>
    <phoneticPr fontId="1"/>
  </si>
  <si>
    <t>Gravitic (-1 sigma)</t>
    <phoneticPr fontId="1"/>
  </si>
  <si>
    <t>Gravitic (+1 sigma)</t>
    <phoneticPr fontId="1"/>
  </si>
  <si>
    <t>seconds</t>
    <phoneticPr fontId="1"/>
  </si>
  <si>
    <t>minutes</t>
    <phoneticPr fontId="1"/>
  </si>
  <si>
    <t>error/year</t>
    <phoneticPr fontId="1"/>
  </si>
  <si>
    <t>Typical photon energy (at 540THz)</t>
    <phoneticPr fontId="1"/>
  </si>
  <si>
    <t>minutes</t>
  </si>
  <si>
    <t>Gravitic (-1 sigma)</t>
    <phoneticPr fontId="1"/>
  </si>
  <si>
    <t>Gravitic (-1 sigma)</t>
    <phoneticPr fontId="1"/>
  </si>
  <si>
    <t>Gravitic (-1 sigma)</t>
    <phoneticPr fontId="1"/>
  </si>
  <si>
    <t>sigma</t>
    <phoneticPr fontId="1"/>
  </si>
  <si>
    <t>The age of the solar system (4.6 billion years)</t>
    <phoneticPr fontId="1"/>
  </si>
  <si>
    <t>two over dozen (sixth)</t>
    <phoneticPr fontId="1"/>
  </si>
  <si>
    <t>Proton mass</t>
    <phoneticPr fontId="1"/>
  </si>
  <si>
    <t>Mikhail Vlasov</t>
    <phoneticPr fontId="1"/>
  </si>
  <si>
    <t>Planck force</t>
    <phoneticPr fontId="1"/>
  </si>
  <si>
    <t>μ</t>
    <phoneticPr fontId="1"/>
  </si>
  <si>
    <t>μ^9×α^(-11)</t>
    <phoneticPr fontId="1"/>
  </si>
  <si>
    <t>(5*radix) separator</t>
    <phoneticPr fontId="1"/>
  </si>
  <si>
    <t>The MM part unit is 1/(5*radix) times of the HH part unit</t>
    <phoneticPr fontId="1"/>
  </si>
  <si>
    <t>*</t>
    <phoneticPr fontId="1"/>
  </si>
  <si>
    <t>/</t>
    <phoneticPr fontId="1"/>
  </si>
  <si>
    <t>_</t>
    <phoneticPr fontId="1"/>
  </si>
  <si>
    <t>^</t>
    <phoneticPr fontId="1"/>
  </si>
  <si>
    <t>+</t>
    <phoneticPr fontId="1"/>
  </si>
  <si>
    <t>-</t>
    <phoneticPr fontId="1"/>
  </si>
  <si>
    <t>lower right suffix symbol</t>
    <phoneticPr fontId="1"/>
  </si>
  <si>
    <t>upper right suffix symbol</t>
    <phoneticPr fontId="1"/>
  </si>
  <si>
    <t>multiplication symbol</t>
    <phoneticPr fontId="1"/>
  </si>
  <si>
    <t>division symbol</t>
    <phoneticPr fontId="1"/>
  </si>
  <si>
    <t>cosmic symbol</t>
    <phoneticPr fontId="1"/>
  </si>
  <si>
    <t>atomic symbol</t>
    <phoneticPr fontId="1"/>
  </si>
  <si>
    <t>When '+' is in the lower right suffix part</t>
    <phoneticPr fontId="1"/>
  </si>
  <si>
    <t>When '-' is in the lower right suffix part</t>
    <phoneticPr fontId="1"/>
  </si>
  <si>
    <r>
      <t>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separator</t>
    </r>
    <phoneticPr fontId="1"/>
  </si>
  <si>
    <r>
      <t>2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separator</t>
    </r>
    <phoneticPr fontId="1"/>
  </si>
  <si>
    <t>8 feet</t>
    <phoneticPr fontId="1"/>
  </si>
  <si>
    <t>≒</t>
    <phoneticPr fontId="1"/>
  </si>
  <si>
    <t>9 harmons</t>
    <phoneticPr fontId="1"/>
  </si>
  <si>
    <t>9 double hours</t>
    <phoneticPr fontId="1"/>
  </si>
  <si>
    <t>8 super seconds</t>
    <phoneticPr fontId="1"/>
  </si>
  <si>
    <t>14 ounces</t>
    <phoneticPr fontId="1"/>
  </si>
  <si>
    <t>3 loolohs</t>
    <phoneticPr fontId="1"/>
  </si>
  <si>
    <t>(1/2)harmon*(1/2)harmon*(3/4)harmon</t>
    <phoneticPr fontId="1"/>
  </si>
  <si>
    <t>1 gallon(US liquid)</t>
    <phoneticPr fontId="1"/>
  </si>
  <si>
    <t>40 NTSC frames</t>
    <phoneticPr fontId="1"/>
  </si>
  <si>
    <t>3;5 harmonic seconds</t>
    <phoneticPr fontId="1"/>
  </si>
  <si>
    <t>the Harmonic System</t>
    <phoneticPr fontId="1"/>
  </si>
  <si>
    <t>error</t>
    <phoneticPr fontId="1"/>
  </si>
  <si>
    <t>3 acres</t>
    <phoneticPr fontId="1"/>
  </si>
  <si>
    <t>8 super squares</t>
    <phoneticPr fontId="1"/>
  </si>
  <si>
    <t>3 cubes</t>
    <phoneticPr fontId="1"/>
  </si>
  <si>
    <t>16 gallons(US liquid)</t>
    <phoneticPr fontId="1"/>
  </si>
  <si>
    <t>1 cubic centi meter</t>
    <phoneticPr fontId="1"/>
  </si>
  <si>
    <t>1 sub cube</t>
    <phoneticPr fontId="1"/>
  </si>
  <si>
    <t>3;6 cubes</t>
    <phoneticPr fontId="1"/>
  </si>
  <si>
    <t>16 gallon(US dry)</t>
    <phoneticPr fontId="1"/>
  </si>
  <si>
    <t>regacy units</t>
    <phoneticPr fontId="1"/>
  </si>
  <si>
    <t>40 imperial gallon</t>
    <phoneticPr fontId="1"/>
  </si>
  <si>
    <t>9 cubes</t>
    <phoneticPr fontId="1"/>
  </si>
  <si>
    <r>
      <t>2</t>
    </r>
    <r>
      <rPr>
        <vertAlign val="superscript"/>
        <sz val="9"/>
        <color rgb="FF000000"/>
        <rFont val="Times New Roman"/>
        <family val="1"/>
      </rPr>
      <t>-7</t>
    </r>
    <r>
      <rPr>
        <sz val="9"/>
        <color rgb="FF000000"/>
        <rFont val="Times New Roman"/>
        <family val="1"/>
      </rPr>
      <t>(1/128.) 7th power of two inversed</t>
    </r>
    <phoneticPr fontId="1"/>
  </si>
  <si>
    <r>
      <t>Ω</t>
    </r>
    <r>
      <rPr>
        <b/>
        <i/>
        <vertAlign val="subscript"/>
        <sz val="9"/>
        <color rgb="FF000000"/>
        <rFont val="Times New Roman"/>
        <family val="1"/>
      </rPr>
      <t>2</t>
    </r>
    <phoneticPr fontId="1"/>
  </si>
  <si>
    <r>
      <t xml:space="preserve">If a prefix appears without any unit alone, the omitted unit shall be deemed to as </t>
    </r>
    <r>
      <rPr>
        <b/>
        <sz val="9"/>
        <color theme="1"/>
        <rFont val="Times New Roman"/>
        <family val="1"/>
      </rPr>
      <t>Ω</t>
    </r>
    <r>
      <rPr>
        <b/>
        <vertAlign val="subscript"/>
        <sz val="9"/>
        <color theme="1"/>
        <rFont val="Times New Roman"/>
        <family val="1"/>
      </rPr>
      <t xml:space="preserve">1 </t>
    </r>
    <r>
      <rPr>
        <sz val="9"/>
        <color theme="1"/>
        <rFont val="Times New Roman"/>
        <family val="1"/>
      </rPr>
      <t>except 'sep'.
(ex. 'milly' expresses 'milly day', 'sep expresses 'septi milly day')</t>
    </r>
    <phoneticPr fontId="1"/>
  </si>
  <si>
    <t>The Gravitic Universal Unit System</t>
    <phoneticPr fontId="1"/>
  </si>
  <si>
    <t>atomic dour</t>
  </si>
  <si>
    <t>dour</t>
  </si>
  <si>
    <t>cosmic dour</t>
  </si>
  <si>
    <t>'centy'</t>
  </si>
  <si>
    <t>c</t>
  </si>
  <si>
    <r>
      <t>10;</t>
    </r>
    <r>
      <rPr>
        <vertAlign val="superscript"/>
        <sz val="9"/>
        <color rgb="FF000000"/>
        <rFont val="Times New Roman"/>
        <family val="1"/>
      </rPr>
      <t>-2</t>
    </r>
    <phoneticPr fontId="1"/>
  </si>
  <si>
    <t>'atomic'  (ex. atomic dour meter)</t>
    <phoneticPr fontId="1"/>
  </si>
  <si>
    <t>minor prefixes</t>
    <phoneticPr fontId="1"/>
  </si>
  <si>
    <t>major prefixes</t>
    <phoneticPr fontId="1"/>
  </si>
  <si>
    <t>power prefixes</t>
    <phoneticPr fontId="1"/>
  </si>
  <si>
    <t>s_E or solar</t>
    <phoneticPr fontId="1"/>
  </si>
  <si>
    <t>m_E or meridian</t>
    <phoneticPr fontId="1"/>
  </si>
  <si>
    <t>'kily'</t>
    <phoneticPr fontId="1"/>
  </si>
  <si>
    <t>'super'</t>
    <phoneticPr fontId="1"/>
  </si>
  <si>
    <t>atomic hecty</t>
  </si>
  <si>
    <t>hecty</t>
  </si>
  <si>
    <t>cosmic hecty</t>
  </si>
  <si>
    <t>atomic kily</t>
  </si>
  <si>
    <t>cosmic kily</t>
  </si>
  <si>
    <t>super</t>
  </si>
  <si>
    <t>cosmic super</t>
  </si>
  <si>
    <t>/M^@7</t>
  </si>
  <si>
    <t>/M^@6</t>
  </si>
  <si>
    <t>/M^@5</t>
  </si>
  <si>
    <t>/M^@4</t>
  </si>
  <si>
    <t>/M^@3</t>
  </si>
  <si>
    <t>/M^@2</t>
  </si>
  <si>
    <t>/M^@1</t>
  </si>
  <si>
    <t>*M^@1</t>
  </si>
  <si>
    <t>*M^@2</t>
  </si>
  <si>
    <t>*M^@6</t>
  </si>
  <si>
    <t>*M^@4</t>
  </si>
  <si>
    <t>*M^@5</t>
  </si>
  <si>
    <t>*M^@7</t>
  </si>
  <si>
    <t>Labii reatum</t>
  </si>
  <si>
    <t>la</t>
    <phoneticPr fontId="1"/>
  </si>
  <si>
    <t>lal</t>
    <phoneticPr fontId="1"/>
  </si>
  <si>
    <t>_K</t>
    <phoneticPr fontId="32"/>
  </si>
  <si>
    <t>*M^@3</t>
    <phoneticPr fontId="1"/>
  </si>
  <si>
    <t>kily</t>
    <phoneticPr fontId="1"/>
  </si>
  <si>
    <t>kily</t>
    <phoneticPr fontId="1"/>
  </si>
  <si>
    <t>la</t>
    <phoneticPr fontId="1"/>
  </si>
  <si>
    <t>/M</t>
    <phoneticPr fontId="1"/>
  </si>
  <si>
    <t>*M</t>
    <phoneticPr fontId="1"/>
  </si>
  <si>
    <t>'gee of Earth'</t>
    <phoneticPr fontId="1"/>
  </si>
  <si>
    <t>g_E or gee</t>
    <phoneticPr fontId="1"/>
  </si>
  <si>
    <t>Gravitational radius of the Earth</t>
    <phoneticPr fontId="1"/>
  </si>
  <si>
    <t>Equatorial radius of the Earth</t>
    <phoneticPr fontId="1"/>
  </si>
  <si>
    <t>Meridian length of the Earth / 4</t>
    <phoneticPr fontId="1"/>
  </si>
  <si>
    <t>Gravitational radius of the Sun</t>
    <phoneticPr fontId="1"/>
  </si>
  <si>
    <t>Earth gravity</t>
    <phoneticPr fontId="1"/>
  </si>
  <si>
    <t>g_E</t>
    <phoneticPr fontId="1"/>
  </si>
  <si>
    <r>
      <t>rad</t>
    </r>
    <r>
      <rPr>
        <b/>
        <vertAlign val="superscript"/>
        <sz val="9"/>
        <color rgb="FF000000"/>
        <rFont val="Times New Roman"/>
        <family val="1"/>
      </rPr>
      <t>2</t>
    </r>
    <phoneticPr fontId="1"/>
  </si>
  <si>
    <r>
      <t>reciprocal Avogadro constant (</t>
    </r>
    <r>
      <rPr>
        <b/>
        <i/>
        <sz val="9"/>
        <color rgb="FF000000"/>
        <rFont val="Times New Roman"/>
        <family val="1"/>
      </rPr>
      <t>N</t>
    </r>
    <r>
      <rPr>
        <b/>
        <vertAlign val="subscript"/>
        <sz val="8"/>
        <color rgb="FF000000"/>
        <rFont val="Times New Roman"/>
        <family val="1"/>
      </rPr>
      <t>A</t>
    </r>
    <r>
      <rPr>
        <b/>
        <vertAlign val="superscript"/>
        <sz val="9"/>
        <color rgb="FF000000"/>
        <rFont val="Times New Roman"/>
        <family val="1"/>
      </rPr>
      <t>-1</t>
    </r>
    <r>
      <rPr>
        <sz val="9"/>
        <color rgb="FF000000"/>
        <rFont val="Times New Roman"/>
        <family val="1"/>
      </rPr>
      <t>)</t>
    </r>
    <phoneticPr fontId="1"/>
  </si>
  <si>
    <t>'natural Ohm' or 'nohm'</t>
    <phoneticPr fontId="1"/>
  </si>
  <si>
    <t>the Boltzmann constant</t>
    <phoneticPr fontId="1"/>
  </si>
  <si>
    <t>'Boltzmann'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</si>
  <si>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</t>
    </r>
    <phoneticPr fontId="32"/>
  </si>
  <si>
    <t>One gravitic second</t>
    <phoneticPr fontId="32"/>
  </si>
  <si>
    <r>
      <t>12</t>
    </r>
    <r>
      <rPr>
        <b/>
        <vertAlign val="superscript"/>
        <sz val="16"/>
        <rFont val="ＭＳ Ｐゴシック"/>
        <family val="3"/>
        <charset val="128"/>
      </rPr>
      <t>22</t>
    </r>
    <phoneticPr fontId="32"/>
  </si>
  <si>
    <r>
      <t>12</t>
    </r>
    <r>
      <rPr>
        <b/>
        <vertAlign val="superscript"/>
        <sz val="16"/>
        <rFont val="ＭＳ Ｐゴシック"/>
        <family val="3"/>
        <charset val="128"/>
      </rPr>
      <t>20</t>
    </r>
    <phoneticPr fontId="32"/>
  </si>
  <si>
    <t>The greatest common divisor 
of a tropical year and a day</t>
    <phoneticPr fontId="32"/>
  </si>
  <si>
    <r>
      <t>2</t>
    </r>
    <r>
      <rPr>
        <b/>
        <vertAlign val="superscript"/>
        <sz val="16"/>
        <rFont val="ＭＳ Ｐゴシック"/>
        <family val="3"/>
        <charset val="128"/>
      </rPr>
      <t>6</t>
    </r>
    <phoneticPr fontId="32"/>
  </si>
  <si>
    <t>One day</t>
    <phoneticPr fontId="32"/>
  </si>
  <si>
    <r>
      <t>12</t>
    </r>
    <r>
      <rPr>
        <b/>
        <vertAlign val="superscript"/>
        <sz val="16"/>
        <rFont val="ＭＳ Ｐゴシック"/>
        <family val="3"/>
        <charset val="128"/>
      </rPr>
      <t>6</t>
    </r>
    <phoneticPr fontId="32"/>
  </si>
  <si>
    <t>One tropical year</t>
    <phoneticPr fontId="32"/>
  </si>
  <si>
    <t>One octal century</t>
    <phoneticPr fontId="32"/>
  </si>
  <si>
    <r>
      <t>12</t>
    </r>
    <r>
      <rPr>
        <b/>
        <vertAlign val="superscript"/>
        <sz val="16"/>
        <rFont val="ＭＳ Ｐゴシック"/>
        <family val="3"/>
        <charset val="128"/>
      </rPr>
      <t>7</t>
    </r>
    <phoneticPr fontId="32"/>
  </si>
  <si>
    <t>The age of the solar system</t>
    <phoneticPr fontId="32"/>
  </si>
  <si>
    <t>The age of the universe</t>
    <phoneticPr fontId="32"/>
  </si>
  <si>
    <t>One cycle time corresponding to
the Rydberg constant</t>
    <phoneticPr fontId="1"/>
  </si>
  <si>
    <t>4π</t>
    <phoneticPr fontId="1"/>
  </si>
  <si>
    <t>α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</si>
  <si>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57</t>
    </r>
    <phoneticPr fontId="32"/>
  </si>
  <si>
    <t>One half-day</t>
    <phoneticPr fontId="1"/>
  </si>
  <si>
    <r>
      <t>3</t>
    </r>
    <r>
      <rPr>
        <b/>
        <vertAlign val="superscript"/>
        <sz val="16"/>
        <rFont val="ＭＳ Ｐゴシック"/>
        <family val="3"/>
        <charset val="128"/>
      </rPr>
      <t>+6</t>
    </r>
    <r>
      <rPr>
        <b/>
        <sz val="16"/>
        <color theme="0" tint="-0.499984740745262"/>
        <rFont val="ＭＳ Ｐゴシック"/>
        <family val="3"/>
        <charset val="128"/>
      </rPr>
      <t>+3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+1</t>
    </r>
    <r>
      <rPr>
        <b/>
        <sz val="16"/>
        <color theme="0" tint="-0.499984740745262"/>
        <rFont val="ＭＳ Ｐゴシック"/>
        <family val="3"/>
        <charset val="128"/>
      </rPr>
      <t>×2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-1</t>
    </r>
    <r>
      <rPr>
        <b/>
        <sz val="16"/>
        <color theme="0" tint="-0.499984740745262"/>
        <rFont val="ＭＳ Ｐゴシック"/>
        <family val="3"/>
        <charset val="128"/>
      </rPr>
      <t>-2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-6</t>
    </r>
    <phoneticPr fontId="32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</si>
  <si>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</si>
  <si>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</si>
  <si>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</si>
  <si>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</si>
  <si>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</si>
  <si>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</si>
  <si>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</si>
  <si>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</si>
  <si>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</si>
  <si>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</si>
  <si>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</si>
  <si>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</si>
  <si>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</si>
  <si>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</si>
  <si>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</si>
  <si>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</si>
  <si>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</si>
  <si>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t>s</t>
    <phoneticPr fontId="1"/>
  </si>
  <si>
    <t>t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</si>
  <si>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</si>
  <si>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</si>
  <si>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</si>
  <si>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</si>
  <si>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</si>
  <si>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</si>
  <si>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</si>
  <si>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</si>
  <si>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</si>
  <si>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</si>
  <si>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</si>
  <si>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</si>
  <si>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</si>
  <si>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</si>
  <si>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</si>
  <si>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</si>
  <si>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</si>
  <si>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</si>
  <si>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</si>
  <si>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</si>
  <si>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</si>
  <si>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</si>
  <si>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r>
      <t>m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hm</t>
    </r>
    <phoneticPr fontId="1"/>
  </si>
  <si>
    <r>
      <t>s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nc</t>
    </r>
    <phoneticPr fontId="1"/>
  </si>
  <si>
    <t>s_h or nc</t>
    <phoneticPr fontId="1"/>
  </si>
  <si>
    <t>The Planck time</t>
    <phoneticPr fontId="32"/>
  </si>
  <si>
    <r>
      <t>Ω</t>
    </r>
    <r>
      <rPr>
        <b/>
        <vertAlign val="subscript"/>
        <sz val="9"/>
        <color rgb="FF000000"/>
        <rFont val="Times New Roman"/>
        <family val="1"/>
      </rPr>
      <t>n</t>
    </r>
    <r>
      <rPr>
        <b/>
        <sz val="9"/>
        <color rgb="FF000000"/>
        <rFont val="Times New Roman"/>
        <family val="1"/>
      </rPr>
      <t xml:space="preserve">, </t>
    </r>
    <r>
      <rPr>
        <b/>
        <i/>
        <sz val="9"/>
        <color rgb="FF000000"/>
        <rFont val="Times New Roman"/>
        <family val="1"/>
      </rPr>
      <t>Z</t>
    </r>
    <r>
      <rPr>
        <b/>
        <vertAlign val="subscript"/>
        <sz val="9"/>
        <color rgb="FF000000"/>
        <rFont val="Times New Roman"/>
        <family val="1"/>
      </rPr>
      <t>P  or</t>
    </r>
    <r>
      <rPr>
        <b/>
        <sz val="9"/>
        <color rgb="FF000000"/>
        <rFont val="Times New Roman"/>
        <family val="1"/>
      </rPr>
      <t xml:space="preserve"> nh</t>
    </r>
    <phoneticPr fontId="1"/>
  </si>
  <si>
    <t>O_n, Z_P or nh</t>
    <phoneticPr fontId="1"/>
  </si>
  <si>
    <t>'*' is pronounced 'times'</t>
    <phoneticPr fontId="1"/>
  </si>
  <si>
    <t>'/' is pronounced 'over'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</si>
  <si>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17</t>
    </r>
    <phoneticPr fontId="32"/>
  </si>
  <si>
    <t>core</t>
    <phoneticPr fontId="1"/>
  </si>
  <si>
    <t>geometrical</t>
    <phoneticPr fontId="1"/>
  </si>
  <si>
    <t>hours</t>
    <phoneticPr fontId="1"/>
  </si>
  <si>
    <t>hours</t>
    <phoneticPr fontId="1"/>
  </si>
  <si>
    <t>hour</t>
    <phoneticPr fontId="1"/>
  </si>
  <si>
    <t>milly</t>
    <phoneticPr fontId="1"/>
  </si>
  <si>
    <t>nic</t>
    <phoneticPr fontId="1"/>
  </si>
  <si>
    <t>sub nic</t>
    <phoneticPr fontId="1"/>
  </si>
  <si>
    <t>1 year</t>
    <phoneticPr fontId="1"/>
  </si>
  <si>
    <t xml:space="preserve">If the age of the solar system is 24 hours </t>
    <phoneticPr fontId="1"/>
  </si>
  <si>
    <t>The age of the universe(13.80 billion years)</t>
    <phoneticPr fontId="1"/>
  </si>
  <si>
    <t>The time interval needed to light 
traveling across the Bohr radius distance</t>
    <phoneticPr fontId="32"/>
  </si>
  <si>
    <r>
      <t>f</t>
    </r>
    <r>
      <rPr>
        <b/>
        <i/>
        <vertAlign val="subscript"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 xml:space="preserve"> (</t>
    </r>
    <r>
      <rPr>
        <i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>=1,d,4,8,..)</t>
    </r>
    <phoneticPr fontId="1"/>
  </si>
  <si>
    <t>f_1</t>
    <phoneticPr fontId="1"/>
  </si>
  <si>
    <t>f_d</t>
    <phoneticPr fontId="1"/>
  </si>
  <si>
    <t>f_4</t>
    <phoneticPr fontId="1"/>
  </si>
  <si>
    <t>f_8</t>
    <phoneticPr fontId="1"/>
  </si>
  <si>
    <r>
      <t>f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'bit'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</si>
  <si>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 is called 'figure' (d = log12./log2)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</si>
  <si>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4</t>
    </r>
    <r>
      <rPr>
        <sz val="9"/>
        <color rgb="FF000000"/>
        <rFont val="Times New Roman"/>
        <family val="1"/>
      </rPr>
      <t xml:space="preserve"> is called 'nibble'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</si>
  <si>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8</t>
    </r>
    <r>
      <rPr>
        <sz val="9"/>
        <color rgb="FF000000"/>
        <rFont val="Times New Roman"/>
        <family val="1"/>
      </rPr>
      <t xml:space="preserve"> is called 'byte'</t>
    </r>
    <phoneticPr fontId="1"/>
  </si>
  <si>
    <t>100; times least valued currency unit for each country(or economic group)
Its value is distinguished by attaching the name of country after 'mon'.</t>
    <phoneticPr fontId="1"/>
  </si>
  <si>
    <r>
      <t xml:space="preserve">'mon' with </t>
    </r>
    <r>
      <rPr>
        <i/>
        <sz val="9"/>
        <color theme="1"/>
        <rFont val="Times New Roman"/>
        <family val="1"/>
      </rPr>
      <t>country name</t>
    </r>
    <phoneticPr fontId="1"/>
  </si>
  <si>
    <r>
      <t>10;</t>
    </r>
    <r>
      <rPr>
        <vertAlign val="superscript"/>
        <sz val="9"/>
        <color theme="1"/>
        <rFont val="Times New Roman"/>
        <family val="1"/>
      </rPr>
      <t>4</t>
    </r>
    <r>
      <rPr>
        <sz val="9"/>
        <color theme="1"/>
        <rFont val="Times New Roman"/>
        <family val="1"/>
      </rPr>
      <t xml:space="preserve"> harmon</t>
    </r>
    <phoneticPr fontId="1"/>
  </si>
  <si>
    <t>lg</t>
    <phoneticPr fontId="1"/>
  </si>
  <si>
    <r>
      <t>10;</t>
    </r>
    <r>
      <rPr>
        <vertAlign val="superscript"/>
        <sz val="9"/>
        <color theme="1"/>
        <rFont val="Times New Roman"/>
        <family val="1"/>
      </rPr>
      <t>-1</t>
    </r>
    <r>
      <rPr>
        <sz val="9"/>
        <color theme="1"/>
        <rFont val="Times New Roman"/>
        <family val="1"/>
      </rPr>
      <t xml:space="preserve"> harmon</t>
    </r>
    <phoneticPr fontId="1"/>
  </si>
  <si>
    <t>'league'</t>
    <phoneticPr fontId="1"/>
  </si>
  <si>
    <t>'uncia'</t>
    <phoneticPr fontId="1"/>
  </si>
  <si>
    <t>un</t>
    <phoneticPr fontId="1"/>
  </si>
  <si>
    <t>'atol'</t>
    <phoneticPr fontId="1"/>
  </si>
  <si>
    <r>
      <t>10;</t>
    </r>
    <r>
      <rPr>
        <vertAlign val="superscript"/>
        <sz val="9"/>
        <color theme="1"/>
        <rFont val="Times New Roman"/>
        <family val="1"/>
      </rPr>
      <t>-8</t>
    </r>
    <r>
      <rPr>
        <sz val="9"/>
        <color theme="1"/>
        <rFont val="Times New Roman"/>
        <family val="1"/>
      </rPr>
      <t xml:space="preserve"> light</t>
    </r>
    <phoneticPr fontId="1"/>
  </si>
  <si>
    <t>100; times least valued currency unit</t>
    <phoneticPr fontId="1"/>
  </si>
  <si>
    <r>
      <t>mon_</t>
    </r>
    <r>
      <rPr>
        <i/>
        <sz val="9"/>
        <color theme="1"/>
        <rFont val="Times New Roman"/>
        <family val="1"/>
      </rPr>
      <t>country name</t>
    </r>
    <phoneticPr fontId="1"/>
  </si>
  <si>
    <t>out of the Universal Unit System</t>
    <phoneticPr fontId="1"/>
  </si>
  <si>
    <t>al</t>
    <phoneticPr fontId="1"/>
  </si>
  <si>
    <t>2.51 km/h</t>
    <phoneticPr fontId="1"/>
  </si>
  <si>
    <r>
      <rPr>
        <b/>
        <sz val="9"/>
        <color theme="1"/>
        <rFont val="Times New Roman"/>
        <family val="1"/>
      </rPr>
      <t>mon</t>
    </r>
    <r>
      <rPr>
        <vertAlign val="subscript"/>
        <sz val="9"/>
        <color theme="1"/>
        <rFont val="Times New Roman"/>
        <family val="1"/>
      </rPr>
      <t xml:space="preserve"> </t>
    </r>
    <r>
      <rPr>
        <i/>
        <vertAlign val="subscript"/>
        <sz val="9"/>
        <color theme="1"/>
        <rFont val="Times New Roman"/>
        <family val="1"/>
      </rPr>
      <t>country name</t>
    </r>
    <phoneticPr fontId="1"/>
  </si>
  <si>
    <t>'harmonic second' or 'nic'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</si>
  <si>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-1</t>
    </r>
    <phoneticPr fontId="1"/>
  </si>
  <si>
    <t>'dour'</t>
    <phoneticPr fontId="1"/>
  </si>
  <si>
    <t>d</t>
    <phoneticPr fontId="1"/>
  </si>
  <si>
    <t>'hecty'</t>
  </si>
  <si>
    <r>
      <t>10;</t>
    </r>
    <r>
      <rPr>
        <vertAlign val="superscript"/>
        <sz val="9"/>
        <color rgb="FF000000"/>
        <rFont val="Times New Roman"/>
        <family val="1"/>
      </rPr>
      <t>2</t>
    </r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</si>
  <si>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1</t>
    </r>
    <phoneticPr fontId="1"/>
  </si>
  <si>
    <t>'dirac'</t>
    <phoneticPr fontId="1"/>
  </si>
  <si>
    <t>D</t>
    <phoneticPr fontId="1"/>
  </si>
  <si>
    <t>prefix</t>
    <phoneticPr fontId="1"/>
  </si>
  <si>
    <r>
      <t>Ω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'circle' or 'cycle'</t>
    </r>
    <phoneticPr fontId="1"/>
  </si>
  <si>
    <r>
      <t>Ω</t>
    </r>
    <r>
      <rPr>
        <b/>
        <vertAlign val="subscript"/>
        <sz val="9"/>
        <color rgb="FF000000"/>
        <rFont val="Times New Roman"/>
        <family val="1"/>
      </rPr>
      <t>1</t>
    </r>
    <phoneticPr fontId="1"/>
  </si>
  <si>
    <r>
      <t>1 Ω</t>
    </r>
    <r>
      <rPr>
        <vertAlign val="subscript"/>
        <sz val="9"/>
        <color rgb="FF000000"/>
        <rFont val="Times New Roman"/>
        <family val="1"/>
      </rPr>
      <t>1</t>
    </r>
    <phoneticPr fontId="1"/>
  </si>
  <si>
    <t>'day'</t>
    <phoneticPr fontId="1"/>
  </si>
  <si>
    <t>day</t>
    <phoneticPr fontId="1"/>
  </si>
  <si>
    <t>○</t>
    <phoneticPr fontId="1"/>
  </si>
  <si>
    <r>
      <t>10;</t>
    </r>
    <r>
      <rPr>
        <vertAlign val="superscript"/>
        <sz val="9"/>
        <color theme="1"/>
        <rFont val="Times New Roman"/>
        <family val="1"/>
      </rPr>
      <t>-2</t>
    </r>
    <r>
      <rPr>
        <sz val="9"/>
        <color theme="1"/>
        <rFont val="Times New Roman"/>
        <family val="1"/>
      </rPr>
      <t xml:space="preserve"> harmon may be bicia, 10;</t>
    </r>
    <r>
      <rPr>
        <vertAlign val="superscript"/>
        <sz val="9"/>
        <color theme="1"/>
        <rFont val="Times New Roman"/>
        <family val="1"/>
      </rPr>
      <t>-3</t>
    </r>
    <r>
      <rPr>
        <sz val="9"/>
        <color theme="1"/>
        <rFont val="Times New Roman"/>
        <family val="1"/>
      </rPr>
      <t xml:space="preserve"> harmon may be tricia, ...</t>
    </r>
    <phoneticPr fontId="1"/>
  </si>
  <si>
    <r>
      <t>10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km / factor</t>
    </r>
    <phoneticPr fontId="1"/>
  </si>
  <si>
    <t>factor</t>
    <phoneticPr fontId="1"/>
  </si>
  <si>
    <r>
      <t>10</t>
    </r>
    <r>
      <rPr>
        <vertAlign val="superscript"/>
        <sz val="9"/>
        <color theme="1"/>
        <rFont val="Times New Roman"/>
        <family val="1"/>
      </rPr>
      <t>5</t>
    </r>
    <r>
      <rPr>
        <sz val="9"/>
        <color theme="1"/>
        <rFont val="Times New Roman"/>
        <family val="1"/>
      </rPr>
      <t xml:space="preserve"> s / factor</t>
    </r>
    <phoneticPr fontId="1"/>
  </si>
  <si>
    <t>electron / factor</t>
    <phoneticPr fontId="1"/>
  </si>
  <si>
    <t>Density of ice at the ice point * factor</t>
    <phoneticPr fontId="1"/>
  </si>
  <si>
    <t>○</t>
    <phoneticPr fontId="1"/>
  </si>
  <si>
    <t>T.Quinn et al.</t>
    <phoneticPr fontId="1"/>
  </si>
  <si>
    <t>atomic dirac</t>
  </si>
  <si>
    <t>dirac</t>
  </si>
  <si>
    <t>cosmic dirac</t>
  </si>
  <si>
    <t>sexty-cosmic dirac</t>
    <phoneticPr fontId="1"/>
  </si>
  <si>
    <t>eΩA</t>
    <phoneticPr fontId="1"/>
  </si>
  <si>
    <t>ΩA</t>
    <phoneticPr fontId="1"/>
  </si>
  <si>
    <t>ΩC</t>
    <phoneticPr fontId="1"/>
  </si>
  <si>
    <t>ΩG</t>
    <phoneticPr fontId="1"/>
  </si>
  <si>
    <t>difference</t>
    <phoneticPr fontId="1"/>
  </si>
  <si>
    <t>Tk</t>
    <phoneticPr fontId="1"/>
  </si>
  <si>
    <t>Gk</t>
    <phoneticPr fontId="1"/>
  </si>
  <si>
    <t>K</t>
    <phoneticPr fontId="1"/>
  </si>
  <si>
    <t>Md</t>
    <phoneticPr fontId="1"/>
  </si>
  <si>
    <t>Ad</t>
    <phoneticPr fontId="1"/>
  </si>
  <si>
    <t>Bz</t>
    <phoneticPr fontId="1"/>
  </si>
  <si>
    <t>Yu</t>
    <phoneticPr fontId="1"/>
  </si>
  <si>
    <t>Hy</t>
    <phoneticPr fontId="1"/>
  </si>
  <si>
    <t>Bo</t>
    <phoneticPr fontId="1"/>
  </si>
  <si>
    <t>Zp</t>
    <phoneticPr fontId="1"/>
  </si>
  <si>
    <t>Sa</t>
    <phoneticPr fontId="1"/>
  </si>
  <si>
    <t>Dv/Gk</t>
    <phoneticPr fontId="1"/>
  </si>
  <si>
    <t>Sa/Gk^2</t>
    <phoneticPr fontId="1"/>
  </si>
  <si>
    <t>Hs</t>
    <phoneticPr fontId="1"/>
  </si>
  <si>
    <t>Dv</t>
    <phoneticPr fontId="1"/>
  </si>
  <si>
    <t>Nx</t>
    <phoneticPr fontId="1"/>
  </si>
  <si>
    <t>Ed</t>
    <phoneticPr fontId="1"/>
  </si>
  <si>
    <t>Sn</t>
    <phoneticPr fontId="1"/>
  </si>
  <si>
    <t>Nx Gk^2</t>
    <phoneticPr fontId="1"/>
  </si>
  <si>
    <t>Radioactivity</t>
    <phoneticPr fontId="1"/>
  </si>
  <si>
    <t>Vi</t>
    <phoneticPr fontId="1"/>
  </si>
  <si>
    <t>Absorbed Dose</t>
    <phoneticPr fontId="1"/>
  </si>
  <si>
    <t>Sb</t>
    <phoneticPr fontId="1"/>
  </si>
  <si>
    <t>Equivalent Dose</t>
    <phoneticPr fontId="1"/>
  </si>
  <si>
    <t>Eg</t>
    <phoneticPr fontId="1"/>
  </si>
  <si>
    <t>Pa</t>
    <phoneticPr fontId="1"/>
  </si>
  <si>
    <t>C/m^2</t>
    <phoneticPr fontId="1"/>
  </si>
  <si>
    <t>Ω</t>
    <phoneticPr fontId="1"/>
  </si>
  <si>
    <t>migross</t>
    <phoneticPr fontId="1"/>
  </si>
  <si>
    <t>myllillion</t>
    <phoneticPr fontId="1"/>
  </si>
  <si>
    <t>byllillion</t>
    <phoneticPr fontId="1"/>
  </si>
  <si>
    <t>12^5</t>
    <phoneticPr fontId="1"/>
  </si>
  <si>
    <t>12^6</t>
    <phoneticPr fontId="1"/>
  </si>
  <si>
    <t>12^7</t>
    <phoneticPr fontId="1"/>
  </si>
  <si>
    <t>10,0000;</t>
    <phoneticPr fontId="1"/>
  </si>
  <si>
    <t>100,0000;</t>
    <phoneticPr fontId="1"/>
  </si>
  <si>
    <t>1000,0000;</t>
    <phoneticPr fontId="1"/>
  </si>
  <si>
    <t>12^24</t>
    <phoneticPr fontId="1"/>
  </si>
  <si>
    <t>1*M^3</t>
    <phoneticPr fontId="1"/>
  </si>
  <si>
    <t>mibyllion</t>
    <phoneticPr fontId="1"/>
  </si>
  <si>
    <t>12^40</t>
    <phoneticPr fontId="1"/>
  </si>
  <si>
    <t>12^48</t>
    <phoneticPr fontId="1"/>
  </si>
  <si>
    <t>1*M^6</t>
    <phoneticPr fontId="1"/>
  </si>
  <si>
    <t>1*M^7</t>
    <phoneticPr fontId="1"/>
  </si>
  <si>
    <t>12^56</t>
    <phoneticPr fontId="1"/>
  </si>
  <si>
    <t>1*M^5</t>
    <phoneticPr fontId="1"/>
  </si>
  <si>
    <t>12^-1</t>
    <phoneticPr fontId="1"/>
  </si>
  <si>
    <t>12^-2</t>
    <phoneticPr fontId="1"/>
  </si>
  <si>
    <t>12^-3</t>
    <phoneticPr fontId="1"/>
  </si>
  <si>
    <t>12^-4</t>
    <phoneticPr fontId="1"/>
  </si>
  <si>
    <t>12^-5</t>
    <phoneticPr fontId="1"/>
  </si>
  <si>
    <t>12^-6</t>
    <phoneticPr fontId="1"/>
  </si>
  <si>
    <t>12^-7</t>
    <phoneticPr fontId="1"/>
  </si>
  <si>
    <t>myno</t>
    <phoneticPr fontId="1"/>
  </si>
  <si>
    <t>byno</t>
    <phoneticPr fontId="1"/>
  </si>
  <si>
    <t>mibyno</t>
    <phoneticPr fontId="1"/>
  </si>
  <si>
    <t>12^-8</t>
    <phoneticPr fontId="1"/>
  </si>
  <si>
    <t>myllino</t>
    <phoneticPr fontId="1"/>
  </si>
  <si>
    <t>1/M^3</t>
    <phoneticPr fontId="1"/>
  </si>
  <si>
    <t>1/M^2</t>
    <phoneticPr fontId="1"/>
  </si>
  <si>
    <t>1/M^1</t>
    <phoneticPr fontId="1"/>
  </si>
  <si>
    <t>1/M^@7</t>
    <phoneticPr fontId="1"/>
  </si>
  <si>
    <t>1/M^@6</t>
    <phoneticPr fontId="1"/>
  </si>
  <si>
    <t>1/M^@5</t>
    <phoneticPr fontId="1"/>
  </si>
  <si>
    <t>1/M^@4</t>
    <phoneticPr fontId="1"/>
  </si>
  <si>
    <t>1/M^@3</t>
    <phoneticPr fontId="1"/>
  </si>
  <si>
    <t>1/M^@2</t>
    <phoneticPr fontId="1"/>
  </si>
  <si>
    <t>1/M^@1</t>
    <phoneticPr fontId="1"/>
  </si>
  <si>
    <t>12^-56</t>
    <phoneticPr fontId="1"/>
  </si>
  <si>
    <t>12^-48</t>
    <phoneticPr fontId="1"/>
  </si>
  <si>
    <t>12^-40</t>
    <phoneticPr fontId="1"/>
  </si>
  <si>
    <t>12^-32</t>
    <phoneticPr fontId="1"/>
  </si>
  <si>
    <t>12^-24</t>
    <phoneticPr fontId="1"/>
  </si>
  <si>
    <t>12^-16</t>
    <phoneticPr fontId="1"/>
  </si>
  <si>
    <t>1/M^7</t>
    <phoneticPr fontId="1"/>
  </si>
  <si>
    <t>1/M^6</t>
    <phoneticPr fontId="1"/>
  </si>
  <si>
    <t>1/M^5</t>
    <phoneticPr fontId="1"/>
  </si>
  <si>
    <t>1/M^4</t>
    <phoneticPr fontId="1"/>
  </si>
  <si>
    <t>1/M^10@</t>
    <phoneticPr fontId="1"/>
  </si>
  <si>
    <t>myllillino</t>
    <phoneticPr fontId="1"/>
  </si>
  <si>
    <t>mibyllino</t>
    <phoneticPr fontId="1"/>
  </si>
  <si>
    <t>byllino</t>
    <phoneticPr fontId="1"/>
  </si>
  <si>
    <t>1/M^20@</t>
    <phoneticPr fontId="1"/>
  </si>
  <si>
    <t>byllillino</t>
    <phoneticPr fontId="1"/>
  </si>
  <si>
    <t>12^-128</t>
    <phoneticPr fontId="1"/>
  </si>
  <si>
    <t>12^-64</t>
    <phoneticPr fontId="1"/>
  </si>
  <si>
    <t>three over gross mibyllion</t>
    <phoneticPr fontId="1"/>
  </si>
  <si>
    <t>one over dozen mibyllion</t>
    <phoneticPr fontId="1"/>
  </si>
  <si>
    <t>one over gross (byno)</t>
    <phoneticPr fontId="1"/>
  </si>
  <si>
    <t>one over dozen (myno)</t>
    <phoneticPr fontId="1"/>
  </si>
  <si>
    <t>one over myriad byllion myllillion</t>
  </si>
  <si>
    <t>one over myriad byllion</t>
  </si>
  <si>
    <t>one times gross myriad byllion</t>
  </si>
  <si>
    <t>1 myriad years</t>
  </si>
  <si>
    <t>2 myriad spans</t>
  </si>
  <si>
    <t>1 gross myriad span</t>
  </si>
  <si>
    <t>1 migross myriad spans</t>
  </si>
  <si>
    <t>2 migross myriad spans</t>
  </si>
  <si>
    <t>duodecimal myriad system for pure numbers</t>
  </si>
  <si>
    <t>myriad</t>
  </si>
  <si>
    <t>dozen myriad</t>
  </si>
  <si>
    <t>gross myriad</t>
  </si>
  <si>
    <t>migross myriad</t>
  </si>
  <si>
    <r>
      <t>-y- is pronounced [</t>
    </r>
    <r>
      <rPr>
        <sz val="9"/>
        <color indexed="8"/>
        <rFont val="ＭＳ Ｐ明朝"/>
        <family val="1"/>
        <charset val="128"/>
      </rPr>
      <t>ɑɪ</t>
    </r>
    <r>
      <rPr>
        <sz val="9"/>
        <color indexed="8"/>
        <rFont val="Times New Roman"/>
        <family val="1"/>
      </rPr>
      <t>] except myriad.</t>
    </r>
    <phoneticPr fontId="1"/>
  </si>
  <si>
    <t>Greek</t>
    <phoneticPr fontId="1"/>
  </si>
  <si>
    <t>6th power</t>
    <phoneticPr fontId="1"/>
  </si>
  <si>
    <t>7th power</t>
    <phoneticPr fontId="1"/>
  </si>
  <si>
    <t>6</t>
    <phoneticPr fontId="1"/>
  </si>
  <si>
    <t>7</t>
    <phoneticPr fontId="1"/>
  </si>
  <si>
    <t>revised from http://en.wikipedia.org/wiki/-yllion</t>
    <phoneticPr fontId="1"/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</si>
  <si>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F</t>
    </r>
    <phoneticPr fontId="1"/>
  </si>
  <si>
    <t>CODATA(2014)</t>
    <phoneticPr fontId="1"/>
  </si>
  <si>
    <r>
      <t>difference of thermodynamic temperature and the base point
(0;°S is correspondent to 118,2354;K</t>
    </r>
    <r>
      <rPr>
        <vertAlign val="subscript"/>
        <sz val="9"/>
        <color rgb="FF000000"/>
        <rFont val="Times New Roman"/>
        <family val="1"/>
      </rPr>
      <t>h</t>
    </r>
    <r>
      <rPr>
        <sz val="9"/>
        <color rgb="FF000000"/>
        <rFont val="Times New Roman"/>
        <family val="1"/>
      </rPr>
      <t>)</t>
    </r>
    <phoneticPr fontId="1"/>
  </si>
  <si>
    <t>The diameter of the solar mass black hole</t>
    <phoneticPr fontId="1"/>
  </si>
  <si>
    <t>'di-'</t>
    <phoneticPr fontId="1"/>
  </si>
  <si>
    <t>'tri-'</t>
    <phoneticPr fontId="1"/>
  </si>
  <si>
    <t>'tetra-'</t>
    <phoneticPr fontId="1"/>
  </si>
  <si>
    <t>'penta-'</t>
    <phoneticPr fontId="1"/>
  </si>
  <si>
    <t>'hexa-'</t>
    <phoneticPr fontId="1"/>
  </si>
  <si>
    <t>'hepta-'</t>
    <phoneticPr fontId="1"/>
  </si>
  <si>
    <t>mibiteryllino</t>
    <phoneticPr fontId="1"/>
  </si>
  <si>
    <t>biteryllino</t>
    <phoneticPr fontId="1"/>
  </si>
  <si>
    <t>teryllino</t>
    <phoneticPr fontId="1"/>
  </si>
  <si>
    <t>mibiteryno</t>
    <phoneticPr fontId="1"/>
  </si>
  <si>
    <t>biteryno</t>
    <phoneticPr fontId="1"/>
  </si>
  <si>
    <t>miteryno</t>
    <phoneticPr fontId="1"/>
  </si>
  <si>
    <t>teryno</t>
    <phoneticPr fontId="1"/>
  </si>
  <si>
    <t>teryllion</t>
    <phoneticPr fontId="1"/>
  </si>
  <si>
    <t>miteryllion</t>
    <phoneticPr fontId="1"/>
  </si>
  <si>
    <t>biteryllion</t>
    <phoneticPr fontId="1"/>
  </si>
  <si>
    <t>mibiteryllion</t>
    <phoneticPr fontId="1"/>
  </si>
  <si>
    <t>miteryllino</t>
    <phoneticPr fontId="1"/>
  </si>
  <si>
    <t>Latin</t>
    <phoneticPr fontId="1"/>
  </si>
  <si>
    <t>1;di-atomic sensible Watt(W2-sen) is defined as luminous flux generated by one photon of frequency 540THz per one harmonic second.</t>
  </si>
  <si>
    <t>di-atomic sub</t>
  </si>
  <si>
    <t>di-atomic fa</t>
  </si>
  <si>
    <t>di-atomic milly</t>
  </si>
  <si>
    <t>di-atomic mi</t>
  </si>
  <si>
    <t>di-atomic centy</t>
  </si>
  <si>
    <t>di-atomic re</t>
  </si>
  <si>
    <t>di-atomic dour</t>
  </si>
  <si>
    <t>di-atomic do</t>
  </si>
  <si>
    <t>di-atomic</t>
  </si>
  <si>
    <t>di-atomic dirac</t>
  </si>
  <si>
    <t>di-atomic ut</t>
  </si>
  <si>
    <t>di-atomic hecty</t>
  </si>
  <si>
    <t>di-atomic ti</t>
  </si>
  <si>
    <t>di-atomic kily</t>
  </si>
  <si>
    <t>di-atomic la</t>
  </si>
  <si>
    <t>tri-atomic sub</t>
  </si>
  <si>
    <t>tri-atomic fa</t>
  </si>
  <si>
    <t>tri-atomic milly</t>
  </si>
  <si>
    <t>tri-atomic mi</t>
  </si>
  <si>
    <t>tri-atomic centy</t>
  </si>
  <si>
    <t>tri-atomic re</t>
  </si>
  <si>
    <t>tri-atomic dour</t>
  </si>
  <si>
    <t>tri-atomic do</t>
  </si>
  <si>
    <t>tri-atomic</t>
  </si>
  <si>
    <t>tri-atomic dirac</t>
  </si>
  <si>
    <t>tri-atomic ut</t>
  </si>
  <si>
    <t>tri-atomic hecty</t>
  </si>
  <si>
    <t>tri-atomic ti</t>
  </si>
  <si>
    <t>tri-atomic kily</t>
  </si>
  <si>
    <t>tri-atomic la</t>
  </si>
  <si>
    <t>tetra-atomic</t>
  </si>
  <si>
    <t>tetra-atomic dirac</t>
  </si>
  <si>
    <t>tetra-atomic ut</t>
  </si>
  <si>
    <t>tetra-atomic hecty</t>
  </si>
  <si>
    <t>tetra-atomic ti</t>
  </si>
  <si>
    <t>tetra-atomic kily</t>
  </si>
  <si>
    <t>tetra-atomic la</t>
  </si>
  <si>
    <t>penta-cosmic milly</t>
  </si>
  <si>
    <t>penta-cosmic mi</t>
  </si>
  <si>
    <t>penta-cosmic centy</t>
  </si>
  <si>
    <t>penta-cosmic re</t>
  </si>
  <si>
    <t>penta-cosmic dour</t>
  </si>
  <si>
    <t>penta-cosmic do</t>
  </si>
  <si>
    <t>penta-cosmic</t>
  </si>
  <si>
    <t>penta-cosmic dirac</t>
  </si>
  <si>
    <t>penta-cosmic ut</t>
  </si>
  <si>
    <t>tetra-cosmic milly</t>
  </si>
  <si>
    <t>tetra-cosmic mi</t>
  </si>
  <si>
    <t>tetra-cosmic centy</t>
  </si>
  <si>
    <t>tetra-cosmic re</t>
  </si>
  <si>
    <t>tetra-cosmic dour</t>
  </si>
  <si>
    <t>tetra-cosmic do</t>
  </si>
  <si>
    <t>tetra-cosmic</t>
  </si>
  <si>
    <t>tetra-cosmic dirac</t>
  </si>
  <si>
    <t>tetra-cosmic ut</t>
  </si>
  <si>
    <t>tetra-cosmic hecty</t>
  </si>
  <si>
    <t>tetra-cosmic ti</t>
  </si>
  <si>
    <t>tetra-cosmic kily</t>
  </si>
  <si>
    <t>tetra-cosmic la</t>
  </si>
  <si>
    <t>tetra-cosmic super</t>
  </si>
  <si>
    <t>tetra-cosmic so</t>
  </si>
  <si>
    <t>tri-cosmic milly</t>
  </si>
  <si>
    <t>tri-cosmic mi</t>
  </si>
  <si>
    <t>tri-cosmic centy</t>
  </si>
  <si>
    <t>tri-cosmic re</t>
  </si>
  <si>
    <t>tri-cosmic dour</t>
  </si>
  <si>
    <t>tri-cosmic do</t>
  </si>
  <si>
    <t>tri-cosmic</t>
  </si>
  <si>
    <t>tri-cosmic dirac</t>
  </si>
  <si>
    <t>tri-cosmic ut</t>
  </si>
  <si>
    <t>tri-cosmic hecty</t>
  </si>
  <si>
    <t>tri-cosmic ti</t>
  </si>
  <si>
    <t>tri-cosmic kily</t>
  </si>
  <si>
    <t>tri-cosmic la</t>
  </si>
  <si>
    <t>tri-cosmic super</t>
  </si>
  <si>
    <t>tri-cosmic so</t>
  </si>
  <si>
    <t>'cosmic' (ex. 6;di-cosmic second)</t>
  </si>
  <si>
    <t>2;di-cosmic milly cycle / s</t>
  </si>
  <si>
    <t>di-cosmic milly</t>
  </si>
  <si>
    <t>di-cosmic mi</t>
  </si>
  <si>
    <t>di-cosmic centy</t>
  </si>
  <si>
    <t>di-cosmic re</t>
  </si>
  <si>
    <t>di-cosmic dour</t>
  </si>
  <si>
    <t>di-cosmic do</t>
  </si>
  <si>
    <t>di-cosmic</t>
  </si>
  <si>
    <t>di-cosmic dirac</t>
  </si>
  <si>
    <t>di-cosmic ut</t>
  </si>
  <si>
    <t>di-cosmic hecty</t>
  </si>
  <si>
    <t>di-cosmic ti</t>
  </si>
  <si>
    <t>di-cosmic kily</t>
  </si>
  <si>
    <t>di-cosmic la</t>
  </si>
  <si>
    <t>di-cosmic super</t>
  </si>
  <si>
    <t>di-cosmic so</t>
  </si>
  <si>
    <t>tetras-cosmic</t>
  </si>
  <si>
    <t>dis-atomic</t>
  </si>
  <si>
    <t>dis-cosmic</t>
  </si>
  <si>
    <t>monos-atomic</t>
  </si>
  <si>
    <t>monos-cosmic</t>
  </si>
  <si>
    <t>half times mibiteryllion</t>
    <phoneticPr fontId="1"/>
  </si>
  <si>
    <t>sixth times mibiteryllion</t>
    <phoneticPr fontId="1"/>
  </si>
  <si>
    <t>one times gross miteryllion</t>
    <phoneticPr fontId="1"/>
  </si>
  <si>
    <r>
      <t>corresponding to</t>
    </r>
    <r>
      <rPr>
        <sz val="18"/>
        <color theme="1"/>
        <rFont val="ＭＳ Ｐゴシック"/>
        <family val="3"/>
        <charset val="128"/>
        <scheme val="minor"/>
      </rPr>
      <t xml:space="preserve"> 35</t>
    </r>
    <r>
      <rPr>
        <i/>
        <sz val="18"/>
        <color theme="1"/>
        <rFont val="ＭＳ Ｐゴシック"/>
        <family val="3"/>
        <charset val="128"/>
        <scheme val="minor"/>
      </rPr>
      <t>G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c</t>
    </r>
    <r>
      <rPr>
        <vertAlign val="subscript"/>
        <sz val="18"/>
        <color theme="1"/>
        <rFont val="ＭＳ Ｐゴシック"/>
        <family val="3"/>
        <charset val="128"/>
        <scheme val="minor"/>
      </rPr>
      <t>0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ħ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k</t>
    </r>
    <r>
      <rPr>
        <vertAlign val="subscript"/>
        <sz val="18"/>
        <color theme="1"/>
        <rFont val="ＭＳ Ｐゴシック"/>
        <family val="3"/>
        <charset val="128"/>
        <scheme val="minor"/>
      </rPr>
      <t>B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Z</t>
    </r>
    <r>
      <rPr>
        <vertAlign val="subscript"/>
        <sz val="18"/>
        <color theme="1"/>
        <rFont val="ＭＳ Ｐゴシック"/>
        <family val="3"/>
        <charset val="128"/>
        <scheme val="minor"/>
      </rPr>
      <t>P</t>
    </r>
    <r>
      <rPr>
        <sz val="18"/>
        <color theme="1"/>
        <rFont val="ＭＳ Ｐゴシック"/>
        <family val="3"/>
        <charset val="128"/>
        <scheme val="minor"/>
      </rPr>
      <t xml:space="preserve">=1 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</si>
</sst>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7">
    <numFmt numFmtId="176" formatCode="0.0000000000E+00"/>
    <numFmt numFmtId="177" formatCode="0.000000_ "/>
    <numFmt numFmtId="178" formatCode="0.000000_);[Red]\(0.000000\)"/>
    <numFmt numFmtId="179" formatCode="0_);[Red]\(0\)"/>
    <numFmt numFmtId="180" formatCode="0.0000000000_);[Red]\(0.0000000000\)"/>
    <numFmt numFmtId="181" formatCode="#.####&quot; s&quot;"/>
    <numFmt numFmtId="182" formatCode="0.000000E+00"/>
    <numFmt numFmtId="183" formatCode="0.00000E+00"/>
    <numFmt numFmtId="184" formatCode="0.0E+00"/>
    <numFmt numFmtId="185" formatCode="0.000_ "/>
    <numFmt numFmtId="186" formatCode="0.0000_ "/>
    <numFmt numFmtId="187" formatCode="0.000000000_ "/>
    <numFmt numFmtId="188" formatCode="0.00000_ "/>
    <numFmt numFmtId="189" formatCode="#,##0.0000_ "/>
    <numFmt numFmtId="190" formatCode="0_ "/>
    <numFmt numFmtId="191" formatCode="#,##0_ "/>
    <numFmt numFmtId="192" formatCode="#,##0.0_ "/>
    <numFmt numFmtId="193" formatCode="#,##0.00_ "/>
    <numFmt numFmtId="194" formatCode="#,##0.000_ "/>
    <numFmt numFmtId="195" formatCode="#,##0.00000_ "/>
    <numFmt numFmtId="196" formatCode="#,##0.000000_ "/>
    <numFmt numFmtId="197" formatCode="&quot;(1;00 for &quot;###.##&quot;THz)&quot;"/>
    <numFmt numFmtId="198" formatCode="&quot;Buoyancy of saltwater (&quot;#.###&quot;)&quot;"/>
    <numFmt numFmtId="199" formatCode="0.000%"/>
    <numFmt numFmtId="200" formatCode="0.00000000_ "/>
    <numFmt numFmtId="201" formatCode="0.00_ "/>
    <numFmt numFmtId="202" formatCode="0.0_ "/>
    <numFmt numFmtId="203" formatCode="#\ &quot;light Julian year&quot;"/>
    <numFmt numFmtId="204" formatCode="#.#\ &quot;light Julian year&quot;"/>
    <numFmt numFmtId="205" formatCode="#.##\ &quot;light Julian year&quot;"/>
    <numFmt numFmtId="206" formatCode="\1\2\^#"/>
    <numFmt numFmtId="207" formatCode="0.00000_);[Red]\(0.00000\)"/>
    <numFmt numFmtId="208" formatCode="\×\1\2\^\(\+#\);\×\1\2\^\(\-#\)"/>
    <numFmt numFmtId="209" formatCode="#&quot;°C&quot;"/>
    <numFmt numFmtId="210" formatCode="#.####&quot; seconds&quot;"/>
    <numFmt numFmtId="211" formatCode="#.####&quot; minutes&quot;"/>
    <numFmt numFmtId="212" formatCode="0.00000%"/>
  </numFmts>
  <fonts count="5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Times New Roman"/>
      <family val="1"/>
    </font>
    <font>
      <sz val="9"/>
      <color theme="1"/>
      <name val="ＭＳ Ｐゴシック"/>
      <family val="2"/>
      <charset val="128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ＭＳ Ｐ明朝"/>
      <family val="1"/>
      <charset val="128"/>
    </font>
    <font>
      <b/>
      <sz val="9"/>
      <name val="Times New Roman"/>
      <family val="1"/>
    </font>
    <font>
      <sz val="9"/>
      <color theme="1"/>
      <name val="Verdana"/>
      <family val="2"/>
    </font>
    <font>
      <b/>
      <i/>
      <vertAlign val="subscript"/>
      <sz val="9"/>
      <color rgb="FF000000"/>
      <name val="Verdana"/>
      <family val="2"/>
    </font>
    <font>
      <sz val="9"/>
      <color theme="1"/>
      <name val="ＭＳ Ｐゴシック"/>
      <family val="2"/>
      <charset val="128"/>
    </font>
    <font>
      <b/>
      <i/>
      <sz val="9"/>
      <color rgb="FF000000"/>
      <name val="Verdana"/>
      <family val="2"/>
    </font>
    <font>
      <sz val="9"/>
      <name val="Times New Roman"/>
      <family val="1"/>
    </font>
    <font>
      <vertAlign val="subscript"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102C5C"/>
      <name val="ＭＳ Ｐゴシック"/>
      <family val="3"/>
      <charset val="128"/>
    </font>
    <font>
      <sz val="9"/>
      <color rgb="FF102C5C"/>
      <name val="Times New Roman"/>
      <family val="1"/>
    </font>
    <font>
      <u/>
      <sz val="11"/>
      <color theme="10"/>
      <name val="ＭＳ Ｐゴシック"/>
      <family val="2"/>
      <charset val="128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b/>
      <i/>
      <sz val="9"/>
      <color rgb="FF000000"/>
      <name val="Times New Roman"/>
      <family val="1"/>
    </font>
    <font>
      <b/>
      <vertAlign val="subscript"/>
      <sz val="8"/>
      <color rgb="FF000000"/>
      <name val="Times New Roman"/>
      <family val="1"/>
    </font>
    <font>
      <i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b/>
      <vertAlign val="subscript"/>
      <sz val="9"/>
      <color rgb="FF000000"/>
      <name val="Times New Roman"/>
      <family val="1"/>
    </font>
    <font>
      <b/>
      <i/>
      <vertAlign val="subscript"/>
      <sz val="9"/>
      <color rgb="FF000000"/>
      <name val="Times New Roman"/>
      <family val="1"/>
    </font>
    <font>
      <b/>
      <vertAlign val="subscript"/>
      <sz val="9"/>
      <color theme="1"/>
      <name val="Times New Roman"/>
      <family val="1"/>
    </font>
    <font>
      <b/>
      <sz val="9"/>
      <color theme="1"/>
      <name val="ＭＳ Ｐ明朝"/>
      <family val="1"/>
      <charset val="128"/>
    </font>
    <font>
      <i/>
      <sz val="9"/>
      <color rgb="FF000000"/>
      <name val="ＭＳ Ｐゴシック"/>
      <family val="3"/>
      <charset val="128"/>
    </font>
    <font>
      <u/>
      <sz val="9"/>
      <color theme="10"/>
      <name val="Times New Roman"/>
      <family val="1"/>
    </font>
    <font>
      <sz val="9"/>
      <color indexed="8"/>
      <name val="Times New Roman"/>
      <family val="1"/>
    </font>
    <font>
      <sz val="6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vertAlign val="superscript"/>
      <sz val="9"/>
      <color theme="1"/>
      <name val="Times New Roman"/>
      <family val="1"/>
    </font>
    <font>
      <b/>
      <vertAlign val="superscript"/>
      <sz val="9"/>
      <color rgb="FF000000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ＭＳ Ｐゴシック"/>
      <family val="2"/>
      <charset val="128"/>
      <scheme val="minor"/>
    </font>
    <font>
      <b/>
      <sz val="14"/>
      <name val="Times New Roman"/>
      <family val="1"/>
    </font>
    <font>
      <u/>
      <sz val="9"/>
      <color theme="1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vertAlign val="superscript"/>
      <sz val="16"/>
      <name val="ＭＳ Ｐゴシック"/>
      <family val="3"/>
      <charset val="128"/>
    </font>
    <font>
      <b/>
      <sz val="16"/>
      <color theme="0" tint="-0.499984740745262"/>
      <name val="ＭＳ Ｐゴシック"/>
      <family val="3"/>
      <charset val="128"/>
    </font>
    <font>
      <b/>
      <vertAlign val="superscript"/>
      <sz val="16"/>
      <color theme="0" tint="-0.499984740745262"/>
      <name val="ＭＳ Ｐゴシック"/>
      <family val="3"/>
      <charset val="128"/>
    </font>
    <font>
      <i/>
      <vertAlign val="subscript"/>
      <sz val="9"/>
      <color theme="1"/>
      <name val="Times New Roman"/>
      <family val="1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vertAlign val="subscript"/>
      <sz val="18"/>
      <color theme="1"/>
      <name val="ＭＳ Ｐゴシック"/>
      <family val="3"/>
      <charset val="128"/>
      <scheme val="minor"/>
    </font>
    <font>
      <i/>
      <sz val="18"/>
      <color theme="1"/>
      <name val="ＭＳ Ｐ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</fills>
  <borders count="10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3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2" fillId="0" borderId="0"/>
  </cellStyleXfs>
  <cellXfs count="79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5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justify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justify" vertical="top" wrapText="1"/>
    </xf>
    <xf numFmtId="0" fontId="2" fillId="0" borderId="15" xfId="0" applyFont="1" applyBorder="1" applyAlignment="1">
      <alignment horizontal="justify" vertical="top" wrapText="1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182" fontId="2" fillId="0" borderId="5" xfId="0" applyNumberFormat="1" applyFont="1" applyBorder="1">
      <alignment vertical="center"/>
    </xf>
    <xf numFmtId="183" fontId="2" fillId="0" borderId="5" xfId="0" applyNumberFormat="1" applyFont="1" applyBorder="1">
      <alignment vertical="center"/>
    </xf>
    <xf numFmtId="185" fontId="2" fillId="0" borderId="5" xfId="0" applyNumberFormat="1" applyFont="1" applyBorder="1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right" vertical="center"/>
    </xf>
    <xf numFmtId="184" fontId="2" fillId="0" borderId="5" xfId="0" applyNumberFormat="1" applyFont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shrinkToFit="1"/>
    </xf>
    <xf numFmtId="0" fontId="2" fillId="5" borderId="3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5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176" fontId="2" fillId="4" borderId="16" xfId="0" applyNumberFormat="1" applyFont="1" applyFill="1" applyBorder="1">
      <alignment vertical="center"/>
    </xf>
    <xf numFmtId="176" fontId="2" fillId="0" borderId="5" xfId="0" applyNumberFormat="1" applyFont="1" applyBorder="1" applyAlignment="1">
      <alignment horizontal="right" vertical="center"/>
    </xf>
    <xf numFmtId="177" fontId="2" fillId="0" borderId="6" xfId="0" applyNumberFormat="1" applyFont="1" applyBorder="1">
      <alignment vertical="center"/>
    </xf>
    <xf numFmtId="176" fontId="2" fillId="0" borderId="16" xfId="0" applyNumberFormat="1" applyFont="1" applyBorder="1">
      <alignment vertical="center"/>
    </xf>
    <xf numFmtId="176" fontId="2" fillId="0" borderId="10" xfId="0" applyNumberFormat="1" applyFont="1" applyBorder="1">
      <alignment vertical="center"/>
    </xf>
    <xf numFmtId="0" fontId="2" fillId="0" borderId="10" xfId="0" applyFont="1" applyBorder="1">
      <alignment vertical="center"/>
    </xf>
    <xf numFmtId="177" fontId="2" fillId="0" borderId="11" xfId="0" applyNumberFormat="1" applyFont="1" applyBorder="1">
      <alignment vertical="center"/>
    </xf>
    <xf numFmtId="176" fontId="2" fillId="0" borderId="7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178" fontId="2" fillId="0" borderId="6" xfId="0" applyNumberFormat="1" applyFont="1" applyBorder="1">
      <alignment vertical="center"/>
    </xf>
    <xf numFmtId="179" fontId="2" fillId="0" borderId="2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6" fontId="4" fillId="3" borderId="5" xfId="0" applyNumberFormat="1" applyFont="1" applyFill="1" applyBorder="1">
      <alignment vertical="center"/>
    </xf>
    <xf numFmtId="0" fontId="4" fillId="0" borderId="10" xfId="0" applyFont="1" applyBorder="1">
      <alignment vertical="center"/>
    </xf>
    <xf numFmtId="178" fontId="2" fillId="0" borderId="11" xfId="0" applyNumberFormat="1" applyFont="1" applyBorder="1">
      <alignment vertical="center"/>
    </xf>
    <xf numFmtId="0" fontId="2" fillId="0" borderId="9" xfId="0" applyFont="1" applyBorder="1">
      <alignment vertical="center"/>
    </xf>
    <xf numFmtId="176" fontId="2" fillId="0" borderId="9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178" fontId="2" fillId="0" borderId="8" xfId="0" applyNumberFormat="1" applyFont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2" fillId="4" borderId="5" xfId="0" applyNumberFormat="1" applyFont="1" applyFill="1" applyBorder="1">
      <alignment vertical="center"/>
    </xf>
    <xf numFmtId="0" fontId="2" fillId="5" borderId="9" xfId="0" applyFont="1" applyFill="1" applyBorder="1" applyAlignment="1">
      <alignment horizontal="center" vertical="center" shrinkToFit="1"/>
    </xf>
    <xf numFmtId="176" fontId="2" fillId="3" borderId="5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18" xfId="0" applyFont="1" applyBorder="1">
      <alignment vertical="center"/>
    </xf>
    <xf numFmtId="177" fontId="2" fillId="0" borderId="18" xfId="0" applyNumberFormat="1" applyFont="1" applyBorder="1">
      <alignment vertical="center"/>
    </xf>
    <xf numFmtId="177" fontId="2" fillId="0" borderId="19" xfId="0" applyNumberFormat="1" applyFont="1" applyBorder="1">
      <alignment vertical="center"/>
    </xf>
    <xf numFmtId="177" fontId="2" fillId="0" borderId="20" xfId="0" applyNumberFormat="1" applyFont="1" applyBorder="1">
      <alignment vertical="center"/>
    </xf>
    <xf numFmtId="178" fontId="2" fillId="0" borderId="18" xfId="0" applyNumberFormat="1" applyFont="1" applyBorder="1">
      <alignment vertical="center"/>
    </xf>
    <xf numFmtId="178" fontId="2" fillId="0" borderId="19" xfId="0" applyNumberFormat="1" applyFont="1" applyBorder="1">
      <alignment vertical="center"/>
    </xf>
    <xf numFmtId="178" fontId="2" fillId="0" borderId="20" xfId="0" applyNumberFormat="1" applyFont="1" applyBorder="1">
      <alignment vertical="center"/>
    </xf>
    <xf numFmtId="0" fontId="2" fillId="0" borderId="5" xfId="0" applyFont="1" applyBorder="1" applyAlignment="1">
      <alignment horizontal="left" vertical="top" shrinkToFit="1"/>
    </xf>
    <xf numFmtId="0" fontId="2" fillId="0" borderId="5" xfId="0" quotePrefix="1" applyFont="1" applyBorder="1" applyAlignment="1">
      <alignment horizontal="justify" vertical="top" wrapText="1"/>
    </xf>
    <xf numFmtId="0" fontId="2" fillId="0" borderId="10" xfId="0" quotePrefix="1" applyFont="1" applyBorder="1" applyAlignment="1">
      <alignment horizontal="left" vertical="top" wrapText="1"/>
    </xf>
    <xf numFmtId="0" fontId="2" fillId="0" borderId="5" xfId="0" quotePrefix="1" applyFont="1" applyBorder="1" applyAlignment="1">
      <alignment horizontal="left" vertical="top" wrapText="1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176" fontId="2" fillId="0" borderId="23" xfId="0" applyNumberFormat="1" applyFont="1" applyBorder="1">
      <alignment vertical="center"/>
    </xf>
    <xf numFmtId="176" fontId="4" fillId="0" borderId="23" xfId="0" applyNumberFormat="1" applyFont="1" applyBorder="1">
      <alignment vertical="center"/>
    </xf>
    <xf numFmtId="0" fontId="4" fillId="0" borderId="23" xfId="0" applyFont="1" applyBorder="1">
      <alignment vertical="center"/>
    </xf>
    <xf numFmtId="178" fontId="2" fillId="0" borderId="24" xfId="0" applyNumberFormat="1" applyFont="1" applyBorder="1">
      <alignment vertical="center"/>
    </xf>
    <xf numFmtId="178" fontId="2" fillId="0" borderId="25" xfId="0" applyNumberFormat="1" applyFont="1" applyBorder="1">
      <alignment vertical="center"/>
    </xf>
    <xf numFmtId="179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>
      <alignment vertical="center"/>
    </xf>
    <xf numFmtId="179" fontId="2" fillId="0" borderId="27" xfId="0" applyNumberFormat="1" applyFont="1" applyBorder="1" applyAlignment="1">
      <alignment horizontal="center" vertical="center"/>
    </xf>
    <xf numFmtId="179" fontId="2" fillId="0" borderId="28" xfId="0" applyNumberFormat="1" applyFont="1" applyBorder="1" applyAlignment="1">
      <alignment horizontal="center" vertical="center"/>
    </xf>
    <xf numFmtId="180" fontId="2" fillId="0" borderId="0" xfId="0" applyNumberFormat="1" applyFont="1" applyAlignment="1">
      <alignment vertical="center"/>
    </xf>
    <xf numFmtId="14" fontId="2" fillId="0" borderId="1" xfId="0" applyNumberFormat="1" applyFont="1" applyBorder="1">
      <alignment vertical="center"/>
    </xf>
    <xf numFmtId="176" fontId="4" fillId="6" borderId="5" xfId="0" applyNumberFormat="1" applyFont="1" applyFill="1" applyBorder="1">
      <alignment vertical="center"/>
    </xf>
    <xf numFmtId="188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186" fontId="2" fillId="3" borderId="1" xfId="0" applyNumberFormat="1" applyFont="1" applyFill="1" applyBorder="1">
      <alignment vertical="center"/>
    </xf>
    <xf numFmtId="14" fontId="2" fillId="3" borderId="1" xfId="0" applyNumberFormat="1" applyFont="1" applyFill="1" applyBorder="1">
      <alignment vertical="center"/>
    </xf>
    <xf numFmtId="0" fontId="2" fillId="0" borderId="5" xfId="0" applyNumberFormat="1" applyFont="1" applyBorder="1">
      <alignment vertical="center"/>
    </xf>
    <xf numFmtId="11" fontId="2" fillId="0" borderId="5" xfId="0" applyNumberFormat="1" applyFont="1" applyBorder="1">
      <alignment vertical="center"/>
    </xf>
    <xf numFmtId="0" fontId="4" fillId="0" borderId="5" xfId="0" applyNumberFormat="1" applyFont="1" applyBorder="1">
      <alignment vertical="center"/>
    </xf>
    <xf numFmtId="0" fontId="6" fillId="0" borderId="5" xfId="0" applyFont="1" applyBorder="1" applyAlignment="1">
      <alignment horizontal="justify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NumberFormat="1" applyFont="1" applyBorder="1">
      <alignment vertical="center"/>
    </xf>
    <xf numFmtId="0" fontId="4" fillId="0" borderId="7" xfId="0" applyNumberFormat="1" applyFont="1" applyBorder="1">
      <alignment vertical="center"/>
    </xf>
    <xf numFmtId="0" fontId="2" fillId="5" borderId="32" xfId="0" applyFont="1" applyFill="1" applyBorder="1" applyAlignment="1">
      <alignment horizontal="center" vertical="center"/>
    </xf>
    <xf numFmtId="0" fontId="2" fillId="0" borderId="33" xfId="0" applyFont="1" applyBorder="1">
      <alignment vertical="center"/>
    </xf>
    <xf numFmtId="177" fontId="2" fillId="0" borderId="33" xfId="0" applyNumberFormat="1" applyFont="1" applyBorder="1">
      <alignment vertical="center"/>
    </xf>
    <xf numFmtId="177" fontId="2" fillId="0" borderId="34" xfId="0" applyNumberFormat="1" applyFont="1" applyBorder="1">
      <alignment vertical="center"/>
    </xf>
    <xf numFmtId="178" fontId="2" fillId="0" borderId="33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9" fontId="2" fillId="0" borderId="5" xfId="0" applyNumberFormat="1" applyFont="1" applyBorder="1" applyAlignment="1">
      <alignment horizontal="center" vertical="center"/>
    </xf>
    <xf numFmtId="179" fontId="2" fillId="0" borderId="16" xfId="0" applyNumberFormat="1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35" xfId="0" applyFont="1" applyBorder="1">
      <alignment vertical="center"/>
    </xf>
    <xf numFmtId="176" fontId="2" fillId="0" borderId="35" xfId="0" applyNumberFormat="1" applyFont="1" applyBorder="1">
      <alignment vertical="center"/>
    </xf>
    <xf numFmtId="176" fontId="4" fillId="0" borderId="35" xfId="0" applyNumberFormat="1" applyFont="1" applyBorder="1">
      <alignment vertical="center"/>
    </xf>
    <xf numFmtId="0" fontId="4" fillId="0" borderId="35" xfId="0" applyFont="1" applyBorder="1">
      <alignment vertical="center"/>
    </xf>
    <xf numFmtId="178" fontId="2" fillId="0" borderId="36" xfId="0" applyNumberFormat="1" applyFont="1" applyBorder="1">
      <alignment vertical="center"/>
    </xf>
    <xf numFmtId="178" fontId="2" fillId="0" borderId="37" xfId="0" applyNumberFormat="1" applyFont="1" applyBorder="1">
      <alignment vertical="center"/>
    </xf>
    <xf numFmtId="0" fontId="2" fillId="0" borderId="38" xfId="0" applyFont="1" applyBorder="1">
      <alignment vertical="center"/>
    </xf>
    <xf numFmtId="178" fontId="2" fillId="0" borderId="7" xfId="0" applyNumberFormat="1" applyFont="1" applyBorder="1">
      <alignment vertical="center"/>
    </xf>
    <xf numFmtId="0" fontId="2" fillId="0" borderId="34" xfId="0" applyFont="1" applyBorder="1">
      <alignment vertical="center"/>
    </xf>
    <xf numFmtId="176" fontId="4" fillId="0" borderId="10" xfId="0" applyNumberFormat="1" applyFont="1" applyBorder="1">
      <alignment vertical="center"/>
    </xf>
    <xf numFmtId="178" fontId="2" fillId="0" borderId="10" xfId="0" applyNumberFormat="1" applyFont="1" applyBorder="1">
      <alignment vertical="center"/>
    </xf>
    <xf numFmtId="0" fontId="2" fillId="0" borderId="23" xfId="0" quotePrefix="1" applyFont="1" applyBorder="1">
      <alignment vertical="center"/>
    </xf>
    <xf numFmtId="0" fontId="2" fillId="0" borderId="39" xfId="0" applyFont="1" applyBorder="1">
      <alignment vertical="center"/>
    </xf>
    <xf numFmtId="188" fontId="2" fillId="0" borderId="40" xfId="0" applyNumberFormat="1" applyFont="1" applyBorder="1">
      <alignment vertical="center"/>
    </xf>
    <xf numFmtId="0" fontId="2" fillId="0" borderId="40" xfId="0" applyFont="1" applyBorder="1">
      <alignment vertical="center"/>
    </xf>
    <xf numFmtId="177" fontId="2" fillId="0" borderId="40" xfId="0" applyNumberFormat="1" applyFont="1" applyBorder="1">
      <alignment vertical="center"/>
    </xf>
    <xf numFmtId="0" fontId="2" fillId="0" borderId="43" xfId="0" applyFont="1" applyBorder="1">
      <alignment vertical="center"/>
    </xf>
    <xf numFmtId="188" fontId="2" fillId="0" borderId="27" xfId="0" applyNumberFormat="1" applyFont="1" applyBorder="1">
      <alignment vertical="center"/>
    </xf>
    <xf numFmtId="177" fontId="2" fillId="0" borderId="27" xfId="0" applyNumberFormat="1" applyFont="1" applyBorder="1">
      <alignment vertical="center"/>
    </xf>
    <xf numFmtId="0" fontId="2" fillId="0" borderId="6" xfId="0" applyFont="1" applyBorder="1" applyAlignment="1">
      <alignment horizontal="justify" vertical="top" wrapText="1"/>
    </xf>
    <xf numFmtId="0" fontId="2" fillId="0" borderId="11" xfId="0" applyFont="1" applyBorder="1" applyAlignment="1">
      <alignment horizontal="justify" vertical="top" wrapText="1"/>
    </xf>
    <xf numFmtId="0" fontId="2" fillId="5" borderId="44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76" fontId="2" fillId="4" borderId="27" xfId="0" applyNumberFormat="1" applyFont="1" applyFill="1" applyBorder="1">
      <alignment vertical="center"/>
    </xf>
    <xf numFmtId="0" fontId="2" fillId="0" borderId="8" xfId="0" applyFont="1" applyBorder="1" applyAlignment="1">
      <alignment horizontal="justify" vertical="top" wrapText="1"/>
    </xf>
    <xf numFmtId="181" fontId="2" fillId="6" borderId="27" xfId="0" applyNumberFormat="1" applyFont="1" applyFill="1" applyBorder="1">
      <alignment vertical="center"/>
    </xf>
    <xf numFmtId="0" fontId="2" fillId="0" borderId="33" xfId="0" quotePrefix="1" applyFont="1" applyBorder="1">
      <alignment vertical="center"/>
    </xf>
    <xf numFmtId="186" fontId="2" fillId="0" borderId="5" xfId="0" applyNumberFormat="1" applyFont="1" applyBorder="1">
      <alignment vertical="center"/>
    </xf>
    <xf numFmtId="178" fontId="2" fillId="0" borderId="5" xfId="0" applyNumberFormat="1" applyFont="1" applyBorder="1">
      <alignment vertical="center"/>
    </xf>
    <xf numFmtId="0" fontId="2" fillId="0" borderId="38" xfId="0" quotePrefix="1" applyFont="1" applyBorder="1">
      <alignment vertical="center"/>
    </xf>
    <xf numFmtId="186" fontId="2" fillId="0" borderId="7" xfId="0" applyNumberFormat="1" applyFont="1" applyBorder="1">
      <alignment vertical="center"/>
    </xf>
    <xf numFmtId="0" fontId="4" fillId="2" borderId="5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 applyAlignment="1">
      <alignment horizontal="justify" vertical="top" wrapText="1"/>
    </xf>
    <xf numFmtId="178" fontId="2" fillId="2" borderId="6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7" fontId="2" fillId="2" borderId="18" xfId="0" applyNumberFormat="1" applyFont="1" applyFill="1" applyBorder="1">
      <alignment vertical="center"/>
    </xf>
    <xf numFmtId="0" fontId="6" fillId="0" borderId="0" xfId="0" applyFont="1">
      <alignment vertical="center"/>
    </xf>
    <xf numFmtId="176" fontId="4" fillId="0" borderId="5" xfId="0" applyNumberFormat="1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91" fontId="2" fillId="0" borderId="0" xfId="0" applyNumberFormat="1" applyFont="1">
      <alignment vertical="center"/>
    </xf>
    <xf numFmtId="191" fontId="2" fillId="0" borderId="5" xfId="0" applyNumberFormat="1" applyFont="1" applyBorder="1" applyAlignment="1">
      <alignment horizontal="right" vertical="center"/>
    </xf>
    <xf numFmtId="191" fontId="2" fillId="0" borderId="7" xfId="0" applyNumberFormat="1" applyFont="1" applyBorder="1" applyAlignment="1">
      <alignment horizontal="right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Fill="1">
      <alignment vertical="center"/>
    </xf>
    <xf numFmtId="0" fontId="2" fillId="0" borderId="3" xfId="0" applyFont="1" applyBorder="1" applyAlignment="1">
      <alignment horizontal="justify" vertical="top" wrapText="1"/>
    </xf>
    <xf numFmtId="176" fontId="4" fillId="0" borderId="3" xfId="0" applyNumberFormat="1" applyFont="1" applyBorder="1">
      <alignment vertical="center"/>
    </xf>
    <xf numFmtId="0" fontId="4" fillId="0" borderId="3" xfId="0" applyFont="1" applyBorder="1">
      <alignment vertical="center"/>
    </xf>
    <xf numFmtId="178" fontId="2" fillId="0" borderId="4" xfId="0" applyNumberFormat="1" applyFont="1" applyBorder="1">
      <alignment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right" vertical="center"/>
    </xf>
    <xf numFmtId="177" fontId="2" fillId="0" borderId="72" xfId="0" applyNumberFormat="1" applyFont="1" applyFill="1" applyBorder="1" applyAlignment="1">
      <alignment horizontal="right" vertical="center"/>
    </xf>
    <xf numFmtId="176" fontId="2" fillId="0" borderId="5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right" vertical="center"/>
    </xf>
    <xf numFmtId="177" fontId="2" fillId="0" borderId="16" xfId="0" applyNumberFormat="1" applyFont="1" applyFill="1" applyBorder="1" applyAlignment="1">
      <alignment horizontal="right" vertical="center"/>
    </xf>
    <xf numFmtId="178" fontId="2" fillId="0" borderId="17" xfId="0" applyNumberFormat="1" applyFont="1" applyBorder="1">
      <alignment vertical="center"/>
    </xf>
    <xf numFmtId="0" fontId="2" fillId="5" borderId="72" xfId="0" applyFont="1" applyFill="1" applyBorder="1" applyAlignment="1">
      <alignment horizontal="center" vertical="center"/>
    </xf>
    <xf numFmtId="196" fontId="2" fillId="0" borderId="16" xfId="0" applyNumberFormat="1" applyFont="1" applyBorder="1" applyAlignment="1">
      <alignment horizontal="right" vertical="top" wrapText="1"/>
    </xf>
    <xf numFmtId="195" fontId="2" fillId="0" borderId="16" xfId="0" applyNumberFormat="1" applyFont="1" applyBorder="1" applyAlignment="1">
      <alignment horizontal="right" vertical="top" wrapText="1"/>
    </xf>
    <xf numFmtId="189" fontId="2" fillId="0" borderId="16" xfId="0" applyNumberFormat="1" applyFont="1" applyBorder="1" applyAlignment="1">
      <alignment horizontal="right" vertical="top" wrapText="1"/>
    </xf>
    <xf numFmtId="194" fontId="2" fillId="0" borderId="16" xfId="0" applyNumberFormat="1" applyFont="1" applyBorder="1" applyAlignment="1">
      <alignment horizontal="right" vertical="top" wrapText="1"/>
    </xf>
    <xf numFmtId="193" fontId="2" fillId="0" borderId="16" xfId="0" applyNumberFormat="1" applyFont="1" applyBorder="1" applyAlignment="1">
      <alignment horizontal="right" vertical="top" wrapText="1"/>
    </xf>
    <xf numFmtId="192" fontId="2" fillId="0" borderId="16" xfId="0" applyNumberFormat="1" applyFont="1" applyBorder="1" applyAlignment="1">
      <alignment horizontal="right" vertical="top" wrapText="1"/>
    </xf>
    <xf numFmtId="191" fontId="2" fillId="0" borderId="16" xfId="0" applyNumberFormat="1" applyFont="1" applyBorder="1" applyAlignment="1">
      <alignment horizontal="right" vertical="top" wrapText="1"/>
    </xf>
    <xf numFmtId="191" fontId="2" fillId="0" borderId="74" xfId="0" applyNumberFormat="1" applyFont="1" applyBorder="1" applyAlignment="1">
      <alignment horizontal="right" vertical="top" wrapText="1"/>
    </xf>
    <xf numFmtId="0" fontId="2" fillId="5" borderId="4" xfId="0" applyFont="1" applyFill="1" applyBorder="1" applyAlignment="1">
      <alignment horizontal="center" vertical="center" shrinkToFit="1"/>
    </xf>
    <xf numFmtId="196" fontId="2" fillId="0" borderId="33" xfId="0" applyNumberFormat="1" applyFont="1" applyBorder="1" applyAlignment="1">
      <alignment horizontal="right" vertical="top" wrapText="1"/>
    </xf>
    <xf numFmtId="0" fontId="2" fillId="0" borderId="5" xfId="0" applyFont="1" applyFill="1" applyBorder="1" applyAlignment="1">
      <alignment horizontal="right" vertical="center"/>
    </xf>
    <xf numFmtId="177" fontId="2" fillId="0" borderId="5" xfId="0" applyNumberFormat="1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left" vertical="center"/>
    </xf>
    <xf numFmtId="195" fontId="2" fillId="0" borderId="33" xfId="0" applyNumberFormat="1" applyFont="1" applyBorder="1" applyAlignment="1">
      <alignment horizontal="right" vertical="top" wrapText="1"/>
    </xf>
    <xf numFmtId="189" fontId="2" fillId="0" borderId="33" xfId="0" applyNumberFormat="1" applyFont="1" applyBorder="1" applyAlignment="1">
      <alignment horizontal="right" vertical="top" wrapText="1"/>
    </xf>
    <xf numFmtId="194" fontId="2" fillId="0" borderId="33" xfId="0" applyNumberFormat="1" applyFont="1" applyBorder="1" applyAlignment="1">
      <alignment horizontal="right" vertical="top" wrapText="1"/>
    </xf>
    <xf numFmtId="193" fontId="2" fillId="0" borderId="33" xfId="0" applyNumberFormat="1" applyFont="1" applyBorder="1" applyAlignment="1">
      <alignment horizontal="right" vertical="top" wrapText="1"/>
    </xf>
    <xf numFmtId="192" fontId="2" fillId="0" borderId="33" xfId="0" applyNumberFormat="1" applyFont="1" applyBorder="1" applyAlignment="1">
      <alignment horizontal="right" vertical="top" wrapText="1"/>
    </xf>
    <xf numFmtId="191" fontId="2" fillId="0" borderId="33" xfId="0" applyNumberFormat="1" applyFont="1" applyBorder="1" applyAlignment="1">
      <alignment horizontal="right" vertical="top" wrapText="1"/>
    </xf>
    <xf numFmtId="191" fontId="2" fillId="0" borderId="38" xfId="0" applyNumberFormat="1" applyFont="1" applyBorder="1" applyAlignment="1">
      <alignment horizontal="right" vertical="top" wrapText="1"/>
    </xf>
    <xf numFmtId="176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right" vertical="center"/>
    </xf>
    <xf numFmtId="177" fontId="2" fillId="0" borderId="7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left" vertical="center"/>
    </xf>
    <xf numFmtId="196" fontId="2" fillId="0" borderId="72" xfId="0" applyNumberFormat="1" applyFont="1" applyBorder="1" applyAlignment="1">
      <alignment horizontal="right" vertical="top" wrapText="1"/>
    </xf>
    <xf numFmtId="0" fontId="2" fillId="0" borderId="75" xfId="0" applyFont="1" applyFill="1" applyBorder="1" applyAlignment="1">
      <alignment horizontal="left" vertical="center"/>
    </xf>
    <xf numFmtId="0" fontId="2" fillId="0" borderId="76" xfId="0" applyFont="1" applyFill="1" applyBorder="1" applyAlignment="1">
      <alignment horizontal="left" vertical="center"/>
    </xf>
    <xf numFmtId="0" fontId="2" fillId="0" borderId="71" xfId="0" applyFont="1" applyFill="1" applyBorder="1" applyAlignment="1">
      <alignment horizontal="right" vertical="center"/>
    </xf>
    <xf numFmtId="177" fontId="2" fillId="0" borderId="71" xfId="0" applyNumberFormat="1" applyFont="1" applyFill="1" applyBorder="1" applyAlignment="1">
      <alignment horizontal="right" vertical="center"/>
    </xf>
    <xf numFmtId="0" fontId="2" fillId="0" borderId="7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177" fontId="2" fillId="0" borderId="3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left" vertical="center"/>
    </xf>
    <xf numFmtId="191" fontId="2" fillId="0" borderId="33" xfId="0" quotePrefix="1" applyNumberFormat="1" applyFont="1" applyBorder="1" applyAlignment="1">
      <alignment horizontal="right" vertical="top" wrapText="1"/>
    </xf>
    <xf numFmtId="191" fontId="2" fillId="0" borderId="38" xfId="0" quotePrefix="1" applyNumberFormat="1" applyFont="1" applyBorder="1" applyAlignment="1">
      <alignment horizontal="right" vertical="top" wrapText="1"/>
    </xf>
    <xf numFmtId="190" fontId="2" fillId="0" borderId="33" xfId="0" quotePrefix="1" applyNumberFormat="1" applyFont="1" applyBorder="1" applyAlignment="1">
      <alignment horizontal="right" vertical="top" wrapText="1"/>
    </xf>
    <xf numFmtId="193" fontId="2" fillId="0" borderId="32" xfId="0" applyNumberFormat="1" applyFont="1" applyBorder="1" applyAlignment="1">
      <alignment horizontal="right" vertical="top" wrapText="1"/>
    </xf>
    <xf numFmtId="191" fontId="2" fillId="0" borderId="32" xfId="0" applyNumberFormat="1" applyFont="1" applyBorder="1" applyAlignment="1">
      <alignment horizontal="right" vertical="top" wrapText="1"/>
    </xf>
    <xf numFmtId="176" fontId="2" fillId="0" borderId="0" xfId="0" applyNumberFormat="1" applyFont="1">
      <alignment vertical="center"/>
    </xf>
    <xf numFmtId="178" fontId="2" fillId="0" borderId="3" xfId="0" applyNumberFormat="1" applyFont="1" applyBorder="1">
      <alignment vertical="center"/>
    </xf>
    <xf numFmtId="0" fontId="2" fillId="0" borderId="7" xfId="0" applyFont="1" applyBorder="1" applyAlignment="1">
      <alignment vertical="center" shrinkToFit="1"/>
    </xf>
    <xf numFmtId="188" fontId="2" fillId="0" borderId="2" xfId="0" applyNumberFormat="1" applyFont="1" applyBorder="1">
      <alignment vertical="center"/>
    </xf>
    <xf numFmtId="188" fontId="2" fillId="0" borderId="39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177" fontId="2" fillId="0" borderId="5" xfId="0" applyNumberFormat="1" applyFont="1" applyBorder="1">
      <alignment vertical="center"/>
    </xf>
    <xf numFmtId="0" fontId="2" fillId="0" borderId="7" xfId="0" applyFont="1" applyBorder="1" applyAlignment="1">
      <alignment horizontal="left" vertical="top" wrapText="1"/>
    </xf>
    <xf numFmtId="177" fontId="2" fillId="0" borderId="7" xfId="0" applyNumberFormat="1" applyFon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3" fontId="2" fillId="0" borderId="32" xfId="0" applyNumberFormat="1" applyFont="1" applyFill="1" applyBorder="1" applyAlignment="1">
      <alignment horizontal="right" vertical="center"/>
    </xf>
    <xf numFmtId="0" fontId="2" fillId="0" borderId="33" xfId="0" applyFont="1" applyFill="1" applyBorder="1" applyAlignment="1">
      <alignment horizontal="right" vertical="center"/>
    </xf>
    <xf numFmtId="0" fontId="2" fillId="0" borderId="38" xfId="0" applyFont="1" applyBorder="1" applyAlignment="1">
      <alignment horizontal="right" vertical="center"/>
    </xf>
    <xf numFmtId="0" fontId="2" fillId="5" borderId="3" xfId="0" applyFont="1" applyFill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72" xfId="0" applyFont="1" applyBorder="1" applyAlignment="1">
      <alignment horizontal="right" vertical="top" wrapText="1"/>
    </xf>
    <xf numFmtId="0" fontId="2" fillId="0" borderId="16" xfId="0" applyFont="1" applyBorder="1" applyAlignment="1">
      <alignment horizontal="right" vertical="top" wrapText="1"/>
    </xf>
    <xf numFmtId="191" fontId="2" fillId="0" borderId="34" xfId="0" quotePrefix="1" applyNumberFormat="1" applyFont="1" applyBorder="1" applyAlignment="1">
      <alignment horizontal="right" vertical="top" wrapText="1"/>
    </xf>
    <xf numFmtId="0" fontId="2" fillId="7" borderId="5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quotePrefix="1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7" fontId="2" fillId="0" borderId="5" xfId="0" applyNumberFormat="1" applyFont="1" applyBorder="1" applyAlignment="1">
      <alignment vertical="center" wrapText="1"/>
    </xf>
    <xf numFmtId="189" fontId="2" fillId="0" borderId="5" xfId="0" applyNumberFormat="1" applyFont="1" applyBorder="1" applyAlignment="1">
      <alignment vertical="center" wrapText="1"/>
    </xf>
    <xf numFmtId="190" fontId="2" fillId="0" borderId="0" xfId="0" applyNumberFormat="1" applyFont="1" applyAlignment="1">
      <alignment vertical="center" wrapText="1"/>
    </xf>
    <xf numFmtId="191" fontId="2" fillId="0" borderId="71" xfId="0" applyNumberFormat="1" applyFont="1" applyBorder="1" applyAlignment="1">
      <alignment horizontal="right" vertical="center"/>
    </xf>
    <xf numFmtId="0" fontId="2" fillId="0" borderId="8" xfId="0" applyNumberFormat="1" applyFont="1" applyBorder="1" applyAlignment="1">
      <alignment vertical="center" shrinkToFit="1"/>
    </xf>
    <xf numFmtId="192" fontId="2" fillId="0" borderId="66" xfId="0" applyNumberFormat="1" applyFont="1" applyBorder="1" applyAlignment="1">
      <alignment horizontal="right" vertical="top" wrapText="1"/>
    </xf>
    <xf numFmtId="0" fontId="2" fillId="0" borderId="9" xfId="0" applyFont="1" applyBorder="1" applyAlignment="1">
      <alignment horizontal="left" vertical="top" wrapText="1"/>
    </xf>
    <xf numFmtId="186" fontId="12" fillId="0" borderId="3" xfId="0" applyNumberFormat="1" applyFont="1" applyBorder="1">
      <alignment vertical="center"/>
    </xf>
    <xf numFmtId="0" fontId="7" fillId="0" borderId="35" xfId="0" applyFont="1" applyBorder="1">
      <alignment vertical="center"/>
    </xf>
    <xf numFmtId="178" fontId="12" fillId="0" borderId="35" xfId="0" applyNumberFormat="1" applyFont="1" applyBorder="1">
      <alignment vertical="center"/>
    </xf>
    <xf numFmtId="186" fontId="12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5" xfId="0" applyFont="1" applyBorder="1">
      <alignment vertical="center"/>
    </xf>
    <xf numFmtId="178" fontId="12" fillId="0" borderId="5" xfId="0" applyNumberFormat="1" applyFont="1" applyBorder="1">
      <alignment vertical="center"/>
    </xf>
    <xf numFmtId="183" fontId="2" fillId="0" borderId="0" xfId="0" applyNumberFormat="1" applyFont="1">
      <alignment vertical="center"/>
    </xf>
    <xf numFmtId="0" fontId="2" fillId="0" borderId="0" xfId="0" quotePrefix="1" applyFont="1" applyBorder="1">
      <alignment vertical="center"/>
    </xf>
    <xf numFmtId="0" fontId="2" fillId="0" borderId="0" xfId="0" applyFont="1" applyBorder="1">
      <alignment vertical="center"/>
    </xf>
    <xf numFmtId="186" fontId="2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0" fontId="4" fillId="0" borderId="0" xfId="0" applyFont="1" applyBorder="1">
      <alignment vertical="center"/>
    </xf>
    <xf numFmtId="178" fontId="2" fillId="0" borderId="0" xfId="0" applyNumberFormat="1" applyFont="1" applyBorder="1">
      <alignment vertical="center"/>
    </xf>
    <xf numFmtId="179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7" fillId="12" borderId="35" xfId="0" applyNumberFormat="1" applyFont="1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35" xfId="0" applyNumberFormat="1" applyFont="1" applyBorder="1">
      <alignment vertical="center"/>
    </xf>
    <xf numFmtId="182" fontId="2" fillId="0" borderId="0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184" fontId="2" fillId="0" borderId="0" xfId="0" applyNumberFormat="1" applyFont="1">
      <alignment vertical="center"/>
    </xf>
    <xf numFmtId="186" fontId="2" fillId="0" borderId="0" xfId="0" applyNumberFormat="1" applyFont="1">
      <alignment vertical="center"/>
    </xf>
    <xf numFmtId="0" fontId="2" fillId="0" borderId="32" xfId="0" applyFont="1" applyBorder="1">
      <alignment vertical="center"/>
    </xf>
    <xf numFmtId="190" fontId="2" fillId="0" borderId="3" xfId="0" applyNumberFormat="1" applyFont="1" applyBorder="1">
      <alignment vertical="center"/>
    </xf>
    <xf numFmtId="0" fontId="2" fillId="0" borderId="0" xfId="0" applyFont="1" applyBorder="1" applyAlignment="1">
      <alignment horizontal="left" vertical="center" shrinkToFit="1"/>
    </xf>
    <xf numFmtId="191" fontId="2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Border="1">
      <alignment vertical="center"/>
    </xf>
    <xf numFmtId="0" fontId="2" fillId="0" borderId="7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5" borderId="1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right" vertical="center"/>
    </xf>
    <xf numFmtId="177" fontId="2" fillId="0" borderId="10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top" wrapText="1"/>
    </xf>
    <xf numFmtId="176" fontId="2" fillId="0" borderId="16" xfId="0" applyNumberFormat="1" applyFont="1" applyFill="1" applyBorder="1">
      <alignment vertical="center"/>
    </xf>
    <xf numFmtId="0" fontId="2" fillId="0" borderId="5" xfId="0" applyFont="1" applyFill="1" applyBorder="1">
      <alignment vertical="center"/>
    </xf>
    <xf numFmtId="176" fontId="2" fillId="0" borderId="5" xfId="0" applyNumberFormat="1" applyFont="1" applyFill="1" applyBorder="1">
      <alignment vertical="center"/>
    </xf>
    <xf numFmtId="176" fontId="2" fillId="0" borderId="5" xfId="0" applyNumberFormat="1" applyFont="1" applyFill="1" applyBorder="1" applyAlignment="1">
      <alignment horizontal="right" vertical="center"/>
    </xf>
    <xf numFmtId="177" fontId="2" fillId="0" borderId="18" xfId="0" applyNumberFormat="1" applyFont="1" applyFill="1" applyBorder="1">
      <alignment vertical="center"/>
    </xf>
    <xf numFmtId="0" fontId="2" fillId="0" borderId="6" xfId="0" applyFont="1" applyFill="1" applyBorder="1" applyAlignment="1">
      <alignment horizontal="justify" vertical="top" wrapText="1"/>
    </xf>
    <xf numFmtId="181" fontId="2" fillId="0" borderId="27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78" fontId="2" fillId="0" borderId="18" xfId="0" applyNumberFormat="1" applyFont="1" applyFill="1" applyBorder="1">
      <alignment vertical="center"/>
    </xf>
    <xf numFmtId="178" fontId="2" fillId="0" borderId="6" xfId="0" applyNumberFormat="1" applyFont="1" applyFill="1" applyBorder="1">
      <alignment vertical="center"/>
    </xf>
    <xf numFmtId="176" fontId="2" fillId="0" borderId="10" xfId="0" applyNumberFormat="1" applyFont="1" applyFill="1" applyBorder="1">
      <alignment vertical="center"/>
    </xf>
    <xf numFmtId="0" fontId="4" fillId="0" borderId="10" xfId="0" applyFont="1" applyFill="1" applyBorder="1">
      <alignment vertical="center"/>
    </xf>
    <xf numFmtId="178" fontId="2" fillId="0" borderId="19" xfId="0" applyNumberFormat="1" applyFont="1" applyFill="1" applyBorder="1">
      <alignment vertical="center"/>
    </xf>
    <xf numFmtId="178" fontId="2" fillId="0" borderId="11" xfId="0" applyNumberFormat="1" applyFont="1" applyFill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97" fontId="2" fillId="0" borderId="6" xfId="0" applyNumberFormat="1" applyFont="1" applyBorder="1" applyAlignment="1">
      <alignment horizontal="left" vertical="center"/>
    </xf>
    <xf numFmtId="0" fontId="2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7" xfId="0" applyFont="1" applyBorder="1">
      <alignment vertical="center"/>
    </xf>
    <xf numFmtId="10" fontId="2" fillId="0" borderId="1" xfId="0" applyNumberFormat="1" applyFont="1" applyBorder="1">
      <alignment vertical="center"/>
    </xf>
    <xf numFmtId="0" fontId="2" fillId="0" borderId="88" xfId="0" applyFont="1" applyBorder="1">
      <alignment vertical="center"/>
    </xf>
    <xf numFmtId="0" fontId="2" fillId="0" borderId="9" xfId="0" applyFont="1" applyBorder="1" applyAlignment="1">
      <alignment horizontal="justify" vertical="top" wrapText="1"/>
    </xf>
    <xf numFmtId="10" fontId="2" fillId="0" borderId="88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Fill="1" applyBorder="1">
      <alignment vertical="center"/>
    </xf>
    <xf numFmtId="186" fontId="2" fillId="0" borderId="1" xfId="0" applyNumberFormat="1" applyFont="1" applyFill="1" applyBorder="1">
      <alignment vertical="center"/>
    </xf>
    <xf numFmtId="14" fontId="2" fillId="0" borderId="1" xfId="0" applyNumberFormat="1" applyFont="1" applyFill="1" applyBorder="1">
      <alignment vertical="center"/>
    </xf>
    <xf numFmtId="187" fontId="2" fillId="0" borderId="2" xfId="0" applyNumberFormat="1" applyFont="1" applyFill="1" applyBorder="1" applyAlignment="1">
      <alignment vertical="center"/>
    </xf>
    <xf numFmtId="187" fontId="2" fillId="0" borderId="89" xfId="0" applyNumberFormat="1" applyFont="1" applyFill="1" applyBorder="1" applyAlignment="1">
      <alignment vertical="center"/>
    </xf>
    <xf numFmtId="0" fontId="2" fillId="3" borderId="33" xfId="0" applyFont="1" applyFill="1" applyBorder="1">
      <alignment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196" fontId="2" fillId="0" borderId="32" xfId="0" applyNumberFormat="1" applyFont="1" applyBorder="1" applyAlignment="1">
      <alignment horizontal="right" vertical="top" wrapText="1"/>
    </xf>
    <xf numFmtId="0" fontId="2" fillId="0" borderId="5" xfId="0" applyFont="1" applyBorder="1" applyAlignment="1">
      <alignment horizontal="left" vertical="top" wrapText="1"/>
    </xf>
    <xf numFmtId="0" fontId="2" fillId="5" borderId="1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98" fontId="2" fillId="0" borderId="5" xfId="0" applyNumberFormat="1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18" xfId="0" applyFont="1" applyFill="1" applyBorder="1">
      <alignment vertical="center"/>
    </xf>
    <xf numFmtId="0" fontId="2" fillId="0" borderId="6" xfId="0" applyFont="1" applyFill="1" applyBorder="1">
      <alignment vertical="center"/>
    </xf>
    <xf numFmtId="190" fontId="2" fillId="0" borderId="1" xfId="0" applyNumberFormat="1" applyFont="1" applyBorder="1">
      <alignment vertical="center"/>
    </xf>
    <xf numFmtId="197" fontId="2" fillId="0" borderId="6" xfId="0" applyNumberFormat="1" applyFont="1" applyFill="1" applyBorder="1" applyAlignment="1">
      <alignment horizontal="left" vertical="center"/>
    </xf>
    <xf numFmtId="190" fontId="4" fillId="0" borderId="5" xfId="0" applyNumberFormat="1" applyFont="1" applyFill="1" applyBorder="1">
      <alignment vertical="center"/>
    </xf>
    <xf numFmtId="176" fontId="2" fillId="0" borderId="27" xfId="0" applyNumberFormat="1" applyFont="1" applyFill="1" applyBorder="1">
      <alignment vertical="center"/>
    </xf>
    <xf numFmtId="190" fontId="4" fillId="0" borderId="7" xfId="0" applyNumberFormat="1" applyFont="1" applyFill="1" applyBorder="1">
      <alignment vertical="center"/>
    </xf>
    <xf numFmtId="178" fontId="2" fillId="0" borderId="20" xfId="0" applyNumberFormat="1" applyFont="1" applyFill="1" applyBorder="1">
      <alignment vertical="center"/>
    </xf>
    <xf numFmtId="0" fontId="4" fillId="0" borderId="5" xfId="0" applyFont="1" applyBorder="1" applyAlignment="1">
      <alignment horizontal="left" vertical="top" wrapText="1"/>
    </xf>
    <xf numFmtId="178" fontId="4" fillId="0" borderId="18" xfId="0" applyNumberFormat="1" applyFont="1" applyFill="1" applyBorder="1">
      <alignment vertical="center"/>
    </xf>
    <xf numFmtId="178" fontId="4" fillId="0" borderId="6" xfId="0" applyNumberFormat="1" applyFont="1" applyBorder="1">
      <alignment vertical="center"/>
    </xf>
    <xf numFmtId="178" fontId="4" fillId="0" borderId="6" xfId="0" applyNumberFormat="1" applyFont="1" applyFill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199" fontId="2" fillId="0" borderId="5" xfId="0" applyNumberFormat="1" applyFont="1" applyBorder="1">
      <alignment vertical="center"/>
    </xf>
    <xf numFmtId="199" fontId="2" fillId="4" borderId="5" xfId="0" applyNumberFormat="1" applyFont="1" applyFill="1" applyBorder="1">
      <alignment vertical="center"/>
    </xf>
    <xf numFmtId="179" fontId="2" fillId="5" borderId="3" xfId="0" applyNumberFormat="1" applyFont="1" applyFill="1" applyBorder="1" applyAlignment="1">
      <alignment horizontal="center" vertical="center"/>
    </xf>
    <xf numFmtId="179" fontId="2" fillId="0" borderId="5" xfId="0" applyNumberFormat="1" applyFont="1" applyBorder="1">
      <alignment vertical="center"/>
    </xf>
    <xf numFmtId="179" fontId="2" fillId="0" borderId="5" xfId="0" applyNumberFormat="1" applyFont="1" applyBorder="1" applyAlignment="1">
      <alignment horizontal="right" vertical="center"/>
    </xf>
    <xf numFmtId="179" fontId="2" fillId="0" borderId="70" xfId="0" applyNumberFormat="1" applyFont="1" applyFill="1" applyBorder="1">
      <alignment vertical="center"/>
    </xf>
    <xf numFmtId="179" fontId="2" fillId="0" borderId="10" xfId="0" applyNumberFormat="1" applyFont="1" applyBorder="1">
      <alignment vertical="center"/>
    </xf>
    <xf numFmtId="179" fontId="2" fillId="0" borderId="7" xfId="0" applyNumberFormat="1" applyFont="1" applyBorder="1">
      <alignment vertical="center"/>
    </xf>
    <xf numFmtId="179" fontId="2" fillId="5" borderId="9" xfId="0" applyNumberFormat="1" applyFont="1" applyFill="1" applyBorder="1" applyAlignment="1">
      <alignment horizontal="center" vertical="center"/>
    </xf>
    <xf numFmtId="179" fontId="2" fillId="4" borderId="5" xfId="0" applyNumberFormat="1" applyFont="1" applyFill="1" applyBorder="1">
      <alignment vertical="center"/>
    </xf>
    <xf numFmtId="179" fontId="4" fillId="0" borderId="5" xfId="0" applyNumberFormat="1" applyFont="1" applyBorder="1">
      <alignment vertical="center"/>
    </xf>
    <xf numFmtId="179" fontId="4" fillId="0" borderId="10" xfId="0" applyNumberFormat="1" applyFont="1" applyBorder="1">
      <alignment vertical="center"/>
    </xf>
    <xf numFmtId="179" fontId="4" fillId="0" borderId="7" xfId="0" applyNumberFormat="1" applyFont="1" applyBorder="1">
      <alignment vertical="center"/>
    </xf>
    <xf numFmtId="179" fontId="2" fillId="0" borderId="0" xfId="0" applyNumberFormat="1" applyFont="1">
      <alignment vertical="center"/>
    </xf>
    <xf numFmtId="179" fontId="4" fillId="0" borderId="5" xfId="0" applyNumberFormat="1" applyFont="1" applyFill="1" applyBorder="1">
      <alignment vertical="center"/>
    </xf>
    <xf numFmtId="179" fontId="4" fillId="0" borderId="35" xfId="0" applyNumberFormat="1" applyFont="1" applyBorder="1">
      <alignment vertical="center"/>
    </xf>
    <xf numFmtId="179" fontId="7" fillId="12" borderId="35" xfId="0" applyNumberFormat="1" applyFont="1" applyFill="1" applyBorder="1">
      <alignment vertical="center"/>
    </xf>
    <xf numFmtId="179" fontId="7" fillId="0" borderId="5" xfId="0" applyNumberFormat="1" applyFont="1" applyBorder="1">
      <alignment vertical="center"/>
    </xf>
    <xf numFmtId="179" fontId="4" fillId="0" borderId="0" xfId="0" applyNumberFormat="1" applyFont="1" applyBorder="1">
      <alignment vertical="center"/>
    </xf>
    <xf numFmtId="179" fontId="2" fillId="5" borderId="3" xfId="0" applyNumberFormat="1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left" vertical="top" wrapText="1"/>
    </xf>
    <xf numFmtId="199" fontId="14" fillId="0" borderId="5" xfId="0" applyNumberFormat="1" applyFont="1" applyBorder="1">
      <alignment vertical="center"/>
    </xf>
    <xf numFmtId="179" fontId="14" fillId="0" borderId="5" xfId="0" applyNumberFormat="1" applyFont="1" applyBorder="1">
      <alignment vertical="center"/>
    </xf>
    <xf numFmtId="199" fontId="14" fillId="4" borderId="5" xfId="0" applyNumberFormat="1" applyFont="1" applyFill="1" applyBorder="1">
      <alignment vertical="center"/>
    </xf>
    <xf numFmtId="179" fontId="14" fillId="4" borderId="5" xfId="0" applyNumberFormat="1" applyFont="1" applyFill="1" applyBorder="1">
      <alignment vertical="center"/>
    </xf>
    <xf numFmtId="179" fontId="4" fillId="0" borderId="23" xfId="0" applyNumberFormat="1" applyFont="1" applyBorder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justify" vertical="top" wrapText="1"/>
    </xf>
    <xf numFmtId="0" fontId="4" fillId="0" borderId="15" xfId="0" applyFont="1" applyBorder="1" applyAlignment="1">
      <alignment horizontal="justify" vertical="top" wrapText="1"/>
    </xf>
    <xf numFmtId="176" fontId="4" fillId="0" borderId="16" xfId="0" applyNumberFormat="1" applyFont="1" applyFill="1" applyBorder="1">
      <alignment vertical="center"/>
    </xf>
    <xf numFmtId="177" fontId="4" fillId="0" borderId="18" xfId="0" applyNumberFormat="1" applyFont="1" applyFill="1" applyBorder="1">
      <alignment vertical="center"/>
    </xf>
    <xf numFmtId="0" fontId="4" fillId="0" borderId="6" xfId="0" applyFont="1" applyFill="1" applyBorder="1" applyAlignment="1">
      <alignment horizontal="justify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90" fontId="2" fillId="0" borderId="5" xfId="0" applyNumberFormat="1" applyFont="1" applyBorder="1">
      <alignment vertical="center"/>
    </xf>
    <xf numFmtId="176" fontId="4" fillId="6" borderId="7" xfId="0" applyNumberFormat="1" applyFont="1" applyFill="1" applyBorder="1">
      <alignment vertical="center"/>
    </xf>
    <xf numFmtId="199" fontId="2" fillId="0" borderId="7" xfId="0" applyNumberFormat="1" applyFont="1" applyBorder="1">
      <alignment vertical="center"/>
    </xf>
    <xf numFmtId="200" fontId="2" fillId="0" borderId="0" xfId="0" applyNumberFormat="1" applyFont="1">
      <alignment vertical="center"/>
    </xf>
    <xf numFmtId="0" fontId="2" fillId="16" borderId="35" xfId="0" applyFont="1" applyFill="1" applyBorder="1">
      <alignment vertical="center"/>
    </xf>
    <xf numFmtId="0" fontId="2" fillId="16" borderId="37" xfId="0" applyFont="1" applyFill="1" applyBorder="1">
      <alignment vertical="center"/>
    </xf>
    <xf numFmtId="0" fontId="2" fillId="16" borderId="36" xfId="0" applyFont="1" applyFill="1" applyBorder="1">
      <alignment vertical="center"/>
    </xf>
    <xf numFmtId="0" fontId="2" fillId="16" borderId="94" xfId="0" applyFont="1" applyFill="1" applyBorder="1">
      <alignment vertical="center"/>
    </xf>
    <xf numFmtId="0" fontId="15" fillId="13" borderId="5" xfId="0" applyFont="1" applyFill="1" applyBorder="1" applyAlignment="1">
      <alignment horizontal="center" vertical="center" wrapText="1"/>
    </xf>
    <xf numFmtId="0" fontId="16" fillId="14" borderId="33" xfId="0" applyFont="1" applyFill="1" applyBorder="1" applyAlignment="1">
      <alignment vertical="center" wrapText="1"/>
    </xf>
    <xf numFmtId="0" fontId="16" fillId="14" borderId="5" xfId="0" applyFont="1" applyFill="1" applyBorder="1" applyAlignment="1">
      <alignment horizontal="right" vertical="center" wrapText="1"/>
    </xf>
    <xf numFmtId="0" fontId="16" fillId="14" borderId="5" xfId="0" applyFont="1" applyFill="1" applyBorder="1" applyAlignment="1">
      <alignment vertical="center" wrapText="1"/>
    </xf>
    <xf numFmtId="0" fontId="16" fillId="15" borderId="5" xfId="0" applyFont="1" applyFill="1" applyBorder="1" applyAlignment="1">
      <alignment vertical="center" wrapText="1"/>
    </xf>
    <xf numFmtId="0" fontId="2" fillId="14" borderId="5" xfId="0" applyFont="1" applyFill="1" applyBorder="1">
      <alignment vertical="center"/>
    </xf>
    <xf numFmtId="0" fontId="16" fillId="14" borderId="38" xfId="0" applyFont="1" applyFill="1" applyBorder="1" applyAlignment="1">
      <alignment vertical="center" wrapText="1"/>
    </xf>
    <xf numFmtId="0" fontId="16" fillId="14" borderId="7" xfId="0" applyFont="1" applyFill="1" applyBorder="1" applyAlignment="1">
      <alignment horizontal="right" vertical="center" wrapText="1"/>
    </xf>
    <xf numFmtId="0" fontId="16" fillId="14" borderId="7" xfId="0" applyFont="1" applyFill="1" applyBorder="1" applyAlignment="1">
      <alignment vertical="center" wrapText="1"/>
    </xf>
    <xf numFmtId="0" fontId="16" fillId="15" borderId="7" xfId="0" applyFont="1" applyFill="1" applyBorder="1" applyAlignment="1">
      <alignment vertical="center" wrapText="1"/>
    </xf>
    <xf numFmtId="0" fontId="2" fillId="14" borderId="7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2" fillId="0" borderId="0" xfId="1" applyFont="1">
      <alignment vertical="center"/>
    </xf>
    <xf numFmtId="0" fontId="2" fillId="0" borderId="0" xfId="0" quotePrefix="1" applyFont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8" fillId="10" borderId="63" xfId="0" applyFont="1" applyFill="1" applyBorder="1" applyAlignment="1">
      <alignment vertical="center" wrapText="1"/>
    </xf>
    <xf numFmtId="0" fontId="2" fillId="0" borderId="63" xfId="0" applyFont="1" applyBorder="1">
      <alignment vertical="center"/>
    </xf>
    <xf numFmtId="0" fontId="2" fillId="0" borderId="63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 wrapText="1"/>
    </xf>
    <xf numFmtId="0" fontId="18" fillId="10" borderId="1" xfId="0" applyFont="1" applyFill="1" applyBorder="1" applyAlignment="1">
      <alignment vertical="center" wrapText="1"/>
    </xf>
    <xf numFmtId="0" fontId="2" fillId="0" borderId="61" xfId="0" applyFont="1" applyBorder="1" applyAlignment="1">
      <alignment vertical="center" wrapText="1"/>
    </xf>
    <xf numFmtId="0" fontId="2" fillId="0" borderId="55" xfId="0" applyFont="1" applyBorder="1" applyAlignment="1">
      <alignment vertical="center" wrapText="1"/>
    </xf>
    <xf numFmtId="0" fontId="18" fillId="10" borderId="47" xfId="0" applyFont="1" applyFill="1" applyBorder="1" applyAlignment="1">
      <alignment vertical="center" wrapText="1"/>
    </xf>
    <xf numFmtId="0" fontId="2" fillId="0" borderId="42" xfId="0" quotePrefix="1" applyFont="1" applyBorder="1">
      <alignment vertical="center"/>
    </xf>
    <xf numFmtId="0" fontId="19" fillId="10" borderId="47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23" fillId="10" borderId="1" xfId="0" applyFont="1" applyFill="1" applyBorder="1" applyAlignment="1">
      <alignment vertical="center" wrapText="1"/>
    </xf>
    <xf numFmtId="0" fontId="2" fillId="0" borderId="40" xfId="0" quotePrefix="1" applyFont="1" applyBorder="1" applyAlignment="1">
      <alignment vertical="center" wrapText="1"/>
    </xf>
    <xf numFmtId="0" fontId="19" fillId="10" borderId="40" xfId="0" applyFont="1" applyFill="1" applyBorder="1" applyAlignment="1">
      <alignment vertical="center" wrapText="1"/>
    </xf>
    <xf numFmtId="0" fontId="18" fillId="10" borderId="40" xfId="0" applyFont="1" applyFill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19" fillId="10" borderId="1" xfId="0" applyFont="1" applyFill="1" applyBorder="1" applyAlignment="1">
      <alignment vertical="center" wrapText="1"/>
    </xf>
    <xf numFmtId="0" fontId="2" fillId="0" borderId="53" xfId="0" applyFont="1" applyBorder="1" applyAlignment="1">
      <alignment vertical="center" wrapText="1"/>
    </xf>
    <xf numFmtId="0" fontId="18" fillId="10" borderId="40" xfId="0" quotePrefix="1" applyFont="1" applyFill="1" applyBorder="1" applyAlignment="1">
      <alignment vertical="center" wrapText="1"/>
    </xf>
    <xf numFmtId="0" fontId="18" fillId="10" borderId="1" xfId="0" quotePrefix="1" applyFont="1" applyFill="1" applyBorder="1" applyAlignment="1">
      <alignment vertical="center" wrapText="1"/>
    </xf>
    <xf numFmtId="0" fontId="21" fillId="10" borderId="47" xfId="0" applyFont="1" applyFill="1" applyBorder="1" applyAlignment="1">
      <alignment vertical="center" wrapText="1"/>
    </xf>
    <xf numFmtId="0" fontId="21" fillId="10" borderId="40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0" borderId="40" xfId="0" applyFont="1" applyBorder="1" applyAlignment="1">
      <alignment horizontal="center" vertical="center"/>
    </xf>
    <xf numFmtId="0" fontId="18" fillId="10" borderId="58" xfId="0" applyFont="1" applyFill="1" applyBorder="1" applyAlignment="1">
      <alignment vertical="center" wrapText="1"/>
    </xf>
    <xf numFmtId="0" fontId="18" fillId="10" borderId="58" xfId="0" quotePrefix="1" applyFont="1" applyFill="1" applyBorder="1" applyAlignment="1">
      <alignment vertical="center" wrapText="1"/>
    </xf>
    <xf numFmtId="0" fontId="4" fillId="0" borderId="1" xfId="0" applyFont="1" applyBorder="1">
      <alignment vertical="center"/>
    </xf>
    <xf numFmtId="0" fontId="27" fillId="0" borderId="1" xfId="0" quotePrefix="1" applyFont="1" applyBorder="1">
      <alignment vertical="center"/>
    </xf>
    <xf numFmtId="0" fontId="4" fillId="0" borderId="1" xfId="0" quotePrefix="1" applyFont="1" applyBorder="1">
      <alignment vertical="center"/>
    </xf>
    <xf numFmtId="0" fontId="2" fillId="0" borderId="61" xfId="0" quotePrefix="1" applyFont="1" applyBorder="1" applyAlignment="1">
      <alignment vertical="center" wrapText="1"/>
    </xf>
    <xf numFmtId="0" fontId="18" fillId="10" borderId="52" xfId="0" applyFont="1" applyFill="1" applyBorder="1" applyAlignment="1">
      <alignment vertical="center" wrapText="1"/>
    </xf>
    <xf numFmtId="0" fontId="18" fillId="10" borderId="52" xfId="0" quotePrefix="1" applyFont="1" applyFill="1" applyBorder="1" applyAlignment="1">
      <alignment vertical="center" wrapText="1"/>
    </xf>
    <xf numFmtId="0" fontId="27" fillId="0" borderId="52" xfId="0" quotePrefix="1" applyFont="1" applyBorder="1">
      <alignment vertical="center"/>
    </xf>
    <xf numFmtId="0" fontId="2" fillId="0" borderId="52" xfId="0" quotePrefix="1" applyFont="1" applyBorder="1">
      <alignment vertical="center"/>
    </xf>
    <xf numFmtId="0" fontId="2" fillId="0" borderId="52" xfId="0" applyFont="1" applyBorder="1" applyAlignment="1">
      <alignment horizontal="center" vertical="center"/>
    </xf>
    <xf numFmtId="0" fontId="2" fillId="0" borderId="51" xfId="0" applyFont="1" applyBorder="1" applyAlignment="1">
      <alignment vertical="center" wrapText="1"/>
    </xf>
    <xf numFmtId="0" fontId="18" fillId="8" borderId="47" xfId="0" applyFont="1" applyFill="1" applyBorder="1" applyAlignment="1">
      <alignment vertical="center" wrapText="1"/>
    </xf>
    <xf numFmtId="0" fontId="2" fillId="8" borderId="42" xfId="0" quotePrefix="1" applyFont="1" applyFill="1" applyBorder="1">
      <alignment vertical="center"/>
    </xf>
    <xf numFmtId="0" fontId="19" fillId="8" borderId="47" xfId="0" applyFont="1" applyFill="1" applyBorder="1" applyAlignment="1">
      <alignment vertical="center" wrapText="1"/>
    </xf>
    <xf numFmtId="0" fontId="2" fillId="9" borderId="42" xfId="0" applyFont="1" applyFill="1" applyBorder="1" applyAlignment="1">
      <alignment horizontal="center" vertical="center"/>
    </xf>
    <xf numFmtId="0" fontId="18" fillId="8" borderId="40" xfId="0" applyFont="1" applyFill="1" applyBorder="1" applyAlignment="1">
      <alignment vertical="center" wrapText="1"/>
    </xf>
    <xf numFmtId="0" fontId="2" fillId="8" borderId="40" xfId="0" quotePrefix="1" applyFont="1" applyFill="1" applyBorder="1">
      <alignment vertical="center"/>
    </xf>
    <xf numFmtId="0" fontId="2" fillId="9" borderId="40" xfId="0" applyFont="1" applyFill="1" applyBorder="1" applyAlignment="1">
      <alignment horizontal="center" vertical="center"/>
    </xf>
    <xf numFmtId="0" fontId="18" fillId="8" borderId="42" xfId="0" applyFont="1" applyFill="1" applyBorder="1" applyAlignment="1">
      <alignment vertical="center" wrapText="1"/>
    </xf>
    <xf numFmtId="0" fontId="2" fillId="8" borderId="42" xfId="0" applyFont="1" applyFill="1" applyBorder="1">
      <alignment vertical="center"/>
    </xf>
    <xf numFmtId="0" fontId="2" fillId="8" borderId="1" xfId="0" quotePrefix="1" applyFont="1" applyFill="1" applyBorder="1">
      <alignment vertical="center"/>
    </xf>
    <xf numFmtId="0" fontId="19" fillId="8" borderId="40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vertical="center" wrapText="1"/>
    </xf>
    <xf numFmtId="0" fontId="19" fillId="8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horizontal="left" vertical="top" wrapText="1"/>
    </xf>
    <xf numFmtId="0" fontId="2" fillId="0" borderId="96" xfId="0" applyFont="1" applyBorder="1">
      <alignment vertical="center"/>
    </xf>
    <xf numFmtId="176" fontId="2" fillId="0" borderId="96" xfId="0" applyNumberFormat="1" applyFont="1" applyBorder="1">
      <alignment vertical="center"/>
    </xf>
    <xf numFmtId="176" fontId="4" fillId="0" borderId="96" xfId="0" applyNumberFormat="1" applyFont="1" applyBorder="1">
      <alignment vertical="center"/>
    </xf>
    <xf numFmtId="0" fontId="4" fillId="0" borderId="96" xfId="0" applyFont="1" applyBorder="1">
      <alignment vertical="center"/>
    </xf>
    <xf numFmtId="178" fontId="2" fillId="0" borderId="96" xfId="0" applyNumberFormat="1" applyFont="1" applyBorder="1">
      <alignment vertical="center"/>
    </xf>
    <xf numFmtId="179" fontId="2" fillId="0" borderId="96" xfId="0" applyNumberFormat="1" applyFont="1" applyBorder="1" applyAlignment="1">
      <alignment horizontal="center" vertical="center"/>
    </xf>
    <xf numFmtId="179" fontId="2" fillId="0" borderId="97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right" vertical="top" wrapText="1"/>
    </xf>
    <xf numFmtId="0" fontId="2" fillId="0" borderId="33" xfId="0" applyFont="1" applyFill="1" applyBorder="1">
      <alignment vertical="center"/>
    </xf>
    <xf numFmtId="0" fontId="2" fillId="0" borderId="68" xfId="0" applyFont="1" applyBorder="1">
      <alignment vertical="center"/>
    </xf>
    <xf numFmtId="176" fontId="2" fillId="0" borderId="68" xfId="0" applyNumberFormat="1" applyFont="1" applyBorder="1">
      <alignment vertical="center"/>
    </xf>
    <xf numFmtId="176" fontId="4" fillId="0" borderId="68" xfId="0" applyNumberFormat="1" applyFont="1" applyBorder="1">
      <alignment vertical="center"/>
    </xf>
    <xf numFmtId="179" fontId="4" fillId="0" borderId="68" xfId="0" applyNumberFormat="1" applyFont="1" applyBorder="1">
      <alignment vertical="center"/>
    </xf>
    <xf numFmtId="0" fontId="4" fillId="0" borderId="68" xfId="0" applyFont="1" applyBorder="1">
      <alignment vertical="center"/>
    </xf>
    <xf numFmtId="178" fontId="2" fillId="0" borderId="68" xfId="0" applyNumberFormat="1" applyFont="1" applyBorder="1">
      <alignment vertical="center"/>
    </xf>
    <xf numFmtId="178" fontId="2" fillId="0" borderId="83" xfId="0" applyNumberFormat="1" applyFont="1" applyBorder="1">
      <alignment vertical="center"/>
    </xf>
    <xf numFmtId="0" fontId="2" fillId="0" borderId="98" xfId="0" applyFont="1" applyBorder="1">
      <alignment vertical="center"/>
    </xf>
    <xf numFmtId="0" fontId="2" fillId="0" borderId="67" xfId="0" applyFont="1" applyBorder="1">
      <alignment vertical="center"/>
    </xf>
    <xf numFmtId="176" fontId="2" fillId="0" borderId="67" xfId="0" applyNumberFormat="1" applyFont="1" applyBorder="1">
      <alignment vertical="center"/>
    </xf>
    <xf numFmtId="176" fontId="4" fillId="0" borderId="10" xfId="0" applyNumberFormat="1" applyFont="1" applyFill="1" applyBorder="1">
      <alignment vertical="center"/>
    </xf>
    <xf numFmtId="201" fontId="2" fillId="0" borderId="0" xfId="0" applyNumberFormat="1" applyFont="1" applyAlignment="1">
      <alignment horizontal="center" vertical="center"/>
    </xf>
    <xf numFmtId="201" fontId="2" fillId="0" borderId="6" xfId="0" applyNumberFormat="1" applyFont="1" applyBorder="1" applyAlignment="1">
      <alignment horizontal="center" vertical="center"/>
    </xf>
    <xf numFmtId="201" fontId="2" fillId="0" borderId="6" xfId="0" quotePrefix="1" applyNumberFormat="1" applyFont="1" applyBorder="1" applyAlignment="1">
      <alignment horizontal="center" vertical="center"/>
    </xf>
    <xf numFmtId="201" fontId="2" fillId="0" borderId="8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right" vertical="center" wrapText="1"/>
    </xf>
    <xf numFmtId="205" fontId="2" fillId="0" borderId="33" xfId="0" applyNumberFormat="1" applyFont="1" applyBorder="1" applyAlignment="1">
      <alignment horizontal="right" vertical="center" wrapText="1"/>
    </xf>
    <xf numFmtId="204" fontId="2" fillId="0" borderId="33" xfId="0" applyNumberFormat="1" applyFont="1" applyBorder="1" applyAlignment="1">
      <alignment horizontal="right" vertical="center" wrapText="1"/>
    </xf>
    <xf numFmtId="183" fontId="2" fillId="0" borderId="7" xfId="0" applyNumberFormat="1" applyFont="1" applyBorder="1">
      <alignment vertical="center"/>
    </xf>
    <xf numFmtId="0" fontId="2" fillId="0" borderId="99" xfId="0" applyFont="1" applyBorder="1">
      <alignment vertical="center"/>
    </xf>
    <xf numFmtId="0" fontId="2" fillId="0" borderId="69" xfId="0" applyFont="1" applyBorder="1">
      <alignment vertical="center"/>
    </xf>
    <xf numFmtId="0" fontId="2" fillId="0" borderId="100" xfId="0" applyFont="1" applyBorder="1">
      <alignment vertical="center"/>
    </xf>
    <xf numFmtId="186" fontId="2" fillId="0" borderId="72" xfId="0" applyNumberFormat="1" applyFont="1" applyBorder="1">
      <alignment vertical="center"/>
    </xf>
    <xf numFmtId="183" fontId="2" fillId="0" borderId="16" xfId="0" applyNumberFormat="1" applyFont="1" applyBorder="1">
      <alignment vertical="center"/>
    </xf>
    <xf numFmtId="185" fontId="2" fillId="0" borderId="71" xfId="0" applyNumberFormat="1" applyFont="1" applyBorder="1">
      <alignment vertical="center"/>
    </xf>
    <xf numFmtId="186" fontId="2" fillId="0" borderId="32" xfId="0" applyNumberFormat="1" applyFont="1" applyBorder="1">
      <alignment vertical="center"/>
    </xf>
    <xf numFmtId="183" fontId="2" fillId="0" borderId="4" xfId="0" quotePrefix="1" applyNumberFormat="1" applyFont="1" applyBorder="1" applyAlignment="1">
      <alignment horizontal="center" vertical="center"/>
    </xf>
    <xf numFmtId="183" fontId="2" fillId="0" borderId="6" xfId="0" quotePrefix="1" applyNumberFormat="1" applyFont="1" applyBorder="1" applyAlignment="1">
      <alignment horizontal="center" vertical="center"/>
    </xf>
    <xf numFmtId="183" fontId="2" fillId="0" borderId="33" xfId="0" applyNumberFormat="1" applyFont="1" applyBorder="1">
      <alignment vertical="center"/>
    </xf>
    <xf numFmtId="183" fontId="2" fillId="0" borderId="6" xfId="0" applyNumberFormat="1" applyFont="1" applyBorder="1" applyAlignment="1">
      <alignment horizontal="center" vertical="center"/>
    </xf>
    <xf numFmtId="202" fontId="2" fillId="0" borderId="38" xfId="0" applyNumberFormat="1" applyFont="1" applyBorder="1">
      <alignment vertical="center"/>
    </xf>
    <xf numFmtId="183" fontId="2" fillId="0" borderId="8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83" fontId="2" fillId="0" borderId="20" xfId="0" applyNumberFormat="1" applyFont="1" applyBorder="1" applyAlignment="1">
      <alignment horizontal="center" vertical="center"/>
    </xf>
    <xf numFmtId="201" fontId="2" fillId="0" borderId="75" xfId="0" applyNumberFormat="1" applyFont="1" applyBorder="1" applyAlignment="1">
      <alignment horizontal="center" vertical="center"/>
    </xf>
    <xf numFmtId="201" fontId="2" fillId="0" borderId="76" xfId="0" applyNumberFormat="1" applyFont="1" applyBorder="1" applyAlignment="1">
      <alignment horizontal="center" vertical="center"/>
    </xf>
    <xf numFmtId="201" fontId="2" fillId="0" borderId="76" xfId="0" quotePrefix="1" applyNumberFormat="1" applyFont="1" applyBorder="1" applyAlignment="1">
      <alignment horizontal="center" vertical="center"/>
    </xf>
    <xf numFmtId="201" fontId="2" fillId="0" borderId="77" xfId="0" applyNumberFormat="1" applyFont="1" applyBorder="1" applyAlignment="1">
      <alignment horizontal="center" vertical="center"/>
    </xf>
    <xf numFmtId="188" fontId="2" fillId="0" borderId="32" xfId="0" applyNumberFormat="1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90" fontId="2" fillId="0" borderId="38" xfId="0" applyNumberFormat="1" applyFont="1" applyBorder="1">
      <alignment vertical="center"/>
    </xf>
    <xf numFmtId="0" fontId="2" fillId="0" borderId="66" xfId="0" applyFont="1" applyBorder="1" applyAlignment="1">
      <alignment horizontal="right" vertical="center"/>
    </xf>
    <xf numFmtId="183" fontId="2" fillId="0" borderId="9" xfId="0" applyNumberFormat="1" applyFont="1" applyBorder="1">
      <alignment vertical="center"/>
    </xf>
    <xf numFmtId="186" fontId="2" fillId="0" borderId="9" xfId="0" applyNumberFormat="1" applyFont="1" applyBorder="1">
      <alignment vertical="center"/>
    </xf>
    <xf numFmtId="201" fontId="2" fillId="0" borderId="44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 wrapText="1" shrinkToFit="1"/>
    </xf>
    <xf numFmtId="201" fontId="2" fillId="0" borderId="25" xfId="0" applyNumberFormat="1" applyFont="1" applyBorder="1" applyAlignment="1">
      <alignment horizontal="center" vertical="center"/>
    </xf>
    <xf numFmtId="183" fontId="30" fillId="0" borderId="9" xfId="1" applyNumberFormat="1" applyFont="1" applyBorder="1">
      <alignment vertical="center"/>
    </xf>
    <xf numFmtId="203" fontId="2" fillId="0" borderId="38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18" fillId="10" borderId="40" xfId="0" applyFont="1" applyFill="1" applyBorder="1" applyAlignment="1">
      <alignment vertical="center" wrapText="1"/>
    </xf>
    <xf numFmtId="0" fontId="31" fillId="0" borderId="0" xfId="0" applyFont="1">
      <alignment vertical="center"/>
    </xf>
    <xf numFmtId="0" fontId="31" fillId="0" borderId="0" xfId="0" quotePrefix="1" applyFont="1">
      <alignment vertical="center"/>
    </xf>
    <xf numFmtId="0" fontId="31" fillId="0" borderId="0" xfId="0" applyFont="1" applyBorder="1" applyAlignment="1">
      <alignment horizontal="center" vertical="center"/>
    </xf>
    <xf numFmtId="206" fontId="31" fillId="12" borderId="0" xfId="0" quotePrefix="1" applyNumberFormat="1" applyFont="1" applyFill="1" applyBorder="1" applyAlignment="1">
      <alignment horizontal="center" vertical="center"/>
    </xf>
    <xf numFmtId="206" fontId="31" fillId="0" borderId="0" xfId="0" quotePrefix="1" applyNumberFormat="1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31" fillId="0" borderId="0" xfId="0" applyFont="1" applyBorder="1" applyAlignment="1">
      <alignment horizontal="center" vertical="center" shrinkToFit="1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0" fontId="2" fillId="0" borderId="5" xfId="0" applyFont="1" applyBorder="1" applyAlignment="1">
      <alignment horizontal="left" vertical="top" wrapText="1"/>
    </xf>
    <xf numFmtId="0" fontId="12" fillId="12" borderId="0" xfId="0" applyFont="1" applyFill="1" applyBorder="1" applyAlignment="1">
      <alignment horizontal="right" vertical="center"/>
    </xf>
    <xf numFmtId="0" fontId="12" fillId="12" borderId="0" xfId="0" applyFont="1" applyFill="1" applyBorder="1">
      <alignment vertical="center"/>
    </xf>
    <xf numFmtId="0" fontId="12" fillId="0" borderId="0" xfId="0" applyFont="1" applyBorder="1" applyAlignment="1">
      <alignment horizontal="right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201" fontId="2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207" fontId="2" fillId="0" borderId="18" xfId="0" applyNumberFormat="1" applyFont="1" applyBorder="1">
      <alignment vertical="center"/>
    </xf>
    <xf numFmtId="188" fontId="2" fillId="0" borderId="18" xfId="0" applyNumberFormat="1" applyFont="1" applyBorder="1">
      <alignment vertical="center"/>
    </xf>
    <xf numFmtId="208" fontId="2" fillId="0" borderId="16" xfId="0" applyNumberFormat="1" applyFont="1" applyBorder="1" applyAlignment="1">
      <alignment horizontal="left" vertical="center"/>
    </xf>
    <xf numFmtId="0" fontId="2" fillId="16" borderId="5" xfId="0" applyFont="1" applyFill="1" applyBorder="1" applyAlignment="1">
      <alignment horizontal="center" vertical="center"/>
    </xf>
    <xf numFmtId="208" fontId="2" fillId="0" borderId="5" xfId="0" applyNumberFormat="1" applyFont="1" applyBorder="1" applyAlignment="1">
      <alignment horizontal="right" vertical="center"/>
    </xf>
    <xf numFmtId="0" fontId="2" fillId="5" borderId="5" xfId="0" applyFont="1" applyFill="1" applyBorder="1" applyAlignment="1">
      <alignment horizontal="center" vertical="center"/>
    </xf>
    <xf numFmtId="0" fontId="37" fillId="0" borderId="0" xfId="0" applyFont="1">
      <alignment vertical="center"/>
    </xf>
    <xf numFmtId="0" fontId="38" fillId="0" borderId="0" xfId="0" applyFont="1" applyAlignment="1">
      <alignment horizontal="right" vertical="center"/>
    </xf>
    <xf numFmtId="0" fontId="38" fillId="0" borderId="0" xfId="0" applyFont="1">
      <alignment vertical="center"/>
    </xf>
    <xf numFmtId="0" fontId="39" fillId="0" borderId="0" xfId="1" applyFont="1">
      <alignment vertical="center"/>
    </xf>
    <xf numFmtId="0" fontId="40" fillId="0" borderId="0" xfId="0" applyFont="1">
      <alignment vertical="center"/>
    </xf>
    <xf numFmtId="0" fontId="12" fillId="0" borderId="0" xfId="0" applyFont="1">
      <alignment vertical="center"/>
    </xf>
    <xf numFmtId="209" fontId="2" fillId="0" borderId="5" xfId="0" applyNumberFormat="1" applyFont="1" applyBorder="1" applyAlignment="1">
      <alignment horizontal="left" vertical="center"/>
    </xf>
    <xf numFmtId="210" fontId="2" fillId="6" borderId="27" xfId="0" applyNumberFormat="1" applyFont="1" applyFill="1" applyBorder="1">
      <alignment vertical="center"/>
    </xf>
    <xf numFmtId="211" fontId="2" fillId="6" borderId="27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188" fontId="2" fillId="0" borderId="0" xfId="0" applyNumberFormat="1" applyFont="1">
      <alignment vertical="center"/>
    </xf>
    <xf numFmtId="185" fontId="2" fillId="0" borderId="0" xfId="0" applyNumberFormat="1" applyFont="1">
      <alignment vertical="center"/>
    </xf>
    <xf numFmtId="185" fontId="2" fillId="0" borderId="0" xfId="0" applyNumberFormat="1" applyFont="1" applyBorder="1">
      <alignment vertical="center"/>
    </xf>
    <xf numFmtId="182" fontId="2" fillId="0" borderId="10" xfId="0" applyNumberFormat="1" applyFont="1" applyBorder="1">
      <alignment vertical="center"/>
    </xf>
    <xf numFmtId="183" fontId="2" fillId="0" borderId="10" xfId="0" applyNumberFormat="1" applyFont="1" applyBorder="1">
      <alignment vertical="center"/>
    </xf>
    <xf numFmtId="185" fontId="2" fillId="0" borderId="10" xfId="0" applyNumberFormat="1" applyFont="1" applyBorder="1">
      <alignment vertical="center"/>
    </xf>
    <xf numFmtId="182" fontId="2" fillId="0" borderId="9" xfId="0" applyNumberFormat="1" applyFont="1" applyBorder="1">
      <alignment vertical="center"/>
    </xf>
    <xf numFmtId="185" fontId="2" fillId="0" borderId="9" xfId="0" applyNumberFormat="1" applyFont="1" applyBorder="1">
      <alignment vertical="center"/>
    </xf>
    <xf numFmtId="0" fontId="2" fillId="0" borderId="101" xfId="0" applyFont="1" applyBorder="1">
      <alignment vertical="center"/>
    </xf>
    <xf numFmtId="182" fontId="2" fillId="0" borderId="101" xfId="0" applyNumberFormat="1" applyFont="1" applyBorder="1">
      <alignment vertical="center"/>
    </xf>
    <xf numFmtId="183" fontId="2" fillId="0" borderId="101" xfId="0" applyNumberFormat="1" applyFont="1" applyBorder="1">
      <alignment vertical="center"/>
    </xf>
    <xf numFmtId="185" fontId="2" fillId="0" borderId="101" xfId="0" applyNumberFormat="1" applyFont="1" applyBorder="1">
      <alignment vertical="center"/>
    </xf>
    <xf numFmtId="187" fontId="2" fillId="0" borderId="5" xfId="0" applyNumberFormat="1" applyFont="1" applyBorder="1">
      <alignment vertical="center"/>
    </xf>
    <xf numFmtId="187" fontId="2" fillId="0" borderId="10" xfId="0" applyNumberFormat="1" applyFont="1" applyBorder="1">
      <alignment vertical="center"/>
    </xf>
    <xf numFmtId="187" fontId="2" fillId="0" borderId="101" xfId="0" applyNumberFormat="1" applyFont="1" applyBorder="1">
      <alignment vertical="center"/>
    </xf>
    <xf numFmtId="187" fontId="2" fillId="0" borderId="9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176" fontId="41" fillId="0" borderId="0" xfId="1" applyNumberFormat="1" applyFont="1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12" fontId="2" fillId="0" borderId="0" xfId="0" applyNumberFormat="1" applyFont="1" applyAlignment="1">
      <alignment vertical="center"/>
    </xf>
    <xf numFmtId="0" fontId="2" fillId="8" borderId="40" xfId="0" quotePrefix="1" applyFont="1" applyFill="1" applyBorder="1" applyAlignment="1">
      <alignment horizontal="left" vertical="center"/>
    </xf>
    <xf numFmtId="0" fontId="2" fillId="9" borderId="40" xfId="0" applyFont="1" applyFill="1" applyBorder="1" applyAlignment="1">
      <alignment horizontal="center" vertical="center"/>
    </xf>
    <xf numFmtId="0" fontId="19" fillId="8" borderId="40" xfId="0" applyFont="1" applyFill="1" applyBorder="1" applyAlignment="1">
      <alignment vertical="center" wrapText="1"/>
    </xf>
    <xf numFmtId="0" fontId="18" fillId="8" borderId="40" xfId="0" applyFont="1" applyFill="1" applyBorder="1" applyAlignment="1">
      <alignment vertical="center" wrapText="1"/>
    </xf>
    <xf numFmtId="0" fontId="19" fillId="10" borderId="40" xfId="0" applyFont="1" applyFill="1" applyBorder="1" applyAlignment="1">
      <alignment vertical="center" wrapText="1"/>
    </xf>
    <xf numFmtId="0" fontId="2" fillId="0" borderId="53" xfId="0" quotePrefix="1" applyFont="1" applyBorder="1" applyAlignment="1">
      <alignment vertical="center" wrapText="1"/>
    </xf>
    <xf numFmtId="0" fontId="18" fillId="10" borderId="40" xfId="0" applyFont="1" applyFill="1" applyBorder="1" applyAlignment="1">
      <alignment vertical="center" wrapText="1"/>
    </xf>
    <xf numFmtId="0" fontId="4" fillId="2" borderId="5" xfId="0" applyNumberFormat="1" applyFont="1" applyFill="1" applyBorder="1">
      <alignment vertical="center"/>
    </xf>
    <xf numFmtId="176" fontId="2" fillId="17" borderId="5" xfId="0" applyNumberFormat="1" applyFont="1" applyFill="1" applyBorder="1">
      <alignment vertical="center"/>
    </xf>
    <xf numFmtId="0" fontId="19" fillId="10" borderId="58" xfId="0" applyFont="1" applyFill="1" applyBorder="1" applyAlignment="1">
      <alignment vertical="center" wrapText="1"/>
    </xf>
    <xf numFmtId="0" fontId="43" fillId="0" borderId="0" xfId="2" applyFont="1" applyAlignment="1">
      <alignment horizontal="left" vertical="top"/>
    </xf>
    <xf numFmtId="0" fontId="44" fillId="0" borderId="0" xfId="2" applyFont="1" applyAlignment="1">
      <alignment horizontal="left" vertical="center"/>
    </xf>
    <xf numFmtId="0" fontId="43" fillId="0" borderId="0" xfId="2" applyFont="1" applyAlignment="1">
      <alignment horizontal="right" vertical="center"/>
    </xf>
    <xf numFmtId="0" fontId="45" fillId="0" borderId="0" xfId="2" applyFont="1" applyAlignment="1">
      <alignment horizontal="left" vertical="center"/>
    </xf>
    <xf numFmtId="0" fontId="43" fillId="0" borderId="95" xfId="2" applyFont="1" applyBorder="1" applyAlignment="1">
      <alignment horizontal="right" vertical="center"/>
    </xf>
    <xf numFmtId="0" fontId="46" fillId="0" borderId="95" xfId="2" applyFont="1" applyBorder="1" applyAlignment="1">
      <alignment horizontal="center" vertical="center"/>
    </xf>
    <xf numFmtId="0" fontId="43" fillId="0" borderId="95" xfId="2" applyFont="1" applyBorder="1" applyAlignment="1">
      <alignment horizontal="left" vertical="top"/>
    </xf>
    <xf numFmtId="0" fontId="43" fillId="0" borderId="102" xfId="2" applyFont="1" applyBorder="1" applyAlignment="1">
      <alignment horizontal="right" vertical="center"/>
    </xf>
    <xf numFmtId="0" fontId="46" fillId="0" borderId="102" xfId="2" applyFont="1" applyBorder="1" applyAlignment="1">
      <alignment horizontal="center" vertical="center"/>
    </xf>
    <xf numFmtId="0" fontId="43" fillId="0" borderId="102" xfId="2" applyFont="1" applyBorder="1" applyAlignment="1">
      <alignment horizontal="left" vertical="top"/>
    </xf>
    <xf numFmtId="0" fontId="43" fillId="0" borderId="0" xfId="2" applyFont="1" applyBorder="1" applyAlignment="1">
      <alignment horizontal="left" vertical="top"/>
    </xf>
    <xf numFmtId="0" fontId="46" fillId="0" borderId="0" xfId="2" applyFont="1" applyBorder="1" applyAlignment="1">
      <alignment horizontal="center" vertical="center"/>
    </xf>
    <xf numFmtId="0" fontId="46" fillId="0" borderId="0" xfId="2" quotePrefix="1" applyFont="1" applyBorder="1" applyAlignment="1">
      <alignment horizontal="center" vertical="center"/>
    </xf>
    <xf numFmtId="0" fontId="43" fillId="0" borderId="0" xfId="2" applyFont="1" applyBorder="1" applyAlignment="1">
      <alignment horizontal="right" vertical="center"/>
    </xf>
    <xf numFmtId="0" fontId="46" fillId="0" borderId="0" xfId="2" applyFont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5" fillId="0" borderId="0" xfId="2" applyFont="1" applyAlignment="1">
      <alignment vertical="center" wrapText="1"/>
    </xf>
    <xf numFmtId="0" fontId="45" fillId="0" borderId="0" xfId="2" applyFont="1" applyAlignment="1">
      <alignment horizontal="center" vertical="top"/>
    </xf>
    <xf numFmtId="0" fontId="45" fillId="0" borderId="0" xfId="2" quotePrefix="1" applyFont="1" applyBorder="1" applyAlignment="1">
      <alignment vertical="center"/>
    </xf>
    <xf numFmtId="0" fontId="2" fillId="0" borderId="5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63" xfId="0" applyFont="1" applyBorder="1" applyAlignment="1">
      <alignment horizontal="center" vertical="center" shrinkToFit="1"/>
    </xf>
    <xf numFmtId="0" fontId="2" fillId="8" borderId="1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99" fontId="4" fillId="0" borderId="5" xfId="0" applyNumberFormat="1" applyFont="1" applyBorder="1">
      <alignment vertical="center"/>
    </xf>
    <xf numFmtId="190" fontId="2" fillId="0" borderId="29" xfId="0" applyNumberFormat="1" applyFont="1" applyBorder="1" applyAlignment="1">
      <alignment vertical="center"/>
    </xf>
    <xf numFmtId="190" fontId="2" fillId="0" borderId="1" xfId="0" applyNumberFormat="1" applyFont="1" applyBorder="1" applyAlignment="1">
      <alignment vertical="center"/>
    </xf>
    <xf numFmtId="0" fontId="18" fillId="8" borderId="40" xfId="0" applyFont="1" applyFill="1" applyBorder="1" applyAlignment="1">
      <alignment vertical="center" wrapText="1"/>
    </xf>
    <xf numFmtId="0" fontId="18" fillId="8" borderId="40" xfId="0" quotePrefix="1" applyFont="1" applyFill="1" applyBorder="1" applyAlignment="1">
      <alignment vertical="center" wrapText="1"/>
    </xf>
    <xf numFmtId="0" fontId="4" fillId="8" borderId="40" xfId="0" applyFont="1" applyFill="1" applyBorder="1">
      <alignment vertical="center"/>
    </xf>
    <xf numFmtId="0" fontId="2" fillId="8" borderId="40" xfId="0" applyFont="1" applyFill="1" applyBorder="1">
      <alignment vertical="center"/>
    </xf>
    <xf numFmtId="0" fontId="2" fillId="18" borderId="57" xfId="0" applyFont="1" applyFill="1" applyBorder="1">
      <alignment vertical="center"/>
    </xf>
    <xf numFmtId="0" fontId="2" fillId="18" borderId="57" xfId="0" quotePrefix="1" applyFont="1" applyFill="1" applyBorder="1">
      <alignment vertical="center"/>
    </xf>
    <xf numFmtId="0" fontId="2" fillId="18" borderId="57" xfId="0" applyFont="1" applyFill="1" applyBorder="1" applyAlignment="1">
      <alignment horizontal="center" vertical="center"/>
    </xf>
    <xf numFmtId="0" fontId="2" fillId="18" borderId="1" xfId="0" applyFont="1" applyFill="1" applyBorder="1">
      <alignment vertical="center"/>
    </xf>
    <xf numFmtId="0" fontId="2" fillId="18" borderId="1" xfId="0" quotePrefix="1" applyFont="1" applyFill="1" applyBorder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45" xfId="0" applyFont="1" applyFill="1" applyBorder="1">
      <alignment vertical="center"/>
    </xf>
    <xf numFmtId="0" fontId="2" fillId="18" borderId="45" xfId="0" quotePrefix="1" applyFont="1" applyFill="1" applyBorder="1">
      <alignment vertical="center"/>
    </xf>
    <xf numFmtId="0" fontId="18" fillId="18" borderId="45" xfId="0" applyFont="1" applyFill="1" applyBorder="1" applyAlignment="1">
      <alignment vertical="center" wrapText="1"/>
    </xf>
    <xf numFmtId="0" fontId="2" fillId="18" borderId="45" xfId="0" applyFont="1" applyFill="1" applyBorder="1" applyAlignment="1">
      <alignment horizontal="center" vertical="center"/>
    </xf>
    <xf numFmtId="0" fontId="2" fillId="18" borderId="104" xfId="0" applyFont="1" applyFill="1" applyBorder="1" applyAlignment="1">
      <alignment vertical="center" wrapText="1"/>
    </xf>
    <xf numFmtId="0" fontId="2" fillId="18" borderId="53" xfId="0" applyFont="1" applyFill="1" applyBorder="1" applyAlignment="1">
      <alignment vertical="center" wrapText="1"/>
    </xf>
    <xf numFmtId="0" fontId="2" fillId="18" borderId="107" xfId="0" applyFont="1" applyFill="1" applyBorder="1" applyAlignment="1">
      <alignment vertical="center" wrapText="1"/>
    </xf>
    <xf numFmtId="0" fontId="4" fillId="18" borderId="1" xfId="0" applyFont="1" applyFill="1" applyBorder="1">
      <alignment vertical="center"/>
    </xf>
    <xf numFmtId="0" fontId="19" fillId="18" borderId="45" xfId="0" applyFont="1" applyFill="1" applyBorder="1" applyAlignment="1">
      <alignment vertical="center" wrapText="1"/>
    </xf>
    <xf numFmtId="0" fontId="4" fillId="0" borderId="58" xfId="0" applyFont="1" applyBorder="1">
      <alignment vertical="center"/>
    </xf>
    <xf numFmtId="0" fontId="2" fillId="0" borderId="58" xfId="0" applyFont="1" applyBorder="1">
      <alignment vertical="center"/>
    </xf>
    <xf numFmtId="0" fontId="2" fillId="0" borderId="58" xfId="0" applyFont="1" applyBorder="1" applyAlignment="1">
      <alignment horizontal="center" vertical="center"/>
    </xf>
    <xf numFmtId="0" fontId="18" fillId="8" borderId="52" xfId="0" applyFont="1" applyFill="1" applyBorder="1" applyAlignment="1">
      <alignment horizontal="center" vertical="center" wrapText="1"/>
    </xf>
    <xf numFmtId="0" fontId="6" fillId="18" borderId="4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9" fontId="4" fillId="0" borderId="3" xfId="0" applyNumberFormat="1" applyFont="1" applyBorder="1">
      <alignment vertical="center"/>
    </xf>
    <xf numFmtId="0" fontId="2" fillId="0" borderId="38" xfId="0" applyFont="1" applyBorder="1" applyAlignment="1">
      <alignment horizontal="left" vertical="top" wrapText="1"/>
    </xf>
    <xf numFmtId="0" fontId="6" fillId="18" borderId="1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1" fillId="0" borderId="0" xfId="0" quotePrefix="1" applyFont="1" applyAlignment="1">
      <alignment horizontal="center" vertical="center"/>
    </xf>
    <xf numFmtId="0" fontId="31" fillId="0" borderId="0" xfId="0" quotePrefix="1" applyFont="1" applyAlignment="1">
      <alignment horizontal="left" vertical="center"/>
    </xf>
    <xf numFmtId="0" fontId="2" fillId="0" borderId="5" xfId="0" applyFont="1" applyBorder="1" applyAlignment="1">
      <alignment horizontal="left" vertical="top" wrapText="1"/>
    </xf>
    <xf numFmtId="0" fontId="2" fillId="18" borderId="103" xfId="0" applyFont="1" applyFill="1" applyBorder="1" applyAlignment="1">
      <alignment horizontal="center" vertical="center" shrinkToFit="1"/>
    </xf>
    <xf numFmtId="0" fontId="2" fillId="18" borderId="57" xfId="0" applyFont="1" applyFill="1" applyBorder="1" applyAlignment="1">
      <alignment horizontal="center" vertical="center" shrinkToFit="1"/>
    </xf>
    <xf numFmtId="0" fontId="2" fillId="18" borderId="105" xfId="0" applyFont="1" applyFill="1" applyBorder="1" applyAlignment="1">
      <alignment horizontal="center" vertical="center" shrinkToFit="1"/>
    </xf>
    <xf numFmtId="0" fontId="2" fillId="18" borderId="1" xfId="0" applyFont="1" applyFill="1" applyBorder="1" applyAlignment="1">
      <alignment horizontal="center" vertical="center" shrinkToFit="1"/>
    </xf>
    <xf numFmtId="0" fontId="2" fillId="18" borderId="106" xfId="0" applyFont="1" applyFill="1" applyBorder="1" applyAlignment="1">
      <alignment horizontal="center" vertical="center" shrinkToFit="1"/>
    </xf>
    <xf numFmtId="0" fontId="2" fillId="18" borderId="45" xfId="0" applyFont="1" applyFill="1" applyBorder="1" applyAlignment="1">
      <alignment horizontal="center" vertical="center" shrinkToFit="1"/>
    </xf>
    <xf numFmtId="0" fontId="2" fillId="0" borderId="61" xfId="0" applyFont="1" applyBorder="1" applyAlignment="1">
      <alignment horizontal="left" vertical="center" wrapText="1"/>
    </xf>
    <xf numFmtId="0" fontId="2" fillId="0" borderId="55" xfId="0" applyFont="1" applyBorder="1" applyAlignment="1">
      <alignment horizontal="left" vertical="center" wrapText="1"/>
    </xf>
    <xf numFmtId="0" fontId="18" fillId="10" borderId="40" xfId="0" applyFont="1" applyFill="1" applyBorder="1" applyAlignment="1">
      <alignment horizontal="left" vertical="center" wrapText="1"/>
    </xf>
    <xf numFmtId="0" fontId="18" fillId="10" borderId="42" xfId="0" applyFont="1" applyFill="1" applyBorder="1" applyAlignment="1">
      <alignment horizontal="left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 wrapText="1"/>
    </xf>
    <xf numFmtId="0" fontId="18" fillId="10" borderId="60" xfId="0" applyFont="1" applyFill="1" applyBorder="1" applyAlignment="1">
      <alignment horizontal="center" vertical="center" wrapText="1"/>
    </xf>
    <xf numFmtId="0" fontId="18" fillId="10" borderId="59" xfId="0" applyFont="1" applyFill="1" applyBorder="1" applyAlignment="1">
      <alignment horizontal="center" vertical="center" wrapText="1"/>
    </xf>
    <xf numFmtId="0" fontId="18" fillId="10" borderId="50" xfId="0" applyFont="1" applyFill="1" applyBorder="1" applyAlignment="1">
      <alignment horizontal="center" vertical="center" wrapText="1"/>
    </xf>
    <xf numFmtId="0" fontId="18" fillId="10" borderId="49" xfId="0" applyFont="1" applyFill="1" applyBorder="1" applyAlignment="1">
      <alignment horizontal="center" vertical="center" wrapText="1"/>
    </xf>
    <xf numFmtId="0" fontId="18" fillId="10" borderId="48" xfId="0" applyFont="1" applyFill="1" applyBorder="1" applyAlignment="1">
      <alignment horizontal="center" vertical="center" wrapText="1"/>
    </xf>
    <xf numFmtId="0" fontId="18" fillId="10" borderId="41" xfId="0" applyFont="1" applyFill="1" applyBorder="1" applyAlignment="1">
      <alignment horizontal="center" vertical="center" wrapText="1"/>
    </xf>
    <xf numFmtId="0" fontId="18" fillId="10" borderId="54" xfId="0" applyFont="1" applyFill="1" applyBorder="1" applyAlignment="1">
      <alignment horizontal="center" vertical="center" wrapText="1"/>
    </xf>
    <xf numFmtId="0" fontId="18" fillId="10" borderId="39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vertical="center" wrapText="1"/>
    </xf>
    <xf numFmtId="0" fontId="18" fillId="8" borderId="42" xfId="0" applyFont="1" applyFill="1" applyBorder="1" applyAlignment="1">
      <alignment vertical="center" wrapText="1"/>
    </xf>
    <xf numFmtId="0" fontId="18" fillId="8" borderId="54" xfId="0" applyFont="1" applyFill="1" applyBorder="1" applyAlignment="1">
      <alignment horizontal="center" vertical="center" wrapText="1"/>
    </xf>
    <xf numFmtId="0" fontId="18" fillId="8" borderId="50" xfId="0" applyFont="1" applyFill="1" applyBorder="1" applyAlignment="1">
      <alignment horizontal="center" vertical="center" wrapText="1"/>
    </xf>
    <xf numFmtId="0" fontId="2" fillId="0" borderId="56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8" borderId="60" xfId="0" applyFont="1" applyFill="1" applyBorder="1" applyAlignment="1">
      <alignment horizontal="center" vertical="center" wrapText="1"/>
    </xf>
    <xf numFmtId="0" fontId="18" fillId="8" borderId="59" xfId="0" applyFont="1" applyFill="1" applyBorder="1" applyAlignment="1">
      <alignment horizontal="center" vertical="center" wrapText="1"/>
    </xf>
    <xf numFmtId="0" fontId="18" fillId="8" borderId="4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vertical="center" wrapText="1"/>
    </xf>
    <xf numFmtId="0" fontId="19" fillId="8" borderId="42" xfId="0" applyFont="1" applyFill="1" applyBorder="1" applyAlignment="1">
      <alignment vertical="center" wrapText="1"/>
    </xf>
    <xf numFmtId="0" fontId="18" fillId="10" borderId="47" xfId="0" applyFont="1" applyFill="1" applyBorder="1" applyAlignment="1">
      <alignment horizontal="left" vertical="center" wrapText="1"/>
    </xf>
    <xf numFmtId="0" fontId="19" fillId="10" borderId="40" xfId="0" applyFont="1" applyFill="1" applyBorder="1" applyAlignment="1">
      <alignment vertical="center" wrapText="1"/>
    </xf>
    <xf numFmtId="0" fontId="19" fillId="10" borderId="47" xfId="0" applyFont="1" applyFill="1" applyBorder="1" applyAlignment="1">
      <alignment vertical="center" wrapText="1"/>
    </xf>
    <xf numFmtId="0" fontId="18" fillId="10" borderId="84" xfId="0" applyFont="1" applyFill="1" applyBorder="1" applyAlignment="1">
      <alignment horizontal="center" vertical="center" wrapText="1"/>
    </xf>
    <xf numFmtId="0" fontId="18" fillId="10" borderId="85" xfId="0" applyFont="1" applyFill="1" applyBorder="1" applyAlignment="1">
      <alignment horizontal="center" vertical="center" wrapText="1"/>
    </xf>
    <xf numFmtId="0" fontId="18" fillId="10" borderId="65" xfId="0" applyFont="1" applyFill="1" applyBorder="1" applyAlignment="1">
      <alignment horizontal="center" vertical="center" wrapText="1"/>
    </xf>
    <xf numFmtId="0" fontId="18" fillId="10" borderId="64" xfId="0" applyFont="1" applyFill="1" applyBorder="1" applyAlignment="1">
      <alignment horizontal="center" vertical="center" wrapText="1"/>
    </xf>
    <xf numFmtId="0" fontId="2" fillId="5" borderId="3" xfId="0" quotePrefix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14" xfId="0" applyFont="1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 textRotation="90"/>
    </xf>
    <xf numFmtId="0" fontId="2" fillId="2" borderId="13" xfId="0" applyFont="1" applyFill="1" applyBorder="1" applyAlignment="1">
      <alignment horizontal="center" vertical="center" textRotation="90"/>
    </xf>
    <xf numFmtId="0" fontId="2" fillId="5" borderId="9" xfId="0" quotePrefix="1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51" fillId="0" borderId="0" xfId="1" applyFont="1" applyAlignment="1">
      <alignment horizontal="center" vertical="center"/>
    </xf>
    <xf numFmtId="187" fontId="2" fillId="3" borderId="29" xfId="0" applyNumberFormat="1" applyFont="1" applyFill="1" applyBorder="1" applyAlignment="1">
      <alignment horizontal="right" vertical="center"/>
    </xf>
    <xf numFmtId="187" fontId="2" fillId="3" borderId="2" xfId="0" applyNumberFormat="1" applyFont="1" applyFill="1" applyBorder="1" applyAlignment="1">
      <alignment horizontal="right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90" xfId="0" applyFont="1" applyBorder="1" applyAlignment="1">
      <alignment horizontal="left" vertical="top" wrapText="1"/>
    </xf>
    <xf numFmtId="0" fontId="2" fillId="0" borderId="91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92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49" xfId="0" applyFont="1" applyBorder="1" applyAlignment="1">
      <alignment horizontal="left" vertical="top" wrapText="1"/>
    </xf>
    <xf numFmtId="0" fontId="2" fillId="0" borderId="93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188" fontId="2" fillId="11" borderId="73" xfId="0" applyNumberFormat="1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 textRotation="90"/>
    </xf>
    <xf numFmtId="0" fontId="2" fillId="2" borderId="80" xfId="0" applyFont="1" applyFill="1" applyBorder="1" applyAlignment="1">
      <alignment horizontal="center" vertical="center" textRotation="90"/>
    </xf>
    <xf numFmtId="0" fontId="2" fillId="11" borderId="73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/>
    </xf>
    <xf numFmtId="0" fontId="2" fillId="2" borderId="32" xfId="0" applyFont="1" applyFill="1" applyBorder="1" applyAlignment="1">
      <alignment horizontal="center" vertical="center" textRotation="90"/>
    </xf>
    <xf numFmtId="0" fontId="2" fillId="2" borderId="33" xfId="0" applyFont="1" applyFill="1" applyBorder="1" applyAlignment="1">
      <alignment horizontal="center" vertical="center" textRotation="90"/>
    </xf>
    <xf numFmtId="0" fontId="2" fillId="2" borderId="38" xfId="0" applyFont="1" applyFill="1" applyBorder="1" applyAlignment="1">
      <alignment horizontal="center" vertical="center" textRotation="90"/>
    </xf>
    <xf numFmtId="188" fontId="2" fillId="0" borderId="89" xfId="0" applyNumberFormat="1" applyFont="1" applyBorder="1" applyAlignment="1">
      <alignment horizontal="center" vertical="center"/>
    </xf>
    <xf numFmtId="188" fontId="2" fillId="0" borderId="9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/>
    </xf>
    <xf numFmtId="0" fontId="2" fillId="2" borderId="78" xfId="0" applyFont="1" applyFill="1" applyBorder="1" applyAlignment="1">
      <alignment horizontal="center" vertical="center" textRotation="90"/>
    </xf>
    <xf numFmtId="0" fontId="2" fillId="2" borderId="81" xfId="0" applyFont="1" applyFill="1" applyBorder="1" applyAlignment="1">
      <alignment horizontal="center" vertical="center" textRotation="90"/>
    </xf>
    <xf numFmtId="0" fontId="2" fillId="0" borderId="82" xfId="0" applyFont="1" applyFill="1" applyBorder="1" applyAlignment="1">
      <alignment horizontal="center" vertical="center" textRotation="90"/>
    </xf>
    <xf numFmtId="0" fontId="2" fillId="0" borderId="83" xfId="0" applyFont="1" applyFill="1" applyBorder="1" applyAlignment="1">
      <alignment horizontal="center" vertical="center" textRotation="90"/>
    </xf>
    <xf numFmtId="0" fontId="2" fillId="0" borderId="37" xfId="0" applyFont="1" applyFill="1" applyBorder="1" applyAlignment="1">
      <alignment horizontal="center" vertical="center" textRotation="90"/>
    </xf>
    <xf numFmtId="0" fontId="46" fillId="0" borderId="0" xfId="2" quotePrefix="1" applyFont="1" applyBorder="1" applyAlignment="1">
      <alignment horizontal="left" vertical="center"/>
    </xf>
    <xf numFmtId="0" fontId="46" fillId="0" borderId="0" xfId="2" quotePrefix="1" applyFont="1" applyBorder="1" applyAlignment="1">
      <alignment horizontal="center" vertical="center"/>
    </xf>
    <xf numFmtId="0" fontId="46" fillId="0" borderId="0" xfId="2" applyFont="1" applyBorder="1" applyAlignment="1">
      <alignment horizontal="center" vertical="center"/>
    </xf>
    <xf numFmtId="0" fontId="46" fillId="0" borderId="102" xfId="2" applyFont="1" applyBorder="1" applyAlignment="1">
      <alignment horizontal="center" vertical="center"/>
    </xf>
    <xf numFmtId="0" fontId="46" fillId="0" borderId="95" xfId="2" applyFont="1" applyBorder="1" applyAlignment="1">
      <alignment horizontal="center" vertical="center"/>
    </xf>
    <xf numFmtId="0" fontId="45" fillId="0" borderId="0" xfId="2" applyFont="1" applyAlignment="1">
      <alignment horizontal="left" vertical="center"/>
    </xf>
    <xf numFmtId="0" fontId="45" fillId="0" borderId="0" xfId="2" applyFont="1" applyAlignment="1">
      <alignment horizontal="left" vertical="center" wrapText="1"/>
    </xf>
    <xf numFmtId="188" fontId="43" fillId="0" borderId="95" xfId="2" applyNumberFormat="1" applyFont="1" applyBorder="1" applyAlignment="1">
      <alignment horizontal="left" vertical="center"/>
    </xf>
    <xf numFmtId="200" fontId="43" fillId="0" borderId="95" xfId="2" applyNumberFormat="1" applyFont="1" applyBorder="1" applyAlignment="1">
      <alignment horizontal="left" vertical="center"/>
    </xf>
    <xf numFmtId="186" fontId="43" fillId="0" borderId="95" xfId="2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left" vertical="center" shrinkToFit="1"/>
    </xf>
    <xf numFmtId="0" fontId="2" fillId="0" borderId="12" xfId="0" applyFont="1" applyBorder="1" applyAlignment="1">
      <alignment horizontal="left" vertical="center" shrinkToFit="1"/>
    </xf>
    <xf numFmtId="0" fontId="2" fillId="0" borderId="66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10" xfId="0" applyFont="1" applyBorder="1" applyAlignment="1">
      <alignment horizontal="left" vertical="center" shrinkToFit="1"/>
    </xf>
    <xf numFmtId="0" fontId="2" fillId="0" borderId="67" xfId="0" applyFont="1" applyBorder="1" applyAlignment="1">
      <alignment horizontal="left" vertical="center" shrinkToFit="1"/>
    </xf>
    <xf numFmtId="0" fontId="2" fillId="0" borderId="9" xfId="0" applyFont="1" applyBorder="1" applyAlignment="1">
      <alignment horizontal="left" vertical="center" shrinkToFit="1"/>
    </xf>
    <xf numFmtId="0" fontId="2" fillId="0" borderId="68" xfId="0" applyFont="1" applyBorder="1" applyAlignment="1">
      <alignment horizontal="left" vertical="center" shrinkToFit="1"/>
    </xf>
    <xf numFmtId="0" fontId="2" fillId="0" borderId="18" xfId="0" applyFont="1" applyBorder="1" applyAlignment="1">
      <alignment horizontal="left" vertical="center" shrinkToFit="1"/>
    </xf>
    <xf numFmtId="0" fontId="2" fillId="0" borderId="70" xfId="0" applyFont="1" applyBorder="1" applyAlignment="1">
      <alignment horizontal="left" vertical="center" shrinkToFit="1"/>
    </xf>
    <xf numFmtId="0" fontId="2" fillId="0" borderId="16" xfId="0" applyFont="1" applyBorder="1" applyAlignment="1">
      <alignment horizontal="left" vertical="center" shrinkToFit="1"/>
    </xf>
    <xf numFmtId="0" fontId="2" fillId="0" borderId="69" xfId="0" applyFont="1" applyBorder="1" applyAlignment="1">
      <alignment horizontal="left" vertical="center" shrinkToFit="1"/>
    </xf>
    <xf numFmtId="0" fontId="2" fillId="0" borderId="20" xfId="0" applyFont="1" applyBorder="1" applyAlignment="1">
      <alignment horizontal="left" vertical="center" shrinkToFit="1"/>
    </xf>
    <xf numFmtId="0" fontId="2" fillId="0" borderId="71" xfId="0" applyFont="1" applyBorder="1" applyAlignment="1">
      <alignment horizontal="left" vertical="center" shrinkToFit="1"/>
    </xf>
    <xf numFmtId="0" fontId="2" fillId="0" borderId="95" xfId="0" applyFont="1" applyBorder="1" applyAlignment="1">
      <alignment horizontal="right" vertical="center"/>
    </xf>
    <xf numFmtId="0" fontId="2" fillId="5" borderId="9" xfId="0" applyFont="1" applyFill="1" applyBorder="1" applyAlignment="1">
      <alignment horizontal="center" vertical="center"/>
    </xf>
    <xf numFmtId="0" fontId="15" fillId="13" borderId="17" xfId="0" applyFont="1" applyFill="1" applyBorder="1" applyAlignment="1">
      <alignment horizontal="center" vertical="center" wrapText="1"/>
    </xf>
    <xf numFmtId="0" fontId="15" fillId="13" borderId="72" xfId="0" applyFont="1" applyFill="1" applyBorder="1" applyAlignment="1">
      <alignment horizontal="center" vertical="center" wrapText="1"/>
    </xf>
    <xf numFmtId="0" fontId="15" fillId="13" borderId="32" xfId="0" applyFont="1" applyFill="1" applyBorder="1" applyAlignment="1">
      <alignment horizontal="center" vertical="center" wrapText="1"/>
    </xf>
    <xf numFmtId="0" fontId="15" fillId="13" borderId="33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textRotation="90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2019300</xdr:colOff>
      <xdr:row>103</xdr:row>
      <xdr:rowOff>123825</xdr:rowOff>
    </xdr:from>
    <xdr:to>
      <xdr:col>5</xdr:col>
      <xdr:colOff>638175</xdr:colOff>
      <xdr:row>108</xdr:row>
      <xdr:rowOff>11514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18164175"/>
          <a:ext cx="2952750" cy="649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0</xdr:colOff>
      <xdr:row>9</xdr:row>
      <xdr:rowOff>0</xdr:rowOff>
    </xdr:to>
    <xdr:cxnSp macro="">
      <xdr:nvCxnSpPr>
        <xdr:cNvPr id="2" name="直線矢印コネクタ 1"/>
        <xdr:cNvCxnSpPr/>
      </xdr:nvCxnSpPr>
      <xdr:spPr>
        <a:xfrm>
          <a:off x="685800" y="171450"/>
          <a:ext cx="0" cy="13716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180975</xdr:rowOff>
    </xdr:from>
    <xdr:to>
      <xdr:col>3</xdr:col>
      <xdr:colOff>0</xdr:colOff>
      <xdr:row>13</xdr:row>
      <xdr:rowOff>19050</xdr:rowOff>
    </xdr:to>
    <xdr:cxnSp macro="">
      <xdr:nvCxnSpPr>
        <xdr:cNvPr id="3" name="直線矢印コネクタ 2"/>
        <xdr:cNvCxnSpPr/>
      </xdr:nvCxnSpPr>
      <xdr:spPr>
        <a:xfrm>
          <a:off x="685800" y="1543050"/>
          <a:ext cx="0" cy="104775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13</xdr:row>
      <xdr:rowOff>0</xdr:rowOff>
    </xdr:from>
    <xdr:to>
      <xdr:col>3</xdr:col>
      <xdr:colOff>9525</xdr:colOff>
      <xdr:row>27</xdr:row>
      <xdr:rowOff>9525</xdr:rowOff>
    </xdr:to>
    <xdr:cxnSp macro="">
      <xdr:nvCxnSpPr>
        <xdr:cNvPr id="4" name="直線矢印コネクタ 3"/>
        <xdr:cNvCxnSpPr/>
      </xdr:nvCxnSpPr>
      <xdr:spPr>
        <a:xfrm>
          <a:off x="695325" y="2571750"/>
          <a:ext cx="0" cy="27527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9525</xdr:colOff>
      <xdr:row>37</xdr:row>
      <xdr:rowOff>0</xdr:rowOff>
    </xdr:to>
    <xdr:cxnSp macro="">
      <xdr:nvCxnSpPr>
        <xdr:cNvPr id="5" name="直線矢印コネクタ 4"/>
        <xdr:cNvCxnSpPr/>
      </xdr:nvCxnSpPr>
      <xdr:spPr>
        <a:xfrm>
          <a:off x="685800" y="53149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9525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6" name="直線矢印コネクタ 5"/>
        <xdr:cNvCxnSpPr/>
      </xdr:nvCxnSpPr>
      <xdr:spPr>
        <a:xfrm>
          <a:off x="695325" y="6343650"/>
          <a:ext cx="0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43</xdr:row>
      <xdr:rowOff>9525</xdr:rowOff>
    </xdr:from>
    <xdr:to>
      <xdr:col>3</xdr:col>
      <xdr:colOff>9525</xdr:colOff>
      <xdr:row>49</xdr:row>
      <xdr:rowOff>9525</xdr:rowOff>
    </xdr:to>
    <xdr:cxnSp macro="">
      <xdr:nvCxnSpPr>
        <xdr:cNvPr id="7" name="直線矢印コネクタ 6"/>
        <xdr:cNvCxnSpPr/>
      </xdr:nvCxnSpPr>
      <xdr:spPr>
        <a:xfrm flipH="1">
          <a:off x="685800" y="7381875"/>
          <a:ext cx="9525" cy="10287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8" name="直線矢印コネクタ 7"/>
        <xdr:cNvCxnSpPr/>
      </xdr:nvCxnSpPr>
      <xdr:spPr>
        <a:xfrm>
          <a:off x="685800" y="63436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1</xdr:row>
      <xdr:rowOff>9525</xdr:rowOff>
    </xdr:from>
    <xdr:to>
      <xdr:col>5</xdr:col>
      <xdr:colOff>0</xdr:colOff>
      <xdr:row>3</xdr:row>
      <xdr:rowOff>0</xdr:rowOff>
    </xdr:to>
    <xdr:cxnSp macro="">
      <xdr:nvCxnSpPr>
        <xdr:cNvPr id="9" name="直線矢印コネクタ 8"/>
        <xdr:cNvCxnSpPr/>
      </xdr:nvCxnSpPr>
      <xdr:spPr>
        <a:xfrm>
          <a:off x="2057400" y="1809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7</xdr:row>
      <xdr:rowOff>9525</xdr:rowOff>
    </xdr:from>
    <xdr:to>
      <xdr:col>5</xdr:col>
      <xdr:colOff>9525</xdr:colOff>
      <xdr:row>9</xdr:row>
      <xdr:rowOff>0</xdr:rowOff>
    </xdr:to>
    <xdr:cxnSp macro="">
      <xdr:nvCxnSpPr>
        <xdr:cNvPr id="10" name="直線矢印コネクタ 9"/>
        <xdr:cNvCxnSpPr/>
      </xdr:nvCxnSpPr>
      <xdr:spPr>
        <a:xfrm>
          <a:off x="2066925" y="12096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3</xdr:row>
      <xdr:rowOff>9525</xdr:rowOff>
    </xdr:from>
    <xdr:to>
      <xdr:col>5</xdr:col>
      <xdr:colOff>0</xdr:colOff>
      <xdr:row>7</xdr:row>
      <xdr:rowOff>19050</xdr:rowOff>
    </xdr:to>
    <xdr:cxnSp macro="">
      <xdr:nvCxnSpPr>
        <xdr:cNvPr id="11" name="直線矢印コネクタ 10"/>
        <xdr:cNvCxnSpPr/>
      </xdr:nvCxnSpPr>
      <xdr:spPr>
        <a:xfrm>
          <a:off x="2057400" y="523875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13</xdr:row>
      <xdr:rowOff>0</xdr:rowOff>
    </xdr:from>
    <xdr:to>
      <xdr:col>5</xdr:col>
      <xdr:colOff>9525</xdr:colOff>
      <xdr:row>17</xdr:row>
      <xdr:rowOff>9525</xdr:rowOff>
    </xdr:to>
    <xdr:cxnSp macro="">
      <xdr:nvCxnSpPr>
        <xdr:cNvPr id="12" name="直線矢印コネクタ 11"/>
        <xdr:cNvCxnSpPr/>
      </xdr:nvCxnSpPr>
      <xdr:spPr>
        <a:xfrm>
          <a:off x="2066925" y="2571750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23</xdr:row>
      <xdr:rowOff>9525</xdr:rowOff>
    </xdr:from>
    <xdr:to>
      <xdr:col>5</xdr:col>
      <xdr:colOff>9525</xdr:colOff>
      <xdr:row>27</xdr:row>
      <xdr:rowOff>9525</xdr:rowOff>
    </xdr:to>
    <xdr:cxnSp macro="">
      <xdr:nvCxnSpPr>
        <xdr:cNvPr id="13" name="直線矢印コネクタ 12"/>
        <xdr:cNvCxnSpPr/>
      </xdr:nvCxnSpPr>
      <xdr:spPr>
        <a:xfrm>
          <a:off x="2066925" y="46386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17</xdr:row>
      <xdr:rowOff>9525</xdr:rowOff>
    </xdr:from>
    <xdr:to>
      <xdr:col>5</xdr:col>
      <xdr:colOff>9525</xdr:colOff>
      <xdr:row>23</xdr:row>
      <xdr:rowOff>19050</xdr:rowOff>
    </xdr:to>
    <xdr:cxnSp macro="">
      <xdr:nvCxnSpPr>
        <xdr:cNvPr id="14" name="直線矢印コネクタ 13"/>
        <xdr:cNvCxnSpPr/>
      </xdr:nvCxnSpPr>
      <xdr:spPr>
        <a:xfrm>
          <a:off x="2066925" y="3267075"/>
          <a:ext cx="0" cy="13811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47</xdr:row>
      <xdr:rowOff>19050</xdr:rowOff>
    </xdr:from>
    <xdr:to>
      <xdr:col>5</xdr:col>
      <xdr:colOff>9526</xdr:colOff>
      <xdr:row>49</xdr:row>
      <xdr:rowOff>0</xdr:rowOff>
    </xdr:to>
    <xdr:cxnSp macro="">
      <xdr:nvCxnSpPr>
        <xdr:cNvPr id="15" name="直線矢印コネクタ 14"/>
        <xdr:cNvCxnSpPr/>
      </xdr:nvCxnSpPr>
      <xdr:spPr>
        <a:xfrm flipH="1">
          <a:off x="2066925" y="80772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43</xdr:row>
      <xdr:rowOff>9525</xdr:rowOff>
    </xdr:from>
    <xdr:to>
      <xdr:col>5</xdr:col>
      <xdr:colOff>9525</xdr:colOff>
      <xdr:row>47</xdr:row>
      <xdr:rowOff>9525</xdr:rowOff>
    </xdr:to>
    <xdr:cxnSp macro="">
      <xdr:nvCxnSpPr>
        <xdr:cNvPr id="16" name="直線矢印コネクタ 15"/>
        <xdr:cNvCxnSpPr/>
      </xdr:nvCxnSpPr>
      <xdr:spPr>
        <a:xfrm>
          <a:off x="2066925" y="73818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47625</xdr:rowOff>
        </xdr:from>
        <xdr:to>
          <xdr:col>5</xdr:col>
          <xdr:colOff>390525</xdr:colOff>
          <xdr:row>46</xdr:row>
          <xdr:rowOff>28575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9525</xdr:colOff>
      <xdr:row>20</xdr:row>
      <xdr:rowOff>152400</xdr:rowOff>
    </xdr:from>
    <xdr:to>
      <xdr:col>8</xdr:col>
      <xdr:colOff>9526</xdr:colOff>
      <xdr:row>22</xdr:row>
      <xdr:rowOff>152400</xdr:rowOff>
    </xdr:to>
    <xdr:cxnSp macro="">
      <xdr:nvCxnSpPr>
        <xdr:cNvPr id="18" name="直線矢印コネクタ 17"/>
        <xdr:cNvCxnSpPr/>
      </xdr:nvCxnSpPr>
      <xdr:spPr>
        <a:xfrm flipH="1">
          <a:off x="3438525" y="32766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1</xdr:col>
      <xdr:colOff>0</xdr:colOff>
      <xdr:row>1</xdr:row>
      <xdr:rowOff>9525</xdr:rowOff>
    </xdr:from>
    <xdr:to>
      <xdr:col>1</xdr:col>
      <xdr:colOff>0</xdr:colOff>
      <xdr:row>49</xdr:row>
      <xdr:rowOff>19050</xdr:rowOff>
    </xdr:to>
    <xdr:cxnSp macro="">
      <xdr:nvCxnSpPr>
        <xdr:cNvPr id="23" name="直線矢印コネクタ 22"/>
        <xdr:cNvCxnSpPr/>
      </xdr:nvCxnSpPr>
      <xdr:spPr>
        <a:xfrm>
          <a:off x="428625" y="57150"/>
          <a:ext cx="0" cy="84296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26</xdr:row>
      <xdr:rowOff>152400</xdr:rowOff>
    </xdr:from>
    <xdr:to>
      <xdr:col>5</xdr:col>
      <xdr:colOff>9526</xdr:colOff>
      <xdr:row>32</xdr:row>
      <xdr:rowOff>152400</xdr:rowOff>
    </xdr:to>
    <xdr:cxnSp macro="">
      <xdr:nvCxnSpPr>
        <xdr:cNvPr id="26" name="直線矢印コネクタ 25"/>
        <xdr:cNvCxnSpPr/>
      </xdr:nvCxnSpPr>
      <xdr:spPr>
        <a:xfrm flipH="1">
          <a:off x="1924050" y="4895850"/>
          <a:ext cx="1" cy="9715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33</xdr:row>
      <xdr:rowOff>0</xdr:rowOff>
    </xdr:from>
    <xdr:to>
      <xdr:col>5</xdr:col>
      <xdr:colOff>9525</xdr:colOff>
      <xdr:row>37</xdr:row>
      <xdr:rowOff>0</xdr:rowOff>
    </xdr:to>
    <xdr:cxnSp macro="">
      <xdr:nvCxnSpPr>
        <xdr:cNvPr id="29" name="直線矢印コネクタ 28"/>
        <xdr:cNvCxnSpPr/>
      </xdr:nvCxnSpPr>
      <xdr:spPr>
        <a:xfrm>
          <a:off x="1924050" y="5876925"/>
          <a:ext cx="0" cy="647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85725</xdr:colOff>
      <xdr:row>35</xdr:row>
      <xdr:rowOff>38100</xdr:rowOff>
    </xdr:from>
    <xdr:to>
      <xdr:col>5</xdr:col>
      <xdr:colOff>342900</xdr:colOff>
      <xdr:row>35</xdr:row>
      <xdr:rowOff>38101</xdr:rowOff>
    </xdr:to>
    <xdr:cxnSp macro="">
      <xdr:nvCxnSpPr>
        <xdr:cNvPr id="30" name="直線コネクタ 29"/>
        <xdr:cNvCxnSpPr/>
      </xdr:nvCxnSpPr>
      <xdr:spPr>
        <a:xfrm>
          <a:off x="1466850" y="5591175"/>
          <a:ext cx="257175" cy="1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ours.be/sci/aw.php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mig-ip.com/Law_of_Gravitation_in_11_Dimensions.pdf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ebyte.it/library/educards/constants/ConstantsOfPhysicsAndMath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Talk:Planck_units/Archive_3" TargetMode="External"/><Relationship Id="rId1" Type="http://schemas.openxmlformats.org/officeDocument/2006/relationships/hyperlink" Target="http://dozenal.com/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M58" sqref="M58"/>
    </sheetView>
  </sheetViews>
  <sheetFormatPr defaultRowHeight="12"/>
  <cols>
    <col min="1" max="1" width="10.25" style="14" customWidth="1"/>
    <col min="2" max="2" width="11.125" style="14" customWidth="1"/>
    <col min="3" max="3" width="36.375" style="14" customWidth="1"/>
    <col min="4" max="4" width="33.375" style="14" customWidth="1"/>
    <col min="5" max="6" width="22.625" style="14" customWidth="1"/>
    <col min="7" max="8" width="7.625" style="54" customWidth="1"/>
    <col min="9" max="10" width="7.625" style="614" customWidth="1"/>
    <col min="11" max="12" width="7.625" style="54" customWidth="1"/>
    <col min="13" max="13" width="51.75" style="227" customWidth="1"/>
    <col min="14" max="16384" width="9" style="14"/>
  </cols>
  <sheetData>
    <row r="1" spans="1:13" ht="13.5" customHeight="1" thickTop="1" thickBot="1">
      <c r="A1" s="711" t="s">
        <v>363</v>
      </c>
      <c r="B1" s="712"/>
      <c r="C1" s="401" t="s">
        <v>362</v>
      </c>
      <c r="D1" s="402" t="s">
        <v>361</v>
      </c>
      <c r="E1" s="401" t="s">
        <v>360</v>
      </c>
      <c r="F1" s="401" t="s">
        <v>359</v>
      </c>
      <c r="G1" s="403" t="s">
        <v>358</v>
      </c>
      <c r="H1" s="403" t="s">
        <v>357</v>
      </c>
      <c r="I1" s="403" t="s">
        <v>356</v>
      </c>
      <c r="J1" s="403" t="s">
        <v>355</v>
      </c>
      <c r="K1" s="403" t="s">
        <v>1606</v>
      </c>
      <c r="L1" s="623" t="s">
        <v>1607</v>
      </c>
      <c r="M1" s="404" t="s">
        <v>354</v>
      </c>
    </row>
    <row r="2" spans="1:13" ht="13.5" customHeight="1">
      <c r="A2" s="688" t="s">
        <v>667</v>
      </c>
      <c r="B2" s="689"/>
      <c r="C2" s="681" t="s">
        <v>350</v>
      </c>
      <c r="D2" s="405" t="s">
        <v>349</v>
      </c>
      <c r="E2" s="589" t="s">
        <v>348</v>
      </c>
      <c r="F2" s="405" t="s">
        <v>348</v>
      </c>
      <c r="G2" s="36" t="s">
        <v>1089</v>
      </c>
      <c r="H2" s="36" t="s">
        <v>1089</v>
      </c>
      <c r="I2" s="36" t="s">
        <v>1086</v>
      </c>
      <c r="J2" s="36"/>
      <c r="K2" s="36"/>
      <c r="L2" s="36" t="s">
        <v>1086</v>
      </c>
      <c r="M2" s="406"/>
    </row>
    <row r="3" spans="1:13" ht="13.5" customHeight="1">
      <c r="A3" s="688"/>
      <c r="B3" s="689"/>
      <c r="C3" s="682"/>
      <c r="D3" s="405" t="s">
        <v>1090</v>
      </c>
      <c r="E3" s="417" t="s">
        <v>1532</v>
      </c>
      <c r="F3" s="405" t="s">
        <v>347</v>
      </c>
      <c r="G3" s="36" t="s">
        <v>1089</v>
      </c>
      <c r="H3" s="36" t="s">
        <v>1089</v>
      </c>
      <c r="I3" s="36"/>
      <c r="J3" s="36" t="s">
        <v>1086</v>
      </c>
      <c r="K3" s="36"/>
      <c r="L3" s="36" t="s">
        <v>1086</v>
      </c>
      <c r="M3" s="407"/>
    </row>
    <row r="4" spans="1:13" ht="13.5" customHeight="1">
      <c r="A4" s="688"/>
      <c r="B4" s="689"/>
      <c r="C4" s="408" t="s">
        <v>353</v>
      </c>
      <c r="D4" s="409" t="s">
        <v>352</v>
      </c>
      <c r="E4" s="410" t="s">
        <v>351</v>
      </c>
      <c r="F4" s="408" t="s">
        <v>351</v>
      </c>
      <c r="G4" s="126" t="s">
        <v>1089</v>
      </c>
      <c r="H4" s="126" t="s">
        <v>1089</v>
      </c>
      <c r="I4" s="613" t="s">
        <v>1086</v>
      </c>
      <c r="J4" s="613"/>
      <c r="K4" s="126"/>
      <c r="L4" s="126"/>
      <c r="M4" s="407"/>
    </row>
    <row r="5" spans="1:13" ht="36" customHeight="1">
      <c r="A5" s="688"/>
      <c r="B5" s="689"/>
      <c r="C5" s="681" t="s">
        <v>1533</v>
      </c>
      <c r="D5" s="411" t="s">
        <v>1091</v>
      </c>
      <c r="E5" s="412" t="s">
        <v>1092</v>
      </c>
      <c r="F5" s="405" t="s">
        <v>1093</v>
      </c>
      <c r="G5" s="683" t="s">
        <v>1089</v>
      </c>
      <c r="H5" s="683" t="s">
        <v>1089</v>
      </c>
      <c r="I5" s="683" t="s">
        <v>1086</v>
      </c>
      <c r="J5" s="683"/>
      <c r="K5" s="683"/>
      <c r="L5" s="683"/>
      <c r="M5" s="679" t="s">
        <v>345</v>
      </c>
    </row>
    <row r="6" spans="1:13" ht="18" customHeight="1">
      <c r="A6" s="688"/>
      <c r="B6" s="689"/>
      <c r="C6" s="682"/>
      <c r="D6" s="413" t="s">
        <v>344</v>
      </c>
      <c r="E6" s="414" t="s">
        <v>1094</v>
      </c>
      <c r="F6" s="415" t="s">
        <v>343</v>
      </c>
      <c r="G6" s="684"/>
      <c r="H6" s="684"/>
      <c r="I6" s="684"/>
      <c r="J6" s="684"/>
      <c r="K6" s="684"/>
      <c r="L6" s="684"/>
      <c r="M6" s="680"/>
    </row>
    <row r="7" spans="1:13" ht="13.5" customHeight="1">
      <c r="A7" s="688"/>
      <c r="B7" s="689"/>
      <c r="C7" s="405" t="s">
        <v>346</v>
      </c>
      <c r="D7" s="416" t="s">
        <v>1534</v>
      </c>
      <c r="E7" s="417" t="s">
        <v>1601</v>
      </c>
      <c r="F7" s="405" t="s">
        <v>1602</v>
      </c>
      <c r="G7" s="36" t="s">
        <v>1089</v>
      </c>
      <c r="H7" s="36" t="s">
        <v>1089</v>
      </c>
      <c r="I7" s="36" t="s">
        <v>1086</v>
      </c>
      <c r="J7" s="36"/>
      <c r="K7" s="36"/>
      <c r="L7" s="36"/>
      <c r="M7" s="418"/>
    </row>
    <row r="8" spans="1:13" ht="89.25" customHeight="1">
      <c r="A8" s="692" t="s">
        <v>342</v>
      </c>
      <c r="B8" s="693"/>
      <c r="C8" s="415" t="s">
        <v>341</v>
      </c>
      <c r="D8" s="419" t="s">
        <v>745</v>
      </c>
      <c r="E8" s="414" t="s">
        <v>1597</v>
      </c>
      <c r="F8" s="415" t="s">
        <v>1291</v>
      </c>
      <c r="G8" s="36"/>
      <c r="H8" s="36" t="s">
        <v>1089</v>
      </c>
      <c r="I8" s="36" t="s">
        <v>1086</v>
      </c>
      <c r="J8" s="36"/>
      <c r="K8" s="36" t="s">
        <v>1086</v>
      </c>
      <c r="L8" s="36" t="s">
        <v>1086</v>
      </c>
      <c r="M8" s="418" t="s">
        <v>1289</v>
      </c>
    </row>
    <row r="9" spans="1:13" ht="13.5" customHeight="1">
      <c r="A9" s="688"/>
      <c r="B9" s="689"/>
      <c r="C9" s="415" t="s">
        <v>340</v>
      </c>
      <c r="D9" s="419" t="s">
        <v>1643</v>
      </c>
      <c r="E9" s="414" t="s">
        <v>1598</v>
      </c>
      <c r="F9" s="415" t="s">
        <v>1599</v>
      </c>
      <c r="G9" s="36"/>
      <c r="H9" s="36" t="s">
        <v>1086</v>
      </c>
      <c r="I9" s="36" t="s">
        <v>1086</v>
      </c>
      <c r="J9" s="36"/>
      <c r="K9" s="36" t="s">
        <v>1086</v>
      </c>
      <c r="L9" s="36"/>
      <c r="M9" s="418"/>
    </row>
    <row r="10" spans="1:13" ht="40.5" customHeight="1">
      <c r="A10" s="688"/>
      <c r="B10" s="689"/>
      <c r="C10" s="415" t="s">
        <v>339</v>
      </c>
      <c r="D10" s="419" t="s">
        <v>338</v>
      </c>
      <c r="E10" s="414" t="s">
        <v>1095</v>
      </c>
      <c r="F10" s="415" t="s">
        <v>337</v>
      </c>
      <c r="G10" s="36"/>
      <c r="H10" s="36" t="s">
        <v>1086</v>
      </c>
      <c r="I10" s="36" t="s">
        <v>1086</v>
      </c>
      <c r="J10" s="36"/>
      <c r="K10" s="36"/>
      <c r="L10" s="36"/>
      <c r="M10" s="418" t="s">
        <v>1301</v>
      </c>
    </row>
    <row r="11" spans="1:13" ht="13.5" customHeight="1">
      <c r="A11" s="690"/>
      <c r="B11" s="691"/>
      <c r="C11" s="405" t="s">
        <v>1096</v>
      </c>
      <c r="D11" s="420" t="s">
        <v>336</v>
      </c>
      <c r="E11" s="417" t="s">
        <v>1097</v>
      </c>
      <c r="F11" s="405" t="s">
        <v>335</v>
      </c>
      <c r="G11" s="36"/>
      <c r="H11" s="36" t="s">
        <v>1086</v>
      </c>
      <c r="I11" s="36" t="s">
        <v>1086</v>
      </c>
      <c r="J11" s="36"/>
      <c r="K11" s="36"/>
      <c r="L11" s="36"/>
      <c r="M11" s="418"/>
    </row>
    <row r="12" spans="1:13" ht="13.5" customHeight="1">
      <c r="A12" s="692" t="s">
        <v>334</v>
      </c>
      <c r="B12" s="693"/>
      <c r="C12" s="405" t="s">
        <v>333</v>
      </c>
      <c r="D12" s="420" t="s">
        <v>746</v>
      </c>
      <c r="E12" s="417" t="s">
        <v>1287</v>
      </c>
      <c r="F12" s="405" t="s">
        <v>1288</v>
      </c>
      <c r="G12" s="36"/>
      <c r="H12" s="36" t="s">
        <v>1086</v>
      </c>
      <c r="I12" s="36"/>
      <c r="J12" s="36" t="s">
        <v>1086</v>
      </c>
      <c r="K12" s="36" t="s">
        <v>1086</v>
      </c>
      <c r="L12" s="36"/>
      <c r="M12" s="418"/>
    </row>
    <row r="13" spans="1:13" ht="30.75" customHeight="1">
      <c r="A13" s="688"/>
      <c r="B13" s="689"/>
      <c r="C13" s="405" t="s">
        <v>332</v>
      </c>
      <c r="D13" s="420" t="s">
        <v>331</v>
      </c>
      <c r="E13" s="417" t="s">
        <v>1098</v>
      </c>
      <c r="F13" s="405" t="s">
        <v>330</v>
      </c>
      <c r="G13" s="36"/>
      <c r="H13" s="36" t="s">
        <v>1086</v>
      </c>
      <c r="I13" s="36"/>
      <c r="J13" s="36" t="s">
        <v>1086</v>
      </c>
      <c r="K13" s="36"/>
      <c r="L13" s="36"/>
      <c r="M13" s="418" t="s">
        <v>1302</v>
      </c>
    </row>
    <row r="14" spans="1:13" ht="13.5" customHeight="1">
      <c r="A14" s="688"/>
      <c r="B14" s="689"/>
      <c r="C14" s="415" t="s">
        <v>329</v>
      </c>
      <c r="D14" s="419" t="s">
        <v>328</v>
      </c>
      <c r="E14" s="414" t="s">
        <v>1099</v>
      </c>
      <c r="F14" s="415" t="s">
        <v>327</v>
      </c>
      <c r="G14" s="36"/>
      <c r="H14" s="36" t="s">
        <v>1086</v>
      </c>
      <c r="I14" s="36"/>
      <c r="J14" s="36" t="s">
        <v>1086</v>
      </c>
      <c r="K14" s="36"/>
      <c r="L14" s="36"/>
      <c r="M14" s="418"/>
    </row>
    <row r="15" spans="1:13" ht="27" customHeight="1">
      <c r="A15" s="688"/>
      <c r="B15" s="689"/>
      <c r="C15" s="415" t="s">
        <v>326</v>
      </c>
      <c r="D15" s="419" t="s">
        <v>325</v>
      </c>
      <c r="E15" s="414" t="s">
        <v>1100</v>
      </c>
      <c r="F15" s="415" t="s">
        <v>324</v>
      </c>
      <c r="G15" s="36"/>
      <c r="H15" s="36" t="s">
        <v>1086</v>
      </c>
      <c r="I15" s="36"/>
      <c r="J15" s="36" t="s">
        <v>1086</v>
      </c>
      <c r="K15" s="36"/>
      <c r="L15" s="36"/>
      <c r="M15" s="418" t="s">
        <v>1303</v>
      </c>
    </row>
    <row r="16" spans="1:13" ht="27" customHeight="1">
      <c r="A16" s="692" t="s">
        <v>323</v>
      </c>
      <c r="B16" s="693"/>
      <c r="C16" s="405" t="s">
        <v>322</v>
      </c>
      <c r="D16" s="420" t="s">
        <v>321</v>
      </c>
      <c r="E16" s="417" t="s">
        <v>1101</v>
      </c>
      <c r="F16" s="405" t="s">
        <v>320</v>
      </c>
      <c r="G16" s="36"/>
      <c r="H16" s="36" t="s">
        <v>1086</v>
      </c>
      <c r="I16" s="36"/>
      <c r="J16" s="36" t="s">
        <v>1086</v>
      </c>
      <c r="K16" s="36"/>
      <c r="L16" s="36"/>
      <c r="M16" s="418" t="s">
        <v>319</v>
      </c>
    </row>
    <row r="17" spans="1:13" ht="13.5" customHeight="1">
      <c r="A17" s="688"/>
      <c r="B17" s="689"/>
      <c r="C17" s="405" t="s">
        <v>318</v>
      </c>
      <c r="D17" s="420" t="s">
        <v>317</v>
      </c>
      <c r="E17" s="417" t="s">
        <v>1102</v>
      </c>
      <c r="F17" s="405" t="s">
        <v>316</v>
      </c>
      <c r="G17" s="36"/>
      <c r="H17" s="36" t="s">
        <v>1086</v>
      </c>
      <c r="I17" s="36"/>
      <c r="J17" s="36" t="s">
        <v>1086</v>
      </c>
      <c r="K17" s="36"/>
      <c r="L17" s="36"/>
      <c r="M17" s="418"/>
    </row>
    <row r="18" spans="1:13" ht="13.5" customHeight="1">
      <c r="A18" s="688"/>
      <c r="B18" s="689"/>
      <c r="C18" s="415" t="s">
        <v>804</v>
      </c>
      <c r="D18" s="419" t="s">
        <v>805</v>
      </c>
      <c r="E18" s="414" t="s">
        <v>1103</v>
      </c>
      <c r="F18" s="415" t="s">
        <v>315</v>
      </c>
      <c r="G18" s="36"/>
      <c r="H18" s="36" t="s">
        <v>1086</v>
      </c>
      <c r="I18" s="36"/>
      <c r="J18" s="36" t="s">
        <v>1086</v>
      </c>
      <c r="K18" s="36"/>
      <c r="L18" s="36"/>
      <c r="M18" s="418"/>
    </row>
    <row r="19" spans="1:13" ht="13.5" customHeight="1">
      <c r="A19" s="690"/>
      <c r="B19" s="691"/>
      <c r="C19" s="405" t="s">
        <v>1293</v>
      </c>
      <c r="D19" s="420" t="s">
        <v>1294</v>
      </c>
      <c r="E19" s="417" t="s">
        <v>1104</v>
      </c>
      <c r="F19" s="405" t="s">
        <v>314</v>
      </c>
      <c r="G19" s="36"/>
      <c r="H19" s="36" t="s">
        <v>1086</v>
      </c>
      <c r="I19" s="36"/>
      <c r="J19" s="36" t="s">
        <v>1086</v>
      </c>
      <c r="K19" s="36"/>
      <c r="L19" s="36"/>
      <c r="M19" s="418"/>
    </row>
    <row r="20" spans="1:13" ht="13.5" customHeight="1">
      <c r="A20" s="688" t="s">
        <v>313</v>
      </c>
      <c r="B20" s="689"/>
      <c r="C20" s="408" t="s">
        <v>312</v>
      </c>
      <c r="D20" s="416" t="s">
        <v>311</v>
      </c>
      <c r="E20" s="421" t="s">
        <v>310</v>
      </c>
      <c r="F20" s="408" t="s">
        <v>309</v>
      </c>
      <c r="G20" s="36" t="s">
        <v>1086</v>
      </c>
      <c r="H20" s="36"/>
      <c r="I20" s="36"/>
      <c r="J20" s="36"/>
      <c r="K20" s="36"/>
      <c r="L20" s="36"/>
      <c r="M20" s="418"/>
    </row>
    <row r="21" spans="1:13" ht="13.5" customHeight="1">
      <c r="A21" s="688"/>
      <c r="B21" s="689"/>
      <c r="C21" s="415" t="s">
        <v>308</v>
      </c>
      <c r="D21" s="416" t="s">
        <v>307</v>
      </c>
      <c r="E21" s="422" t="s">
        <v>1105</v>
      </c>
      <c r="F21" s="415" t="s">
        <v>306</v>
      </c>
      <c r="G21" s="36" t="s">
        <v>1086</v>
      </c>
      <c r="H21" s="36"/>
      <c r="I21" s="36"/>
      <c r="J21" s="36"/>
      <c r="K21" s="36"/>
      <c r="L21" s="36"/>
      <c r="M21" s="418"/>
    </row>
    <row r="22" spans="1:13" ht="13.5" customHeight="1">
      <c r="A22" s="688"/>
      <c r="B22" s="689"/>
      <c r="C22" s="415" t="s">
        <v>305</v>
      </c>
      <c r="D22" s="416" t="s">
        <v>304</v>
      </c>
      <c r="E22" s="422" t="s">
        <v>1087</v>
      </c>
      <c r="F22" s="415" t="s">
        <v>303</v>
      </c>
      <c r="G22" s="36" t="s">
        <v>1088</v>
      </c>
      <c r="H22" s="36"/>
      <c r="I22" s="36"/>
      <c r="J22" s="36"/>
      <c r="K22" s="36"/>
      <c r="L22" s="36"/>
      <c r="M22" s="418"/>
    </row>
    <row r="23" spans="1:13" ht="13.5" customHeight="1">
      <c r="A23" s="688"/>
      <c r="B23" s="689"/>
      <c r="C23" s="405" t="s">
        <v>1535</v>
      </c>
      <c r="D23" s="416" t="s">
        <v>1536</v>
      </c>
      <c r="E23" s="423" t="s">
        <v>1106</v>
      </c>
      <c r="F23" s="405" t="s">
        <v>302</v>
      </c>
      <c r="G23" s="36" t="s">
        <v>294</v>
      </c>
      <c r="H23" s="36"/>
      <c r="I23" s="36"/>
      <c r="J23" s="36"/>
      <c r="K23" s="36"/>
      <c r="L23" s="36"/>
      <c r="M23" s="418"/>
    </row>
    <row r="24" spans="1:13" ht="13.5" customHeight="1">
      <c r="A24" s="692" t="s">
        <v>668</v>
      </c>
      <c r="B24" s="693"/>
      <c r="C24" s="681" t="s">
        <v>300</v>
      </c>
      <c r="D24" s="405" t="s">
        <v>1653</v>
      </c>
      <c r="E24" s="584" t="s">
        <v>1654</v>
      </c>
      <c r="F24" s="405" t="s">
        <v>299</v>
      </c>
      <c r="G24" s="36" t="s">
        <v>294</v>
      </c>
      <c r="H24" s="36"/>
      <c r="I24" s="36"/>
      <c r="J24" s="36"/>
      <c r="K24" s="36"/>
      <c r="L24" s="36" t="s">
        <v>1086</v>
      </c>
      <c r="M24" s="585"/>
    </row>
    <row r="25" spans="1:13" ht="13.5" customHeight="1">
      <c r="A25" s="688"/>
      <c r="B25" s="689"/>
      <c r="C25" s="682"/>
      <c r="D25" s="405" t="s">
        <v>1107</v>
      </c>
      <c r="E25" s="584" t="s">
        <v>1477</v>
      </c>
      <c r="F25" s="405" t="s">
        <v>298</v>
      </c>
      <c r="G25" s="36" t="s">
        <v>294</v>
      </c>
      <c r="H25" s="36"/>
      <c r="I25" s="36"/>
      <c r="J25" s="36"/>
      <c r="K25" s="36"/>
      <c r="L25" s="36" t="s">
        <v>1086</v>
      </c>
      <c r="M25" s="407"/>
    </row>
    <row r="26" spans="1:13" ht="13.5" customHeight="1">
      <c r="A26" s="688"/>
      <c r="B26" s="689"/>
      <c r="C26" s="681" t="s">
        <v>301</v>
      </c>
      <c r="D26" s="405" t="s">
        <v>1623</v>
      </c>
      <c r="E26" s="707" t="s">
        <v>1618</v>
      </c>
      <c r="F26" s="405" t="s">
        <v>1619</v>
      </c>
      <c r="G26" s="36" t="s">
        <v>294</v>
      </c>
      <c r="H26" s="36"/>
      <c r="I26" s="36"/>
      <c r="J26" s="36"/>
      <c r="K26" s="36"/>
      <c r="L26" s="36"/>
      <c r="M26" s="406"/>
    </row>
    <row r="27" spans="1:13" ht="13.5" customHeight="1">
      <c r="A27" s="688"/>
      <c r="B27" s="689"/>
      <c r="C27" s="706"/>
      <c r="D27" s="405" t="s">
        <v>1624</v>
      </c>
      <c r="E27" s="708"/>
      <c r="F27" s="405" t="s">
        <v>1620</v>
      </c>
      <c r="G27" s="36" t="s">
        <v>294</v>
      </c>
      <c r="H27" s="36"/>
      <c r="I27" s="36"/>
      <c r="J27" s="36"/>
      <c r="K27" s="36"/>
      <c r="L27" s="36"/>
      <c r="M27" s="424"/>
    </row>
    <row r="28" spans="1:13" ht="13.5" customHeight="1">
      <c r="A28" s="688"/>
      <c r="B28" s="689"/>
      <c r="C28" s="706"/>
      <c r="D28" s="405" t="s">
        <v>1625</v>
      </c>
      <c r="E28" s="708"/>
      <c r="F28" s="405" t="s">
        <v>1621</v>
      </c>
      <c r="G28" s="36"/>
      <c r="H28" s="36"/>
      <c r="I28" s="36"/>
      <c r="J28" s="36"/>
      <c r="K28" s="36"/>
      <c r="L28" s="36"/>
      <c r="M28" s="424"/>
    </row>
    <row r="29" spans="1:13" ht="13.5" customHeight="1">
      <c r="A29" s="688"/>
      <c r="B29" s="689"/>
      <c r="C29" s="682"/>
      <c r="D29" s="405" t="s">
        <v>1626</v>
      </c>
      <c r="E29" s="708"/>
      <c r="F29" s="405" t="s">
        <v>1622</v>
      </c>
      <c r="G29" s="36"/>
      <c r="H29" s="36"/>
      <c r="I29" s="36"/>
      <c r="J29" s="36"/>
      <c r="K29" s="36"/>
      <c r="L29" s="36"/>
      <c r="M29" s="407"/>
    </row>
    <row r="30" spans="1:13" ht="27.95" customHeight="1">
      <c r="A30" s="688"/>
      <c r="B30" s="689"/>
      <c r="C30" s="415" t="s">
        <v>293</v>
      </c>
      <c r="D30" s="419" t="s">
        <v>1108</v>
      </c>
      <c r="E30" s="414" t="s">
        <v>1109</v>
      </c>
      <c r="F30" s="415" t="s">
        <v>1110</v>
      </c>
      <c r="G30" s="425"/>
      <c r="H30" s="425"/>
      <c r="I30" s="612"/>
      <c r="J30" s="612"/>
      <c r="K30" s="425"/>
      <c r="L30" s="425"/>
      <c r="M30" s="406"/>
    </row>
    <row r="31" spans="1:13" ht="13.5" customHeight="1" thickBot="1">
      <c r="A31" s="709"/>
      <c r="B31" s="710"/>
      <c r="C31" s="405" t="s">
        <v>297</v>
      </c>
      <c r="D31" s="416" t="s">
        <v>296</v>
      </c>
      <c r="E31" s="423" t="s">
        <v>295</v>
      </c>
      <c r="F31" s="405" t="s">
        <v>295</v>
      </c>
      <c r="G31" s="36" t="s">
        <v>294</v>
      </c>
      <c r="H31" s="36"/>
      <c r="I31" s="36"/>
      <c r="J31" s="36"/>
      <c r="K31" s="36"/>
      <c r="L31" s="36"/>
      <c r="M31" s="418"/>
    </row>
    <row r="32" spans="1:13" ht="13.5" customHeight="1">
      <c r="A32" s="686" t="s">
        <v>1487</v>
      </c>
      <c r="B32" s="687"/>
      <c r="C32" s="426" t="s">
        <v>1644</v>
      </c>
      <c r="D32" s="427" t="s">
        <v>1645</v>
      </c>
      <c r="E32" s="651" t="s">
        <v>1646</v>
      </c>
      <c r="F32" s="652" t="s">
        <v>1646</v>
      </c>
      <c r="G32" s="653"/>
      <c r="H32" s="653"/>
      <c r="I32" s="653"/>
      <c r="J32" s="653"/>
      <c r="K32" s="653"/>
      <c r="L32" s="653"/>
      <c r="M32" s="698" t="s">
        <v>1478</v>
      </c>
    </row>
    <row r="33" spans="1:13" ht="13.5" customHeight="1">
      <c r="A33" s="688"/>
      <c r="B33" s="689"/>
      <c r="C33" s="405" t="s">
        <v>1485</v>
      </c>
      <c r="D33" s="420" t="s">
        <v>1483</v>
      </c>
      <c r="E33" s="428" t="s">
        <v>1484</v>
      </c>
      <c r="F33" s="24" t="s">
        <v>1484</v>
      </c>
      <c r="G33" s="36"/>
      <c r="H33" s="36"/>
      <c r="I33" s="36"/>
      <c r="J33" s="36"/>
      <c r="K33" s="36"/>
      <c r="L33" s="36"/>
      <c r="M33" s="699"/>
    </row>
    <row r="34" spans="1:13" ht="13.5" customHeight="1">
      <c r="A34" s="688"/>
      <c r="B34" s="689"/>
      <c r="C34" s="405" t="s">
        <v>1111</v>
      </c>
      <c r="D34" s="420" t="s">
        <v>1274</v>
      </c>
      <c r="E34" s="428" t="s">
        <v>57</v>
      </c>
      <c r="F34" s="24" t="s">
        <v>57</v>
      </c>
      <c r="G34" s="36"/>
      <c r="H34" s="36"/>
      <c r="I34" s="36"/>
      <c r="J34" s="36"/>
      <c r="K34" s="36"/>
      <c r="L34" s="36"/>
      <c r="M34" s="699"/>
    </row>
    <row r="35" spans="1:13" ht="13.5" customHeight="1">
      <c r="A35" s="688"/>
      <c r="B35" s="689"/>
      <c r="C35" s="405" t="s">
        <v>1189</v>
      </c>
      <c r="D35" s="420" t="s">
        <v>1190</v>
      </c>
      <c r="E35" s="428" t="s">
        <v>1191</v>
      </c>
      <c r="F35" s="24" t="s">
        <v>1192</v>
      </c>
      <c r="G35" s="36"/>
      <c r="H35" s="36"/>
      <c r="I35" s="36"/>
      <c r="J35" s="36"/>
      <c r="K35" s="36"/>
      <c r="L35" s="36"/>
      <c r="M35" s="680"/>
    </row>
    <row r="36" spans="1:13" ht="27" customHeight="1">
      <c r="A36" s="690"/>
      <c r="B36" s="691"/>
      <c r="C36" s="405" t="s">
        <v>1112</v>
      </c>
      <c r="D36" s="420" t="s">
        <v>1486</v>
      </c>
      <c r="E36" s="429" t="s">
        <v>1113</v>
      </c>
      <c r="F36" s="416" t="s">
        <v>292</v>
      </c>
      <c r="G36" s="36"/>
      <c r="H36" s="36"/>
      <c r="I36" s="36"/>
      <c r="J36" s="36"/>
      <c r="K36" s="36"/>
      <c r="L36" s="36"/>
      <c r="M36" s="418" t="s">
        <v>740</v>
      </c>
    </row>
    <row r="37" spans="1:13" ht="13.5" customHeight="1">
      <c r="A37" s="692" t="s">
        <v>1488</v>
      </c>
      <c r="B37" s="693"/>
      <c r="C37" s="586" t="s">
        <v>1649</v>
      </c>
      <c r="D37" s="419" t="s">
        <v>1650</v>
      </c>
      <c r="E37" s="428" t="s">
        <v>1651</v>
      </c>
      <c r="F37" s="24" t="s">
        <v>1651</v>
      </c>
      <c r="G37" s="36"/>
      <c r="H37" s="36"/>
      <c r="I37" s="36"/>
      <c r="J37" s="36"/>
      <c r="K37" s="36"/>
      <c r="L37" s="36"/>
      <c r="M37" s="418"/>
    </row>
    <row r="38" spans="1:13" ht="13.5" customHeight="1">
      <c r="A38" s="688"/>
      <c r="B38" s="689"/>
      <c r="C38" s="405" t="s">
        <v>1648</v>
      </c>
      <c r="D38" s="420" t="s">
        <v>1647</v>
      </c>
      <c r="E38" s="428" t="s">
        <v>806</v>
      </c>
      <c r="F38" s="24" t="s">
        <v>806</v>
      </c>
      <c r="G38" s="36"/>
      <c r="H38" s="36"/>
      <c r="I38" s="36"/>
      <c r="J38" s="36"/>
      <c r="K38" s="36"/>
      <c r="L38" s="36"/>
      <c r="M38" s="418"/>
    </row>
    <row r="39" spans="1:13" ht="13.5" customHeight="1">
      <c r="A39" s="688"/>
      <c r="B39" s="689"/>
      <c r="C39" s="405" t="s">
        <v>1114</v>
      </c>
      <c r="D39" s="420" t="s">
        <v>1492</v>
      </c>
      <c r="E39" s="428" t="s">
        <v>1194</v>
      </c>
      <c r="F39" s="24" t="s">
        <v>1194</v>
      </c>
      <c r="G39" s="36"/>
      <c r="H39" s="36"/>
      <c r="I39" s="36"/>
      <c r="J39" s="36"/>
      <c r="K39" s="36"/>
      <c r="L39" s="36"/>
      <c r="M39" s="418"/>
    </row>
    <row r="40" spans="1:13" ht="13.5" customHeight="1">
      <c r="A40" s="688"/>
      <c r="B40" s="689"/>
      <c r="C40" s="405" t="s">
        <v>1193</v>
      </c>
      <c r="D40" s="420" t="s">
        <v>1493</v>
      </c>
      <c r="E40" s="428" t="s">
        <v>1195</v>
      </c>
      <c r="F40" s="24" t="s">
        <v>1195</v>
      </c>
      <c r="G40" s="36"/>
      <c r="H40" s="36"/>
      <c r="I40" s="36"/>
      <c r="J40" s="36"/>
      <c r="K40" s="36"/>
      <c r="L40" s="36"/>
      <c r="M40" s="418"/>
    </row>
    <row r="41" spans="1:13" ht="30" customHeight="1">
      <c r="A41" s="690"/>
      <c r="B41" s="691"/>
      <c r="C41" s="405" t="s">
        <v>1115</v>
      </c>
      <c r="D41" s="420" t="s">
        <v>1886</v>
      </c>
      <c r="E41" s="430" t="s">
        <v>1116</v>
      </c>
      <c r="F41" s="416" t="s">
        <v>743</v>
      </c>
      <c r="G41" s="36"/>
      <c r="H41" s="36"/>
      <c r="I41" s="36"/>
      <c r="J41" s="36"/>
      <c r="K41" s="36"/>
      <c r="L41" s="36"/>
      <c r="M41" s="418" t="s">
        <v>741</v>
      </c>
    </row>
    <row r="42" spans="1:13" ht="13.5" customHeight="1">
      <c r="A42" s="692" t="s">
        <v>1489</v>
      </c>
      <c r="B42" s="693"/>
      <c r="C42" s="518" t="s">
        <v>291</v>
      </c>
      <c r="D42" s="419" t="s">
        <v>1790</v>
      </c>
      <c r="E42" s="429" t="s">
        <v>742</v>
      </c>
      <c r="F42" s="416" t="s">
        <v>744</v>
      </c>
      <c r="G42" s="36"/>
      <c r="H42" s="36"/>
      <c r="I42" s="36"/>
      <c r="J42" s="36"/>
      <c r="K42" s="36"/>
      <c r="L42" s="36"/>
      <c r="M42" s="431"/>
    </row>
    <row r="43" spans="1:13" ht="13.5" customHeight="1">
      <c r="A43" s="688"/>
      <c r="B43" s="689"/>
      <c r="C43" s="405" t="s">
        <v>290</v>
      </c>
      <c r="D43" s="420" t="s">
        <v>1791</v>
      </c>
      <c r="E43" s="429" t="s">
        <v>289</v>
      </c>
      <c r="F43" s="416" t="s">
        <v>289</v>
      </c>
      <c r="G43" s="36"/>
      <c r="H43" s="36"/>
      <c r="I43" s="36"/>
      <c r="J43" s="36"/>
      <c r="K43" s="36"/>
      <c r="L43" s="36"/>
      <c r="M43" s="418"/>
    </row>
    <row r="44" spans="1:13" ht="13.5" customHeight="1">
      <c r="A44" s="688"/>
      <c r="B44" s="689"/>
      <c r="C44" s="405" t="s">
        <v>288</v>
      </c>
      <c r="D44" s="420" t="s">
        <v>1792</v>
      </c>
      <c r="E44" s="429" t="s">
        <v>287</v>
      </c>
      <c r="F44" s="416" t="s">
        <v>287</v>
      </c>
      <c r="G44" s="36"/>
      <c r="H44" s="36"/>
      <c r="I44" s="36"/>
      <c r="J44" s="36"/>
      <c r="K44" s="36"/>
      <c r="L44" s="36"/>
      <c r="M44" s="418"/>
    </row>
    <row r="45" spans="1:13" ht="13.5" customHeight="1">
      <c r="A45" s="688"/>
      <c r="B45" s="689"/>
      <c r="C45" s="405" t="s">
        <v>286</v>
      </c>
      <c r="D45" s="420" t="s">
        <v>1793</v>
      </c>
      <c r="E45" s="429" t="s">
        <v>285</v>
      </c>
      <c r="F45" s="416" t="s">
        <v>285</v>
      </c>
      <c r="G45" s="36"/>
      <c r="H45" s="36"/>
      <c r="I45" s="36"/>
      <c r="J45" s="36"/>
      <c r="K45" s="36"/>
      <c r="L45" s="36"/>
      <c r="M45" s="418"/>
    </row>
    <row r="46" spans="1:13" ht="13.5" customHeight="1">
      <c r="A46" s="688"/>
      <c r="B46" s="689"/>
      <c r="C46" s="405" t="s">
        <v>1781</v>
      </c>
      <c r="D46" s="420" t="s">
        <v>1794</v>
      </c>
      <c r="E46" s="429" t="s">
        <v>1783</v>
      </c>
      <c r="F46" s="416" t="s">
        <v>1783</v>
      </c>
      <c r="G46" s="36"/>
      <c r="H46" s="36"/>
      <c r="I46" s="36"/>
      <c r="J46" s="36"/>
      <c r="K46" s="36"/>
      <c r="L46" s="36"/>
      <c r="M46" s="418"/>
    </row>
    <row r="47" spans="1:13" ht="13.5" customHeight="1">
      <c r="A47" s="688"/>
      <c r="B47" s="689"/>
      <c r="C47" s="405" t="s">
        <v>1782</v>
      </c>
      <c r="D47" s="420" t="s">
        <v>1795</v>
      </c>
      <c r="E47" s="429" t="s">
        <v>1784</v>
      </c>
      <c r="F47" s="416" t="s">
        <v>1784</v>
      </c>
      <c r="G47" s="36"/>
      <c r="H47" s="36"/>
      <c r="I47" s="36"/>
      <c r="J47" s="36"/>
      <c r="K47" s="36"/>
      <c r="L47" s="36"/>
      <c r="M47" s="418"/>
    </row>
    <row r="48" spans="1:13" ht="13.5" customHeight="1" thickBot="1">
      <c r="A48" s="709"/>
      <c r="B48" s="710"/>
      <c r="C48" s="432" t="s">
        <v>284</v>
      </c>
      <c r="D48" s="433" t="s">
        <v>284</v>
      </c>
      <c r="E48" s="434" t="s">
        <v>284</v>
      </c>
      <c r="F48" s="435" t="s">
        <v>284</v>
      </c>
      <c r="G48" s="436"/>
      <c r="H48" s="436"/>
      <c r="I48" s="436"/>
      <c r="J48" s="436"/>
      <c r="K48" s="436"/>
      <c r="L48" s="436"/>
      <c r="M48" s="437"/>
    </row>
    <row r="49" spans="1:13" ht="13.5" customHeight="1">
      <c r="A49" s="701" t="s">
        <v>371</v>
      </c>
      <c r="B49" s="702"/>
      <c r="C49" s="438" t="s">
        <v>283</v>
      </c>
      <c r="D49" s="439" t="s">
        <v>282</v>
      </c>
      <c r="E49" s="440" t="s">
        <v>1117</v>
      </c>
      <c r="F49" s="438" t="s">
        <v>1491</v>
      </c>
      <c r="G49" s="441"/>
      <c r="H49" s="441"/>
      <c r="I49" s="441"/>
      <c r="J49" s="441"/>
      <c r="K49" s="441"/>
      <c r="L49" s="624" t="s">
        <v>1086</v>
      </c>
      <c r="M49" s="685" t="s">
        <v>281</v>
      </c>
    </row>
    <row r="50" spans="1:13" ht="13.5" customHeight="1">
      <c r="A50" s="697"/>
      <c r="B50" s="703"/>
      <c r="C50" s="442" t="s">
        <v>280</v>
      </c>
      <c r="D50" s="443" t="s">
        <v>279</v>
      </c>
      <c r="E50" s="704" t="s">
        <v>1118</v>
      </c>
      <c r="F50" s="694" t="s">
        <v>1490</v>
      </c>
      <c r="G50" s="444"/>
      <c r="H50" s="444"/>
      <c r="I50" s="581"/>
      <c r="J50" s="581"/>
      <c r="K50" s="444"/>
      <c r="L50" s="625"/>
      <c r="M50" s="685"/>
    </row>
    <row r="51" spans="1:13" ht="13.5" customHeight="1">
      <c r="A51" s="697"/>
      <c r="B51" s="703"/>
      <c r="C51" s="445" t="s">
        <v>278</v>
      </c>
      <c r="D51" s="446"/>
      <c r="E51" s="705"/>
      <c r="F51" s="695"/>
      <c r="G51" s="441"/>
      <c r="H51" s="441"/>
      <c r="I51" s="441"/>
      <c r="J51" s="441"/>
      <c r="K51" s="441"/>
      <c r="L51" s="626"/>
      <c r="M51" s="685"/>
    </row>
    <row r="52" spans="1:13" ht="13.5" customHeight="1">
      <c r="A52" s="697"/>
      <c r="B52" s="703"/>
      <c r="C52" s="442" t="s">
        <v>277</v>
      </c>
      <c r="D52" s="447" t="s">
        <v>1524</v>
      </c>
      <c r="E52" s="448" t="s">
        <v>1119</v>
      </c>
      <c r="F52" s="442" t="s">
        <v>1525</v>
      </c>
      <c r="G52" s="449"/>
      <c r="H52" s="449"/>
      <c r="I52" s="449"/>
      <c r="J52" s="449"/>
      <c r="K52" s="449"/>
      <c r="L52" s="624"/>
      <c r="M52" s="685"/>
    </row>
    <row r="53" spans="1:13" ht="42" customHeight="1">
      <c r="A53" s="450"/>
      <c r="B53" s="700" t="s">
        <v>274</v>
      </c>
      <c r="C53" s="451" t="s">
        <v>1788</v>
      </c>
      <c r="D53" s="447" t="s">
        <v>276</v>
      </c>
      <c r="E53" s="452" t="s">
        <v>370</v>
      </c>
      <c r="F53" s="451" t="s">
        <v>631</v>
      </c>
      <c r="G53" s="449"/>
      <c r="H53" s="449"/>
      <c r="I53" s="449"/>
      <c r="J53" s="449"/>
      <c r="K53" s="624" t="s">
        <v>1086</v>
      </c>
      <c r="L53" s="624"/>
      <c r="M53" s="685"/>
    </row>
    <row r="54" spans="1:13" ht="13.5" customHeight="1">
      <c r="A54" s="696" t="s">
        <v>275</v>
      </c>
      <c r="B54" s="700"/>
      <c r="C54" s="451" t="s">
        <v>1120</v>
      </c>
      <c r="D54" s="447" t="s">
        <v>1304</v>
      </c>
      <c r="E54" s="452" t="s">
        <v>1305</v>
      </c>
      <c r="F54" s="451" t="s">
        <v>1306</v>
      </c>
      <c r="G54" s="449"/>
      <c r="H54" s="449"/>
      <c r="I54" s="449"/>
      <c r="J54" s="449"/>
      <c r="K54" s="449"/>
      <c r="L54" s="624" t="s">
        <v>1086</v>
      </c>
      <c r="M54" s="685"/>
    </row>
    <row r="55" spans="1:13" ht="13.5" customHeight="1">
      <c r="A55" s="697"/>
      <c r="B55" s="700"/>
      <c r="C55" s="451" t="s">
        <v>273</v>
      </c>
      <c r="D55" s="447" t="s">
        <v>272</v>
      </c>
      <c r="E55" s="452" t="s">
        <v>1121</v>
      </c>
      <c r="F55" s="451" t="s">
        <v>681</v>
      </c>
      <c r="G55" s="449"/>
      <c r="H55" s="449"/>
      <c r="I55" s="449"/>
      <c r="J55" s="449"/>
      <c r="K55" s="449"/>
      <c r="L55" s="624" t="s">
        <v>1086</v>
      </c>
      <c r="M55" s="685"/>
    </row>
    <row r="56" spans="1:13" ht="13.5" customHeight="1">
      <c r="A56" s="697"/>
      <c r="B56" s="700"/>
      <c r="C56" s="442" t="s">
        <v>1655</v>
      </c>
      <c r="D56" s="580" t="s">
        <v>1656</v>
      </c>
      <c r="E56" s="582" t="s">
        <v>1657</v>
      </c>
      <c r="F56" s="583" t="s">
        <v>1657</v>
      </c>
      <c r="G56" s="624" t="s">
        <v>294</v>
      </c>
      <c r="H56" s="444"/>
      <c r="I56" s="581"/>
      <c r="J56" s="581"/>
      <c r="K56" s="444"/>
      <c r="L56" s="624" t="s">
        <v>294</v>
      </c>
      <c r="M56" s="685"/>
    </row>
    <row r="57" spans="1:13" ht="13.5" customHeight="1" thickBot="1">
      <c r="A57" s="697"/>
      <c r="B57" s="654" t="s">
        <v>1652</v>
      </c>
      <c r="C57" s="632" t="s">
        <v>1476</v>
      </c>
      <c r="D57" s="633" t="s">
        <v>271</v>
      </c>
      <c r="E57" s="634" t="s">
        <v>1140</v>
      </c>
      <c r="F57" s="635" t="s">
        <v>1141</v>
      </c>
      <c r="G57" s="581"/>
      <c r="H57" s="581"/>
      <c r="I57" s="581"/>
      <c r="J57" s="581"/>
      <c r="K57" s="581"/>
      <c r="L57" s="581"/>
      <c r="M57" s="685"/>
    </row>
    <row r="58" spans="1:13" ht="25.5" customHeight="1">
      <c r="A58" s="673" t="s">
        <v>1639</v>
      </c>
      <c r="B58" s="674"/>
      <c r="C58" s="636" t="s">
        <v>1637</v>
      </c>
      <c r="D58" s="637" t="s">
        <v>1628</v>
      </c>
      <c r="E58" s="636" t="s">
        <v>1642</v>
      </c>
      <c r="F58" s="636" t="s">
        <v>1638</v>
      </c>
      <c r="G58" s="638"/>
      <c r="H58" s="638"/>
      <c r="I58" s="638"/>
      <c r="J58" s="638"/>
      <c r="K58" s="638"/>
      <c r="L58" s="638"/>
      <c r="M58" s="646" t="s">
        <v>1627</v>
      </c>
    </row>
    <row r="59" spans="1:13" ht="13.5">
      <c r="A59" s="675"/>
      <c r="B59" s="676"/>
      <c r="C59" s="639" t="s">
        <v>1629</v>
      </c>
      <c r="D59" s="640" t="s">
        <v>1632</v>
      </c>
      <c r="E59" s="649" t="s">
        <v>1630</v>
      </c>
      <c r="F59" s="639" t="s">
        <v>1630</v>
      </c>
      <c r="G59" s="641"/>
      <c r="H59" s="641"/>
      <c r="I59" s="641"/>
      <c r="J59" s="641"/>
      <c r="K59" s="641"/>
      <c r="L59" s="659" t="s">
        <v>1665</v>
      </c>
      <c r="M59" s="647"/>
    </row>
    <row r="60" spans="1:13" ht="13.5">
      <c r="A60" s="675"/>
      <c r="B60" s="676"/>
      <c r="C60" s="639" t="s">
        <v>1631</v>
      </c>
      <c r="D60" s="640" t="s">
        <v>1633</v>
      </c>
      <c r="E60" s="649" t="s">
        <v>1634</v>
      </c>
      <c r="F60" s="639" t="s">
        <v>1634</v>
      </c>
      <c r="G60" s="641"/>
      <c r="H60" s="641"/>
      <c r="I60" s="641"/>
      <c r="J60" s="641"/>
      <c r="K60" s="641"/>
      <c r="L60" s="659" t="s">
        <v>1665</v>
      </c>
      <c r="M60" s="647" t="s">
        <v>1659</v>
      </c>
    </row>
    <row r="61" spans="1:13" ht="17.25" customHeight="1" thickBot="1">
      <c r="A61" s="677"/>
      <c r="B61" s="678"/>
      <c r="C61" s="642" t="s">
        <v>1636</v>
      </c>
      <c r="D61" s="643" t="s">
        <v>1635</v>
      </c>
      <c r="E61" s="650" t="s">
        <v>1640</v>
      </c>
      <c r="F61" s="644" t="s">
        <v>1640</v>
      </c>
      <c r="G61" s="645"/>
      <c r="H61" s="655" t="s">
        <v>1658</v>
      </c>
      <c r="I61" s="645"/>
      <c r="J61" s="655" t="s">
        <v>1658</v>
      </c>
      <c r="K61" s="645"/>
      <c r="L61" s="655" t="s">
        <v>1658</v>
      </c>
      <c r="M61" s="648" t="s">
        <v>1641</v>
      </c>
    </row>
    <row r="62" spans="1:13" ht="12.75" thickTop="1"/>
  </sheetData>
  <mergeCells count="30">
    <mergeCell ref="A1:B1"/>
    <mergeCell ref="A8:B11"/>
    <mergeCell ref="A12:B15"/>
    <mergeCell ref="A16:B19"/>
    <mergeCell ref="A2:B7"/>
    <mergeCell ref="C2:C3"/>
    <mergeCell ref="A49:B52"/>
    <mergeCell ref="E50:E51"/>
    <mergeCell ref="A20:B23"/>
    <mergeCell ref="C24:C25"/>
    <mergeCell ref="C26:C29"/>
    <mergeCell ref="E26:E29"/>
    <mergeCell ref="A24:B31"/>
    <mergeCell ref="A42:B48"/>
    <mergeCell ref="A58:B61"/>
    <mergeCell ref="M5:M6"/>
    <mergeCell ref="C5:C6"/>
    <mergeCell ref="G5:G6"/>
    <mergeCell ref="H5:H6"/>
    <mergeCell ref="K5:K6"/>
    <mergeCell ref="L5:L6"/>
    <mergeCell ref="I5:I6"/>
    <mergeCell ref="J5:J6"/>
    <mergeCell ref="M49:M57"/>
    <mergeCell ref="A32:B36"/>
    <mergeCell ref="A37:B41"/>
    <mergeCell ref="F50:F51"/>
    <mergeCell ref="A54:A57"/>
    <mergeCell ref="M32:M35"/>
    <mergeCell ref="B53:B5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7" fitToHeight="0" orientation="landscape" r:id="rId1"/>
  <rowBreaks count="1" manualBreakCount="1">
    <brk id="4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workbookViewId="0">
      <selection activeCell="L37" sqref="L37"/>
    </sheetView>
  </sheetViews>
  <sheetFormatPr defaultRowHeight="14.25"/>
  <cols>
    <col min="1" max="1" width="2.125" style="590" customWidth="1"/>
    <col min="2" max="3" width="3.625" style="590" customWidth="1"/>
    <col min="4" max="4" width="5.625" style="590" customWidth="1"/>
    <col min="5" max="5" width="2.625" style="590" customWidth="1"/>
    <col min="6" max="6" width="5.625" style="590" customWidth="1"/>
    <col min="7" max="7" width="10.625" style="590" customWidth="1"/>
    <col min="8" max="9" width="4.625" style="592" customWidth="1"/>
    <col min="10" max="10" width="41.875" style="591" customWidth="1"/>
    <col min="11" max="16384" width="9" style="590"/>
  </cols>
  <sheetData>
    <row r="1" spans="1:10" ht="3.75" customHeight="1" thickBot="1">
      <c r="J1" s="593"/>
    </row>
    <row r="2" spans="1:10" ht="12.95" customHeight="1">
      <c r="A2" s="599"/>
      <c r="B2" s="599"/>
      <c r="C2" s="599"/>
      <c r="D2" s="599"/>
      <c r="E2" s="599"/>
      <c r="F2" s="761">
        <v>2</v>
      </c>
      <c r="G2" s="598"/>
      <c r="H2" s="597"/>
      <c r="I2" s="597"/>
      <c r="J2" s="593"/>
    </row>
    <row r="3" spans="1:10" ht="12.95" customHeight="1" thickBot="1">
      <c r="C3" s="600"/>
      <c r="D3" s="600"/>
      <c r="E3" s="600"/>
      <c r="F3" s="762"/>
      <c r="G3" s="601"/>
      <c r="H3" s="767">
        <f>Gravitic!C123*2</f>
        <v>1.004737463173361</v>
      </c>
      <c r="I3" s="767"/>
      <c r="J3" s="763" t="s">
        <v>1549</v>
      </c>
    </row>
    <row r="4" spans="1:10" ht="12.95" customHeight="1">
      <c r="C4" s="600"/>
      <c r="D4" s="600"/>
      <c r="E4" s="599"/>
      <c r="F4" s="599"/>
      <c r="G4" s="599"/>
      <c r="H4" s="597"/>
      <c r="I4" s="597"/>
      <c r="J4" s="763"/>
    </row>
    <row r="5" spans="1:10" ht="12.95" customHeight="1">
      <c r="C5" s="600"/>
      <c r="D5" s="759" t="s">
        <v>1537</v>
      </c>
      <c r="E5" s="600"/>
      <c r="F5" s="760">
        <v>3</v>
      </c>
      <c r="G5" s="601"/>
      <c r="H5" s="603"/>
      <c r="I5" s="603"/>
      <c r="J5" s="593"/>
    </row>
    <row r="6" spans="1:10" ht="12.95" customHeight="1">
      <c r="C6" s="600"/>
      <c r="D6" s="760"/>
      <c r="E6" s="600"/>
      <c r="F6" s="760"/>
      <c r="G6" s="601"/>
      <c r="H6" s="603"/>
      <c r="I6" s="603"/>
      <c r="J6" s="593"/>
    </row>
    <row r="7" spans="1:10" ht="12.95" customHeight="1" thickBot="1">
      <c r="C7" s="600"/>
      <c r="D7" s="600"/>
      <c r="E7" s="596"/>
      <c r="F7" s="596"/>
      <c r="G7" s="596"/>
      <c r="H7" s="767">
        <f>Gravitic!C122/2</f>
        <v>1.0049349490154456</v>
      </c>
      <c r="I7" s="767"/>
      <c r="J7" s="763" t="s">
        <v>1548</v>
      </c>
    </row>
    <row r="8" spans="1:10" ht="12.95" customHeight="1">
      <c r="C8" s="600"/>
      <c r="D8" s="600"/>
      <c r="E8" s="600"/>
      <c r="F8" s="761">
        <v>2</v>
      </c>
      <c r="G8" s="601"/>
      <c r="H8" s="603"/>
      <c r="I8" s="603"/>
      <c r="J8" s="763"/>
    </row>
    <row r="9" spans="1:10" ht="12.95" customHeight="1" thickBot="1">
      <c r="C9" s="596"/>
      <c r="D9" s="596"/>
      <c r="E9" s="596"/>
      <c r="F9" s="762"/>
      <c r="G9" s="595"/>
      <c r="H9" s="594"/>
      <c r="I9" s="594"/>
      <c r="J9" s="593"/>
    </row>
    <row r="10" spans="1:10" ht="12.95" customHeight="1">
      <c r="C10" s="600"/>
      <c r="D10" s="600"/>
      <c r="E10" s="600"/>
      <c r="F10" s="601"/>
      <c r="G10" s="601"/>
      <c r="H10" s="603"/>
      <c r="I10" s="603"/>
      <c r="J10" s="593"/>
    </row>
    <row r="11" spans="1:10" ht="12.95" customHeight="1">
      <c r="C11" s="600"/>
      <c r="D11" s="759" t="s">
        <v>1547</v>
      </c>
      <c r="E11" s="600"/>
      <c r="F11" s="601"/>
      <c r="G11" s="601"/>
      <c r="H11" s="603"/>
      <c r="I11" s="603"/>
      <c r="J11" s="593"/>
    </row>
    <row r="12" spans="1:10" ht="12.95" customHeight="1">
      <c r="C12" s="600"/>
      <c r="D12" s="760"/>
      <c r="E12" s="600"/>
      <c r="F12" s="601"/>
      <c r="G12" s="601"/>
      <c r="H12" s="603"/>
      <c r="I12" s="603"/>
      <c r="J12" s="593"/>
    </row>
    <row r="13" spans="1:10" ht="12.95" customHeight="1" thickBot="1">
      <c r="D13" s="601"/>
      <c r="H13" s="766">
        <f>H27*(365+31/128)/364.5</f>
        <v>1.0020358844075885</v>
      </c>
      <c r="I13" s="766"/>
      <c r="J13" s="763" t="s">
        <v>1546</v>
      </c>
    </row>
    <row r="14" spans="1:10" ht="12.95" customHeight="1">
      <c r="C14" s="599"/>
      <c r="D14" s="599"/>
      <c r="E14" s="599"/>
      <c r="F14" s="599"/>
      <c r="G14" s="599"/>
      <c r="H14" s="597"/>
      <c r="I14" s="597"/>
      <c r="J14" s="763"/>
    </row>
    <row r="15" spans="1:10" ht="12.95" customHeight="1">
      <c r="C15" s="600"/>
      <c r="D15" s="600"/>
      <c r="E15" s="600"/>
      <c r="F15" s="759" t="s">
        <v>1542</v>
      </c>
      <c r="G15" s="602"/>
      <c r="H15" s="603"/>
      <c r="I15" s="603"/>
      <c r="J15" s="593"/>
    </row>
    <row r="16" spans="1:10" ht="12.95" customHeight="1">
      <c r="C16" s="600"/>
      <c r="D16" s="600"/>
      <c r="E16" s="600"/>
      <c r="F16" s="760"/>
      <c r="G16" s="601"/>
      <c r="H16" s="603"/>
      <c r="I16" s="603"/>
      <c r="J16" s="593"/>
    </row>
    <row r="17" spans="2:10" ht="12.95" customHeight="1" thickBot="1">
      <c r="C17" s="600"/>
      <c r="D17" s="600"/>
      <c r="E17" s="600"/>
      <c r="F17" s="600"/>
      <c r="G17" s="600"/>
      <c r="H17" s="603"/>
      <c r="I17" s="603"/>
      <c r="J17" s="763" t="s">
        <v>1545</v>
      </c>
    </row>
    <row r="18" spans="2:10" ht="12.95" customHeight="1">
      <c r="C18" s="600"/>
      <c r="D18" s="600"/>
      <c r="E18" s="599"/>
      <c r="F18" s="599"/>
      <c r="G18" s="599"/>
      <c r="H18" s="597"/>
      <c r="I18" s="597"/>
      <c r="J18" s="763"/>
    </row>
    <row r="19" spans="2:10" ht="12.95" customHeight="1">
      <c r="C19" s="600"/>
      <c r="D19" s="600"/>
      <c r="E19" s="600"/>
      <c r="F19" s="600"/>
      <c r="G19" s="600"/>
      <c r="H19" s="603"/>
      <c r="I19" s="603"/>
      <c r="J19" s="593"/>
    </row>
    <row r="20" spans="2:10" ht="12.95" customHeight="1">
      <c r="C20" s="600"/>
      <c r="D20" s="758" t="s">
        <v>1544</v>
      </c>
      <c r="E20" s="600"/>
      <c r="F20" s="758" t="s">
        <v>1555</v>
      </c>
      <c r="G20" s="758"/>
      <c r="H20" s="758"/>
      <c r="I20" s="603"/>
      <c r="J20" s="593"/>
    </row>
    <row r="21" spans="2:10" ht="12.95" customHeight="1" thickBot="1">
      <c r="C21" s="609"/>
      <c r="D21" s="758"/>
      <c r="E21" s="600"/>
      <c r="F21" s="758"/>
      <c r="G21" s="758"/>
      <c r="H21" s="758"/>
      <c r="I21" s="603"/>
      <c r="J21" s="763" t="s">
        <v>1543</v>
      </c>
    </row>
    <row r="22" spans="2:10" ht="12.95" customHeight="1">
      <c r="C22" s="609"/>
      <c r="D22" s="604"/>
      <c r="E22" s="600"/>
      <c r="F22" s="609"/>
      <c r="G22" s="609"/>
      <c r="H22" s="597"/>
      <c r="I22" s="761">
        <v>2</v>
      </c>
      <c r="J22" s="763"/>
    </row>
    <row r="23" spans="2:10" ht="12.95" customHeight="1" thickBot="1">
      <c r="C23" s="600"/>
      <c r="D23" s="600"/>
      <c r="E23" s="600"/>
      <c r="F23" s="600"/>
      <c r="G23" s="600"/>
      <c r="H23" s="603"/>
      <c r="I23" s="762"/>
      <c r="J23" s="763" t="s">
        <v>1554</v>
      </c>
    </row>
    <row r="24" spans="2:10" ht="12.95" customHeight="1">
      <c r="C24" s="600"/>
      <c r="D24" s="600"/>
      <c r="E24" s="600"/>
      <c r="F24" s="599"/>
      <c r="G24" s="599"/>
      <c r="H24" s="597"/>
      <c r="I24" s="597"/>
      <c r="J24" s="763"/>
    </row>
    <row r="25" spans="2:10" ht="12.95" customHeight="1">
      <c r="B25" s="758" t="s">
        <v>1553</v>
      </c>
      <c r="C25" s="758"/>
      <c r="D25" s="600"/>
      <c r="E25" s="600"/>
      <c r="F25" s="759" t="s">
        <v>1542</v>
      </c>
      <c r="G25" s="602"/>
      <c r="H25" s="603"/>
      <c r="I25" s="603"/>
      <c r="J25" s="593"/>
    </row>
    <row r="26" spans="2:10" ht="12.95" customHeight="1">
      <c r="B26" s="758"/>
      <c r="C26" s="758"/>
      <c r="D26" s="600"/>
      <c r="E26" s="600"/>
      <c r="F26" s="760"/>
      <c r="G26" s="601"/>
      <c r="H26" s="603"/>
      <c r="I26" s="603"/>
      <c r="J26" s="764" t="s">
        <v>1541</v>
      </c>
    </row>
    <row r="27" spans="2:10" ht="12.95" customHeight="1" thickBot="1">
      <c r="C27" s="596"/>
      <c r="D27" s="596"/>
      <c r="E27" s="596"/>
      <c r="F27" s="596"/>
      <c r="G27" s="596"/>
      <c r="H27" s="766">
        <f>50/128/Clock_by_Rydberg!F4</f>
        <v>0.99999970530941473</v>
      </c>
      <c r="I27" s="766"/>
      <c r="J27" s="764"/>
    </row>
    <row r="28" spans="2:10" ht="12.95" customHeight="1">
      <c r="J28" s="764"/>
    </row>
    <row r="29" spans="2:10" ht="12.95" customHeight="1">
      <c r="J29" s="764"/>
    </row>
    <row r="30" spans="2:10" ht="12.95" customHeight="1">
      <c r="F30" s="759" t="s">
        <v>1605</v>
      </c>
      <c r="J30" s="593"/>
    </row>
    <row r="31" spans="2:10" ht="12.95" customHeight="1">
      <c r="F31" s="760"/>
      <c r="J31" s="607"/>
    </row>
    <row r="32" spans="2:10" ht="12.95" customHeight="1">
      <c r="D32" s="759" t="s">
        <v>1540</v>
      </c>
      <c r="J32" s="764" t="s">
        <v>1550</v>
      </c>
    </row>
    <row r="33" spans="3:10" ht="12.95" customHeight="1" thickBot="1">
      <c r="D33" s="760"/>
      <c r="H33" s="766">
        <f>1/Clock_by_Rydberg!K34</f>
        <v>0.99908455793784623</v>
      </c>
      <c r="I33" s="766"/>
      <c r="J33" s="764"/>
    </row>
    <row r="34" spans="3:10" ht="12.95" customHeight="1">
      <c r="D34" s="601"/>
      <c r="E34" s="599"/>
      <c r="F34" s="599"/>
      <c r="G34" s="599"/>
      <c r="H34" s="597"/>
      <c r="I34" s="597"/>
      <c r="J34" s="764"/>
    </row>
    <row r="35" spans="3:10" ht="12.95" customHeight="1">
      <c r="D35" s="601"/>
      <c r="F35" s="608" t="s">
        <v>1551</v>
      </c>
      <c r="J35" s="764"/>
    </row>
    <row r="36" spans="3:10" ht="12.95" customHeight="1">
      <c r="D36" s="601"/>
      <c r="F36" s="608" t="s">
        <v>1552</v>
      </c>
      <c r="J36" s="764" t="s">
        <v>1617</v>
      </c>
    </row>
    <row r="37" spans="3:10" ht="12.95" customHeight="1" thickBot="1">
      <c r="H37" s="766">
        <f>Clock_by_Rydberg!K40</f>
        <v>1.0025394011358613</v>
      </c>
      <c r="I37" s="766"/>
      <c r="J37" s="764"/>
    </row>
    <row r="38" spans="3:10" ht="12.95" customHeight="1">
      <c r="C38" s="599"/>
      <c r="D38" s="599"/>
      <c r="E38" s="599"/>
      <c r="F38" s="599"/>
      <c r="G38" s="599"/>
      <c r="H38" s="597"/>
      <c r="I38" s="597"/>
      <c r="J38" s="764"/>
    </row>
    <row r="39" spans="3:10" ht="12.95" customHeight="1">
      <c r="C39" s="600"/>
      <c r="D39" s="600"/>
      <c r="E39" s="600"/>
      <c r="F39" s="600"/>
      <c r="G39" s="600"/>
      <c r="H39" s="603"/>
      <c r="I39" s="603"/>
      <c r="J39" s="764"/>
    </row>
    <row r="40" spans="3:10" ht="12.95" customHeight="1">
      <c r="C40" s="600"/>
      <c r="D40" s="759" t="s">
        <v>1539</v>
      </c>
      <c r="E40" s="600"/>
      <c r="F40" s="600"/>
      <c r="G40" s="600"/>
      <c r="H40" s="603"/>
      <c r="I40" s="603"/>
      <c r="J40" s="607"/>
    </row>
    <row r="41" spans="3:10" ht="12.95" customHeight="1">
      <c r="C41" s="600"/>
      <c r="D41" s="760"/>
      <c r="E41" s="600"/>
      <c r="F41" s="600"/>
      <c r="G41" s="600"/>
      <c r="H41" s="603"/>
      <c r="I41" s="603"/>
      <c r="J41" s="593"/>
    </row>
    <row r="42" spans="3:10" ht="12.95" customHeight="1">
      <c r="C42" s="600"/>
      <c r="D42" s="601"/>
      <c r="E42" s="600"/>
      <c r="F42" s="600"/>
      <c r="G42" s="600"/>
      <c r="H42" s="603"/>
      <c r="I42" s="603"/>
      <c r="J42" s="593"/>
    </row>
    <row r="43" spans="3:10" ht="12.95" customHeight="1" thickBot="1">
      <c r="C43" s="596"/>
      <c r="D43" s="596"/>
      <c r="E43" s="596"/>
      <c r="F43" s="596"/>
      <c r="G43" s="596"/>
      <c r="H43" s="765">
        <f>Clock_by_Rydberg!K46</f>
        <v>1.0000563665533584</v>
      </c>
      <c r="I43" s="765"/>
      <c r="J43" s="763" t="s">
        <v>1538</v>
      </c>
    </row>
    <row r="44" spans="3:10" ht="12.95" customHeight="1">
      <c r="J44" s="763"/>
    </row>
    <row r="45" spans="3:10" ht="12.95" customHeight="1">
      <c r="F45" s="759"/>
      <c r="G45" s="602"/>
      <c r="J45" s="593"/>
    </row>
    <row r="46" spans="3:10" ht="12.95" customHeight="1">
      <c r="D46" s="759" t="s">
        <v>1537</v>
      </c>
      <c r="F46" s="760"/>
      <c r="G46" s="601"/>
      <c r="J46" s="593"/>
    </row>
    <row r="47" spans="3:10" ht="12.95" customHeight="1" thickBot="1">
      <c r="D47" s="760"/>
      <c r="H47" s="765">
        <f>Clock_by_Rydberg!K47/2</f>
        <v>1.0142422717930941</v>
      </c>
      <c r="I47" s="765"/>
      <c r="J47" s="763" t="s">
        <v>1600</v>
      </c>
    </row>
    <row r="48" spans="3:10" ht="12.95" customHeight="1">
      <c r="C48" s="600"/>
      <c r="D48" s="600"/>
      <c r="E48" s="599"/>
      <c r="F48" s="761">
        <v>2</v>
      </c>
      <c r="G48" s="598"/>
      <c r="H48" s="597"/>
      <c r="I48" s="597"/>
      <c r="J48" s="763"/>
    </row>
    <row r="49" spans="1:10" ht="12.95" customHeight="1" thickBot="1">
      <c r="A49" s="596"/>
      <c r="B49" s="596"/>
      <c r="C49" s="596"/>
      <c r="D49" s="596"/>
      <c r="E49" s="596"/>
      <c r="F49" s="762"/>
      <c r="G49" s="595"/>
      <c r="H49" s="594"/>
      <c r="I49" s="594"/>
      <c r="J49" s="593"/>
    </row>
    <row r="50" spans="1:10" ht="12.95" customHeight="1"/>
  </sheetData>
  <mergeCells count="36">
    <mergeCell ref="H3:I3"/>
    <mergeCell ref="F2:F3"/>
    <mergeCell ref="F5:F6"/>
    <mergeCell ref="F8:F9"/>
    <mergeCell ref="F15:F16"/>
    <mergeCell ref="H7:I7"/>
    <mergeCell ref="J3:J4"/>
    <mergeCell ref="J7:J8"/>
    <mergeCell ref="J13:J14"/>
    <mergeCell ref="J17:J18"/>
    <mergeCell ref="J21:J22"/>
    <mergeCell ref="J32:J35"/>
    <mergeCell ref="H33:I33"/>
    <mergeCell ref="D11:D12"/>
    <mergeCell ref="D5:D6"/>
    <mergeCell ref="J26:J29"/>
    <mergeCell ref="H27:I27"/>
    <mergeCell ref="H13:I13"/>
    <mergeCell ref="I22:I23"/>
    <mergeCell ref="J23:J24"/>
    <mergeCell ref="D20:D21"/>
    <mergeCell ref="F20:H21"/>
    <mergeCell ref="F48:F49"/>
    <mergeCell ref="J43:J44"/>
    <mergeCell ref="J47:J48"/>
    <mergeCell ref="F45:F46"/>
    <mergeCell ref="J36:J39"/>
    <mergeCell ref="H47:I47"/>
    <mergeCell ref="H43:I43"/>
    <mergeCell ref="H37:I37"/>
    <mergeCell ref="B25:C26"/>
    <mergeCell ref="F25:F26"/>
    <mergeCell ref="D46:D47"/>
    <mergeCell ref="D40:D41"/>
    <mergeCell ref="D32:D33"/>
    <mergeCell ref="F30:F31"/>
  </mergeCells>
  <phoneticPr fontId="1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&amp;C&amp;"ＭＳ Ｐゴシック,太字"&amp;16&amp;A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5</xdr:col>
                <xdr:colOff>0</xdr:colOff>
                <xdr:row>44</xdr:row>
                <xdr:rowOff>47625</xdr:rowOff>
              </from>
              <to>
                <xdr:col>5</xdr:col>
                <xdr:colOff>390525</xdr:colOff>
                <xdr:row>46</xdr:row>
                <xdr:rowOff>28575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87"/>
  <sheetViews>
    <sheetView topLeftCell="B1" workbookViewId="0">
      <selection activeCell="I13" sqref="I13"/>
    </sheetView>
  </sheetViews>
  <sheetFormatPr defaultRowHeight="12"/>
  <cols>
    <col min="1" max="1" width="9" style="14"/>
    <col min="2" max="4" width="11.625" style="14" customWidth="1"/>
    <col min="5" max="5" width="9" style="606"/>
    <col min="6" max="6" width="13.375" style="14" customWidth="1"/>
    <col min="7" max="7" width="3.5" style="14" customWidth="1"/>
    <col min="8" max="8" width="13.875" style="14" customWidth="1"/>
    <col min="9" max="9" width="13.125" style="14" customWidth="1"/>
    <col min="10" max="10" width="3.625" style="14" customWidth="1"/>
    <col min="11" max="11" width="9.125" style="14" customWidth="1"/>
    <col min="12" max="12" width="14.625" style="14" customWidth="1"/>
    <col min="13" max="13" width="3.125" style="14" customWidth="1"/>
    <col min="14" max="14" width="8.625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9" style="14" customWidth="1"/>
    <col min="37" max="37" width="3.125" style="14" customWidth="1"/>
    <col min="38" max="16384" width="9" style="14"/>
  </cols>
  <sheetData>
    <row r="1" spans="1:10">
      <c r="A1" s="54" t="s">
        <v>383</v>
      </c>
      <c r="B1" s="54" t="s">
        <v>384</v>
      </c>
      <c r="C1" s="14" t="s">
        <v>562</v>
      </c>
      <c r="D1" s="14" t="s">
        <v>563</v>
      </c>
      <c r="F1" s="145"/>
      <c r="G1" s="768" t="s">
        <v>1615</v>
      </c>
      <c r="H1" s="768"/>
      <c r="I1" s="768"/>
      <c r="J1" s="768"/>
    </row>
    <row r="2" spans="1:10">
      <c r="A2" s="627"/>
      <c r="B2" s="145">
        <f>B3/64</f>
        <v>1</v>
      </c>
      <c r="C2" s="145">
        <f t="shared" ref="C2:D2" si="0">C3/64</f>
        <v>0.99796795790464377</v>
      </c>
      <c r="D2" s="145">
        <f t="shared" si="0"/>
        <v>0.99796825199649208</v>
      </c>
      <c r="E2" s="627"/>
      <c r="F2" s="145"/>
      <c r="G2" s="14">
        <v>1</v>
      </c>
      <c r="H2" s="14" t="s">
        <v>1613</v>
      </c>
      <c r="I2" s="14" t="s">
        <v>1614</v>
      </c>
    </row>
    <row r="3" spans="1:10">
      <c r="A3" s="145">
        <v>1</v>
      </c>
      <c r="B3" s="146">
        <v>64</v>
      </c>
      <c r="C3" s="14">
        <f>B3/(365+31/128)*364.5</f>
        <v>63.869949305897201</v>
      </c>
      <c r="D3" s="14">
        <f>C3*Clock_by_Rydberg!F4/Clock!F4</f>
        <v>63.869968127775493</v>
      </c>
      <c r="F3" s="145"/>
    </row>
    <row r="4" spans="1:10">
      <c r="A4" s="145" t="s">
        <v>374</v>
      </c>
      <c r="B4" s="146">
        <f>B3*12</f>
        <v>768</v>
      </c>
      <c r="C4" s="146">
        <f t="shared" ref="C4:C12" si="1">C3*12</f>
        <v>766.43939167076644</v>
      </c>
      <c r="D4" s="146">
        <f t="shared" ref="D4:D12" si="2">D3*12</f>
        <v>766.43961753330586</v>
      </c>
      <c r="F4" s="145"/>
    </row>
    <row r="5" spans="1:10">
      <c r="A5" s="145" t="s">
        <v>375</v>
      </c>
      <c r="B5" s="146">
        <f t="shared" ref="B5:B12" si="3">B4*12</f>
        <v>9216</v>
      </c>
      <c r="C5" s="146">
        <f t="shared" si="1"/>
        <v>9197.2727000491977</v>
      </c>
      <c r="D5" s="146">
        <f t="shared" si="2"/>
        <v>9197.2754103996704</v>
      </c>
      <c r="F5" s="145"/>
    </row>
    <row r="6" spans="1:10">
      <c r="A6" s="145"/>
      <c r="B6" s="146">
        <f>B3/64*POWER(12,4)</f>
        <v>20736</v>
      </c>
      <c r="C6" s="146">
        <f t="shared" ref="C6:D6" si="4">C3/64*POWER(12,4)</f>
        <v>20693.863575110692</v>
      </c>
      <c r="D6" s="146">
        <f t="shared" si="4"/>
        <v>20693.869673399258</v>
      </c>
      <c r="E6" s="627"/>
      <c r="F6" s="145"/>
      <c r="G6" s="14">
        <v>1</v>
      </c>
      <c r="H6" s="14" t="s">
        <v>1612</v>
      </c>
      <c r="I6" s="14" t="s">
        <v>1769</v>
      </c>
    </row>
    <row r="7" spans="1:10">
      <c r="A7" s="145" t="s">
        <v>376</v>
      </c>
      <c r="B7" s="146">
        <f>B5*12</f>
        <v>110592</v>
      </c>
      <c r="C7" s="146">
        <f>C5*12</f>
        <v>110367.27240059037</v>
      </c>
      <c r="D7" s="146">
        <f>D5*12</f>
        <v>110367.30492479604</v>
      </c>
      <c r="F7" s="145"/>
    </row>
    <row r="8" spans="1:10">
      <c r="A8" s="145" t="s">
        <v>377</v>
      </c>
      <c r="B8" s="146">
        <f t="shared" si="3"/>
        <v>1327104</v>
      </c>
      <c r="C8" s="146">
        <f t="shared" si="1"/>
        <v>1324407.2688070845</v>
      </c>
      <c r="D8" s="146">
        <f t="shared" si="2"/>
        <v>1324407.6590975525</v>
      </c>
      <c r="F8" s="145"/>
    </row>
    <row r="9" spans="1:10">
      <c r="A9" s="145"/>
      <c r="B9" s="146">
        <f>B8*2</f>
        <v>2654208</v>
      </c>
      <c r="C9" s="146">
        <f>C8*2</f>
        <v>2648814.5376141691</v>
      </c>
      <c r="D9" s="146">
        <f>D8*2</f>
        <v>2648815.3181951051</v>
      </c>
      <c r="E9" s="627"/>
      <c r="F9" s="145"/>
      <c r="G9" s="14">
        <v>1</v>
      </c>
      <c r="H9" s="14" t="s">
        <v>1611</v>
      </c>
      <c r="I9" s="14" t="s">
        <v>1770</v>
      </c>
    </row>
    <row r="10" spans="1:10">
      <c r="A10" s="145" t="s">
        <v>378</v>
      </c>
      <c r="B10" s="146">
        <f>B8*12</f>
        <v>15925248</v>
      </c>
      <c r="C10" s="146">
        <f>C8*12</f>
        <v>15892887.225685015</v>
      </c>
      <c r="D10" s="146">
        <f>D8*12</f>
        <v>15892891.909170631</v>
      </c>
      <c r="F10" s="145"/>
    </row>
    <row r="11" spans="1:10">
      <c r="A11" s="145" t="s">
        <v>379</v>
      </c>
      <c r="B11" s="146">
        <f t="shared" si="3"/>
        <v>191102976</v>
      </c>
      <c r="C11" s="146">
        <f t="shared" si="1"/>
        <v>190714646.70822018</v>
      </c>
      <c r="D11" s="146">
        <f t="shared" si="2"/>
        <v>190714702.91004759</v>
      </c>
      <c r="F11" s="145"/>
      <c r="G11" s="14">
        <v>1</v>
      </c>
      <c r="H11" s="14" t="s">
        <v>1610</v>
      </c>
      <c r="I11" s="14" t="s">
        <v>1771</v>
      </c>
    </row>
    <row r="12" spans="1:10">
      <c r="A12" s="145" t="s">
        <v>380</v>
      </c>
      <c r="B12" s="146">
        <f t="shared" si="3"/>
        <v>2293235712</v>
      </c>
      <c r="C12" s="146">
        <f t="shared" si="1"/>
        <v>2288575760.498642</v>
      </c>
      <c r="D12" s="146">
        <f t="shared" si="2"/>
        <v>2288576434.9205713</v>
      </c>
      <c r="F12" s="145"/>
      <c r="G12" s="14">
        <v>12</v>
      </c>
      <c r="H12" s="14" t="s">
        <v>1608</v>
      </c>
      <c r="I12" s="14" t="s">
        <v>1772</v>
      </c>
    </row>
    <row r="13" spans="1:10">
      <c r="A13" s="145" t="s">
        <v>385</v>
      </c>
      <c r="B13" s="146">
        <f>B12*2</f>
        <v>4586471424</v>
      </c>
      <c r="C13" s="146">
        <f t="shared" ref="C13:D13" si="5">C12*2</f>
        <v>4577151520.9972839</v>
      </c>
      <c r="D13" s="146">
        <f t="shared" si="5"/>
        <v>4577152869.8411427</v>
      </c>
      <c r="E13" s="628" t="s">
        <v>386</v>
      </c>
      <c r="G13" s="14">
        <v>24</v>
      </c>
      <c r="H13" s="628" t="s">
        <v>1609</v>
      </c>
      <c r="I13" s="14" t="s">
        <v>1773</v>
      </c>
    </row>
    <row r="14" spans="1:10">
      <c r="A14" s="145" t="s">
        <v>382</v>
      </c>
      <c r="B14" s="146">
        <f>B12*6</f>
        <v>13759414272</v>
      </c>
      <c r="C14" s="146">
        <f t="shared" ref="C14:D14" si="6">C12*6</f>
        <v>13731454562.991852</v>
      </c>
      <c r="D14" s="146">
        <f t="shared" si="6"/>
        <v>13731458609.523428</v>
      </c>
      <c r="E14" s="628" t="s">
        <v>387</v>
      </c>
      <c r="H14" s="145" t="s">
        <v>565</v>
      </c>
    </row>
    <row r="15" spans="1:10">
      <c r="A15" s="145" t="s">
        <v>381</v>
      </c>
      <c r="B15" s="146">
        <f>B12*12</f>
        <v>27518828544</v>
      </c>
      <c r="C15" s="146">
        <f t="shared" ref="C15:D15" si="7">C12*12</f>
        <v>27462909125.983704</v>
      </c>
      <c r="D15" s="146">
        <f t="shared" si="7"/>
        <v>27462917219.046856</v>
      </c>
      <c r="F15" s="145"/>
      <c r="H15" s="146">
        <f>B3</f>
        <v>64</v>
      </c>
      <c r="I15" s="14" t="s">
        <v>566</v>
      </c>
    </row>
    <row r="16" spans="1:10" ht="12.75" thickBot="1">
      <c r="A16" s="145"/>
      <c r="B16" s="146"/>
      <c r="F16" s="145"/>
    </row>
    <row r="17" spans="1:37">
      <c r="A17" s="94" t="s">
        <v>556</v>
      </c>
      <c r="B17" s="17" t="s">
        <v>557</v>
      </c>
      <c r="C17" s="17" t="s">
        <v>558</v>
      </c>
      <c r="D17" s="17" t="s">
        <v>559</v>
      </c>
      <c r="E17" s="605" t="s">
        <v>560</v>
      </c>
      <c r="F17" s="17" t="s">
        <v>679</v>
      </c>
      <c r="G17" s="18" t="s">
        <v>54</v>
      </c>
      <c r="H17" s="17" t="s">
        <v>564</v>
      </c>
      <c r="I17" s="17" t="s">
        <v>45</v>
      </c>
      <c r="J17" s="713" t="s">
        <v>80</v>
      </c>
      <c r="K17" s="751"/>
      <c r="L17" s="144" t="s">
        <v>213</v>
      </c>
      <c r="M17" s="125">
        <v>0</v>
      </c>
      <c r="N17" s="126"/>
      <c r="O17" s="126">
        <f>M17+1</f>
        <v>1</v>
      </c>
      <c r="P17" s="126"/>
      <c r="Q17" s="126">
        <f>O17+1</f>
        <v>2</v>
      </c>
      <c r="R17" s="126"/>
      <c r="S17" s="126">
        <f>Q17+1</f>
        <v>3</v>
      </c>
      <c r="T17" s="126"/>
      <c r="U17" s="126">
        <f>S17+1</f>
        <v>4</v>
      </c>
      <c r="V17" s="126"/>
      <c r="W17" s="126">
        <f>U17+1</f>
        <v>5</v>
      </c>
      <c r="X17" s="126"/>
      <c r="Y17" s="126">
        <f>W17+1</f>
        <v>6</v>
      </c>
      <c r="Z17" s="126"/>
      <c r="AA17" s="126">
        <f>Y17+1</f>
        <v>7</v>
      </c>
      <c r="AB17" s="126"/>
      <c r="AC17" s="126">
        <f>AA17+1</f>
        <v>8</v>
      </c>
      <c r="AD17" s="126"/>
      <c r="AE17" s="126">
        <f>AC17+1</f>
        <v>9</v>
      </c>
      <c r="AF17" s="126"/>
      <c r="AG17" s="126">
        <f>AE17+1</f>
        <v>10</v>
      </c>
      <c r="AH17" s="126"/>
      <c r="AI17" s="126">
        <f>AG17+1</f>
        <v>11</v>
      </c>
      <c r="AJ17" s="126"/>
      <c r="AK17" s="126">
        <f>AI17+1</f>
        <v>12</v>
      </c>
    </row>
    <row r="18" spans="1:37">
      <c r="A18" s="780" t="s">
        <v>388</v>
      </c>
      <c r="B18" s="778"/>
      <c r="C18" s="778"/>
      <c r="D18" s="778"/>
      <c r="E18" s="779"/>
      <c r="F18" s="147">
        <v>-4600000000</v>
      </c>
      <c r="G18" s="8">
        <v>3</v>
      </c>
      <c r="H18" s="21">
        <f>-F18/H$15</f>
        <v>71875000</v>
      </c>
      <c r="I18" s="37" t="str">
        <f>M18&amp;";"&amp;O18&amp;Q18&amp;S18&amp;U18&amp;W18&amp;Y18&amp;AA18&amp;AC18&amp;AE18&amp;AG18&amp;AI18&amp;AK18</f>
        <v>2;00X</v>
      </c>
      <c r="J18" s="38">
        <v>7</v>
      </c>
      <c r="K18" s="132">
        <f>H18/POWER(12,J18)</f>
        <v>2.0058993394918838</v>
      </c>
      <c r="L18" s="39" t="str">
        <f>INDEX(powers!$H$2:$H$75,33+J18)</f>
        <v>cosmic dour</v>
      </c>
      <c r="M18" s="40" t="str">
        <f>IF($G18&gt;=M$17,MID($J$17,IF($G18&gt;M$17,INT(K18),ROUND(K18,0))+1,1),"")</f>
        <v>2</v>
      </c>
      <c r="N18" s="24">
        <f>(K18-INT(K18))*12</f>
        <v>7.0792073902605779E-2</v>
      </c>
      <c r="O18" s="41" t="str">
        <f>IF($G18&gt;=O$17,MID($J$17,IF($G18&gt;O$17,INT(N18),ROUND(N18,0))+1,1),"")</f>
        <v>0</v>
      </c>
      <c r="P18" s="24">
        <f>(N18-INT(N18))*12</f>
        <v>0.84950488683126935</v>
      </c>
      <c r="Q18" s="41" t="str">
        <f>IF($G18&gt;=Q$17,MID($J$17,IF($G18&gt;Q$17,INT(P18),ROUND(P18,0))+1,1),"")</f>
        <v>0</v>
      </c>
      <c r="R18" s="24">
        <f>(P18-INT(P18))*12</f>
        <v>10.194058641975232</v>
      </c>
      <c r="S18" s="41" t="str">
        <f>IF($G18&gt;=S$17,MID($J$17,IF($G18&gt;S$17,INT(R18),ROUND(R18,0))+1,1),"")</f>
        <v>X</v>
      </c>
      <c r="T18" s="24">
        <f>(R18-INT(R18))*12</f>
        <v>2.3287037037027858</v>
      </c>
      <c r="U18" s="41" t="str">
        <f>IF($G18&gt;=U$17,MID($J$17,IF($G18&gt;U$17,INT(T18),ROUND(T18,0))+1,1),"")</f>
        <v/>
      </c>
      <c r="V18" s="24">
        <f>(T18-INT(T18))*12</f>
        <v>3.9444444444334295</v>
      </c>
      <c r="W18" s="41" t="str">
        <f>IF($G18&gt;=W$17,MID($J$17,IF($G18&gt;W$17,INT(V18),ROUND(V18,0))+1,1),"")</f>
        <v/>
      </c>
      <c r="X18" s="24">
        <f>(V18-INT(V18))*12</f>
        <v>11.333333333201153</v>
      </c>
      <c r="Y18" s="41" t="str">
        <f>IF($G18&gt;=Y$17,MID($J$17,IF($G18&gt;Y$17,INT(X18),ROUND(X18,0))+1,1),"")</f>
        <v/>
      </c>
      <c r="Z18" s="24">
        <f>(X18-INT(X18))*12</f>
        <v>3.9999999984138412</v>
      </c>
      <c r="AA18" s="41" t="str">
        <f>IF($G18&gt;=AA$17,MID($J$17,IF($G18&gt;AA$17,INT(Z18),ROUND(Z18,0))+1,1),"")</f>
        <v/>
      </c>
      <c r="AB18" s="24">
        <f>(Z18-INT(Z18))*12</f>
        <v>11.999999980966095</v>
      </c>
      <c r="AC18" s="41" t="str">
        <f>IF($G18&gt;=AC$17,MID($J$17,IF($G18&gt;AC$17,INT(AB18),ROUND(AB18,0))+1,1),"")</f>
        <v/>
      </c>
      <c r="AD18" s="24">
        <f>(AB18-INT(AB18))*12</f>
        <v>11.999999771593139</v>
      </c>
      <c r="AE18" s="41" t="str">
        <f>IF($G18&gt;=AE$17,MID($J$17,IF($G18&gt;AE$17,INT(AD18),ROUND(AD18,0))+1,1),"")</f>
        <v/>
      </c>
      <c r="AF18" s="24">
        <f>(AD18-INT(AD18))*12</f>
        <v>11.999997259117663</v>
      </c>
      <c r="AG18" s="41" t="str">
        <f>IF($G18&gt;=AG$17,MID($J$17,IF($G18&gt;AG$17,INT(AF18),ROUND(AF18,0))+1,1),"")</f>
        <v/>
      </c>
      <c r="AH18" s="24">
        <f>(AF18-INT(AF18))*12</f>
        <v>11.999967109411955</v>
      </c>
      <c r="AI18" s="41" t="str">
        <f>IF($G18&gt;=AI$17,MID($J$17,IF($G18&gt;AI$17,INT(AH18),ROUND(AH18,0))+1,1),"")</f>
        <v/>
      </c>
      <c r="AJ18" s="24">
        <f>(AH18-INT(AH18))*12</f>
        <v>11.999605312943459</v>
      </c>
      <c r="AK18" s="41" t="str">
        <f>IF($G18&gt;=AK$17,MID($J$17,IF($G18&gt;AK$17,INT(AJ18),ROUND(AJ18,0))+1,1),"")</f>
        <v/>
      </c>
    </row>
    <row r="19" spans="1:37">
      <c r="A19" s="769" t="s">
        <v>389</v>
      </c>
      <c r="B19" s="777" t="s">
        <v>390</v>
      </c>
      <c r="C19" s="778"/>
      <c r="D19" s="778"/>
      <c r="E19" s="779"/>
      <c r="F19" s="147">
        <v>-4000000000</v>
      </c>
      <c r="G19" s="8">
        <v>3</v>
      </c>
      <c r="H19" s="21">
        <f t="shared" ref="H19:H82" si="8">-F19/H$15</f>
        <v>62500000</v>
      </c>
      <c r="I19" s="37" t="str">
        <f t="shared" ref="I19:I82" si="9">M19&amp;";"&amp;O19&amp;Q19&amp;S19&amp;U19&amp;W19&amp;Y19&amp;AA19&amp;AC19&amp;AE19&amp;AG19&amp;AI19&amp;AK19</f>
        <v>1;8E2</v>
      </c>
      <c r="J19" s="38">
        <v>7</v>
      </c>
      <c r="K19" s="132">
        <f t="shared" ref="K19:K82" si="10">H19/POWER(12,J19)</f>
        <v>1.7442602952103339</v>
      </c>
      <c r="L19" s="39" t="str">
        <f>INDEX(powers!$H$2:$H$75,33+J19)</f>
        <v>cosmic dour</v>
      </c>
      <c r="M19" s="40" t="str">
        <f t="shared" ref="M19:M82" si="11">IF($G19&gt;=M$17,MID($J$17,IF($G19&gt;M$17,INT(K19),ROUND(K19,0))+1,1),"")</f>
        <v>1</v>
      </c>
      <c r="N19" s="24">
        <f t="shared" ref="N19:N82" si="12">(K19-INT(K19))*12</f>
        <v>8.9311235425240056</v>
      </c>
      <c r="O19" s="41" t="str">
        <f t="shared" ref="O19:O82" si="13">IF($G19&gt;=O$17,MID($J$17,IF($G19&gt;O$17,INT(N19),ROUND(N19,0))+1,1),"")</f>
        <v>8</v>
      </c>
      <c r="P19" s="24">
        <f t="shared" ref="P19:P82" si="14">(N19-INT(N19))*12</f>
        <v>11.173482510288068</v>
      </c>
      <c r="Q19" s="41" t="str">
        <f t="shared" ref="Q19:Q82" si="15">IF($G19&gt;=Q$17,MID($J$17,IF($G19&gt;Q$17,INT(P19),ROUND(P19,0))+1,1),"")</f>
        <v>E</v>
      </c>
      <c r="R19" s="24">
        <f t="shared" ref="R19:R82" si="16">(P19-INT(P19))*12</f>
        <v>2.0817901234568126</v>
      </c>
      <c r="S19" s="41" t="str">
        <f t="shared" ref="S19:S82" si="17">IF($G19&gt;=S$17,MID($J$17,IF($G19&gt;S$17,INT(R19),ROUND(R19,0))+1,1),"")</f>
        <v>2</v>
      </c>
      <c r="T19" s="24">
        <f t="shared" ref="T19:T82" si="18">(R19-INT(R19))*12</f>
        <v>0.98148148148175096</v>
      </c>
      <c r="U19" s="41" t="str">
        <f t="shared" ref="U19:U82" si="19">IF($G19&gt;=U$17,MID($J$17,IF($G19&gt;U$17,INT(T19),ROUND(T19,0))+1,1),"")</f>
        <v/>
      </c>
      <c r="V19" s="24">
        <f t="shared" ref="V19:V82" si="20">(T19-INT(T19))*12</f>
        <v>11.777777777781012</v>
      </c>
      <c r="W19" s="41" t="str">
        <f t="shared" ref="W19:W82" si="21">IF($G19&gt;=W$17,MID($J$17,IF($G19&gt;W$17,INT(V19),ROUND(V19,0))+1,1),"")</f>
        <v/>
      </c>
      <c r="X19" s="24">
        <f t="shared" ref="X19:X82" si="22">(V19-INT(V19))*12</f>
        <v>9.3333333333721384</v>
      </c>
      <c r="Y19" s="41" t="str">
        <f t="shared" ref="Y19:Y82" si="23">IF($G19&gt;=Y$17,MID($J$17,IF($G19&gt;Y$17,INT(X19),ROUND(X19,0))+1,1),"")</f>
        <v/>
      </c>
      <c r="Z19" s="24">
        <f t="shared" ref="Z19:Z82" si="24">(X19-INT(X19))*12</f>
        <v>4.0000000004656613</v>
      </c>
      <c r="AA19" s="41" t="str">
        <f t="shared" ref="AA19:AA82" si="25">IF($G19&gt;=AA$17,MID($J$17,IF($G19&gt;AA$17,INT(Z19),ROUND(Z19,0))+1,1),"")</f>
        <v/>
      </c>
      <c r="AB19" s="24">
        <f t="shared" ref="AB19:AB82" si="26">(Z19-INT(Z19))*12</f>
        <v>5.5879354476928711E-9</v>
      </c>
      <c r="AC19" s="41" t="str">
        <f t="shared" ref="AC19:AC82" si="27">IF($G19&gt;=AC$17,MID($J$17,IF($G19&gt;AC$17,INT(AB19),ROUND(AB19,0))+1,1),"")</f>
        <v/>
      </c>
      <c r="AD19" s="24">
        <f t="shared" ref="AD19:AD82" si="28">(AB19-INT(AB19))*12</f>
        <v>6.7055225372314453E-8</v>
      </c>
      <c r="AE19" s="41" t="str">
        <f t="shared" ref="AE19:AE82" si="29">IF($G19&gt;=AE$17,MID($J$17,IF($G19&gt;AE$17,INT(AD19),ROUND(AD19,0))+1,1),"")</f>
        <v/>
      </c>
      <c r="AF19" s="24">
        <f t="shared" ref="AF19:AF82" si="30">(AD19-INT(AD19))*12</f>
        <v>8.0466270446777344E-7</v>
      </c>
      <c r="AG19" s="41" t="str">
        <f t="shared" ref="AG19:AG82" si="31">IF($G19&gt;=AG$17,MID($J$17,IF($G19&gt;AG$17,INT(AF19),ROUND(AF19,0))+1,1),"")</f>
        <v/>
      </c>
      <c r="AH19" s="24">
        <f t="shared" ref="AH19:AH82" si="32">(AF19-INT(AF19))*12</f>
        <v>9.6559524536132813E-6</v>
      </c>
      <c r="AI19" s="41" t="str">
        <f t="shared" ref="AI19:AI82" si="33">IF($G19&gt;=AI$17,MID($J$17,IF($G19&gt;AI$17,INT(AH19),ROUND(AH19,0))+1,1),"")</f>
        <v/>
      </c>
      <c r="AJ19" s="24">
        <f t="shared" ref="AJ19:AJ82" si="34">(AH19-INT(AH19))*12</f>
        <v>1.1587142944335938E-4</v>
      </c>
      <c r="AK19" s="41" t="str">
        <f t="shared" ref="AK19:AK82" si="35">IF($G19&gt;=AK$17,MID($J$17,IF($G19&gt;AK$17,INT(AJ19),ROUND(AJ19,0))+1,1),"")</f>
        <v/>
      </c>
    </row>
    <row r="20" spans="1:37" ht="11.25" customHeight="1">
      <c r="A20" s="770"/>
      <c r="B20" s="777" t="s">
        <v>391</v>
      </c>
      <c r="C20" s="778"/>
      <c r="D20" s="778"/>
      <c r="E20" s="779"/>
      <c r="F20" s="147">
        <v>-3600000000</v>
      </c>
      <c r="G20" s="8">
        <v>3</v>
      </c>
      <c r="H20" s="21">
        <f t="shared" si="8"/>
        <v>56250000</v>
      </c>
      <c r="I20" s="37" t="str">
        <f t="shared" si="9"/>
        <v>1;6X1</v>
      </c>
      <c r="J20" s="38">
        <v>7</v>
      </c>
      <c r="K20" s="132">
        <f t="shared" si="10"/>
        <v>1.5698342656893005</v>
      </c>
      <c r="L20" s="39" t="str">
        <f>INDEX(powers!$H$2:$H$75,33+J20)</f>
        <v>cosmic dour</v>
      </c>
      <c r="M20" s="40" t="str">
        <f t="shared" si="11"/>
        <v>1</v>
      </c>
      <c r="N20" s="24">
        <f t="shared" si="12"/>
        <v>6.8380111882716061</v>
      </c>
      <c r="O20" s="41" t="str">
        <f t="shared" si="13"/>
        <v>6</v>
      </c>
      <c r="P20" s="24">
        <f t="shared" si="14"/>
        <v>10.056134259259274</v>
      </c>
      <c r="Q20" s="41" t="str">
        <f t="shared" si="15"/>
        <v>X</v>
      </c>
      <c r="R20" s="24">
        <f t="shared" si="16"/>
        <v>0.6736111111112848</v>
      </c>
      <c r="S20" s="41" t="str">
        <f t="shared" si="17"/>
        <v>1</v>
      </c>
      <c r="T20" s="24">
        <f t="shared" si="18"/>
        <v>8.0833333333354176</v>
      </c>
      <c r="U20" s="41" t="str">
        <f t="shared" si="19"/>
        <v/>
      </c>
      <c r="V20" s="24">
        <f t="shared" si="20"/>
        <v>1.0000000000250111</v>
      </c>
      <c r="W20" s="41" t="str">
        <f t="shared" si="21"/>
        <v/>
      </c>
      <c r="X20" s="24">
        <f t="shared" si="22"/>
        <v>3.0013325158506632E-10</v>
      </c>
      <c r="Y20" s="41" t="str">
        <f t="shared" si="23"/>
        <v/>
      </c>
      <c r="Z20" s="24">
        <f t="shared" si="24"/>
        <v>3.6015990190207958E-9</v>
      </c>
      <c r="AA20" s="41" t="str">
        <f t="shared" si="25"/>
        <v/>
      </c>
      <c r="AB20" s="24">
        <f t="shared" si="26"/>
        <v>4.321918822824955E-8</v>
      </c>
      <c r="AC20" s="41" t="str">
        <f t="shared" si="27"/>
        <v/>
      </c>
      <c r="AD20" s="24">
        <f t="shared" si="28"/>
        <v>5.186302587389946E-7</v>
      </c>
      <c r="AE20" s="41" t="str">
        <f t="shared" si="29"/>
        <v/>
      </c>
      <c r="AF20" s="24">
        <f t="shared" si="30"/>
        <v>6.2235631048679352E-6</v>
      </c>
      <c r="AG20" s="41" t="str">
        <f t="shared" si="31"/>
        <v/>
      </c>
      <c r="AH20" s="24">
        <f t="shared" si="32"/>
        <v>7.4682757258415222E-5</v>
      </c>
      <c r="AI20" s="41" t="str">
        <f t="shared" si="33"/>
        <v/>
      </c>
      <c r="AJ20" s="24">
        <f t="shared" si="34"/>
        <v>8.9619308710098267E-4</v>
      </c>
      <c r="AK20" s="41" t="str">
        <f t="shared" si="35"/>
        <v/>
      </c>
    </row>
    <row r="21" spans="1:37" ht="14.25" customHeight="1">
      <c r="A21" s="770"/>
      <c r="B21" s="777" t="s">
        <v>392</v>
      </c>
      <c r="C21" s="778"/>
      <c r="D21" s="778"/>
      <c r="E21" s="779"/>
      <c r="F21" s="147">
        <v>-3200000000</v>
      </c>
      <c r="G21" s="8">
        <v>3</v>
      </c>
      <c r="H21" s="21">
        <f t="shared" si="8"/>
        <v>50000000</v>
      </c>
      <c r="I21" s="37" t="str">
        <f t="shared" si="9"/>
        <v>1;48E</v>
      </c>
      <c r="J21" s="38">
        <v>7</v>
      </c>
      <c r="K21" s="132">
        <f t="shared" si="10"/>
        <v>1.3954082361682669</v>
      </c>
      <c r="L21" s="39" t="str">
        <f>INDEX(powers!$H$2:$H$75,33+J21)</f>
        <v>cosmic dour</v>
      </c>
      <c r="M21" s="40" t="str">
        <f t="shared" si="11"/>
        <v>1</v>
      </c>
      <c r="N21" s="24">
        <f t="shared" si="12"/>
        <v>4.7448988340192031</v>
      </c>
      <c r="O21" s="41" t="str">
        <f t="shared" si="13"/>
        <v>4</v>
      </c>
      <c r="P21" s="24">
        <f t="shared" si="14"/>
        <v>8.9387860082304371</v>
      </c>
      <c r="Q21" s="41" t="str">
        <f t="shared" si="15"/>
        <v>8</v>
      </c>
      <c r="R21" s="24">
        <f t="shared" si="16"/>
        <v>11.265432098765245</v>
      </c>
      <c r="S21" s="41" t="str">
        <f t="shared" si="17"/>
        <v>E</v>
      </c>
      <c r="T21" s="24">
        <f t="shared" si="18"/>
        <v>3.1851851851829451</v>
      </c>
      <c r="U21" s="41" t="str">
        <f t="shared" si="19"/>
        <v/>
      </c>
      <c r="V21" s="24">
        <f t="shared" si="20"/>
        <v>2.2222222221953416</v>
      </c>
      <c r="W21" s="41" t="str">
        <f t="shared" si="21"/>
        <v/>
      </c>
      <c r="X21" s="24">
        <f t="shared" si="22"/>
        <v>2.6666666663440992</v>
      </c>
      <c r="Y21" s="41" t="str">
        <f t="shared" si="23"/>
        <v/>
      </c>
      <c r="Z21" s="24">
        <f t="shared" si="24"/>
        <v>7.9999999961291905</v>
      </c>
      <c r="AA21" s="41" t="str">
        <f t="shared" si="25"/>
        <v/>
      </c>
      <c r="AB21" s="24">
        <f t="shared" si="26"/>
        <v>11.999999953550287</v>
      </c>
      <c r="AC21" s="41" t="str">
        <f t="shared" si="27"/>
        <v/>
      </c>
      <c r="AD21" s="24">
        <f t="shared" si="28"/>
        <v>11.999999442603439</v>
      </c>
      <c r="AE21" s="41" t="str">
        <f t="shared" si="29"/>
        <v/>
      </c>
      <c r="AF21" s="24">
        <f t="shared" si="30"/>
        <v>11.999993311241269</v>
      </c>
      <c r="AG21" s="41" t="str">
        <f t="shared" si="31"/>
        <v/>
      </c>
      <c r="AH21" s="24">
        <f t="shared" si="32"/>
        <v>11.999919734895229</v>
      </c>
      <c r="AI21" s="41" t="str">
        <f t="shared" si="33"/>
        <v/>
      </c>
      <c r="AJ21" s="24">
        <f t="shared" si="34"/>
        <v>11.999036818742752</v>
      </c>
      <c r="AK21" s="41" t="str">
        <f t="shared" si="35"/>
        <v/>
      </c>
    </row>
    <row r="22" spans="1:37">
      <c r="A22" s="771"/>
      <c r="B22" s="777" t="s">
        <v>393</v>
      </c>
      <c r="C22" s="778"/>
      <c r="D22" s="778"/>
      <c r="E22" s="779"/>
      <c r="F22" s="147">
        <v>-2800000000</v>
      </c>
      <c r="G22" s="8">
        <v>3</v>
      </c>
      <c r="H22" s="21">
        <f t="shared" si="8"/>
        <v>43750000</v>
      </c>
      <c r="I22" s="37" t="str">
        <f t="shared" si="9"/>
        <v>1;27X</v>
      </c>
      <c r="J22" s="38">
        <v>7</v>
      </c>
      <c r="K22" s="132">
        <f t="shared" si="10"/>
        <v>1.2209822066472336</v>
      </c>
      <c r="L22" s="39" t="str">
        <f>INDEX(powers!$H$2:$H$75,33+J22)</f>
        <v>cosmic dour</v>
      </c>
      <c r="M22" s="40" t="str">
        <f t="shared" si="11"/>
        <v>1</v>
      </c>
      <c r="N22" s="24">
        <f t="shared" si="12"/>
        <v>2.6517864797668027</v>
      </c>
      <c r="O22" s="41" t="str">
        <f t="shared" si="13"/>
        <v>2</v>
      </c>
      <c r="P22" s="24">
        <f t="shared" si="14"/>
        <v>7.8214377572016325</v>
      </c>
      <c r="Q22" s="41" t="str">
        <f t="shared" si="15"/>
        <v>7</v>
      </c>
      <c r="R22" s="24">
        <f t="shared" si="16"/>
        <v>9.8572530864195897</v>
      </c>
      <c r="S22" s="41" t="str">
        <f t="shared" si="17"/>
        <v>X</v>
      </c>
      <c r="T22" s="24">
        <f t="shared" si="18"/>
        <v>10.287037037035077</v>
      </c>
      <c r="U22" s="41" t="str">
        <f t="shared" si="19"/>
        <v/>
      </c>
      <c r="V22" s="24">
        <f t="shared" si="20"/>
        <v>3.4444444444209239</v>
      </c>
      <c r="W22" s="41" t="str">
        <f t="shared" si="21"/>
        <v/>
      </c>
      <c r="X22" s="24">
        <f t="shared" si="22"/>
        <v>5.3333333330510868</v>
      </c>
      <c r="Y22" s="41" t="str">
        <f t="shared" si="23"/>
        <v/>
      </c>
      <c r="Z22" s="24">
        <f t="shared" si="24"/>
        <v>3.9999999966130417</v>
      </c>
      <c r="AA22" s="41" t="str">
        <f t="shared" si="25"/>
        <v/>
      </c>
      <c r="AB22" s="24">
        <f t="shared" si="26"/>
        <v>11.999999959356501</v>
      </c>
      <c r="AC22" s="41" t="str">
        <f t="shared" si="27"/>
        <v/>
      </c>
      <c r="AD22" s="24">
        <f t="shared" si="28"/>
        <v>11.999999512278009</v>
      </c>
      <c r="AE22" s="41" t="str">
        <f t="shared" si="29"/>
        <v/>
      </c>
      <c r="AF22" s="24">
        <f t="shared" si="30"/>
        <v>11.99999414733611</v>
      </c>
      <c r="AG22" s="41" t="str">
        <f t="shared" si="31"/>
        <v/>
      </c>
      <c r="AH22" s="24">
        <f t="shared" si="32"/>
        <v>11.999929768033326</v>
      </c>
      <c r="AI22" s="41" t="str">
        <f t="shared" si="33"/>
        <v/>
      </c>
      <c r="AJ22" s="24">
        <f t="shared" si="34"/>
        <v>11.999157216399908</v>
      </c>
      <c r="AK22" s="41" t="str">
        <f t="shared" si="35"/>
        <v/>
      </c>
    </row>
    <row r="23" spans="1:37">
      <c r="A23" s="769" t="s">
        <v>394</v>
      </c>
      <c r="B23" s="773" t="s">
        <v>395</v>
      </c>
      <c r="C23" s="777" t="s">
        <v>396</v>
      </c>
      <c r="D23" s="778"/>
      <c r="E23" s="779"/>
      <c r="F23" s="147">
        <v>-2500000000</v>
      </c>
      <c r="G23" s="8">
        <v>3</v>
      </c>
      <c r="H23" s="21">
        <f t="shared" si="8"/>
        <v>39062500</v>
      </c>
      <c r="I23" s="37" t="str">
        <f t="shared" si="9"/>
        <v>1;10</v>
      </c>
      <c r="J23" s="38">
        <v>7</v>
      </c>
      <c r="K23" s="132">
        <f t="shared" si="10"/>
        <v>1.0901626845064587</v>
      </c>
      <c r="L23" s="39" t="str">
        <f>INDEX(powers!$H$2:$H$75,33+J23)</f>
        <v>cosmic dour</v>
      </c>
      <c r="M23" s="40" t="str">
        <f t="shared" si="11"/>
        <v>1</v>
      </c>
      <c r="N23" s="24">
        <f t="shared" si="12"/>
        <v>1.0819522140775044</v>
      </c>
      <c r="O23" s="41" t="str">
        <f t="shared" si="13"/>
        <v>1</v>
      </c>
      <c r="P23" s="24">
        <f t="shared" si="14"/>
        <v>0.98342656893005298</v>
      </c>
      <c r="Q23" s="41" t="str">
        <f t="shared" si="15"/>
        <v>0</v>
      </c>
      <c r="R23" s="24">
        <f t="shared" si="16"/>
        <v>11.801118827160636</v>
      </c>
      <c r="S23" s="41" t="str">
        <f t="shared" si="17"/>
        <v/>
      </c>
      <c r="T23" s="24">
        <f t="shared" si="18"/>
        <v>9.6134259259276291</v>
      </c>
      <c r="U23" s="41" t="str">
        <f t="shared" si="19"/>
        <v/>
      </c>
      <c r="V23" s="24">
        <f t="shared" si="20"/>
        <v>7.3611111111315495</v>
      </c>
      <c r="W23" s="41" t="str">
        <f t="shared" si="21"/>
        <v/>
      </c>
      <c r="X23" s="24">
        <f t="shared" si="22"/>
        <v>4.3333333335785937</v>
      </c>
      <c r="Y23" s="41" t="str">
        <f t="shared" si="23"/>
        <v/>
      </c>
      <c r="Z23" s="24">
        <f t="shared" si="24"/>
        <v>4.0000000029431249</v>
      </c>
      <c r="AA23" s="41" t="str">
        <f t="shared" si="25"/>
        <v/>
      </c>
      <c r="AB23" s="24">
        <f t="shared" si="26"/>
        <v>3.5317498259246349E-8</v>
      </c>
      <c r="AC23" s="41" t="str">
        <f t="shared" si="27"/>
        <v/>
      </c>
      <c r="AD23" s="24">
        <f t="shared" si="28"/>
        <v>4.2380997911095619E-7</v>
      </c>
      <c r="AE23" s="41" t="str">
        <f t="shared" si="29"/>
        <v/>
      </c>
      <c r="AF23" s="24">
        <f t="shared" si="30"/>
        <v>5.0857197493314743E-6</v>
      </c>
      <c r="AG23" s="41" t="str">
        <f t="shared" si="31"/>
        <v/>
      </c>
      <c r="AH23" s="24">
        <f t="shared" si="32"/>
        <v>6.1028636991977692E-5</v>
      </c>
      <c r="AI23" s="41" t="str">
        <f t="shared" si="33"/>
        <v/>
      </c>
      <c r="AJ23" s="24">
        <f t="shared" si="34"/>
        <v>7.323436439037323E-4</v>
      </c>
      <c r="AK23" s="41" t="str">
        <f t="shared" si="35"/>
        <v/>
      </c>
    </row>
    <row r="24" spans="1:37">
      <c r="A24" s="770"/>
      <c r="B24" s="774"/>
      <c r="C24" s="777" t="s">
        <v>397</v>
      </c>
      <c r="D24" s="778"/>
      <c r="E24" s="779"/>
      <c r="F24" s="147">
        <v>-2300000000</v>
      </c>
      <c r="G24" s="8">
        <v>3</v>
      </c>
      <c r="H24" s="21">
        <f t="shared" si="8"/>
        <v>35937500</v>
      </c>
      <c r="I24" s="37" t="str">
        <f t="shared" si="9"/>
        <v>1;005</v>
      </c>
      <c r="J24" s="38">
        <v>7</v>
      </c>
      <c r="K24" s="132">
        <f t="shared" si="10"/>
        <v>1.0029496697459419</v>
      </c>
      <c r="L24" s="39" t="str">
        <f>INDEX(powers!$H$2:$H$75,33+J24)</f>
        <v>cosmic dour</v>
      </c>
      <c r="M24" s="40" t="str">
        <f t="shared" si="11"/>
        <v>1</v>
      </c>
      <c r="N24" s="24">
        <f t="shared" si="12"/>
        <v>3.5396036951302889E-2</v>
      </c>
      <c r="O24" s="41" t="str">
        <f t="shared" si="13"/>
        <v>0</v>
      </c>
      <c r="P24" s="24">
        <f t="shared" si="14"/>
        <v>0.42475244341563467</v>
      </c>
      <c r="Q24" s="41" t="str">
        <f t="shared" si="15"/>
        <v>0</v>
      </c>
      <c r="R24" s="24">
        <f t="shared" si="16"/>
        <v>5.0970293209876161</v>
      </c>
      <c r="S24" s="41" t="str">
        <f t="shared" si="17"/>
        <v>5</v>
      </c>
      <c r="T24" s="24">
        <f t="shared" si="18"/>
        <v>1.1643518518513929</v>
      </c>
      <c r="U24" s="41" t="str">
        <f t="shared" si="19"/>
        <v/>
      </c>
      <c r="V24" s="24">
        <f t="shared" si="20"/>
        <v>1.9722222222167147</v>
      </c>
      <c r="W24" s="41" t="str">
        <f t="shared" si="21"/>
        <v/>
      </c>
      <c r="X24" s="24">
        <f t="shared" si="22"/>
        <v>11.666666666600577</v>
      </c>
      <c r="Y24" s="41" t="str">
        <f t="shared" si="23"/>
        <v/>
      </c>
      <c r="Z24" s="24">
        <f t="shared" si="24"/>
        <v>7.9999999992069206</v>
      </c>
      <c r="AA24" s="41" t="str">
        <f t="shared" si="25"/>
        <v/>
      </c>
      <c r="AB24" s="24">
        <f t="shared" si="26"/>
        <v>11.999999990483047</v>
      </c>
      <c r="AC24" s="41" t="str">
        <f t="shared" si="27"/>
        <v/>
      </c>
      <c r="AD24" s="24">
        <f t="shared" si="28"/>
        <v>11.999999885796569</v>
      </c>
      <c r="AE24" s="41" t="str">
        <f t="shared" si="29"/>
        <v/>
      </c>
      <c r="AF24" s="24">
        <f t="shared" si="30"/>
        <v>11.999998629558831</v>
      </c>
      <c r="AG24" s="41" t="str">
        <f t="shared" si="31"/>
        <v/>
      </c>
      <c r="AH24" s="24">
        <f t="shared" si="32"/>
        <v>11.999983554705977</v>
      </c>
      <c r="AI24" s="41" t="str">
        <f t="shared" si="33"/>
        <v/>
      </c>
      <c r="AJ24" s="24">
        <f t="shared" si="34"/>
        <v>11.999802656471729</v>
      </c>
      <c r="AK24" s="41" t="str">
        <f t="shared" si="35"/>
        <v/>
      </c>
    </row>
    <row r="25" spans="1:37">
      <c r="A25" s="770"/>
      <c r="B25" s="774"/>
      <c r="C25" s="777" t="s">
        <v>398</v>
      </c>
      <c r="D25" s="778"/>
      <c r="E25" s="779"/>
      <c r="F25" s="147">
        <v>-2050000000</v>
      </c>
      <c r="G25" s="8">
        <v>3</v>
      </c>
      <c r="H25" s="21">
        <f t="shared" si="8"/>
        <v>32031250</v>
      </c>
      <c r="I25" s="37" t="str">
        <f t="shared" si="9"/>
        <v>X;889</v>
      </c>
      <c r="J25" s="38">
        <v>6</v>
      </c>
      <c r="K25" s="132">
        <f t="shared" si="10"/>
        <v>10.727200815543553</v>
      </c>
      <c r="L25" s="39" t="str">
        <f>INDEX(powers!$H$2:$H$75,33+J25)</f>
        <v>cosmic centy</v>
      </c>
      <c r="M25" s="40" t="str">
        <f t="shared" si="11"/>
        <v>X</v>
      </c>
      <c r="N25" s="24">
        <f t="shared" si="12"/>
        <v>8.7264097865226304</v>
      </c>
      <c r="O25" s="41" t="str">
        <f t="shared" si="13"/>
        <v>8</v>
      </c>
      <c r="P25" s="24">
        <f t="shared" si="14"/>
        <v>8.7169174382715653</v>
      </c>
      <c r="Q25" s="41" t="str">
        <f t="shared" si="15"/>
        <v>8</v>
      </c>
      <c r="R25" s="24">
        <f t="shared" si="16"/>
        <v>8.6030092592587835</v>
      </c>
      <c r="S25" s="41" t="str">
        <f t="shared" si="17"/>
        <v>9</v>
      </c>
      <c r="T25" s="24">
        <f t="shared" si="18"/>
        <v>7.2361111111054015</v>
      </c>
      <c r="U25" s="41" t="str">
        <f t="shared" si="19"/>
        <v/>
      </c>
      <c r="V25" s="24">
        <f t="shared" si="20"/>
        <v>2.8333333332648181</v>
      </c>
      <c r="W25" s="41" t="str">
        <f t="shared" si="21"/>
        <v/>
      </c>
      <c r="X25" s="24">
        <f t="shared" si="22"/>
        <v>9.9999999991778168</v>
      </c>
      <c r="Y25" s="41" t="str">
        <f t="shared" si="23"/>
        <v/>
      </c>
      <c r="Z25" s="24">
        <f t="shared" si="24"/>
        <v>11.999999990133801</v>
      </c>
      <c r="AA25" s="41" t="str">
        <f t="shared" si="25"/>
        <v/>
      </c>
      <c r="AB25" s="24">
        <f t="shared" si="26"/>
        <v>11.999999881605618</v>
      </c>
      <c r="AC25" s="41" t="str">
        <f t="shared" si="27"/>
        <v/>
      </c>
      <c r="AD25" s="24">
        <f t="shared" si="28"/>
        <v>11.999998579267412</v>
      </c>
      <c r="AE25" s="41" t="str">
        <f t="shared" si="29"/>
        <v/>
      </c>
      <c r="AF25" s="24">
        <f t="shared" si="30"/>
        <v>11.999982951208949</v>
      </c>
      <c r="AG25" s="41" t="str">
        <f t="shared" si="31"/>
        <v/>
      </c>
      <c r="AH25" s="24">
        <f t="shared" si="32"/>
        <v>11.999795414507389</v>
      </c>
      <c r="AI25" s="41" t="str">
        <f t="shared" si="33"/>
        <v/>
      </c>
      <c r="AJ25" s="24">
        <f t="shared" si="34"/>
        <v>11.997544974088669</v>
      </c>
      <c r="AK25" s="41" t="str">
        <f t="shared" si="35"/>
        <v/>
      </c>
    </row>
    <row r="26" spans="1:37">
      <c r="A26" s="770"/>
      <c r="B26" s="775"/>
      <c r="C26" s="777" t="s">
        <v>399</v>
      </c>
      <c r="D26" s="778"/>
      <c r="E26" s="779"/>
      <c r="F26" s="147">
        <v>-1800000000</v>
      </c>
      <c r="G26" s="8">
        <v>3</v>
      </c>
      <c r="H26" s="21">
        <f t="shared" si="8"/>
        <v>28125000</v>
      </c>
      <c r="I26" s="37" t="str">
        <f t="shared" si="9"/>
        <v>9;504</v>
      </c>
      <c r="J26" s="38">
        <v>6</v>
      </c>
      <c r="K26" s="132">
        <f t="shared" si="10"/>
        <v>9.4190055941358022</v>
      </c>
      <c r="L26" s="39" t="str">
        <f>INDEX(powers!$H$2:$H$75,33+J26)</f>
        <v>cosmic centy</v>
      </c>
      <c r="M26" s="40" t="str">
        <f t="shared" si="11"/>
        <v>9</v>
      </c>
      <c r="N26" s="24">
        <f t="shared" si="12"/>
        <v>5.0280671296296262</v>
      </c>
      <c r="O26" s="41" t="str">
        <f t="shared" si="13"/>
        <v>5</v>
      </c>
      <c r="P26" s="24">
        <f t="shared" si="14"/>
        <v>0.3368055555555145</v>
      </c>
      <c r="Q26" s="41" t="str">
        <f t="shared" si="15"/>
        <v>0</v>
      </c>
      <c r="R26" s="24">
        <f t="shared" si="16"/>
        <v>4.041666666666174</v>
      </c>
      <c r="S26" s="41" t="str">
        <f t="shared" si="17"/>
        <v>4</v>
      </c>
      <c r="T26" s="24">
        <f t="shared" si="18"/>
        <v>0.49999999999408828</v>
      </c>
      <c r="U26" s="41" t="str">
        <f t="shared" si="19"/>
        <v/>
      </c>
      <c r="V26" s="24">
        <f t="shared" si="20"/>
        <v>5.9999999999290594</v>
      </c>
      <c r="W26" s="41" t="str">
        <f t="shared" si="21"/>
        <v/>
      </c>
      <c r="X26" s="24">
        <f t="shared" si="22"/>
        <v>11.999999999148713</v>
      </c>
      <c r="Y26" s="41" t="str">
        <f t="shared" si="23"/>
        <v/>
      </c>
      <c r="Z26" s="24">
        <f t="shared" si="24"/>
        <v>11.999999989784556</v>
      </c>
      <c r="AA26" s="41" t="str">
        <f t="shared" si="25"/>
        <v/>
      </c>
      <c r="AB26" s="24">
        <f t="shared" si="26"/>
        <v>11.999999877414666</v>
      </c>
      <c r="AC26" s="41" t="str">
        <f t="shared" si="27"/>
        <v/>
      </c>
      <c r="AD26" s="24">
        <f t="shared" si="28"/>
        <v>11.999998528975993</v>
      </c>
      <c r="AE26" s="41" t="str">
        <f t="shared" si="29"/>
        <v/>
      </c>
      <c r="AF26" s="24">
        <f t="shared" si="30"/>
        <v>11.999982347711921</v>
      </c>
      <c r="AG26" s="41" t="str">
        <f t="shared" si="31"/>
        <v/>
      </c>
      <c r="AH26" s="24">
        <f t="shared" si="32"/>
        <v>11.999788172543049</v>
      </c>
      <c r="AI26" s="41" t="str">
        <f t="shared" si="33"/>
        <v/>
      </c>
      <c r="AJ26" s="24">
        <f t="shared" si="34"/>
        <v>11.997458070516586</v>
      </c>
      <c r="AK26" s="41" t="str">
        <f t="shared" si="35"/>
        <v/>
      </c>
    </row>
    <row r="27" spans="1:37">
      <c r="A27" s="770"/>
      <c r="B27" s="773" t="s">
        <v>400</v>
      </c>
      <c r="C27" s="777" t="s">
        <v>401</v>
      </c>
      <c r="D27" s="778"/>
      <c r="E27" s="779"/>
      <c r="F27" s="147">
        <v>-1600000000</v>
      </c>
      <c r="G27" s="8">
        <v>3</v>
      </c>
      <c r="H27" s="21">
        <f t="shared" si="8"/>
        <v>25000000</v>
      </c>
      <c r="I27" s="37" t="str">
        <f t="shared" si="9"/>
        <v>8;458</v>
      </c>
      <c r="J27" s="38">
        <v>6</v>
      </c>
      <c r="K27" s="132">
        <f t="shared" si="10"/>
        <v>8.3724494170096015</v>
      </c>
      <c r="L27" s="39" t="str">
        <f>INDEX(powers!$H$2:$H$75,33+J27)</f>
        <v>cosmic centy</v>
      </c>
      <c r="M27" s="40" t="str">
        <f t="shared" si="11"/>
        <v>8</v>
      </c>
      <c r="N27" s="24">
        <f t="shared" si="12"/>
        <v>4.4693930041152186</v>
      </c>
      <c r="O27" s="41" t="str">
        <f t="shared" si="13"/>
        <v>4</v>
      </c>
      <c r="P27" s="24">
        <f t="shared" si="14"/>
        <v>5.6327160493826227</v>
      </c>
      <c r="Q27" s="41" t="str">
        <f t="shared" si="15"/>
        <v>5</v>
      </c>
      <c r="R27" s="24">
        <f t="shared" si="16"/>
        <v>7.5925925925914726</v>
      </c>
      <c r="S27" s="41" t="str">
        <f t="shared" si="17"/>
        <v>8</v>
      </c>
      <c r="T27" s="24">
        <f t="shared" si="18"/>
        <v>7.1111111110976708</v>
      </c>
      <c r="U27" s="41" t="str">
        <f t="shared" si="19"/>
        <v/>
      </c>
      <c r="V27" s="24">
        <f t="shared" si="20"/>
        <v>1.3333333331720496</v>
      </c>
      <c r="W27" s="41" t="str">
        <f t="shared" si="21"/>
        <v/>
      </c>
      <c r="X27" s="24">
        <f t="shared" si="22"/>
        <v>3.9999999980645953</v>
      </c>
      <c r="Y27" s="41" t="str">
        <f t="shared" si="23"/>
        <v/>
      </c>
      <c r="Z27" s="24">
        <f t="shared" si="24"/>
        <v>11.999999976775143</v>
      </c>
      <c r="AA27" s="41" t="str">
        <f t="shared" si="25"/>
        <v/>
      </c>
      <c r="AB27" s="24">
        <f t="shared" si="26"/>
        <v>11.99999972130172</v>
      </c>
      <c r="AC27" s="41" t="str">
        <f t="shared" si="27"/>
        <v/>
      </c>
      <c r="AD27" s="24">
        <f t="shared" si="28"/>
        <v>11.999996655620635</v>
      </c>
      <c r="AE27" s="41" t="str">
        <f t="shared" si="29"/>
        <v/>
      </c>
      <c r="AF27" s="24">
        <f t="shared" si="30"/>
        <v>11.999959867447615</v>
      </c>
      <c r="AG27" s="41" t="str">
        <f t="shared" si="31"/>
        <v/>
      </c>
      <c r="AH27" s="24">
        <f t="shared" si="32"/>
        <v>11.999518409371376</v>
      </c>
      <c r="AI27" s="41" t="str">
        <f t="shared" si="33"/>
        <v/>
      </c>
      <c r="AJ27" s="24">
        <f t="shared" si="34"/>
        <v>11.994220912456512</v>
      </c>
      <c r="AK27" s="41" t="str">
        <f t="shared" si="35"/>
        <v/>
      </c>
    </row>
    <row r="28" spans="1:37">
      <c r="A28" s="770"/>
      <c r="B28" s="774"/>
      <c r="C28" s="777" t="s">
        <v>402</v>
      </c>
      <c r="D28" s="778"/>
      <c r="E28" s="779"/>
      <c r="F28" s="147">
        <v>-1400000000</v>
      </c>
      <c r="G28" s="8">
        <v>3</v>
      </c>
      <c r="H28" s="21">
        <f t="shared" si="8"/>
        <v>21875000</v>
      </c>
      <c r="I28" s="37" t="str">
        <f t="shared" si="9"/>
        <v>7;3XE</v>
      </c>
      <c r="J28" s="38">
        <v>6</v>
      </c>
      <c r="K28" s="132">
        <f t="shared" si="10"/>
        <v>7.3258932398834018</v>
      </c>
      <c r="L28" s="39" t="str">
        <f>INDEX(powers!$H$2:$H$75,33+J28)</f>
        <v>cosmic centy</v>
      </c>
      <c r="M28" s="40" t="str">
        <f t="shared" si="11"/>
        <v>7</v>
      </c>
      <c r="N28" s="24">
        <f t="shared" si="12"/>
        <v>3.9107188786008216</v>
      </c>
      <c r="O28" s="41" t="str">
        <f t="shared" si="13"/>
        <v>3</v>
      </c>
      <c r="P28" s="24">
        <f t="shared" si="14"/>
        <v>10.928626543209859</v>
      </c>
      <c r="Q28" s="41" t="str">
        <f t="shared" si="15"/>
        <v>X</v>
      </c>
      <c r="R28" s="24">
        <f t="shared" si="16"/>
        <v>11.143518518518306</v>
      </c>
      <c r="S28" s="41" t="str">
        <f t="shared" si="17"/>
        <v>E</v>
      </c>
      <c r="T28" s="24">
        <f t="shared" si="18"/>
        <v>1.7222222222196706</v>
      </c>
      <c r="U28" s="41" t="str">
        <f t="shared" si="19"/>
        <v/>
      </c>
      <c r="V28" s="24">
        <f t="shared" si="20"/>
        <v>8.666666666636047</v>
      </c>
      <c r="W28" s="41" t="str">
        <f t="shared" si="21"/>
        <v/>
      </c>
      <c r="X28" s="24">
        <f t="shared" si="22"/>
        <v>7.9999999996325641</v>
      </c>
      <c r="Y28" s="41" t="str">
        <f t="shared" si="23"/>
        <v/>
      </c>
      <c r="Z28" s="24">
        <f t="shared" si="24"/>
        <v>11.99999999559077</v>
      </c>
      <c r="AA28" s="41" t="str">
        <f t="shared" si="25"/>
        <v/>
      </c>
      <c r="AB28" s="24">
        <f t="shared" si="26"/>
        <v>11.999999947089236</v>
      </c>
      <c r="AC28" s="41" t="str">
        <f t="shared" si="27"/>
        <v/>
      </c>
      <c r="AD28" s="24">
        <f t="shared" si="28"/>
        <v>11.999999365070835</v>
      </c>
      <c r="AE28" s="41" t="str">
        <f t="shared" si="29"/>
        <v/>
      </c>
      <c r="AF28" s="24">
        <f t="shared" si="30"/>
        <v>11.999992380850017</v>
      </c>
      <c r="AG28" s="41" t="str">
        <f t="shared" si="31"/>
        <v/>
      </c>
      <c r="AH28" s="24">
        <f t="shared" si="32"/>
        <v>11.999908570200205</v>
      </c>
      <c r="AI28" s="41" t="str">
        <f t="shared" si="33"/>
        <v/>
      </c>
      <c r="AJ28" s="24">
        <f t="shared" si="34"/>
        <v>11.998902842402458</v>
      </c>
      <c r="AK28" s="41" t="str">
        <f t="shared" si="35"/>
        <v/>
      </c>
    </row>
    <row r="29" spans="1:37">
      <c r="A29" s="770"/>
      <c r="B29" s="775"/>
      <c r="C29" s="777" t="s">
        <v>403</v>
      </c>
      <c r="D29" s="778"/>
      <c r="E29" s="779"/>
      <c r="F29" s="147">
        <v>-1200000000</v>
      </c>
      <c r="G29" s="8">
        <v>3</v>
      </c>
      <c r="H29" s="21">
        <f t="shared" si="8"/>
        <v>18750000</v>
      </c>
      <c r="I29" s="37" t="str">
        <f t="shared" si="9"/>
        <v>6;343</v>
      </c>
      <c r="J29" s="38">
        <v>6</v>
      </c>
      <c r="K29" s="132">
        <f t="shared" si="10"/>
        <v>6.279337062757202</v>
      </c>
      <c r="L29" s="39" t="str">
        <f>INDEX(powers!$H$2:$H$75,33+J29)</f>
        <v>cosmic centy</v>
      </c>
      <c r="M29" s="40" t="str">
        <f t="shared" si="11"/>
        <v>6</v>
      </c>
      <c r="N29" s="24">
        <f t="shared" si="12"/>
        <v>3.3520447530864246</v>
      </c>
      <c r="O29" s="41" t="str">
        <f t="shared" si="13"/>
        <v>3</v>
      </c>
      <c r="P29" s="24">
        <f t="shared" si="14"/>
        <v>4.2245370370370949</v>
      </c>
      <c r="Q29" s="41" t="str">
        <f t="shared" si="15"/>
        <v>4</v>
      </c>
      <c r="R29" s="24">
        <f t="shared" si="16"/>
        <v>2.6944444444451392</v>
      </c>
      <c r="S29" s="41" t="str">
        <f t="shared" si="17"/>
        <v>3</v>
      </c>
      <c r="T29" s="24">
        <f t="shared" si="18"/>
        <v>8.3333333333416704</v>
      </c>
      <c r="U29" s="41" t="str">
        <f t="shared" si="19"/>
        <v/>
      </c>
      <c r="V29" s="24">
        <f t="shared" si="20"/>
        <v>4.0000000001000444</v>
      </c>
      <c r="W29" s="41" t="str">
        <f t="shared" si="21"/>
        <v/>
      </c>
      <c r="X29" s="24">
        <f t="shared" si="22"/>
        <v>1.2005330063402653E-9</v>
      </c>
      <c r="Y29" s="41" t="str">
        <f t="shared" si="23"/>
        <v/>
      </c>
      <c r="Z29" s="24">
        <f t="shared" si="24"/>
        <v>1.4406396076083183E-8</v>
      </c>
      <c r="AA29" s="41" t="str">
        <f t="shared" si="25"/>
        <v/>
      </c>
      <c r="AB29" s="24">
        <f t="shared" si="26"/>
        <v>1.728767529129982E-7</v>
      </c>
      <c r="AC29" s="41" t="str">
        <f t="shared" si="27"/>
        <v/>
      </c>
      <c r="AD29" s="24">
        <f t="shared" si="28"/>
        <v>2.0745210349559784E-6</v>
      </c>
      <c r="AE29" s="41" t="str">
        <f t="shared" si="29"/>
        <v/>
      </c>
      <c r="AF29" s="24">
        <f t="shared" si="30"/>
        <v>2.4894252419471741E-5</v>
      </c>
      <c r="AG29" s="41" t="str">
        <f t="shared" si="31"/>
        <v/>
      </c>
      <c r="AH29" s="24">
        <f t="shared" si="32"/>
        <v>2.9873102903366089E-4</v>
      </c>
      <c r="AI29" s="41" t="str">
        <f t="shared" si="33"/>
        <v/>
      </c>
      <c r="AJ29" s="24">
        <f t="shared" si="34"/>
        <v>3.5847723484039307E-3</v>
      </c>
      <c r="AK29" s="41" t="str">
        <f t="shared" si="35"/>
        <v/>
      </c>
    </row>
    <row r="30" spans="1:37">
      <c r="A30" s="770"/>
      <c r="B30" s="773" t="s">
        <v>404</v>
      </c>
      <c r="C30" s="777" t="s">
        <v>405</v>
      </c>
      <c r="D30" s="778"/>
      <c r="E30" s="779"/>
      <c r="F30" s="147">
        <v>-1000000000</v>
      </c>
      <c r="G30" s="8">
        <v>3</v>
      </c>
      <c r="H30" s="21">
        <f t="shared" si="8"/>
        <v>15625000</v>
      </c>
      <c r="I30" s="37" t="str">
        <f t="shared" si="9"/>
        <v>5;296</v>
      </c>
      <c r="J30" s="38">
        <v>6</v>
      </c>
      <c r="K30" s="132">
        <f t="shared" si="10"/>
        <v>5.2327808856310014</v>
      </c>
      <c r="L30" s="39" t="str">
        <f>INDEX(powers!$H$2:$H$75,33+J30)</f>
        <v>cosmic centy</v>
      </c>
      <c r="M30" s="40" t="str">
        <f t="shared" si="11"/>
        <v>5</v>
      </c>
      <c r="N30" s="24">
        <f t="shared" si="12"/>
        <v>2.7933706275720169</v>
      </c>
      <c r="O30" s="41" t="str">
        <f t="shared" si="13"/>
        <v>2</v>
      </c>
      <c r="P30" s="24">
        <f t="shared" si="14"/>
        <v>9.5204475308642031</v>
      </c>
      <c r="Q30" s="41" t="str">
        <f t="shared" si="15"/>
        <v>9</v>
      </c>
      <c r="R30" s="24">
        <f t="shared" si="16"/>
        <v>6.2453703703704377</v>
      </c>
      <c r="S30" s="41" t="str">
        <f t="shared" si="17"/>
        <v>6</v>
      </c>
      <c r="T30" s="24">
        <f t="shared" si="18"/>
        <v>2.9444444444452529</v>
      </c>
      <c r="U30" s="41" t="str">
        <f t="shared" si="19"/>
        <v/>
      </c>
      <c r="V30" s="24">
        <f t="shared" si="20"/>
        <v>11.333333333343035</v>
      </c>
      <c r="W30" s="41" t="str">
        <f t="shared" si="21"/>
        <v/>
      </c>
      <c r="X30" s="24">
        <f t="shared" si="22"/>
        <v>4.0000000001164153</v>
      </c>
      <c r="Y30" s="41" t="str">
        <f t="shared" si="23"/>
        <v/>
      </c>
      <c r="Z30" s="24">
        <f t="shared" si="24"/>
        <v>1.3969838619232178E-9</v>
      </c>
      <c r="AA30" s="41" t="str">
        <f t="shared" si="25"/>
        <v/>
      </c>
      <c r="AB30" s="24">
        <f t="shared" si="26"/>
        <v>1.6763806343078613E-8</v>
      </c>
      <c r="AC30" s="41" t="str">
        <f t="shared" si="27"/>
        <v/>
      </c>
      <c r="AD30" s="24">
        <f t="shared" si="28"/>
        <v>2.0116567611694336E-7</v>
      </c>
      <c r="AE30" s="41" t="str">
        <f t="shared" si="29"/>
        <v/>
      </c>
      <c r="AF30" s="24">
        <f t="shared" si="30"/>
        <v>2.4139881134033203E-6</v>
      </c>
      <c r="AG30" s="41" t="str">
        <f t="shared" si="31"/>
        <v/>
      </c>
      <c r="AH30" s="24">
        <f t="shared" si="32"/>
        <v>2.8967857360839844E-5</v>
      </c>
      <c r="AI30" s="41" t="str">
        <f t="shared" si="33"/>
        <v/>
      </c>
      <c r="AJ30" s="24">
        <f t="shared" si="34"/>
        <v>3.4761428833007813E-4</v>
      </c>
      <c r="AK30" s="41" t="str">
        <f t="shared" si="35"/>
        <v/>
      </c>
    </row>
    <row r="31" spans="1:37">
      <c r="A31" s="770"/>
      <c r="B31" s="774"/>
      <c r="C31" s="777" t="s">
        <v>407</v>
      </c>
      <c r="D31" s="778"/>
      <c r="E31" s="779"/>
      <c r="F31" s="147">
        <v>-850000000</v>
      </c>
      <c r="G31" s="8">
        <v>3</v>
      </c>
      <c r="H31" s="21">
        <f t="shared" si="8"/>
        <v>13281250</v>
      </c>
      <c r="I31" s="37" t="str">
        <f t="shared" si="9"/>
        <v>4;546</v>
      </c>
      <c r="J31" s="38">
        <v>6</v>
      </c>
      <c r="K31" s="132">
        <f t="shared" si="10"/>
        <v>4.4478637527863514</v>
      </c>
      <c r="L31" s="39" t="str">
        <f>INDEX(powers!$H$2:$H$75,33+J31)</f>
        <v>cosmic centy</v>
      </c>
      <c r="M31" s="40" t="str">
        <f t="shared" si="11"/>
        <v>4</v>
      </c>
      <c r="N31" s="24">
        <f t="shared" si="12"/>
        <v>5.3743650334362165</v>
      </c>
      <c r="O31" s="41" t="str">
        <f t="shared" si="13"/>
        <v>5</v>
      </c>
      <c r="P31" s="24">
        <f t="shared" si="14"/>
        <v>4.4923804012345983</v>
      </c>
      <c r="Q31" s="41" t="str">
        <f t="shared" si="15"/>
        <v>4</v>
      </c>
      <c r="R31" s="24">
        <f t="shared" si="16"/>
        <v>5.908564814815179</v>
      </c>
      <c r="S31" s="41" t="str">
        <f t="shared" si="17"/>
        <v>6</v>
      </c>
      <c r="T31" s="24">
        <f t="shared" si="18"/>
        <v>10.902777777782148</v>
      </c>
      <c r="U31" s="41" t="str">
        <f t="shared" si="19"/>
        <v/>
      </c>
      <c r="V31" s="24">
        <f t="shared" si="20"/>
        <v>10.833333333385781</v>
      </c>
      <c r="W31" s="41" t="str">
        <f t="shared" si="21"/>
        <v/>
      </c>
      <c r="X31" s="24">
        <f t="shared" si="22"/>
        <v>10.00000000062937</v>
      </c>
      <c r="Y31" s="41" t="str">
        <f t="shared" si="23"/>
        <v/>
      </c>
      <c r="Z31" s="24">
        <f t="shared" si="24"/>
        <v>7.5524440035223961E-9</v>
      </c>
      <c r="AA31" s="41" t="str">
        <f t="shared" si="25"/>
        <v/>
      </c>
      <c r="AB31" s="24">
        <f t="shared" si="26"/>
        <v>9.0629328042268753E-8</v>
      </c>
      <c r="AC31" s="41" t="str">
        <f t="shared" si="27"/>
        <v/>
      </c>
      <c r="AD31" s="24">
        <f t="shared" si="28"/>
        <v>1.087551936507225E-6</v>
      </c>
      <c r="AE31" s="41" t="str">
        <f t="shared" si="29"/>
        <v/>
      </c>
      <c r="AF31" s="24">
        <f t="shared" si="30"/>
        <v>1.30506232380867E-5</v>
      </c>
      <c r="AG31" s="41" t="str">
        <f t="shared" si="31"/>
        <v/>
      </c>
      <c r="AH31" s="24">
        <f t="shared" si="32"/>
        <v>1.5660747885704041E-4</v>
      </c>
      <c r="AI31" s="41" t="str">
        <f t="shared" si="33"/>
        <v/>
      </c>
      <c r="AJ31" s="24">
        <f t="shared" si="34"/>
        <v>1.8792897462844849E-3</v>
      </c>
      <c r="AK31" s="41" t="str">
        <f t="shared" si="35"/>
        <v/>
      </c>
    </row>
    <row r="32" spans="1:37">
      <c r="A32" s="771"/>
      <c r="B32" s="775"/>
      <c r="C32" s="777" t="s">
        <v>406</v>
      </c>
      <c r="D32" s="778"/>
      <c r="E32" s="779"/>
      <c r="F32" s="147">
        <v>-635000000</v>
      </c>
      <c r="G32" s="8">
        <v>3</v>
      </c>
      <c r="H32" s="21">
        <f t="shared" si="8"/>
        <v>9921875</v>
      </c>
      <c r="I32" s="37" t="str">
        <f t="shared" si="9"/>
        <v>3;3X6</v>
      </c>
      <c r="J32" s="38">
        <v>6</v>
      </c>
      <c r="K32" s="132">
        <f t="shared" si="10"/>
        <v>3.3228158623756858</v>
      </c>
      <c r="L32" s="39" t="str">
        <f>INDEX(powers!$H$2:$H$75,33+J32)</f>
        <v>cosmic centy</v>
      </c>
      <c r="M32" s="40" t="str">
        <f t="shared" si="11"/>
        <v>3</v>
      </c>
      <c r="N32" s="24">
        <f t="shared" si="12"/>
        <v>3.8737903485082299</v>
      </c>
      <c r="O32" s="41" t="str">
        <f t="shared" si="13"/>
        <v>3</v>
      </c>
      <c r="P32" s="24">
        <f t="shared" si="14"/>
        <v>10.485484182098759</v>
      </c>
      <c r="Q32" s="41" t="str">
        <f t="shared" si="15"/>
        <v>X</v>
      </c>
      <c r="R32" s="24">
        <f t="shared" si="16"/>
        <v>5.8258101851851052</v>
      </c>
      <c r="S32" s="41" t="str">
        <f t="shared" si="17"/>
        <v>6</v>
      </c>
      <c r="T32" s="24">
        <f t="shared" si="18"/>
        <v>9.9097222222212622</v>
      </c>
      <c r="U32" s="41" t="str">
        <f t="shared" si="19"/>
        <v/>
      </c>
      <c r="V32" s="24">
        <f t="shared" si="20"/>
        <v>10.916666666655146</v>
      </c>
      <c r="W32" s="41" t="str">
        <f t="shared" si="21"/>
        <v/>
      </c>
      <c r="X32" s="24">
        <f t="shared" si="22"/>
        <v>10.999999999861757</v>
      </c>
      <c r="Y32" s="41" t="str">
        <f t="shared" si="23"/>
        <v/>
      </c>
      <c r="Z32" s="24">
        <f t="shared" si="24"/>
        <v>11.999999998341082</v>
      </c>
      <c r="AA32" s="41" t="str">
        <f t="shared" si="25"/>
        <v/>
      </c>
      <c r="AB32" s="24">
        <f t="shared" si="26"/>
        <v>11.99999998009298</v>
      </c>
      <c r="AC32" s="41" t="str">
        <f t="shared" si="27"/>
        <v/>
      </c>
      <c r="AD32" s="24">
        <f t="shared" si="28"/>
        <v>11.99999976111576</v>
      </c>
      <c r="AE32" s="41" t="str">
        <f t="shared" si="29"/>
        <v/>
      </c>
      <c r="AF32" s="24">
        <f t="shared" si="30"/>
        <v>11.999997133389115</v>
      </c>
      <c r="AG32" s="41" t="str">
        <f t="shared" si="31"/>
        <v/>
      </c>
      <c r="AH32" s="24">
        <f t="shared" si="32"/>
        <v>11.999965600669384</v>
      </c>
      <c r="AI32" s="41" t="str">
        <f t="shared" si="33"/>
        <v/>
      </c>
      <c r="AJ32" s="24">
        <f t="shared" si="34"/>
        <v>11.999587208032608</v>
      </c>
      <c r="AK32" s="41" t="str">
        <f t="shared" si="35"/>
        <v/>
      </c>
    </row>
    <row r="33" spans="1:37">
      <c r="A33" s="769" t="s">
        <v>408</v>
      </c>
      <c r="B33" s="773" t="s">
        <v>409</v>
      </c>
      <c r="C33" s="773" t="s">
        <v>410</v>
      </c>
      <c r="D33" s="773" t="s">
        <v>411</v>
      </c>
      <c r="E33" s="610" t="s">
        <v>412</v>
      </c>
      <c r="F33" s="147">
        <v>-542000000</v>
      </c>
      <c r="G33" s="8">
        <v>4</v>
      </c>
      <c r="H33" s="21">
        <f t="shared" si="8"/>
        <v>8468750</v>
      </c>
      <c r="I33" s="37" t="str">
        <f t="shared" si="9"/>
        <v>2;X04E</v>
      </c>
      <c r="J33" s="38">
        <v>6</v>
      </c>
      <c r="K33" s="132">
        <f t="shared" si="10"/>
        <v>2.8361672400120028</v>
      </c>
      <c r="L33" s="39" t="str">
        <f>INDEX(powers!$H$2:$H$75,33+J33)</f>
        <v>cosmic centy</v>
      </c>
      <c r="M33" s="40" t="str">
        <f t="shared" si="11"/>
        <v>2</v>
      </c>
      <c r="N33" s="24">
        <f t="shared" si="12"/>
        <v>10.034006880144034</v>
      </c>
      <c r="O33" s="41" t="str">
        <f t="shared" si="13"/>
        <v>X</v>
      </c>
      <c r="P33" s="24">
        <f t="shared" si="14"/>
        <v>0.40808256172840629</v>
      </c>
      <c r="Q33" s="41" t="str">
        <f t="shared" si="15"/>
        <v>0</v>
      </c>
      <c r="R33" s="24">
        <f t="shared" si="16"/>
        <v>4.8969907407408755</v>
      </c>
      <c r="S33" s="41" t="str">
        <f t="shared" si="17"/>
        <v>4</v>
      </c>
      <c r="T33" s="24">
        <f t="shared" si="18"/>
        <v>10.763888888890506</v>
      </c>
      <c r="U33" s="41" t="str">
        <f t="shared" si="19"/>
        <v>E</v>
      </c>
      <c r="V33" s="24">
        <f t="shared" si="20"/>
        <v>9.1666666666860692</v>
      </c>
      <c r="W33" s="41" t="str">
        <f t="shared" si="21"/>
        <v/>
      </c>
      <c r="X33" s="24">
        <f t="shared" si="22"/>
        <v>2.0000000002328306</v>
      </c>
      <c r="Y33" s="41" t="str">
        <f t="shared" si="23"/>
        <v/>
      </c>
      <c r="Z33" s="24">
        <f t="shared" si="24"/>
        <v>2.7939677238464355E-9</v>
      </c>
      <c r="AA33" s="41" t="str">
        <f t="shared" si="25"/>
        <v/>
      </c>
      <c r="AB33" s="24">
        <f t="shared" si="26"/>
        <v>3.3527612686157227E-8</v>
      </c>
      <c r="AC33" s="41" t="str">
        <f t="shared" si="27"/>
        <v/>
      </c>
      <c r="AD33" s="24">
        <f t="shared" si="28"/>
        <v>4.0233135223388672E-7</v>
      </c>
      <c r="AE33" s="41" t="str">
        <f t="shared" si="29"/>
        <v/>
      </c>
      <c r="AF33" s="24">
        <f t="shared" si="30"/>
        <v>4.8279762268066406E-6</v>
      </c>
      <c r="AG33" s="41" t="str">
        <f t="shared" si="31"/>
        <v/>
      </c>
      <c r="AH33" s="24">
        <f t="shared" si="32"/>
        <v>5.7935714721679688E-5</v>
      </c>
      <c r="AI33" s="41" t="str">
        <f t="shared" si="33"/>
        <v/>
      </c>
      <c r="AJ33" s="24">
        <f t="shared" si="34"/>
        <v>6.9522857666015625E-4</v>
      </c>
      <c r="AK33" s="41" t="str">
        <f t="shared" si="35"/>
        <v/>
      </c>
    </row>
    <row r="34" spans="1:37" ht="13.5" customHeight="1">
      <c r="A34" s="770"/>
      <c r="B34" s="774"/>
      <c r="C34" s="774"/>
      <c r="D34" s="775"/>
      <c r="E34" s="610" t="s">
        <v>413</v>
      </c>
      <c r="F34" s="147">
        <v>-528000000</v>
      </c>
      <c r="G34" s="8">
        <v>4</v>
      </c>
      <c r="H34" s="21">
        <f t="shared" si="8"/>
        <v>8250000</v>
      </c>
      <c r="I34" s="37" t="str">
        <f t="shared" si="9"/>
        <v>2;91X4</v>
      </c>
      <c r="J34" s="38">
        <v>6</v>
      </c>
      <c r="K34" s="132">
        <f t="shared" si="10"/>
        <v>2.7629083076131686</v>
      </c>
      <c r="L34" s="39" t="str">
        <f>INDEX(powers!$H$2:$H$75,33+J34)</f>
        <v>cosmic centy</v>
      </c>
      <c r="M34" s="40" t="str">
        <f t="shared" si="11"/>
        <v>2</v>
      </c>
      <c r="N34" s="24">
        <f t="shared" si="12"/>
        <v>9.1548996913580236</v>
      </c>
      <c r="O34" s="41" t="str">
        <f t="shared" si="13"/>
        <v>9</v>
      </c>
      <c r="P34" s="24">
        <f t="shared" si="14"/>
        <v>1.8587962962962834</v>
      </c>
      <c r="Q34" s="41" t="str">
        <f t="shared" si="15"/>
        <v>1</v>
      </c>
      <c r="R34" s="24">
        <f t="shared" si="16"/>
        <v>10.305555555555401</v>
      </c>
      <c r="S34" s="41" t="str">
        <f t="shared" si="17"/>
        <v>X</v>
      </c>
      <c r="T34" s="24">
        <f t="shared" si="18"/>
        <v>3.6666666666648098</v>
      </c>
      <c r="U34" s="41" t="str">
        <f t="shared" si="19"/>
        <v>4</v>
      </c>
      <c r="V34" s="24">
        <f t="shared" si="20"/>
        <v>7.9999999999777174</v>
      </c>
      <c r="W34" s="41" t="str">
        <f t="shared" si="21"/>
        <v/>
      </c>
      <c r="X34" s="24">
        <f t="shared" si="22"/>
        <v>11.999999999732609</v>
      </c>
      <c r="Y34" s="41" t="str">
        <f t="shared" si="23"/>
        <v/>
      </c>
      <c r="Z34" s="24">
        <f t="shared" si="24"/>
        <v>11.999999996791303</v>
      </c>
      <c r="AA34" s="41" t="str">
        <f t="shared" si="25"/>
        <v/>
      </c>
      <c r="AB34" s="24">
        <f t="shared" si="26"/>
        <v>11.999999961495632</v>
      </c>
      <c r="AC34" s="41" t="str">
        <f t="shared" si="27"/>
        <v/>
      </c>
      <c r="AD34" s="24">
        <f t="shared" si="28"/>
        <v>11.999999537947588</v>
      </c>
      <c r="AE34" s="41" t="str">
        <f t="shared" si="29"/>
        <v/>
      </c>
      <c r="AF34" s="24">
        <f t="shared" si="30"/>
        <v>11.999994455371052</v>
      </c>
      <c r="AG34" s="41" t="str">
        <f t="shared" si="31"/>
        <v/>
      </c>
      <c r="AH34" s="24">
        <f t="shared" si="32"/>
        <v>11.999933464452624</v>
      </c>
      <c r="AI34" s="41" t="str">
        <f t="shared" si="33"/>
        <v/>
      </c>
      <c r="AJ34" s="24">
        <f t="shared" si="34"/>
        <v>11.999201573431492</v>
      </c>
      <c r="AK34" s="41" t="str">
        <f t="shared" si="35"/>
        <v/>
      </c>
    </row>
    <row r="35" spans="1:37" ht="13.5" customHeight="1">
      <c r="A35" s="770"/>
      <c r="B35" s="774"/>
      <c r="C35" s="774"/>
      <c r="D35" s="773" t="s">
        <v>414</v>
      </c>
      <c r="E35" s="610" t="s">
        <v>415</v>
      </c>
      <c r="F35" s="147">
        <v>-521000000</v>
      </c>
      <c r="G35" s="8">
        <v>4</v>
      </c>
      <c r="H35" s="21">
        <f t="shared" si="8"/>
        <v>8140625</v>
      </c>
      <c r="I35" s="37" t="str">
        <f t="shared" si="9"/>
        <v>2;8870</v>
      </c>
      <c r="J35" s="38">
        <v>6</v>
      </c>
      <c r="K35" s="132">
        <f t="shared" si="10"/>
        <v>2.7262788414137518</v>
      </c>
      <c r="L35" s="39" t="str">
        <f>INDEX(powers!$H$2:$H$75,33+J35)</f>
        <v>cosmic centy</v>
      </c>
      <c r="M35" s="40" t="str">
        <f t="shared" si="11"/>
        <v>2</v>
      </c>
      <c r="N35" s="24">
        <f t="shared" si="12"/>
        <v>8.7153460969650212</v>
      </c>
      <c r="O35" s="41" t="str">
        <f t="shared" si="13"/>
        <v>8</v>
      </c>
      <c r="P35" s="24">
        <f t="shared" si="14"/>
        <v>8.5841531635802539</v>
      </c>
      <c r="Q35" s="41" t="str">
        <f t="shared" si="15"/>
        <v>8</v>
      </c>
      <c r="R35" s="24">
        <f t="shared" si="16"/>
        <v>7.0098379629630472</v>
      </c>
      <c r="S35" s="41" t="str">
        <f t="shared" si="17"/>
        <v>7</v>
      </c>
      <c r="T35" s="24">
        <f t="shared" si="18"/>
        <v>0.11805555555656611</v>
      </c>
      <c r="U35" s="41" t="str">
        <f t="shared" si="19"/>
        <v>0</v>
      </c>
      <c r="V35" s="24">
        <f t="shared" si="20"/>
        <v>1.4166666666787933</v>
      </c>
      <c r="W35" s="41" t="str">
        <f t="shared" si="21"/>
        <v/>
      </c>
      <c r="X35" s="24">
        <f t="shared" si="22"/>
        <v>5.0000000001455192</v>
      </c>
      <c r="Y35" s="41" t="str">
        <f t="shared" si="23"/>
        <v/>
      </c>
      <c r="Z35" s="24">
        <f t="shared" si="24"/>
        <v>1.7462298274040222E-9</v>
      </c>
      <c r="AA35" s="41" t="str">
        <f t="shared" si="25"/>
        <v/>
      </c>
      <c r="AB35" s="24">
        <f t="shared" si="26"/>
        <v>2.0954757928848267E-8</v>
      </c>
      <c r="AC35" s="41" t="str">
        <f t="shared" si="27"/>
        <v/>
      </c>
      <c r="AD35" s="24">
        <f t="shared" si="28"/>
        <v>2.514570951461792E-7</v>
      </c>
      <c r="AE35" s="41" t="str">
        <f t="shared" si="29"/>
        <v/>
      </c>
      <c r="AF35" s="24">
        <f t="shared" si="30"/>
        <v>3.0174851417541504E-6</v>
      </c>
      <c r="AG35" s="41" t="str">
        <f t="shared" si="31"/>
        <v/>
      </c>
      <c r="AH35" s="24">
        <f t="shared" si="32"/>
        <v>3.6209821701049805E-5</v>
      </c>
      <c r="AI35" s="41" t="str">
        <f t="shared" si="33"/>
        <v/>
      </c>
      <c r="AJ35" s="24">
        <f t="shared" si="34"/>
        <v>4.3451786041259766E-4</v>
      </c>
      <c r="AK35" s="41" t="str">
        <f t="shared" si="35"/>
        <v/>
      </c>
    </row>
    <row r="36" spans="1:37" ht="13.5" customHeight="1">
      <c r="A36" s="770"/>
      <c r="B36" s="774"/>
      <c r="C36" s="774"/>
      <c r="D36" s="775"/>
      <c r="E36" s="610" t="s">
        <v>416</v>
      </c>
      <c r="F36" s="147">
        <v>-515000000</v>
      </c>
      <c r="G36" s="8">
        <v>4</v>
      </c>
      <c r="H36" s="21">
        <f t="shared" si="8"/>
        <v>8046875</v>
      </c>
      <c r="I36" s="37" t="str">
        <f t="shared" si="9"/>
        <v>2;8409</v>
      </c>
      <c r="J36" s="38">
        <v>6</v>
      </c>
      <c r="K36" s="132">
        <f t="shared" si="10"/>
        <v>2.6948821560999656</v>
      </c>
      <c r="L36" s="39" t="str">
        <f>INDEX(powers!$H$2:$H$75,33+J36)</f>
        <v>cosmic centy</v>
      </c>
      <c r="M36" s="40" t="str">
        <f t="shared" si="11"/>
        <v>2</v>
      </c>
      <c r="N36" s="24">
        <f t="shared" si="12"/>
        <v>8.3385858731995874</v>
      </c>
      <c r="O36" s="41" t="str">
        <f t="shared" si="13"/>
        <v>8</v>
      </c>
      <c r="P36" s="24">
        <f t="shared" si="14"/>
        <v>4.0630304783950493</v>
      </c>
      <c r="Q36" s="41" t="str">
        <f t="shared" si="15"/>
        <v>4</v>
      </c>
      <c r="R36" s="24">
        <f t="shared" si="16"/>
        <v>0.75636574074059126</v>
      </c>
      <c r="S36" s="41" t="str">
        <f t="shared" si="17"/>
        <v>0</v>
      </c>
      <c r="T36" s="24">
        <f t="shared" si="18"/>
        <v>9.0763888888870952</v>
      </c>
      <c r="U36" s="41" t="str">
        <f t="shared" si="19"/>
        <v>9</v>
      </c>
      <c r="V36" s="24">
        <f t="shared" si="20"/>
        <v>0.91666666664514196</v>
      </c>
      <c r="W36" s="41" t="str">
        <f t="shared" si="21"/>
        <v/>
      </c>
      <c r="X36" s="24">
        <f t="shared" si="22"/>
        <v>10.999999999741704</v>
      </c>
      <c r="Y36" s="41" t="str">
        <f t="shared" si="23"/>
        <v/>
      </c>
      <c r="Z36" s="24">
        <f t="shared" si="24"/>
        <v>11.999999996900442</v>
      </c>
      <c r="AA36" s="41" t="str">
        <f t="shared" si="25"/>
        <v/>
      </c>
      <c r="AB36" s="24">
        <f t="shared" si="26"/>
        <v>11.999999962805305</v>
      </c>
      <c r="AC36" s="41" t="str">
        <f t="shared" si="27"/>
        <v/>
      </c>
      <c r="AD36" s="24">
        <f t="shared" si="28"/>
        <v>11.999999553663656</v>
      </c>
      <c r="AE36" s="41" t="str">
        <f t="shared" si="29"/>
        <v/>
      </c>
      <c r="AF36" s="24">
        <f t="shared" si="30"/>
        <v>11.999994643963873</v>
      </c>
      <c r="AG36" s="41" t="str">
        <f t="shared" si="31"/>
        <v/>
      </c>
      <c r="AH36" s="24">
        <f t="shared" si="32"/>
        <v>11.999935727566481</v>
      </c>
      <c r="AI36" s="41" t="str">
        <f t="shared" si="33"/>
        <v/>
      </c>
      <c r="AJ36" s="24">
        <f t="shared" si="34"/>
        <v>11.999228730797768</v>
      </c>
      <c r="AK36" s="41" t="str">
        <f t="shared" si="35"/>
        <v/>
      </c>
    </row>
    <row r="37" spans="1:37" ht="13.5" customHeight="1">
      <c r="A37" s="770"/>
      <c r="B37" s="774"/>
      <c r="C37" s="774"/>
      <c r="D37" s="773" t="s">
        <v>417</v>
      </c>
      <c r="E37" s="610" t="s">
        <v>418</v>
      </c>
      <c r="F37" s="147">
        <v>-510000000</v>
      </c>
      <c r="G37" s="8">
        <v>4</v>
      </c>
      <c r="H37" s="21">
        <f t="shared" si="8"/>
        <v>7968750</v>
      </c>
      <c r="I37" s="37" t="str">
        <f t="shared" si="9"/>
        <v>2;8037</v>
      </c>
      <c r="J37" s="38">
        <v>6</v>
      </c>
      <c r="K37" s="132">
        <f t="shared" si="10"/>
        <v>2.6687182516718106</v>
      </c>
      <c r="L37" s="39" t="str">
        <f>INDEX(powers!$H$2:$H$75,33+J37)</f>
        <v>cosmic centy</v>
      </c>
      <c r="M37" s="40" t="str">
        <f t="shared" si="11"/>
        <v>2</v>
      </c>
      <c r="N37" s="24">
        <f t="shared" si="12"/>
        <v>8.0246190200617278</v>
      </c>
      <c r="O37" s="41" t="str">
        <f t="shared" si="13"/>
        <v>8</v>
      </c>
      <c r="P37" s="24">
        <f t="shared" si="14"/>
        <v>0.29542824074073337</v>
      </c>
      <c r="Q37" s="41" t="str">
        <f t="shared" si="15"/>
        <v>0</v>
      </c>
      <c r="R37" s="24">
        <f t="shared" si="16"/>
        <v>3.5451388888888005</v>
      </c>
      <c r="S37" s="41" t="str">
        <f t="shared" si="17"/>
        <v>3</v>
      </c>
      <c r="T37" s="24">
        <f t="shared" si="18"/>
        <v>6.5416666666656056</v>
      </c>
      <c r="U37" s="41" t="str">
        <f t="shared" si="19"/>
        <v>7</v>
      </c>
      <c r="V37" s="24">
        <f t="shared" si="20"/>
        <v>6.4999999999872671</v>
      </c>
      <c r="W37" s="41" t="str">
        <f t="shared" si="21"/>
        <v/>
      </c>
      <c r="X37" s="24">
        <f t="shared" si="22"/>
        <v>5.9999999998472049</v>
      </c>
      <c r="Y37" s="41" t="str">
        <f t="shared" si="23"/>
        <v/>
      </c>
      <c r="Z37" s="24">
        <f t="shared" si="24"/>
        <v>11.999999998166459</v>
      </c>
      <c r="AA37" s="41" t="str">
        <f t="shared" si="25"/>
        <v/>
      </c>
      <c r="AB37" s="24">
        <f t="shared" si="26"/>
        <v>11.999999977997504</v>
      </c>
      <c r="AC37" s="41" t="str">
        <f t="shared" si="27"/>
        <v/>
      </c>
      <c r="AD37" s="24">
        <f t="shared" si="28"/>
        <v>11.99999973597005</v>
      </c>
      <c r="AE37" s="41" t="str">
        <f t="shared" si="29"/>
        <v/>
      </c>
      <c r="AF37" s="24">
        <f t="shared" si="30"/>
        <v>11.999996831640601</v>
      </c>
      <c r="AG37" s="41" t="str">
        <f t="shared" si="31"/>
        <v/>
      </c>
      <c r="AH37" s="24">
        <f t="shared" si="32"/>
        <v>11.999961979687214</v>
      </c>
      <c r="AI37" s="41" t="str">
        <f t="shared" si="33"/>
        <v/>
      </c>
      <c r="AJ37" s="24">
        <f t="shared" si="34"/>
        <v>11.999543756246567</v>
      </c>
      <c r="AK37" s="41" t="str">
        <f t="shared" si="35"/>
        <v/>
      </c>
    </row>
    <row r="38" spans="1:37" ht="13.5" customHeight="1">
      <c r="A38" s="770"/>
      <c r="B38" s="774"/>
      <c r="C38" s="774"/>
      <c r="D38" s="774"/>
      <c r="E38" s="610" t="s">
        <v>419</v>
      </c>
      <c r="F38" s="147">
        <v>-506500000</v>
      </c>
      <c r="G38" s="8">
        <v>4</v>
      </c>
      <c r="H38" s="21">
        <f t="shared" si="8"/>
        <v>7914062.5</v>
      </c>
      <c r="I38" s="37" t="str">
        <f t="shared" si="9"/>
        <v>2;797E</v>
      </c>
      <c r="J38" s="38">
        <v>6</v>
      </c>
      <c r="K38" s="132">
        <f t="shared" si="10"/>
        <v>2.650403518572102</v>
      </c>
      <c r="L38" s="39" t="str">
        <f>INDEX(powers!$H$2:$H$75,33+J38)</f>
        <v>cosmic centy</v>
      </c>
      <c r="M38" s="40" t="str">
        <f t="shared" si="11"/>
        <v>2</v>
      </c>
      <c r="N38" s="24">
        <f t="shared" si="12"/>
        <v>7.8048422228652239</v>
      </c>
      <c r="O38" s="41" t="str">
        <f t="shared" si="13"/>
        <v>7</v>
      </c>
      <c r="P38" s="24">
        <f t="shared" si="14"/>
        <v>9.6581066743826867</v>
      </c>
      <c r="Q38" s="41" t="str">
        <f t="shared" si="15"/>
        <v>9</v>
      </c>
      <c r="R38" s="24">
        <f t="shared" si="16"/>
        <v>7.89728009259224</v>
      </c>
      <c r="S38" s="41" t="str">
        <f t="shared" si="17"/>
        <v>7</v>
      </c>
      <c r="T38" s="24">
        <f t="shared" si="18"/>
        <v>10.767361111106879</v>
      </c>
      <c r="U38" s="41" t="str">
        <f t="shared" si="19"/>
        <v>E</v>
      </c>
      <c r="V38" s="24">
        <f t="shared" si="20"/>
        <v>9.2083333332825532</v>
      </c>
      <c r="W38" s="41" t="str">
        <f t="shared" si="21"/>
        <v/>
      </c>
      <c r="X38" s="24">
        <f t="shared" si="22"/>
        <v>2.4999999993906385</v>
      </c>
      <c r="Y38" s="41" t="str">
        <f t="shared" si="23"/>
        <v/>
      </c>
      <c r="Z38" s="24">
        <f t="shared" si="24"/>
        <v>5.9999999926876626</v>
      </c>
      <c r="AA38" s="41" t="str">
        <f t="shared" si="25"/>
        <v/>
      </c>
      <c r="AB38" s="24">
        <f t="shared" si="26"/>
        <v>11.999999912251951</v>
      </c>
      <c r="AC38" s="41" t="str">
        <f t="shared" si="27"/>
        <v/>
      </c>
      <c r="AD38" s="24">
        <f t="shared" si="28"/>
        <v>11.999998947023414</v>
      </c>
      <c r="AE38" s="41" t="str">
        <f t="shared" si="29"/>
        <v/>
      </c>
      <c r="AF38" s="24">
        <f t="shared" si="30"/>
        <v>11.999987364280969</v>
      </c>
      <c r="AG38" s="41" t="str">
        <f t="shared" si="31"/>
        <v/>
      </c>
      <c r="AH38" s="24">
        <f t="shared" si="32"/>
        <v>11.999848371371627</v>
      </c>
      <c r="AI38" s="41" t="str">
        <f t="shared" si="33"/>
        <v/>
      </c>
      <c r="AJ38" s="24">
        <f t="shared" si="34"/>
        <v>11.998180456459522</v>
      </c>
      <c r="AK38" s="41" t="str">
        <f t="shared" si="35"/>
        <v/>
      </c>
    </row>
    <row r="39" spans="1:37" ht="13.5" customHeight="1">
      <c r="A39" s="770"/>
      <c r="B39" s="774"/>
      <c r="C39" s="774"/>
      <c r="D39" s="775"/>
      <c r="E39" s="610" t="s">
        <v>420</v>
      </c>
      <c r="F39" s="147">
        <v>-500300000</v>
      </c>
      <c r="G39" s="8">
        <v>4</v>
      </c>
      <c r="H39" s="21">
        <f t="shared" si="8"/>
        <v>7817187.5</v>
      </c>
      <c r="I39" s="37" t="str">
        <f t="shared" si="9"/>
        <v>2;74EX</v>
      </c>
      <c r="J39" s="38">
        <v>6</v>
      </c>
      <c r="K39" s="132">
        <f t="shared" si="10"/>
        <v>2.6179602770811901</v>
      </c>
      <c r="L39" s="39" t="str">
        <f>INDEX(powers!$H$2:$H$75,33+J39)</f>
        <v>cosmic centy</v>
      </c>
      <c r="M39" s="40" t="str">
        <f t="shared" si="11"/>
        <v>2</v>
      </c>
      <c r="N39" s="24">
        <f t="shared" si="12"/>
        <v>7.4155233249742807</v>
      </c>
      <c r="O39" s="41" t="str">
        <f t="shared" si="13"/>
        <v>7</v>
      </c>
      <c r="P39" s="24">
        <f t="shared" si="14"/>
        <v>4.9862798996913682</v>
      </c>
      <c r="Q39" s="41" t="str">
        <f t="shared" si="15"/>
        <v>4</v>
      </c>
      <c r="R39" s="24">
        <f t="shared" si="16"/>
        <v>11.835358796296418</v>
      </c>
      <c r="S39" s="41" t="str">
        <f t="shared" si="17"/>
        <v>E</v>
      </c>
      <c r="T39" s="24">
        <f t="shared" si="18"/>
        <v>10.024305555557021</v>
      </c>
      <c r="U39" s="41" t="str">
        <f t="shared" si="19"/>
        <v>X</v>
      </c>
      <c r="V39" s="24">
        <f t="shared" si="20"/>
        <v>0.29166666668425023</v>
      </c>
      <c r="W39" s="41" t="str">
        <f t="shared" si="21"/>
        <v/>
      </c>
      <c r="X39" s="24">
        <f t="shared" si="22"/>
        <v>3.5000000002110028</v>
      </c>
      <c r="Y39" s="41" t="str">
        <f t="shared" si="23"/>
        <v/>
      </c>
      <c r="Z39" s="24">
        <f t="shared" si="24"/>
        <v>6.0000000025320332</v>
      </c>
      <c r="AA39" s="41" t="str">
        <f t="shared" si="25"/>
        <v/>
      </c>
      <c r="AB39" s="24">
        <f t="shared" si="26"/>
        <v>3.0384398996829987E-8</v>
      </c>
      <c r="AC39" s="41" t="str">
        <f t="shared" si="27"/>
        <v/>
      </c>
      <c r="AD39" s="24">
        <f t="shared" si="28"/>
        <v>3.6461278796195984E-7</v>
      </c>
      <c r="AE39" s="41" t="str">
        <f t="shared" si="29"/>
        <v/>
      </c>
      <c r="AF39" s="24">
        <f t="shared" si="30"/>
        <v>4.3753534555435181E-6</v>
      </c>
      <c r="AG39" s="41" t="str">
        <f t="shared" si="31"/>
        <v/>
      </c>
      <c r="AH39" s="24">
        <f t="shared" si="32"/>
        <v>5.2504241466522217E-5</v>
      </c>
      <c r="AI39" s="41" t="str">
        <f t="shared" si="33"/>
        <v/>
      </c>
      <c r="AJ39" s="24">
        <f t="shared" si="34"/>
        <v>6.300508975982666E-4</v>
      </c>
      <c r="AK39" s="41" t="str">
        <f t="shared" si="35"/>
        <v/>
      </c>
    </row>
    <row r="40" spans="1:37" ht="13.5" customHeight="1">
      <c r="A40" s="770"/>
      <c r="B40" s="774"/>
      <c r="C40" s="774"/>
      <c r="D40" s="773" t="s">
        <v>421</v>
      </c>
      <c r="E40" s="610" t="s">
        <v>422</v>
      </c>
      <c r="F40" s="147">
        <v>-499000000</v>
      </c>
      <c r="G40" s="8">
        <v>4</v>
      </c>
      <c r="H40" s="21">
        <f t="shared" si="8"/>
        <v>7796875</v>
      </c>
      <c r="I40" s="37" t="str">
        <f t="shared" si="9"/>
        <v>2;7401</v>
      </c>
      <c r="J40" s="38">
        <v>6</v>
      </c>
      <c r="K40" s="132">
        <f t="shared" si="10"/>
        <v>2.6111576619298695</v>
      </c>
      <c r="L40" s="39" t="str">
        <f>INDEX(powers!$H$2:$H$75,33+J40)</f>
        <v>cosmic centy</v>
      </c>
      <c r="M40" s="40" t="str">
        <f t="shared" si="11"/>
        <v>2</v>
      </c>
      <c r="N40" s="24">
        <f t="shared" si="12"/>
        <v>7.3338919431584344</v>
      </c>
      <c r="O40" s="41" t="str">
        <f t="shared" si="13"/>
        <v>7</v>
      </c>
      <c r="P40" s="24">
        <f t="shared" si="14"/>
        <v>4.0067033179012128</v>
      </c>
      <c r="Q40" s="41" t="str">
        <f t="shared" si="15"/>
        <v>4</v>
      </c>
      <c r="R40" s="24">
        <f t="shared" si="16"/>
        <v>8.0439814814553756E-2</v>
      </c>
      <c r="S40" s="41" t="str">
        <f t="shared" si="17"/>
        <v>0</v>
      </c>
      <c r="T40" s="24">
        <f t="shared" si="18"/>
        <v>0.96527777777464507</v>
      </c>
      <c r="U40" s="41" t="str">
        <f t="shared" si="19"/>
        <v>1</v>
      </c>
      <c r="V40" s="24">
        <f t="shared" si="20"/>
        <v>11.583333333295741</v>
      </c>
      <c r="W40" s="41" t="str">
        <f t="shared" si="21"/>
        <v/>
      </c>
      <c r="X40" s="24">
        <f t="shared" si="22"/>
        <v>6.9999999995488906</v>
      </c>
      <c r="Y40" s="41" t="str">
        <f t="shared" si="23"/>
        <v/>
      </c>
      <c r="Z40" s="24">
        <f t="shared" si="24"/>
        <v>11.999999994586688</v>
      </c>
      <c r="AA40" s="41" t="str">
        <f t="shared" si="25"/>
        <v/>
      </c>
      <c r="AB40" s="24">
        <f t="shared" si="26"/>
        <v>11.99999993504025</v>
      </c>
      <c r="AC40" s="41" t="str">
        <f t="shared" si="27"/>
        <v/>
      </c>
      <c r="AD40" s="24">
        <f t="shared" si="28"/>
        <v>11.999999220483005</v>
      </c>
      <c r="AE40" s="41" t="str">
        <f t="shared" si="29"/>
        <v/>
      </c>
      <c r="AF40" s="24">
        <f t="shared" si="30"/>
        <v>11.999990645796061</v>
      </c>
      <c r="AG40" s="41" t="str">
        <f t="shared" si="31"/>
        <v/>
      </c>
      <c r="AH40" s="24">
        <f t="shared" si="32"/>
        <v>11.999887749552727</v>
      </c>
      <c r="AI40" s="41" t="str">
        <f t="shared" si="33"/>
        <v/>
      </c>
      <c r="AJ40" s="24">
        <f t="shared" si="34"/>
        <v>11.998652994632721</v>
      </c>
      <c r="AK40" s="41" t="str">
        <f t="shared" si="35"/>
        <v/>
      </c>
    </row>
    <row r="41" spans="1:37" ht="13.5" customHeight="1">
      <c r="A41" s="770"/>
      <c r="B41" s="774"/>
      <c r="C41" s="774"/>
      <c r="D41" s="774"/>
      <c r="E41" s="610" t="s">
        <v>423</v>
      </c>
      <c r="F41" s="147">
        <v>-496000000</v>
      </c>
      <c r="G41" s="8">
        <v>4</v>
      </c>
      <c r="H41" s="21">
        <f t="shared" si="8"/>
        <v>7750000</v>
      </c>
      <c r="I41" s="37" t="str">
        <f t="shared" si="9"/>
        <v>2;718E</v>
      </c>
      <c r="J41" s="38">
        <v>6</v>
      </c>
      <c r="K41" s="132">
        <f t="shared" si="10"/>
        <v>2.5954593192729765</v>
      </c>
      <c r="L41" s="39" t="str">
        <f>INDEX(powers!$H$2:$H$75,33+J41)</f>
        <v>cosmic centy</v>
      </c>
      <c r="M41" s="40" t="str">
        <f t="shared" si="11"/>
        <v>2</v>
      </c>
      <c r="N41" s="24">
        <f t="shared" si="12"/>
        <v>7.1455118312757175</v>
      </c>
      <c r="O41" s="41" t="str">
        <f t="shared" si="13"/>
        <v>7</v>
      </c>
      <c r="P41" s="24">
        <f t="shared" si="14"/>
        <v>1.7461419753086105</v>
      </c>
      <c r="Q41" s="41" t="str">
        <f t="shared" si="15"/>
        <v>1</v>
      </c>
      <c r="R41" s="24">
        <f t="shared" si="16"/>
        <v>8.9537037037033258</v>
      </c>
      <c r="S41" s="41" t="str">
        <f t="shared" si="17"/>
        <v>8</v>
      </c>
      <c r="T41" s="24">
        <f t="shared" si="18"/>
        <v>11.44444444443991</v>
      </c>
      <c r="U41" s="41" t="str">
        <f t="shared" si="19"/>
        <v>E</v>
      </c>
      <c r="V41" s="24">
        <f t="shared" si="20"/>
        <v>5.3333333332789152</v>
      </c>
      <c r="W41" s="41" t="str">
        <f t="shared" si="21"/>
        <v/>
      </c>
      <c r="X41" s="24">
        <f t="shared" si="22"/>
        <v>3.9999999993469828</v>
      </c>
      <c r="Y41" s="41" t="str">
        <f t="shared" si="23"/>
        <v/>
      </c>
      <c r="Z41" s="24">
        <f t="shared" si="24"/>
        <v>11.999999992163794</v>
      </c>
      <c r="AA41" s="41" t="str">
        <f t="shared" si="25"/>
        <v/>
      </c>
      <c r="AB41" s="24">
        <f t="shared" si="26"/>
        <v>11.999999905965524</v>
      </c>
      <c r="AC41" s="41" t="str">
        <f t="shared" si="27"/>
        <v/>
      </c>
      <c r="AD41" s="24">
        <f t="shared" si="28"/>
        <v>11.999998871586286</v>
      </c>
      <c r="AE41" s="41" t="str">
        <f t="shared" si="29"/>
        <v/>
      </c>
      <c r="AF41" s="24">
        <f t="shared" si="30"/>
        <v>11.999986459035426</v>
      </c>
      <c r="AG41" s="41" t="str">
        <f t="shared" si="31"/>
        <v/>
      </c>
      <c r="AH41" s="24">
        <f t="shared" si="32"/>
        <v>11.999837508425117</v>
      </c>
      <c r="AI41" s="41" t="str">
        <f t="shared" si="33"/>
        <v/>
      </c>
      <c r="AJ41" s="24">
        <f t="shared" si="34"/>
        <v>11.998050101101398</v>
      </c>
      <c r="AK41" s="41" t="str">
        <f t="shared" si="35"/>
        <v/>
      </c>
    </row>
    <row r="42" spans="1:37" ht="13.5" customHeight="1">
      <c r="A42" s="770"/>
      <c r="B42" s="774"/>
      <c r="C42" s="775"/>
      <c r="D42" s="775"/>
      <c r="E42" s="610" t="s">
        <v>424</v>
      </c>
      <c r="F42" s="147">
        <v>-492000000</v>
      </c>
      <c r="G42" s="8">
        <v>4</v>
      </c>
      <c r="H42" s="21">
        <f t="shared" si="8"/>
        <v>7687500</v>
      </c>
      <c r="I42" s="37" t="str">
        <f t="shared" si="9"/>
        <v>2;6X89</v>
      </c>
      <c r="J42" s="38">
        <v>6</v>
      </c>
      <c r="K42" s="132">
        <f t="shared" si="10"/>
        <v>2.5745281957304527</v>
      </c>
      <c r="L42" s="39" t="str">
        <f>INDEX(powers!$H$2:$H$75,33+J42)</f>
        <v>cosmic centy</v>
      </c>
      <c r="M42" s="40" t="str">
        <f t="shared" si="11"/>
        <v>2</v>
      </c>
      <c r="N42" s="24">
        <f t="shared" si="12"/>
        <v>6.8943383487654319</v>
      </c>
      <c r="O42" s="41" t="str">
        <f t="shared" si="13"/>
        <v>6</v>
      </c>
      <c r="P42" s="24">
        <f t="shared" si="14"/>
        <v>10.732060185185183</v>
      </c>
      <c r="Q42" s="41" t="str">
        <f t="shared" si="15"/>
        <v>X</v>
      </c>
      <c r="R42" s="24">
        <f t="shared" si="16"/>
        <v>8.7847222222222001</v>
      </c>
      <c r="S42" s="41" t="str">
        <f t="shared" si="17"/>
        <v>8</v>
      </c>
      <c r="T42" s="24">
        <f t="shared" si="18"/>
        <v>9.4166666666664014</v>
      </c>
      <c r="U42" s="41" t="str">
        <f t="shared" si="19"/>
        <v>9</v>
      </c>
      <c r="V42" s="24">
        <f t="shared" si="20"/>
        <v>4.9999999999968168</v>
      </c>
      <c r="W42" s="41" t="str">
        <f t="shared" si="21"/>
        <v/>
      </c>
      <c r="X42" s="24">
        <f t="shared" si="22"/>
        <v>11.999999999961801</v>
      </c>
      <c r="Y42" s="41" t="str">
        <f t="shared" si="23"/>
        <v/>
      </c>
      <c r="Z42" s="24">
        <f t="shared" si="24"/>
        <v>11.999999999541615</v>
      </c>
      <c r="AA42" s="41" t="str">
        <f t="shared" si="25"/>
        <v/>
      </c>
      <c r="AB42" s="24">
        <f t="shared" si="26"/>
        <v>11.999999994499376</v>
      </c>
      <c r="AC42" s="41" t="str">
        <f t="shared" si="27"/>
        <v/>
      </c>
      <c r="AD42" s="24">
        <f t="shared" si="28"/>
        <v>11.999999933992513</v>
      </c>
      <c r="AE42" s="41" t="str">
        <f t="shared" si="29"/>
        <v/>
      </c>
      <c r="AF42" s="24">
        <f t="shared" si="30"/>
        <v>11.99999920791015</v>
      </c>
      <c r="AG42" s="41" t="str">
        <f t="shared" si="31"/>
        <v/>
      </c>
      <c r="AH42" s="24">
        <f t="shared" si="32"/>
        <v>11.999990494921803</v>
      </c>
      <c r="AI42" s="41" t="str">
        <f t="shared" si="33"/>
        <v/>
      </c>
      <c r="AJ42" s="24">
        <f t="shared" si="34"/>
        <v>11.999885939061642</v>
      </c>
      <c r="AK42" s="41" t="str">
        <f t="shared" si="35"/>
        <v/>
      </c>
    </row>
    <row r="43" spans="1:37" ht="13.5" customHeight="1">
      <c r="A43" s="770"/>
      <c r="B43" s="774"/>
      <c r="C43" s="773" t="s">
        <v>425</v>
      </c>
      <c r="D43" s="773" t="s">
        <v>426</v>
      </c>
      <c r="E43" s="610" t="s">
        <v>427</v>
      </c>
      <c r="F43" s="147">
        <v>-488300000</v>
      </c>
      <c r="G43" s="8">
        <v>4</v>
      </c>
      <c r="H43" s="21">
        <f t="shared" si="8"/>
        <v>7629687.5</v>
      </c>
      <c r="I43" s="37" t="str">
        <f t="shared" si="9"/>
        <v>2;67E4</v>
      </c>
      <c r="J43" s="38">
        <v>6</v>
      </c>
      <c r="K43" s="132">
        <f t="shared" si="10"/>
        <v>2.5551669064536178</v>
      </c>
      <c r="L43" s="39" t="str">
        <f>INDEX(powers!$H$2:$H$75,33+J43)</f>
        <v>cosmic centy</v>
      </c>
      <c r="M43" s="40" t="str">
        <f t="shared" si="11"/>
        <v>2</v>
      </c>
      <c r="N43" s="24">
        <f t="shared" si="12"/>
        <v>6.6620028774434132</v>
      </c>
      <c r="O43" s="41" t="str">
        <f t="shared" si="13"/>
        <v>6</v>
      </c>
      <c r="P43" s="24">
        <f t="shared" si="14"/>
        <v>7.9440345293209589</v>
      </c>
      <c r="Q43" s="41" t="str">
        <f t="shared" si="15"/>
        <v>7</v>
      </c>
      <c r="R43" s="24">
        <f t="shared" si="16"/>
        <v>11.328414351851507</v>
      </c>
      <c r="S43" s="41" t="str">
        <f t="shared" si="17"/>
        <v>E</v>
      </c>
      <c r="T43" s="24">
        <f t="shared" si="18"/>
        <v>3.940972222218079</v>
      </c>
      <c r="U43" s="41" t="str">
        <f t="shared" si="19"/>
        <v>4</v>
      </c>
      <c r="V43" s="24">
        <f t="shared" si="20"/>
        <v>11.291666666616948</v>
      </c>
      <c r="W43" s="41" t="str">
        <f t="shared" si="21"/>
        <v/>
      </c>
      <c r="X43" s="24">
        <f t="shared" si="22"/>
        <v>3.4999999994033715</v>
      </c>
      <c r="Y43" s="41" t="str">
        <f t="shared" si="23"/>
        <v/>
      </c>
      <c r="Z43" s="24">
        <f t="shared" si="24"/>
        <v>5.9999999928404577</v>
      </c>
      <c r="AA43" s="41" t="str">
        <f t="shared" si="25"/>
        <v/>
      </c>
      <c r="AB43" s="24">
        <f t="shared" si="26"/>
        <v>11.999999914085492</v>
      </c>
      <c r="AC43" s="41" t="str">
        <f t="shared" si="27"/>
        <v/>
      </c>
      <c r="AD43" s="24">
        <f t="shared" si="28"/>
        <v>11.99999896902591</v>
      </c>
      <c r="AE43" s="41" t="str">
        <f t="shared" si="29"/>
        <v/>
      </c>
      <c r="AF43" s="24">
        <f t="shared" si="30"/>
        <v>11.999987628310919</v>
      </c>
      <c r="AG43" s="41" t="str">
        <f t="shared" si="31"/>
        <v/>
      </c>
      <c r="AH43" s="24">
        <f t="shared" si="32"/>
        <v>11.999851539731026</v>
      </c>
      <c r="AI43" s="41" t="str">
        <f t="shared" si="33"/>
        <v/>
      </c>
      <c r="AJ43" s="24">
        <f t="shared" si="34"/>
        <v>11.998218476772308</v>
      </c>
      <c r="AK43" s="41" t="str">
        <f t="shared" si="35"/>
        <v/>
      </c>
    </row>
    <row r="44" spans="1:37" ht="13.5" customHeight="1">
      <c r="A44" s="770"/>
      <c r="B44" s="774"/>
      <c r="C44" s="774"/>
      <c r="D44" s="775"/>
      <c r="E44" s="610" t="s">
        <v>428</v>
      </c>
      <c r="F44" s="147">
        <v>-478600000</v>
      </c>
      <c r="G44" s="8">
        <v>4</v>
      </c>
      <c r="H44" s="21">
        <f t="shared" si="8"/>
        <v>7478125</v>
      </c>
      <c r="I44" s="37" t="str">
        <f t="shared" si="9"/>
        <v>2;6077</v>
      </c>
      <c r="J44" s="38">
        <v>6</v>
      </c>
      <c r="K44" s="132">
        <f t="shared" si="10"/>
        <v>2.5044089318629972</v>
      </c>
      <c r="L44" s="39" t="str">
        <f>INDEX(powers!$H$2:$H$75,33+J44)</f>
        <v>cosmic centy</v>
      </c>
      <c r="M44" s="40" t="str">
        <f t="shared" si="11"/>
        <v>2</v>
      </c>
      <c r="N44" s="24">
        <f t="shared" si="12"/>
        <v>6.0529071823559661</v>
      </c>
      <c r="O44" s="41" t="str">
        <f t="shared" si="13"/>
        <v>6</v>
      </c>
      <c r="P44" s="24">
        <f t="shared" si="14"/>
        <v>0.63488618827159371</v>
      </c>
      <c r="Q44" s="41" t="str">
        <f t="shared" si="15"/>
        <v>0</v>
      </c>
      <c r="R44" s="24">
        <f t="shared" si="16"/>
        <v>7.6186342592591245</v>
      </c>
      <c r="S44" s="41" t="str">
        <f t="shared" si="17"/>
        <v>7</v>
      </c>
      <c r="T44" s="24">
        <f t="shared" si="18"/>
        <v>7.4236111111094942</v>
      </c>
      <c r="U44" s="41" t="str">
        <f t="shared" si="19"/>
        <v>7</v>
      </c>
      <c r="V44" s="24">
        <f t="shared" si="20"/>
        <v>5.0833333333139308</v>
      </c>
      <c r="W44" s="41" t="str">
        <f t="shared" si="21"/>
        <v/>
      </c>
      <c r="X44" s="24">
        <f t="shared" si="22"/>
        <v>0.99999999976716936</v>
      </c>
      <c r="Y44" s="41" t="str">
        <f t="shared" si="23"/>
        <v/>
      </c>
      <c r="Z44" s="24">
        <f t="shared" si="24"/>
        <v>11.999999997206032</v>
      </c>
      <c r="AA44" s="41" t="str">
        <f t="shared" si="25"/>
        <v/>
      </c>
      <c r="AB44" s="24">
        <f t="shared" si="26"/>
        <v>11.999999966472387</v>
      </c>
      <c r="AC44" s="41" t="str">
        <f t="shared" si="27"/>
        <v/>
      </c>
      <c r="AD44" s="24">
        <f t="shared" si="28"/>
        <v>11.999999597668648</v>
      </c>
      <c r="AE44" s="41" t="str">
        <f t="shared" si="29"/>
        <v/>
      </c>
      <c r="AF44" s="24">
        <f t="shared" si="30"/>
        <v>11.999995172023773</v>
      </c>
      <c r="AG44" s="41" t="str">
        <f t="shared" si="31"/>
        <v/>
      </c>
      <c r="AH44" s="24">
        <f t="shared" si="32"/>
        <v>11.999942064285278</v>
      </c>
      <c r="AI44" s="41" t="str">
        <f t="shared" si="33"/>
        <v/>
      </c>
      <c r="AJ44" s="24">
        <f t="shared" si="34"/>
        <v>11.99930477142334</v>
      </c>
      <c r="AK44" s="41" t="str">
        <f t="shared" si="35"/>
        <v/>
      </c>
    </row>
    <row r="45" spans="1:37" ht="13.5" customHeight="1">
      <c r="A45" s="770"/>
      <c r="B45" s="774"/>
      <c r="C45" s="774"/>
      <c r="D45" s="773" t="s">
        <v>429</v>
      </c>
      <c r="E45" s="610" t="s">
        <v>430</v>
      </c>
      <c r="F45" s="147">
        <v>-471800000</v>
      </c>
      <c r="G45" s="8">
        <v>4</v>
      </c>
      <c r="H45" s="21">
        <f t="shared" si="8"/>
        <v>7371875</v>
      </c>
      <c r="I45" s="37" t="str">
        <f t="shared" si="9"/>
        <v>2;5762</v>
      </c>
      <c r="J45" s="38">
        <v>6</v>
      </c>
      <c r="K45" s="132">
        <f t="shared" si="10"/>
        <v>2.4688260218407065</v>
      </c>
      <c r="L45" s="39" t="str">
        <f>INDEX(powers!$H$2:$H$75,33+J45)</f>
        <v>cosmic centy</v>
      </c>
      <c r="M45" s="40" t="str">
        <f t="shared" si="11"/>
        <v>2</v>
      </c>
      <c r="N45" s="24">
        <f t="shared" si="12"/>
        <v>5.6259122620884785</v>
      </c>
      <c r="O45" s="41" t="str">
        <f t="shared" si="13"/>
        <v>5</v>
      </c>
      <c r="P45" s="24">
        <f t="shared" si="14"/>
        <v>7.510947145061742</v>
      </c>
      <c r="Q45" s="41" t="str">
        <f t="shared" si="15"/>
        <v>7</v>
      </c>
      <c r="R45" s="24">
        <f t="shared" si="16"/>
        <v>6.1313657407409039</v>
      </c>
      <c r="S45" s="41" t="str">
        <f t="shared" si="17"/>
        <v>6</v>
      </c>
      <c r="T45" s="24">
        <f t="shared" si="18"/>
        <v>1.5763888888908468</v>
      </c>
      <c r="U45" s="41" t="str">
        <f t="shared" si="19"/>
        <v>2</v>
      </c>
      <c r="V45" s="24">
        <f t="shared" si="20"/>
        <v>6.9166666666901619</v>
      </c>
      <c r="W45" s="41" t="str">
        <f t="shared" si="21"/>
        <v/>
      </c>
      <c r="X45" s="24">
        <f t="shared" si="22"/>
        <v>11.000000000281943</v>
      </c>
      <c r="Y45" s="41" t="str">
        <f t="shared" si="23"/>
        <v/>
      </c>
      <c r="Z45" s="24">
        <f t="shared" si="24"/>
        <v>3.383320290595293E-9</v>
      </c>
      <c r="AA45" s="41" t="str">
        <f t="shared" si="25"/>
        <v/>
      </c>
      <c r="AB45" s="24">
        <f t="shared" si="26"/>
        <v>4.0599843487143517E-8</v>
      </c>
      <c r="AC45" s="41" t="str">
        <f t="shared" si="27"/>
        <v/>
      </c>
      <c r="AD45" s="24">
        <f t="shared" si="28"/>
        <v>4.871981218457222E-7</v>
      </c>
      <c r="AE45" s="41" t="str">
        <f t="shared" si="29"/>
        <v/>
      </c>
      <c r="AF45" s="24">
        <f t="shared" si="30"/>
        <v>5.8463774621486664E-6</v>
      </c>
      <c r="AG45" s="41" t="str">
        <f t="shared" si="31"/>
        <v/>
      </c>
      <c r="AH45" s="24">
        <f t="shared" si="32"/>
        <v>7.0156529545783997E-5</v>
      </c>
      <c r="AI45" s="41" t="str">
        <f t="shared" si="33"/>
        <v/>
      </c>
      <c r="AJ45" s="24">
        <f t="shared" si="34"/>
        <v>8.4187835454940796E-4</v>
      </c>
      <c r="AK45" s="41" t="str">
        <f t="shared" si="35"/>
        <v/>
      </c>
    </row>
    <row r="46" spans="1:37" ht="13.5" customHeight="1">
      <c r="A46" s="770"/>
      <c r="B46" s="774"/>
      <c r="C46" s="774"/>
      <c r="D46" s="775"/>
      <c r="E46" s="610" t="s">
        <v>431</v>
      </c>
      <c r="F46" s="147">
        <v>-468100000</v>
      </c>
      <c r="G46" s="8">
        <v>4</v>
      </c>
      <c r="H46" s="21">
        <f t="shared" si="8"/>
        <v>7314062.5</v>
      </c>
      <c r="I46" s="37" t="str">
        <f t="shared" si="9"/>
        <v>2;5488</v>
      </c>
      <c r="J46" s="38">
        <v>6</v>
      </c>
      <c r="K46" s="132">
        <f t="shared" si="10"/>
        <v>2.4494647325638716</v>
      </c>
      <c r="L46" s="39" t="str">
        <f>INDEX(powers!$H$2:$H$75,33+J46)</f>
        <v>cosmic centy</v>
      </c>
      <c r="M46" s="40" t="str">
        <f t="shared" si="11"/>
        <v>2</v>
      </c>
      <c r="N46" s="24">
        <f t="shared" si="12"/>
        <v>5.3935767907664598</v>
      </c>
      <c r="O46" s="41" t="str">
        <f t="shared" si="13"/>
        <v>5</v>
      </c>
      <c r="P46" s="24">
        <f t="shared" si="14"/>
        <v>4.7229214891975175</v>
      </c>
      <c r="Q46" s="41" t="str">
        <f t="shared" si="15"/>
        <v>4</v>
      </c>
      <c r="R46" s="24">
        <f t="shared" si="16"/>
        <v>8.6750578703702104</v>
      </c>
      <c r="S46" s="41" t="str">
        <f t="shared" si="17"/>
        <v>8</v>
      </c>
      <c r="T46" s="24">
        <f t="shared" si="18"/>
        <v>8.1006944444425244</v>
      </c>
      <c r="U46" s="41" t="str">
        <f t="shared" si="19"/>
        <v>8</v>
      </c>
      <c r="V46" s="24">
        <f t="shared" si="20"/>
        <v>1.2083333333102928</v>
      </c>
      <c r="W46" s="41" t="str">
        <f t="shared" si="21"/>
        <v/>
      </c>
      <c r="X46" s="24">
        <f t="shared" si="22"/>
        <v>2.4999999997235136</v>
      </c>
      <c r="Y46" s="41" t="str">
        <f t="shared" si="23"/>
        <v/>
      </c>
      <c r="Z46" s="24">
        <f t="shared" si="24"/>
        <v>5.9999999966821633</v>
      </c>
      <c r="AA46" s="41" t="str">
        <f t="shared" si="25"/>
        <v/>
      </c>
      <c r="AB46" s="24">
        <f t="shared" si="26"/>
        <v>11.99999996018596</v>
      </c>
      <c r="AC46" s="41" t="str">
        <f t="shared" si="27"/>
        <v/>
      </c>
      <c r="AD46" s="24">
        <f t="shared" si="28"/>
        <v>11.999999522231519</v>
      </c>
      <c r="AE46" s="41" t="str">
        <f t="shared" si="29"/>
        <v/>
      </c>
      <c r="AF46" s="24">
        <f t="shared" si="30"/>
        <v>11.999994266778231</v>
      </c>
      <c r="AG46" s="41" t="str">
        <f t="shared" si="31"/>
        <v/>
      </c>
      <c r="AH46" s="24">
        <f t="shared" si="32"/>
        <v>11.999931201338768</v>
      </c>
      <c r="AI46" s="41" t="str">
        <f t="shared" si="33"/>
        <v/>
      </c>
      <c r="AJ46" s="24">
        <f t="shared" si="34"/>
        <v>11.999174416065216</v>
      </c>
      <c r="AK46" s="41" t="str">
        <f t="shared" si="35"/>
        <v/>
      </c>
    </row>
    <row r="47" spans="1:37" ht="13.5" customHeight="1">
      <c r="A47" s="770"/>
      <c r="B47" s="774"/>
      <c r="C47" s="774"/>
      <c r="D47" s="773" t="s">
        <v>432</v>
      </c>
      <c r="E47" s="610" t="s">
        <v>433</v>
      </c>
      <c r="F47" s="147">
        <v>-460900000</v>
      </c>
      <c r="G47" s="8">
        <v>4</v>
      </c>
      <c r="H47" s="21">
        <f t="shared" si="8"/>
        <v>7201562.5</v>
      </c>
      <c r="I47" s="37" t="str">
        <f t="shared" si="9"/>
        <v>2;4E37</v>
      </c>
      <c r="J47" s="38">
        <v>6</v>
      </c>
      <c r="K47" s="132">
        <f t="shared" si="10"/>
        <v>2.4117887101873285</v>
      </c>
      <c r="L47" s="39" t="str">
        <f>INDEX(powers!$H$2:$H$75,33+J47)</f>
        <v>cosmic centy</v>
      </c>
      <c r="M47" s="40" t="str">
        <f t="shared" si="11"/>
        <v>2</v>
      </c>
      <c r="N47" s="24">
        <f t="shared" si="12"/>
        <v>4.9414645222479425</v>
      </c>
      <c r="O47" s="41" t="str">
        <f t="shared" si="13"/>
        <v>4</v>
      </c>
      <c r="P47" s="24">
        <f t="shared" si="14"/>
        <v>11.29757426697531</v>
      </c>
      <c r="Q47" s="41" t="str">
        <f t="shared" si="15"/>
        <v>E</v>
      </c>
      <c r="R47" s="24">
        <f t="shared" si="16"/>
        <v>3.5708912037037237</v>
      </c>
      <c r="S47" s="41" t="str">
        <f t="shared" si="17"/>
        <v>3</v>
      </c>
      <c r="T47" s="24">
        <f t="shared" si="18"/>
        <v>6.8506944444446844</v>
      </c>
      <c r="U47" s="41" t="str">
        <f t="shared" si="19"/>
        <v>7</v>
      </c>
      <c r="V47" s="24">
        <f t="shared" si="20"/>
        <v>10.208333333336213</v>
      </c>
      <c r="W47" s="41" t="str">
        <f t="shared" si="21"/>
        <v/>
      </c>
      <c r="X47" s="24">
        <f t="shared" si="22"/>
        <v>2.5000000000345608</v>
      </c>
      <c r="Y47" s="41" t="str">
        <f t="shared" si="23"/>
        <v/>
      </c>
      <c r="Z47" s="24">
        <f t="shared" si="24"/>
        <v>6.0000000004147296</v>
      </c>
      <c r="AA47" s="41" t="str">
        <f t="shared" si="25"/>
        <v/>
      </c>
      <c r="AB47" s="24">
        <f t="shared" si="26"/>
        <v>4.9767550081014633E-9</v>
      </c>
      <c r="AC47" s="41" t="str">
        <f t="shared" si="27"/>
        <v/>
      </c>
      <c r="AD47" s="24">
        <f t="shared" si="28"/>
        <v>5.972106009721756E-8</v>
      </c>
      <c r="AE47" s="41" t="str">
        <f t="shared" si="29"/>
        <v/>
      </c>
      <c r="AF47" s="24">
        <f t="shared" si="30"/>
        <v>7.1665272116661072E-7</v>
      </c>
      <c r="AG47" s="41" t="str">
        <f t="shared" si="31"/>
        <v/>
      </c>
      <c r="AH47" s="24">
        <f t="shared" si="32"/>
        <v>8.5998326539993286E-6</v>
      </c>
      <c r="AI47" s="41" t="str">
        <f t="shared" si="33"/>
        <v/>
      </c>
      <c r="AJ47" s="24">
        <f t="shared" si="34"/>
        <v>1.0319799184799194E-4</v>
      </c>
      <c r="AK47" s="41" t="str">
        <f t="shared" si="35"/>
        <v/>
      </c>
    </row>
    <row r="48" spans="1:37" ht="13.5" customHeight="1">
      <c r="A48" s="770"/>
      <c r="B48" s="774"/>
      <c r="C48" s="774"/>
      <c r="D48" s="774"/>
      <c r="E48" s="610" t="s">
        <v>434</v>
      </c>
      <c r="F48" s="147">
        <v>-455800000</v>
      </c>
      <c r="G48" s="8">
        <v>4</v>
      </c>
      <c r="H48" s="21">
        <f t="shared" si="8"/>
        <v>7121875</v>
      </c>
      <c r="I48" s="37" t="str">
        <f t="shared" si="9"/>
        <v>2;4755</v>
      </c>
      <c r="J48" s="38">
        <v>6</v>
      </c>
      <c r="K48" s="132">
        <f t="shared" si="10"/>
        <v>2.3851015276706105</v>
      </c>
      <c r="L48" s="39" t="str">
        <f>INDEX(powers!$H$2:$H$75,33+J48)</f>
        <v>cosmic centy</v>
      </c>
      <c r="M48" s="40" t="str">
        <f t="shared" si="11"/>
        <v>2</v>
      </c>
      <c r="N48" s="24">
        <f t="shared" si="12"/>
        <v>4.6212183320473255</v>
      </c>
      <c r="O48" s="41" t="str">
        <f t="shared" si="13"/>
        <v>4</v>
      </c>
      <c r="P48" s="24">
        <f t="shared" si="14"/>
        <v>7.4546199845679055</v>
      </c>
      <c r="Q48" s="41" t="str">
        <f t="shared" si="15"/>
        <v>7</v>
      </c>
      <c r="R48" s="24">
        <f t="shared" si="16"/>
        <v>5.4554398148148664</v>
      </c>
      <c r="S48" s="41" t="str">
        <f t="shared" si="17"/>
        <v>5</v>
      </c>
      <c r="T48" s="24">
        <f t="shared" si="18"/>
        <v>5.4652777777783967</v>
      </c>
      <c r="U48" s="41" t="str">
        <f t="shared" si="19"/>
        <v>5</v>
      </c>
      <c r="V48" s="24">
        <f t="shared" si="20"/>
        <v>5.5833333333407609</v>
      </c>
      <c r="W48" s="41" t="str">
        <f t="shared" si="21"/>
        <v/>
      </c>
      <c r="X48" s="24">
        <f t="shared" si="22"/>
        <v>7.0000000000891305</v>
      </c>
      <c r="Y48" s="41" t="str">
        <f t="shared" si="23"/>
        <v/>
      </c>
      <c r="Z48" s="24">
        <f t="shared" si="24"/>
        <v>1.0695657692849636E-9</v>
      </c>
      <c r="AA48" s="41" t="str">
        <f t="shared" si="25"/>
        <v/>
      </c>
      <c r="AB48" s="24">
        <f t="shared" si="26"/>
        <v>1.2834789231419563E-8</v>
      </c>
      <c r="AC48" s="41" t="str">
        <f t="shared" si="27"/>
        <v/>
      </c>
      <c r="AD48" s="24">
        <f t="shared" si="28"/>
        <v>1.5401747077703476E-7</v>
      </c>
      <c r="AE48" s="41" t="str">
        <f t="shared" si="29"/>
        <v/>
      </c>
      <c r="AF48" s="24">
        <f t="shared" si="30"/>
        <v>1.8482096493244171E-6</v>
      </c>
      <c r="AG48" s="41" t="str">
        <f t="shared" si="31"/>
        <v/>
      </c>
      <c r="AH48" s="24">
        <f t="shared" si="32"/>
        <v>2.2178515791893005E-5</v>
      </c>
      <c r="AI48" s="41" t="str">
        <f t="shared" si="33"/>
        <v/>
      </c>
      <c r="AJ48" s="24">
        <f t="shared" si="34"/>
        <v>2.6614218950271606E-4</v>
      </c>
      <c r="AK48" s="41" t="str">
        <f t="shared" si="35"/>
        <v/>
      </c>
    </row>
    <row r="49" spans="1:37" ht="13.5" customHeight="1">
      <c r="A49" s="770"/>
      <c r="B49" s="774"/>
      <c r="C49" s="775"/>
      <c r="D49" s="775"/>
      <c r="E49" s="610" t="s">
        <v>435</v>
      </c>
      <c r="F49" s="147">
        <v>-445600000</v>
      </c>
      <c r="G49" s="8">
        <v>4</v>
      </c>
      <c r="H49" s="21">
        <f t="shared" si="8"/>
        <v>6962500</v>
      </c>
      <c r="I49" s="37" t="str">
        <f t="shared" si="9"/>
        <v>2;3E93</v>
      </c>
      <c r="J49" s="38">
        <v>6</v>
      </c>
      <c r="K49" s="132">
        <f t="shared" si="10"/>
        <v>2.3317271626371743</v>
      </c>
      <c r="L49" s="39" t="str">
        <f>INDEX(powers!$H$2:$H$75,33+J49)</f>
        <v>cosmic centy</v>
      </c>
      <c r="M49" s="40" t="str">
        <f t="shared" si="11"/>
        <v>2</v>
      </c>
      <c r="N49" s="24">
        <f t="shared" si="12"/>
        <v>3.9807259516460913</v>
      </c>
      <c r="O49" s="41" t="str">
        <f t="shared" si="13"/>
        <v>3</v>
      </c>
      <c r="P49" s="24">
        <f t="shared" si="14"/>
        <v>11.768711419753096</v>
      </c>
      <c r="Q49" s="41" t="str">
        <f t="shared" si="15"/>
        <v>E</v>
      </c>
      <c r="R49" s="24">
        <f t="shared" si="16"/>
        <v>9.2245370370371518</v>
      </c>
      <c r="S49" s="41" t="str">
        <f t="shared" si="17"/>
        <v>9</v>
      </c>
      <c r="T49" s="24">
        <f t="shared" si="18"/>
        <v>2.6944444444458213</v>
      </c>
      <c r="U49" s="41" t="str">
        <f t="shared" si="19"/>
        <v>3</v>
      </c>
      <c r="V49" s="24">
        <f t="shared" si="20"/>
        <v>8.3333333333498558</v>
      </c>
      <c r="W49" s="41" t="str">
        <f t="shared" si="21"/>
        <v/>
      </c>
      <c r="X49" s="24">
        <f t="shared" si="22"/>
        <v>4.0000000001982698</v>
      </c>
      <c r="Y49" s="41" t="str">
        <f t="shared" si="23"/>
        <v/>
      </c>
      <c r="Z49" s="24">
        <f t="shared" si="24"/>
        <v>2.3792381398379803E-9</v>
      </c>
      <c r="AA49" s="41" t="str">
        <f t="shared" si="25"/>
        <v/>
      </c>
      <c r="AB49" s="24">
        <f t="shared" si="26"/>
        <v>2.8550857678055763E-8</v>
      </c>
      <c r="AC49" s="41" t="str">
        <f t="shared" si="27"/>
        <v/>
      </c>
      <c r="AD49" s="24">
        <f t="shared" si="28"/>
        <v>3.4261029213666916E-7</v>
      </c>
      <c r="AE49" s="41" t="str">
        <f t="shared" si="29"/>
        <v/>
      </c>
      <c r="AF49" s="24">
        <f t="shared" si="30"/>
        <v>4.1113235056400299E-6</v>
      </c>
      <c r="AG49" s="41" t="str">
        <f t="shared" si="31"/>
        <v/>
      </c>
      <c r="AH49" s="24">
        <f t="shared" si="32"/>
        <v>4.9335882067680359E-5</v>
      </c>
      <c r="AI49" s="41" t="str">
        <f t="shared" si="33"/>
        <v/>
      </c>
      <c r="AJ49" s="24">
        <f t="shared" si="34"/>
        <v>5.9203058481216431E-4</v>
      </c>
      <c r="AK49" s="41" t="str">
        <f t="shared" si="35"/>
        <v/>
      </c>
    </row>
    <row r="50" spans="1:37" ht="13.5" customHeight="1">
      <c r="A50" s="770"/>
      <c r="B50" s="774"/>
      <c r="C50" s="773" t="s">
        <v>436</v>
      </c>
      <c r="D50" s="773" t="s">
        <v>437</v>
      </c>
      <c r="E50" s="610" t="s">
        <v>438</v>
      </c>
      <c r="F50" s="147">
        <v>-443700000</v>
      </c>
      <c r="G50" s="8">
        <v>4</v>
      </c>
      <c r="H50" s="21">
        <f t="shared" si="8"/>
        <v>6932812.5</v>
      </c>
      <c r="I50" s="37" t="str">
        <f t="shared" si="9"/>
        <v>2;3X41</v>
      </c>
      <c r="J50" s="38">
        <v>6</v>
      </c>
      <c r="K50" s="132">
        <f t="shared" si="10"/>
        <v>2.3217848789544755</v>
      </c>
      <c r="L50" s="39" t="str">
        <f>INDEX(powers!$H$2:$H$75,33+J50)</f>
        <v>cosmic centy</v>
      </c>
      <c r="M50" s="40" t="str">
        <f t="shared" si="11"/>
        <v>2</v>
      </c>
      <c r="N50" s="24">
        <f t="shared" si="12"/>
        <v>3.8614185474537059</v>
      </c>
      <c r="O50" s="41" t="str">
        <f t="shared" si="13"/>
        <v>3</v>
      </c>
      <c r="P50" s="24">
        <f t="shared" si="14"/>
        <v>10.337022569444471</v>
      </c>
      <c r="Q50" s="41" t="str">
        <f t="shared" si="15"/>
        <v>X</v>
      </c>
      <c r="R50" s="24">
        <f t="shared" si="16"/>
        <v>4.0442708333336554</v>
      </c>
      <c r="S50" s="41" t="str">
        <f t="shared" si="17"/>
        <v>4</v>
      </c>
      <c r="T50" s="24">
        <f t="shared" si="18"/>
        <v>0.53125000000386535</v>
      </c>
      <c r="U50" s="41" t="str">
        <f t="shared" si="19"/>
        <v>1</v>
      </c>
      <c r="V50" s="24">
        <f t="shared" si="20"/>
        <v>6.3750000000463842</v>
      </c>
      <c r="W50" s="41" t="str">
        <f t="shared" si="21"/>
        <v/>
      </c>
      <c r="X50" s="24">
        <f t="shared" si="22"/>
        <v>4.5000000005566108</v>
      </c>
      <c r="Y50" s="41" t="str">
        <f t="shared" si="23"/>
        <v/>
      </c>
      <c r="Z50" s="24">
        <f t="shared" si="24"/>
        <v>6.0000000066793291</v>
      </c>
      <c r="AA50" s="41" t="str">
        <f t="shared" si="25"/>
        <v/>
      </c>
      <c r="AB50" s="24">
        <f t="shared" si="26"/>
        <v>8.015194907784462E-8</v>
      </c>
      <c r="AC50" s="41" t="str">
        <f t="shared" si="27"/>
        <v/>
      </c>
      <c r="AD50" s="24">
        <f t="shared" si="28"/>
        <v>9.6182338893413544E-7</v>
      </c>
      <c r="AE50" s="41" t="str">
        <f t="shared" si="29"/>
        <v/>
      </c>
      <c r="AF50" s="24">
        <f t="shared" si="30"/>
        <v>1.1541880667209625E-5</v>
      </c>
      <c r="AG50" s="41" t="str">
        <f t="shared" si="31"/>
        <v/>
      </c>
      <c r="AH50" s="24">
        <f t="shared" si="32"/>
        <v>1.385025680065155E-4</v>
      </c>
      <c r="AI50" s="41" t="str">
        <f t="shared" si="33"/>
        <v/>
      </c>
      <c r="AJ50" s="24">
        <f t="shared" si="34"/>
        <v>1.662030816078186E-3</v>
      </c>
      <c r="AK50" s="41" t="str">
        <f t="shared" si="35"/>
        <v/>
      </c>
    </row>
    <row r="51" spans="1:37" ht="13.5" customHeight="1">
      <c r="A51" s="770"/>
      <c r="B51" s="774"/>
      <c r="C51" s="774"/>
      <c r="D51" s="774"/>
      <c r="E51" s="610" t="s">
        <v>439</v>
      </c>
      <c r="F51" s="147">
        <v>-439000000</v>
      </c>
      <c r="G51" s="8">
        <v>4</v>
      </c>
      <c r="H51" s="21">
        <f t="shared" si="8"/>
        <v>6859375</v>
      </c>
      <c r="I51" s="37" t="str">
        <f t="shared" si="9"/>
        <v>2;3697</v>
      </c>
      <c r="J51" s="38">
        <v>6</v>
      </c>
      <c r="K51" s="132">
        <f t="shared" si="10"/>
        <v>2.2971908087920094</v>
      </c>
      <c r="L51" s="39" t="str">
        <f>INDEX(powers!$H$2:$H$75,33+J51)</f>
        <v>cosmic centy</v>
      </c>
      <c r="M51" s="40" t="str">
        <f t="shared" si="11"/>
        <v>2</v>
      </c>
      <c r="N51" s="24">
        <f t="shared" si="12"/>
        <v>3.5662897055041132</v>
      </c>
      <c r="O51" s="41" t="str">
        <f t="shared" si="13"/>
        <v>3</v>
      </c>
      <c r="P51" s="24">
        <f t="shared" si="14"/>
        <v>6.7954764660493581</v>
      </c>
      <c r="Q51" s="41" t="str">
        <f t="shared" si="15"/>
        <v>6</v>
      </c>
      <c r="R51" s="24">
        <f t="shared" si="16"/>
        <v>9.5457175925922968</v>
      </c>
      <c r="S51" s="41" t="str">
        <f t="shared" si="17"/>
        <v>9</v>
      </c>
      <c r="T51" s="24">
        <f t="shared" si="18"/>
        <v>6.5486111111075616</v>
      </c>
      <c r="U51" s="41" t="str">
        <f t="shared" si="19"/>
        <v>7</v>
      </c>
      <c r="V51" s="24">
        <f t="shared" si="20"/>
        <v>6.5833333332907387</v>
      </c>
      <c r="W51" s="41" t="str">
        <f t="shared" si="21"/>
        <v/>
      </c>
      <c r="X51" s="24">
        <f t="shared" si="22"/>
        <v>6.999999999488864</v>
      </c>
      <c r="Y51" s="41" t="str">
        <f t="shared" si="23"/>
        <v/>
      </c>
      <c r="Z51" s="24">
        <f t="shared" si="24"/>
        <v>11.999999993866368</v>
      </c>
      <c r="AA51" s="41" t="str">
        <f t="shared" si="25"/>
        <v/>
      </c>
      <c r="AB51" s="24">
        <f t="shared" si="26"/>
        <v>11.999999926396413</v>
      </c>
      <c r="AC51" s="41" t="str">
        <f t="shared" si="27"/>
        <v/>
      </c>
      <c r="AD51" s="24">
        <f t="shared" si="28"/>
        <v>11.999999116756953</v>
      </c>
      <c r="AE51" s="41" t="str">
        <f t="shared" si="29"/>
        <v/>
      </c>
      <c r="AF51" s="24">
        <f t="shared" si="30"/>
        <v>11.99998940108344</v>
      </c>
      <c r="AG51" s="41" t="str">
        <f t="shared" si="31"/>
        <v/>
      </c>
      <c r="AH51" s="24">
        <f t="shared" si="32"/>
        <v>11.999872813001275</v>
      </c>
      <c r="AI51" s="41" t="str">
        <f t="shared" si="33"/>
        <v/>
      </c>
      <c r="AJ51" s="24">
        <f t="shared" si="34"/>
        <v>11.998473756015301</v>
      </c>
      <c r="AK51" s="41" t="str">
        <f t="shared" si="35"/>
        <v/>
      </c>
    </row>
    <row r="52" spans="1:37" ht="13.5" customHeight="1">
      <c r="A52" s="770"/>
      <c r="B52" s="774"/>
      <c r="C52" s="774"/>
      <c r="D52" s="775"/>
      <c r="E52" s="610" t="s">
        <v>440</v>
      </c>
      <c r="F52" s="147">
        <v>-436000000</v>
      </c>
      <c r="G52" s="8">
        <v>4</v>
      </c>
      <c r="H52" s="21">
        <f t="shared" si="8"/>
        <v>6812500</v>
      </c>
      <c r="I52" s="37" t="str">
        <f t="shared" si="9"/>
        <v>2;3465</v>
      </c>
      <c r="J52" s="38">
        <v>6</v>
      </c>
      <c r="K52" s="132">
        <f t="shared" si="10"/>
        <v>2.2814924661351168</v>
      </c>
      <c r="L52" s="39" t="str">
        <f>INDEX(powers!$H$2:$H$75,33+J52)</f>
        <v>cosmic centy</v>
      </c>
      <c r="M52" s="40" t="str">
        <f t="shared" si="11"/>
        <v>2</v>
      </c>
      <c r="N52" s="24">
        <f t="shared" si="12"/>
        <v>3.3779095936214016</v>
      </c>
      <c r="O52" s="41" t="str">
        <f t="shared" si="13"/>
        <v>3</v>
      </c>
      <c r="P52" s="24">
        <f t="shared" si="14"/>
        <v>4.5349151234568197</v>
      </c>
      <c r="Q52" s="41" t="str">
        <f t="shared" si="15"/>
        <v>4</v>
      </c>
      <c r="R52" s="24">
        <f t="shared" si="16"/>
        <v>6.4189814814818362</v>
      </c>
      <c r="S52" s="41" t="str">
        <f t="shared" si="17"/>
        <v>6</v>
      </c>
      <c r="T52" s="24">
        <f t="shared" si="18"/>
        <v>5.0277777777820347</v>
      </c>
      <c r="U52" s="41" t="str">
        <f t="shared" si="19"/>
        <v>5</v>
      </c>
      <c r="V52" s="24">
        <f t="shared" si="20"/>
        <v>0.33333333338441662</v>
      </c>
      <c r="W52" s="41" t="str">
        <f t="shared" si="21"/>
        <v/>
      </c>
      <c r="X52" s="24">
        <f t="shared" si="22"/>
        <v>4.0000000006129994</v>
      </c>
      <c r="Y52" s="41" t="str">
        <f t="shared" si="23"/>
        <v/>
      </c>
      <c r="Z52" s="24">
        <f t="shared" si="24"/>
        <v>7.3559931479394436E-9</v>
      </c>
      <c r="AA52" s="41" t="str">
        <f t="shared" si="25"/>
        <v/>
      </c>
      <c r="AB52" s="24">
        <f t="shared" si="26"/>
        <v>8.8271917775273323E-8</v>
      </c>
      <c r="AC52" s="41" t="str">
        <f t="shared" si="27"/>
        <v/>
      </c>
      <c r="AD52" s="24">
        <f t="shared" si="28"/>
        <v>1.0592630133032799E-6</v>
      </c>
      <c r="AE52" s="41" t="str">
        <f t="shared" si="29"/>
        <v/>
      </c>
      <c r="AF52" s="24">
        <f t="shared" si="30"/>
        <v>1.2711156159639359E-5</v>
      </c>
      <c r="AG52" s="41" t="str">
        <f t="shared" si="31"/>
        <v/>
      </c>
      <c r="AH52" s="24">
        <f t="shared" si="32"/>
        <v>1.525338739156723E-4</v>
      </c>
      <c r="AI52" s="41" t="str">
        <f t="shared" si="33"/>
        <v/>
      </c>
      <c r="AJ52" s="24">
        <f t="shared" si="34"/>
        <v>1.8304064869880676E-3</v>
      </c>
      <c r="AK52" s="41" t="str">
        <f t="shared" si="35"/>
        <v/>
      </c>
    </row>
    <row r="53" spans="1:37" ht="13.5" customHeight="1">
      <c r="A53" s="770"/>
      <c r="B53" s="774"/>
      <c r="C53" s="774"/>
      <c r="D53" s="773" t="s">
        <v>441</v>
      </c>
      <c r="E53" s="610" t="s">
        <v>442</v>
      </c>
      <c r="F53" s="147">
        <v>-428200000</v>
      </c>
      <c r="G53" s="8">
        <v>4</v>
      </c>
      <c r="H53" s="21">
        <f t="shared" si="8"/>
        <v>6690625</v>
      </c>
      <c r="I53" s="37" t="str">
        <f t="shared" si="9"/>
        <v>2;2X7E</v>
      </c>
      <c r="J53" s="38">
        <v>6</v>
      </c>
      <c r="K53" s="132">
        <f t="shared" si="10"/>
        <v>2.240676775227195</v>
      </c>
      <c r="L53" s="39" t="str">
        <f>INDEX(powers!$H$2:$H$75,33+J53)</f>
        <v>cosmic centy</v>
      </c>
      <c r="M53" s="40" t="str">
        <f t="shared" si="11"/>
        <v>2</v>
      </c>
      <c r="N53" s="24">
        <f t="shared" si="12"/>
        <v>2.8881213027263399</v>
      </c>
      <c r="O53" s="41" t="str">
        <f t="shared" si="13"/>
        <v>2</v>
      </c>
      <c r="P53" s="24">
        <f t="shared" si="14"/>
        <v>10.657455632716079</v>
      </c>
      <c r="Q53" s="41" t="str">
        <f t="shared" si="15"/>
        <v>X</v>
      </c>
      <c r="R53" s="24">
        <f t="shared" si="16"/>
        <v>7.8894675925929505</v>
      </c>
      <c r="S53" s="41" t="str">
        <f t="shared" si="17"/>
        <v>7</v>
      </c>
      <c r="T53" s="24">
        <f t="shared" si="18"/>
        <v>10.673611111115406</v>
      </c>
      <c r="U53" s="41" t="str">
        <f t="shared" si="19"/>
        <v>E</v>
      </c>
      <c r="V53" s="24">
        <f t="shared" si="20"/>
        <v>8.0833333333848714</v>
      </c>
      <c r="W53" s="41" t="str">
        <f t="shared" si="21"/>
        <v/>
      </c>
      <c r="X53" s="24">
        <f t="shared" si="22"/>
        <v>1.0000000006184564</v>
      </c>
      <c r="Y53" s="41" t="str">
        <f t="shared" si="23"/>
        <v/>
      </c>
      <c r="Z53" s="24">
        <f t="shared" si="24"/>
        <v>7.4214767664670944E-9</v>
      </c>
      <c r="AA53" s="41" t="str">
        <f t="shared" si="25"/>
        <v/>
      </c>
      <c r="AB53" s="24">
        <f t="shared" si="26"/>
        <v>8.9057721197605133E-8</v>
      </c>
      <c r="AC53" s="41" t="str">
        <f t="shared" si="27"/>
        <v/>
      </c>
      <c r="AD53" s="24">
        <f t="shared" si="28"/>
        <v>1.0686926543712616E-6</v>
      </c>
      <c r="AE53" s="41" t="str">
        <f t="shared" si="29"/>
        <v/>
      </c>
      <c r="AF53" s="24">
        <f t="shared" si="30"/>
        <v>1.2824311852455139E-5</v>
      </c>
      <c r="AG53" s="41" t="str">
        <f t="shared" si="31"/>
        <v/>
      </c>
      <c r="AH53" s="24">
        <f t="shared" si="32"/>
        <v>1.5389174222946167E-4</v>
      </c>
      <c r="AI53" s="41" t="str">
        <f t="shared" si="33"/>
        <v/>
      </c>
      <c r="AJ53" s="24">
        <f t="shared" si="34"/>
        <v>1.84670090675354E-3</v>
      </c>
      <c r="AK53" s="41" t="str">
        <f t="shared" si="35"/>
        <v/>
      </c>
    </row>
    <row r="54" spans="1:37" ht="13.5" customHeight="1">
      <c r="A54" s="770"/>
      <c r="B54" s="774"/>
      <c r="C54" s="774"/>
      <c r="D54" s="775"/>
      <c r="E54" s="610" t="s">
        <v>443</v>
      </c>
      <c r="F54" s="147">
        <v>-432620000</v>
      </c>
      <c r="G54" s="8">
        <v>4</v>
      </c>
      <c r="H54" s="21">
        <f t="shared" si="8"/>
        <v>6759687.5</v>
      </c>
      <c r="I54" s="37" t="str">
        <f t="shared" si="9"/>
        <v>2;31EX</v>
      </c>
      <c r="J54" s="38">
        <v>6</v>
      </c>
      <c r="K54" s="132">
        <f t="shared" si="10"/>
        <v>2.2638056667416837</v>
      </c>
      <c r="L54" s="39" t="str">
        <f>INDEX(powers!$H$2:$H$75,33+J54)</f>
        <v>cosmic centy</v>
      </c>
      <c r="M54" s="40" t="str">
        <f t="shared" si="11"/>
        <v>2</v>
      </c>
      <c r="N54" s="24">
        <f t="shared" si="12"/>
        <v>3.1656680009002045</v>
      </c>
      <c r="O54" s="41" t="str">
        <f t="shared" si="13"/>
        <v>3</v>
      </c>
      <c r="P54" s="24">
        <f t="shared" si="14"/>
        <v>1.988016010802454</v>
      </c>
      <c r="Q54" s="41" t="str">
        <f t="shared" si="15"/>
        <v>1</v>
      </c>
      <c r="R54" s="24">
        <f t="shared" si="16"/>
        <v>11.856192129629449</v>
      </c>
      <c r="S54" s="41" t="str">
        <f t="shared" si="17"/>
        <v>E</v>
      </c>
      <c r="T54" s="24">
        <f t="shared" si="18"/>
        <v>10.274305555553383</v>
      </c>
      <c r="U54" s="41" t="str">
        <f t="shared" si="19"/>
        <v>X</v>
      </c>
      <c r="V54" s="24">
        <f t="shared" si="20"/>
        <v>3.2916666666405945</v>
      </c>
      <c r="W54" s="41" t="str">
        <f t="shared" si="21"/>
        <v/>
      </c>
      <c r="X54" s="24">
        <f t="shared" si="22"/>
        <v>3.4999999996871338</v>
      </c>
      <c r="Y54" s="41" t="str">
        <f t="shared" si="23"/>
        <v/>
      </c>
      <c r="Z54" s="24">
        <f t="shared" si="24"/>
        <v>5.9999999962456059</v>
      </c>
      <c r="AA54" s="41" t="str">
        <f t="shared" si="25"/>
        <v/>
      </c>
      <c r="AB54" s="24">
        <f t="shared" si="26"/>
        <v>11.99999995494727</v>
      </c>
      <c r="AC54" s="41" t="str">
        <f t="shared" si="27"/>
        <v/>
      </c>
      <c r="AD54" s="24">
        <f t="shared" si="28"/>
        <v>11.999999459367245</v>
      </c>
      <c r="AE54" s="41" t="str">
        <f t="shared" si="29"/>
        <v/>
      </c>
      <c r="AF54" s="24">
        <f t="shared" si="30"/>
        <v>11.999993512406945</v>
      </c>
      <c r="AG54" s="41" t="str">
        <f t="shared" si="31"/>
        <v/>
      </c>
      <c r="AH54" s="24">
        <f t="shared" si="32"/>
        <v>11.999922148883343</v>
      </c>
      <c r="AI54" s="41" t="str">
        <f t="shared" si="33"/>
        <v/>
      </c>
      <c r="AJ54" s="24">
        <f t="shared" si="34"/>
        <v>11.999065786600113</v>
      </c>
      <c r="AK54" s="41" t="str">
        <f t="shared" si="35"/>
        <v/>
      </c>
    </row>
    <row r="55" spans="1:37" ht="13.5" customHeight="1">
      <c r="A55" s="770"/>
      <c r="B55" s="774"/>
      <c r="C55" s="774"/>
      <c r="D55" s="773" t="s">
        <v>444</v>
      </c>
      <c r="E55" s="610" t="s">
        <v>445</v>
      </c>
      <c r="F55" s="147">
        <v>-422900000</v>
      </c>
      <c r="G55" s="8">
        <v>4</v>
      </c>
      <c r="H55" s="21">
        <f t="shared" si="8"/>
        <v>6607812.5</v>
      </c>
      <c r="I55" s="37" t="str">
        <f t="shared" si="9"/>
        <v>2;267</v>
      </c>
      <c r="J55" s="38">
        <v>6</v>
      </c>
      <c r="K55" s="132">
        <f t="shared" si="10"/>
        <v>2.2129430365333507</v>
      </c>
      <c r="L55" s="39" t="str">
        <f>INDEX(powers!$H$2:$H$75,33+J55)</f>
        <v>cosmic centy</v>
      </c>
      <c r="M55" s="40" t="str">
        <f t="shared" si="11"/>
        <v>2</v>
      </c>
      <c r="N55" s="24">
        <f t="shared" si="12"/>
        <v>2.5553164384002081</v>
      </c>
      <c r="O55" s="41" t="str">
        <f t="shared" si="13"/>
        <v>2</v>
      </c>
      <c r="P55" s="24">
        <f t="shared" si="14"/>
        <v>6.6637972608024967</v>
      </c>
      <c r="Q55" s="41" t="str">
        <f t="shared" si="15"/>
        <v>6</v>
      </c>
      <c r="R55" s="24">
        <f t="shared" si="16"/>
        <v>7.9655671296299602</v>
      </c>
      <c r="S55" s="41" t="str">
        <f t="shared" si="17"/>
        <v>7</v>
      </c>
      <c r="T55" s="24">
        <f t="shared" si="18"/>
        <v>11.586805555559522</v>
      </c>
      <c r="U55" s="41" t="str">
        <f t="shared" si="19"/>
        <v/>
      </c>
      <c r="V55" s="24">
        <f t="shared" si="20"/>
        <v>7.0416666667142636</v>
      </c>
      <c r="W55" s="41" t="str">
        <f t="shared" si="21"/>
        <v/>
      </c>
      <c r="X55" s="24">
        <f t="shared" si="22"/>
        <v>0.50000000057116267</v>
      </c>
      <c r="Y55" s="41" t="str">
        <f t="shared" si="23"/>
        <v/>
      </c>
      <c r="Z55" s="24">
        <f t="shared" si="24"/>
        <v>6.0000000068539521</v>
      </c>
      <c r="AA55" s="41" t="str">
        <f t="shared" si="25"/>
        <v/>
      </c>
      <c r="AB55" s="24">
        <f t="shared" si="26"/>
        <v>8.2247424870729446E-8</v>
      </c>
      <c r="AC55" s="41" t="str">
        <f t="shared" si="27"/>
        <v/>
      </c>
      <c r="AD55" s="24">
        <f t="shared" si="28"/>
        <v>9.8696909844875336E-7</v>
      </c>
      <c r="AE55" s="41" t="str">
        <f t="shared" si="29"/>
        <v/>
      </c>
      <c r="AF55" s="24">
        <f t="shared" si="30"/>
        <v>1.184362918138504E-5</v>
      </c>
      <c r="AG55" s="41" t="str">
        <f t="shared" si="31"/>
        <v/>
      </c>
      <c r="AH55" s="24">
        <f t="shared" si="32"/>
        <v>1.4212355017662048E-4</v>
      </c>
      <c r="AI55" s="41" t="str">
        <f t="shared" si="33"/>
        <v/>
      </c>
      <c r="AJ55" s="24">
        <f t="shared" si="34"/>
        <v>1.7054826021194458E-3</v>
      </c>
      <c r="AK55" s="41" t="str">
        <f t="shared" si="35"/>
        <v/>
      </c>
    </row>
    <row r="56" spans="1:37" ht="13.5" customHeight="1">
      <c r="A56" s="770"/>
      <c r="B56" s="774"/>
      <c r="C56" s="774"/>
      <c r="D56" s="775"/>
      <c r="E56" s="610" t="s">
        <v>446</v>
      </c>
      <c r="F56" s="147">
        <v>-421300000</v>
      </c>
      <c r="G56" s="8">
        <v>4</v>
      </c>
      <c r="H56" s="21">
        <f t="shared" si="8"/>
        <v>6582812.5</v>
      </c>
      <c r="I56" s="37" t="str">
        <f t="shared" si="9"/>
        <v>2;2556</v>
      </c>
      <c r="J56" s="38">
        <v>6</v>
      </c>
      <c r="K56" s="132">
        <f t="shared" si="10"/>
        <v>2.2045705871163408</v>
      </c>
      <c r="L56" s="39" t="str">
        <f>INDEX(powers!$H$2:$H$75,33+J56)</f>
        <v>cosmic centy</v>
      </c>
      <c r="M56" s="40" t="str">
        <f t="shared" si="11"/>
        <v>2</v>
      </c>
      <c r="N56" s="24">
        <f t="shared" si="12"/>
        <v>2.4548470453960896</v>
      </c>
      <c r="O56" s="41" t="str">
        <f t="shared" si="13"/>
        <v>2</v>
      </c>
      <c r="P56" s="24">
        <f t="shared" si="14"/>
        <v>5.4581645447530747</v>
      </c>
      <c r="Q56" s="41" t="str">
        <f t="shared" si="15"/>
        <v>5</v>
      </c>
      <c r="R56" s="24">
        <f t="shared" si="16"/>
        <v>5.497974537036896</v>
      </c>
      <c r="S56" s="41" t="str">
        <f t="shared" si="17"/>
        <v>5</v>
      </c>
      <c r="T56" s="24">
        <f t="shared" si="18"/>
        <v>5.9756944444427518</v>
      </c>
      <c r="U56" s="41" t="str">
        <f t="shared" si="19"/>
        <v>6</v>
      </c>
      <c r="V56" s="24">
        <f t="shared" si="20"/>
        <v>11.708333333313021</v>
      </c>
      <c r="W56" s="41" t="str">
        <f t="shared" si="21"/>
        <v/>
      </c>
      <c r="X56" s="24">
        <f t="shared" si="22"/>
        <v>8.4999999997562554</v>
      </c>
      <c r="Y56" s="41" t="str">
        <f t="shared" si="23"/>
        <v/>
      </c>
      <c r="Z56" s="24">
        <f t="shared" si="24"/>
        <v>5.999999997075065</v>
      </c>
      <c r="AA56" s="41" t="str">
        <f t="shared" si="25"/>
        <v/>
      </c>
      <c r="AB56" s="24">
        <f t="shared" si="26"/>
        <v>11.99999996490078</v>
      </c>
      <c r="AC56" s="41" t="str">
        <f t="shared" si="27"/>
        <v/>
      </c>
      <c r="AD56" s="24">
        <f t="shared" si="28"/>
        <v>11.999999578809366</v>
      </c>
      <c r="AE56" s="41" t="str">
        <f t="shared" si="29"/>
        <v/>
      </c>
      <c r="AF56" s="24">
        <f t="shared" si="30"/>
        <v>11.999994945712388</v>
      </c>
      <c r="AG56" s="41" t="str">
        <f t="shared" si="31"/>
        <v/>
      </c>
      <c r="AH56" s="24">
        <f t="shared" si="32"/>
        <v>11.999939348548651</v>
      </c>
      <c r="AI56" s="41" t="str">
        <f t="shared" si="33"/>
        <v/>
      </c>
      <c r="AJ56" s="24">
        <f t="shared" si="34"/>
        <v>11.999272182583809</v>
      </c>
      <c r="AK56" s="41" t="str">
        <f t="shared" si="35"/>
        <v/>
      </c>
    </row>
    <row r="57" spans="1:37" ht="13.5" customHeight="1">
      <c r="A57" s="770"/>
      <c r="B57" s="774"/>
      <c r="C57" s="775"/>
      <c r="D57" s="777" t="s">
        <v>447</v>
      </c>
      <c r="E57" s="779"/>
      <c r="F57" s="147">
        <v>-418700000</v>
      </c>
      <c r="G57" s="8">
        <v>4</v>
      </c>
      <c r="H57" s="21">
        <f t="shared" si="8"/>
        <v>6542187.5</v>
      </c>
      <c r="I57" s="37" t="str">
        <f t="shared" si="9"/>
        <v>2;235</v>
      </c>
      <c r="J57" s="38">
        <v>6</v>
      </c>
      <c r="K57" s="132">
        <f t="shared" si="10"/>
        <v>2.1909653568137002</v>
      </c>
      <c r="L57" s="39" t="str">
        <f>INDEX(powers!$H$2:$H$75,33+J57)</f>
        <v>cosmic centy</v>
      </c>
      <c r="M57" s="40" t="str">
        <f t="shared" si="11"/>
        <v>2</v>
      </c>
      <c r="N57" s="24">
        <f t="shared" si="12"/>
        <v>2.2915842817644023</v>
      </c>
      <c r="O57" s="41" t="str">
        <f t="shared" si="13"/>
        <v>2</v>
      </c>
      <c r="P57" s="24">
        <f t="shared" si="14"/>
        <v>3.4990113811728278</v>
      </c>
      <c r="Q57" s="41" t="str">
        <f t="shared" si="15"/>
        <v>3</v>
      </c>
      <c r="R57" s="24">
        <f t="shared" si="16"/>
        <v>5.9881365740739341</v>
      </c>
      <c r="S57" s="41" t="str">
        <f t="shared" si="17"/>
        <v>5</v>
      </c>
      <c r="T57" s="24">
        <f t="shared" si="18"/>
        <v>11.857638888887209</v>
      </c>
      <c r="U57" s="41" t="str">
        <f t="shared" si="19"/>
        <v/>
      </c>
      <c r="V57" s="24">
        <f t="shared" si="20"/>
        <v>10.291666666646506</v>
      </c>
      <c r="W57" s="41" t="str">
        <f t="shared" si="21"/>
        <v/>
      </c>
      <c r="X57" s="24">
        <f t="shared" si="22"/>
        <v>3.4999999997580744</v>
      </c>
      <c r="Y57" s="41" t="str">
        <f t="shared" si="23"/>
        <v/>
      </c>
      <c r="Z57" s="24">
        <f t="shared" si="24"/>
        <v>5.9999999970968929</v>
      </c>
      <c r="AA57" s="41" t="str">
        <f t="shared" si="25"/>
        <v/>
      </c>
      <c r="AB57" s="24">
        <f t="shared" si="26"/>
        <v>11.999999965162715</v>
      </c>
      <c r="AC57" s="41" t="str">
        <f t="shared" si="27"/>
        <v/>
      </c>
      <c r="AD57" s="24">
        <f t="shared" si="28"/>
        <v>11.999999581952579</v>
      </c>
      <c r="AE57" s="41" t="str">
        <f t="shared" si="29"/>
        <v/>
      </c>
      <c r="AF57" s="24">
        <f t="shared" si="30"/>
        <v>11.999994983430952</v>
      </c>
      <c r="AG57" s="41" t="str">
        <f t="shared" si="31"/>
        <v/>
      </c>
      <c r="AH57" s="24">
        <f t="shared" si="32"/>
        <v>11.999939801171422</v>
      </c>
      <c r="AI57" s="41" t="str">
        <f t="shared" si="33"/>
        <v/>
      </c>
      <c r="AJ57" s="24">
        <f t="shared" si="34"/>
        <v>11.999277614057064</v>
      </c>
      <c r="AK57" s="41" t="str">
        <f t="shared" si="35"/>
        <v/>
      </c>
    </row>
    <row r="58" spans="1:37" ht="13.5" customHeight="1">
      <c r="A58" s="770"/>
      <c r="B58" s="774"/>
      <c r="C58" s="773" t="s">
        <v>448</v>
      </c>
      <c r="D58" s="773" t="s">
        <v>449</v>
      </c>
      <c r="E58" s="610" t="s">
        <v>450</v>
      </c>
      <c r="F58" s="147">
        <v>-416000000</v>
      </c>
      <c r="G58" s="8">
        <v>4</v>
      </c>
      <c r="H58" s="21">
        <f t="shared" si="8"/>
        <v>6500000</v>
      </c>
      <c r="I58" s="37" t="str">
        <f t="shared" si="9"/>
        <v>2;2157</v>
      </c>
      <c r="J58" s="38">
        <v>6</v>
      </c>
      <c r="K58" s="132">
        <f t="shared" si="10"/>
        <v>2.1768368484224965</v>
      </c>
      <c r="L58" s="39" t="str">
        <f>INDEX(powers!$H$2:$H$75,33+J58)</f>
        <v>cosmic centy</v>
      </c>
      <c r="M58" s="40" t="str">
        <f t="shared" si="11"/>
        <v>2</v>
      </c>
      <c r="N58" s="24">
        <f t="shared" si="12"/>
        <v>2.1220421810699577</v>
      </c>
      <c r="O58" s="41" t="str">
        <f t="shared" si="13"/>
        <v>2</v>
      </c>
      <c r="P58" s="24">
        <f t="shared" si="14"/>
        <v>1.4645061728394921</v>
      </c>
      <c r="Q58" s="41" t="str">
        <f t="shared" si="15"/>
        <v>1</v>
      </c>
      <c r="R58" s="24">
        <f t="shared" si="16"/>
        <v>5.5740740740739056</v>
      </c>
      <c r="S58" s="41" t="str">
        <f t="shared" si="17"/>
        <v>5</v>
      </c>
      <c r="T58" s="24">
        <f t="shared" si="18"/>
        <v>6.8888888888868678</v>
      </c>
      <c r="U58" s="41" t="str">
        <f t="shared" si="19"/>
        <v>7</v>
      </c>
      <c r="V58" s="24">
        <f t="shared" si="20"/>
        <v>10.666666666642413</v>
      </c>
      <c r="W58" s="41" t="str">
        <f t="shared" si="21"/>
        <v/>
      </c>
      <c r="X58" s="24">
        <f t="shared" si="22"/>
        <v>7.9999999997089617</v>
      </c>
      <c r="Y58" s="41" t="str">
        <f t="shared" si="23"/>
        <v/>
      </c>
      <c r="Z58" s="24">
        <f t="shared" si="24"/>
        <v>11.99999999650754</v>
      </c>
      <c r="AA58" s="41" t="str">
        <f t="shared" si="25"/>
        <v/>
      </c>
      <c r="AB58" s="24">
        <f t="shared" si="26"/>
        <v>11.999999958090484</v>
      </c>
      <c r="AC58" s="41" t="str">
        <f t="shared" si="27"/>
        <v/>
      </c>
      <c r="AD58" s="24">
        <f t="shared" si="28"/>
        <v>11.99999949708581</v>
      </c>
      <c r="AE58" s="41" t="str">
        <f t="shared" si="29"/>
        <v/>
      </c>
      <c r="AF58" s="24">
        <f t="shared" si="30"/>
        <v>11.999993965029716</v>
      </c>
      <c r="AG58" s="41" t="str">
        <f t="shared" si="31"/>
        <v/>
      </c>
      <c r="AH58" s="24">
        <f t="shared" si="32"/>
        <v>11.999927580356598</v>
      </c>
      <c r="AI58" s="41" t="str">
        <f t="shared" si="33"/>
        <v/>
      </c>
      <c r="AJ58" s="24">
        <f t="shared" si="34"/>
        <v>11.999130964279175</v>
      </c>
      <c r="AK58" s="41" t="str">
        <f t="shared" si="35"/>
        <v/>
      </c>
    </row>
    <row r="59" spans="1:37" ht="13.5" customHeight="1">
      <c r="A59" s="770"/>
      <c r="B59" s="774"/>
      <c r="C59" s="774"/>
      <c r="D59" s="774"/>
      <c r="E59" s="610" t="s">
        <v>451</v>
      </c>
      <c r="F59" s="147">
        <v>-411200000</v>
      </c>
      <c r="G59" s="8">
        <v>4</v>
      </c>
      <c r="H59" s="21">
        <f t="shared" si="8"/>
        <v>6425000</v>
      </c>
      <c r="I59" s="37" t="str">
        <f t="shared" si="9"/>
        <v>2;19X2</v>
      </c>
      <c r="J59" s="38">
        <v>6</v>
      </c>
      <c r="K59" s="132">
        <f t="shared" si="10"/>
        <v>2.1517195001714677</v>
      </c>
      <c r="L59" s="39" t="str">
        <f>INDEX(powers!$H$2:$H$75,33+J59)</f>
        <v>cosmic centy</v>
      </c>
      <c r="M59" s="40" t="str">
        <f t="shared" si="11"/>
        <v>2</v>
      </c>
      <c r="N59" s="24">
        <f t="shared" si="12"/>
        <v>1.8206340020576128</v>
      </c>
      <c r="O59" s="41" t="str">
        <f t="shared" si="13"/>
        <v>1</v>
      </c>
      <c r="P59" s="24">
        <f t="shared" si="14"/>
        <v>9.847608024691354</v>
      </c>
      <c r="Q59" s="41" t="str">
        <f t="shared" si="15"/>
        <v>9</v>
      </c>
      <c r="R59" s="24">
        <f t="shared" si="16"/>
        <v>10.171296296296248</v>
      </c>
      <c r="S59" s="41" t="str">
        <f t="shared" si="17"/>
        <v>X</v>
      </c>
      <c r="T59" s="24">
        <f t="shared" si="18"/>
        <v>2.0555555555549745</v>
      </c>
      <c r="U59" s="41" t="str">
        <f t="shared" si="19"/>
        <v>2</v>
      </c>
      <c r="V59" s="24">
        <f t="shared" si="20"/>
        <v>0.66666666665969387</v>
      </c>
      <c r="W59" s="41" t="str">
        <f t="shared" si="21"/>
        <v/>
      </c>
      <c r="X59" s="24">
        <f t="shared" si="22"/>
        <v>7.9999999999163265</v>
      </c>
      <c r="Y59" s="41" t="str">
        <f t="shared" si="23"/>
        <v/>
      </c>
      <c r="Z59" s="24">
        <f t="shared" si="24"/>
        <v>11.999999998995918</v>
      </c>
      <c r="AA59" s="41" t="str">
        <f t="shared" si="25"/>
        <v/>
      </c>
      <c r="AB59" s="24">
        <f t="shared" si="26"/>
        <v>11.999999987951014</v>
      </c>
      <c r="AC59" s="41" t="str">
        <f t="shared" si="27"/>
        <v/>
      </c>
      <c r="AD59" s="24">
        <f t="shared" si="28"/>
        <v>11.99999985541217</v>
      </c>
      <c r="AE59" s="41" t="str">
        <f t="shared" si="29"/>
        <v/>
      </c>
      <c r="AF59" s="24">
        <f t="shared" si="30"/>
        <v>11.999998264946043</v>
      </c>
      <c r="AG59" s="41" t="str">
        <f t="shared" si="31"/>
        <v/>
      </c>
      <c r="AH59" s="24">
        <f t="shared" si="32"/>
        <v>11.999979179352522</v>
      </c>
      <c r="AI59" s="41" t="str">
        <f t="shared" si="33"/>
        <v/>
      </c>
      <c r="AJ59" s="24">
        <f t="shared" si="34"/>
        <v>11.999750152230263</v>
      </c>
      <c r="AK59" s="41" t="str">
        <f t="shared" si="35"/>
        <v/>
      </c>
    </row>
    <row r="60" spans="1:37" ht="13.5" customHeight="1">
      <c r="A60" s="770"/>
      <c r="B60" s="774"/>
      <c r="C60" s="774"/>
      <c r="D60" s="775"/>
      <c r="E60" s="610" t="s">
        <v>452</v>
      </c>
      <c r="F60" s="147">
        <v>-407000000</v>
      </c>
      <c r="G60" s="8">
        <v>4</v>
      </c>
      <c r="H60" s="21">
        <f t="shared" si="8"/>
        <v>6359375</v>
      </c>
      <c r="I60" s="37" t="str">
        <f t="shared" si="9"/>
        <v>2;1682</v>
      </c>
      <c r="J60" s="38">
        <v>6</v>
      </c>
      <c r="K60" s="132">
        <f t="shared" si="10"/>
        <v>2.1297418204518177</v>
      </c>
      <c r="L60" s="39" t="str">
        <f>INDEX(powers!$H$2:$H$75,33+J60)</f>
        <v>cosmic centy</v>
      </c>
      <c r="M60" s="40" t="str">
        <f t="shared" si="11"/>
        <v>2</v>
      </c>
      <c r="N60" s="24">
        <f t="shared" si="12"/>
        <v>1.5569018454218124</v>
      </c>
      <c r="O60" s="41" t="str">
        <f t="shared" si="13"/>
        <v>1</v>
      </c>
      <c r="P60" s="24">
        <f t="shared" si="14"/>
        <v>6.6828221450617491</v>
      </c>
      <c r="Q60" s="41" t="str">
        <f t="shared" si="15"/>
        <v>6</v>
      </c>
      <c r="R60" s="24">
        <f t="shared" si="16"/>
        <v>8.1938657407409892</v>
      </c>
      <c r="S60" s="41" t="str">
        <f t="shared" si="17"/>
        <v>8</v>
      </c>
      <c r="T60" s="24">
        <f t="shared" si="18"/>
        <v>2.32638888889187</v>
      </c>
      <c r="U60" s="41" t="str">
        <f t="shared" si="19"/>
        <v>2</v>
      </c>
      <c r="V60" s="24">
        <f t="shared" si="20"/>
        <v>3.9166666667024401</v>
      </c>
      <c r="W60" s="41" t="str">
        <f t="shared" si="21"/>
        <v/>
      </c>
      <c r="X60" s="24">
        <f t="shared" si="22"/>
        <v>11.000000000429281</v>
      </c>
      <c r="Y60" s="41" t="str">
        <f t="shared" si="23"/>
        <v/>
      </c>
      <c r="Z60" s="24">
        <f t="shared" si="24"/>
        <v>5.1513779908418655E-9</v>
      </c>
      <c r="AA60" s="41" t="str">
        <f t="shared" si="25"/>
        <v/>
      </c>
      <c r="AB60" s="24">
        <f t="shared" si="26"/>
        <v>6.1816535890102386E-8</v>
      </c>
      <c r="AC60" s="41" t="str">
        <f t="shared" si="27"/>
        <v/>
      </c>
      <c r="AD60" s="24">
        <f t="shared" si="28"/>
        <v>7.4179843068122864E-7</v>
      </c>
      <c r="AE60" s="41" t="str">
        <f t="shared" si="29"/>
        <v/>
      </c>
      <c r="AF60" s="24">
        <f t="shared" si="30"/>
        <v>8.9015811681747437E-6</v>
      </c>
      <c r="AG60" s="41" t="str">
        <f t="shared" si="31"/>
        <v/>
      </c>
      <c r="AH60" s="24">
        <f t="shared" si="32"/>
        <v>1.0681897401809692E-4</v>
      </c>
      <c r="AI60" s="41" t="str">
        <f t="shared" si="33"/>
        <v/>
      </c>
      <c r="AJ60" s="24">
        <f t="shared" si="34"/>
        <v>1.2818276882171631E-3</v>
      </c>
      <c r="AK60" s="41" t="str">
        <f t="shared" si="35"/>
        <v/>
      </c>
    </row>
    <row r="61" spans="1:37" ht="13.5" customHeight="1">
      <c r="A61" s="770"/>
      <c r="B61" s="774"/>
      <c r="C61" s="774"/>
      <c r="D61" s="773" t="s">
        <v>453</v>
      </c>
      <c r="E61" s="610" t="s">
        <v>454</v>
      </c>
      <c r="F61" s="147">
        <v>-397500000</v>
      </c>
      <c r="G61" s="8">
        <v>4</v>
      </c>
      <c r="H61" s="21">
        <f t="shared" si="8"/>
        <v>6210937.5</v>
      </c>
      <c r="I61" s="37" t="str">
        <f t="shared" si="9"/>
        <v>2;0E64</v>
      </c>
      <c r="J61" s="38">
        <v>6</v>
      </c>
      <c r="K61" s="132">
        <f t="shared" si="10"/>
        <v>2.0800304020383229</v>
      </c>
      <c r="L61" s="39" t="str">
        <f>INDEX(powers!$H$2:$H$75,33+J61)</f>
        <v>cosmic centy</v>
      </c>
      <c r="M61" s="40" t="str">
        <f t="shared" si="11"/>
        <v>2</v>
      </c>
      <c r="N61" s="24">
        <f t="shared" si="12"/>
        <v>0.96036482445987481</v>
      </c>
      <c r="O61" s="41" t="str">
        <f t="shared" si="13"/>
        <v>0</v>
      </c>
      <c r="P61" s="24">
        <f t="shared" si="14"/>
        <v>11.524377893518498</v>
      </c>
      <c r="Q61" s="41" t="str">
        <f t="shared" si="15"/>
        <v>E</v>
      </c>
      <c r="R61" s="24">
        <f t="shared" si="16"/>
        <v>6.2925347222219727</v>
      </c>
      <c r="S61" s="41" t="str">
        <f t="shared" si="17"/>
        <v>6</v>
      </c>
      <c r="T61" s="24">
        <f t="shared" si="18"/>
        <v>3.5104166666636729</v>
      </c>
      <c r="U61" s="41" t="str">
        <f t="shared" si="19"/>
        <v>4</v>
      </c>
      <c r="V61" s="24">
        <f t="shared" si="20"/>
        <v>6.124999999964075</v>
      </c>
      <c r="W61" s="41" t="str">
        <f t="shared" si="21"/>
        <v/>
      </c>
      <c r="X61" s="24">
        <f t="shared" si="22"/>
        <v>1.4999999995688995</v>
      </c>
      <c r="Y61" s="41" t="str">
        <f t="shared" si="23"/>
        <v/>
      </c>
      <c r="Z61" s="24">
        <f t="shared" si="24"/>
        <v>5.9999999948267941</v>
      </c>
      <c r="AA61" s="41" t="str">
        <f t="shared" si="25"/>
        <v/>
      </c>
      <c r="AB61" s="24">
        <f t="shared" si="26"/>
        <v>11.99999993792153</v>
      </c>
      <c r="AC61" s="41" t="str">
        <f t="shared" si="27"/>
        <v/>
      </c>
      <c r="AD61" s="24">
        <f t="shared" si="28"/>
        <v>11.999999255058356</v>
      </c>
      <c r="AE61" s="41" t="str">
        <f t="shared" si="29"/>
        <v/>
      </c>
      <c r="AF61" s="24">
        <f t="shared" si="30"/>
        <v>11.999991060700268</v>
      </c>
      <c r="AG61" s="41" t="str">
        <f t="shared" si="31"/>
        <v/>
      </c>
      <c r="AH61" s="24">
        <f t="shared" si="32"/>
        <v>11.999892728403211</v>
      </c>
      <c r="AI61" s="41" t="str">
        <f t="shared" si="33"/>
        <v/>
      </c>
      <c r="AJ61" s="24">
        <f t="shared" si="34"/>
        <v>11.998712740838528</v>
      </c>
      <c r="AK61" s="41" t="str">
        <f t="shared" si="35"/>
        <v/>
      </c>
    </row>
    <row r="62" spans="1:37" ht="13.5" customHeight="1">
      <c r="A62" s="770"/>
      <c r="B62" s="774"/>
      <c r="C62" s="774"/>
      <c r="D62" s="775"/>
      <c r="E62" s="610" t="s">
        <v>455</v>
      </c>
      <c r="F62" s="147">
        <v>-391800000</v>
      </c>
      <c r="G62" s="8">
        <v>4</v>
      </c>
      <c r="H62" s="21">
        <f t="shared" si="8"/>
        <v>6121875</v>
      </c>
      <c r="I62" s="37" t="str">
        <f t="shared" si="9"/>
        <v>2;0729</v>
      </c>
      <c r="J62" s="38">
        <v>6</v>
      </c>
      <c r="K62" s="132">
        <f t="shared" si="10"/>
        <v>2.0502035509902266</v>
      </c>
      <c r="L62" s="39" t="str">
        <f>INDEX(powers!$H$2:$H$75,33+J62)</f>
        <v>cosmic centy</v>
      </c>
      <c r="M62" s="40" t="str">
        <f t="shared" si="11"/>
        <v>2</v>
      </c>
      <c r="N62" s="24">
        <f t="shared" si="12"/>
        <v>0.60244261188271864</v>
      </c>
      <c r="O62" s="41" t="str">
        <f t="shared" si="13"/>
        <v>0</v>
      </c>
      <c r="P62" s="24">
        <f t="shared" si="14"/>
        <v>7.2293113425926236</v>
      </c>
      <c r="Q62" s="41" t="str">
        <f t="shared" si="15"/>
        <v>7</v>
      </c>
      <c r="R62" s="24">
        <f t="shared" si="16"/>
        <v>2.7517361111114838</v>
      </c>
      <c r="S62" s="41" t="str">
        <f t="shared" si="17"/>
        <v>2</v>
      </c>
      <c r="T62" s="24">
        <f t="shared" si="18"/>
        <v>9.020833333337805</v>
      </c>
      <c r="U62" s="41" t="str">
        <f t="shared" si="19"/>
        <v>9</v>
      </c>
      <c r="V62" s="24">
        <f t="shared" si="20"/>
        <v>0.25000000005366019</v>
      </c>
      <c r="W62" s="41" t="str">
        <f t="shared" si="21"/>
        <v/>
      </c>
      <c r="X62" s="24">
        <f t="shared" si="22"/>
        <v>3.0000000006439222</v>
      </c>
      <c r="Y62" s="41" t="str">
        <f t="shared" si="23"/>
        <v/>
      </c>
      <c r="Z62" s="24">
        <f t="shared" si="24"/>
        <v>7.7270669862627983E-9</v>
      </c>
      <c r="AA62" s="41" t="str">
        <f t="shared" si="25"/>
        <v/>
      </c>
      <c r="AB62" s="24">
        <f t="shared" si="26"/>
        <v>9.272480383515358E-8</v>
      </c>
      <c r="AC62" s="41" t="str">
        <f t="shared" si="27"/>
        <v/>
      </c>
      <c r="AD62" s="24">
        <f t="shared" si="28"/>
        <v>1.112697646021843E-6</v>
      </c>
      <c r="AE62" s="41" t="str">
        <f t="shared" si="29"/>
        <v/>
      </c>
      <c r="AF62" s="24">
        <f t="shared" si="30"/>
        <v>1.3352371752262115E-5</v>
      </c>
      <c r="AG62" s="41" t="str">
        <f t="shared" si="31"/>
        <v/>
      </c>
      <c r="AH62" s="24">
        <f t="shared" si="32"/>
        <v>1.6022846102714539E-4</v>
      </c>
      <c r="AI62" s="41" t="str">
        <f t="shared" si="33"/>
        <v/>
      </c>
      <c r="AJ62" s="24">
        <f t="shared" si="34"/>
        <v>1.9227415323257446E-3</v>
      </c>
      <c r="AK62" s="41" t="str">
        <f t="shared" si="35"/>
        <v/>
      </c>
    </row>
    <row r="63" spans="1:37" ht="13.5" customHeight="1">
      <c r="A63" s="770"/>
      <c r="B63" s="774"/>
      <c r="C63" s="774"/>
      <c r="D63" s="773" t="s">
        <v>456</v>
      </c>
      <c r="E63" s="610" t="s">
        <v>457</v>
      </c>
      <c r="F63" s="147">
        <v>-385300000</v>
      </c>
      <c r="G63" s="8">
        <v>4</v>
      </c>
      <c r="H63" s="21">
        <f t="shared" si="8"/>
        <v>6020312.5</v>
      </c>
      <c r="I63" s="37" t="str">
        <f t="shared" si="9"/>
        <v>2;023</v>
      </c>
      <c r="J63" s="38">
        <v>6</v>
      </c>
      <c r="K63" s="132">
        <f t="shared" si="10"/>
        <v>2.0161904752336248</v>
      </c>
      <c r="L63" s="39" t="str">
        <f>INDEX(powers!$H$2:$H$75,33+J63)</f>
        <v>cosmic centy</v>
      </c>
      <c r="M63" s="40" t="str">
        <f t="shared" si="11"/>
        <v>2</v>
      </c>
      <c r="N63" s="24">
        <f t="shared" si="12"/>
        <v>0.19428570280349788</v>
      </c>
      <c r="O63" s="41" t="str">
        <f t="shared" si="13"/>
        <v>0</v>
      </c>
      <c r="P63" s="24">
        <f t="shared" si="14"/>
        <v>2.3314284336419746</v>
      </c>
      <c r="Q63" s="41" t="str">
        <f t="shared" si="15"/>
        <v>2</v>
      </c>
      <c r="R63" s="24">
        <f t="shared" si="16"/>
        <v>3.9771412037036953</v>
      </c>
      <c r="S63" s="41" t="str">
        <f t="shared" si="17"/>
        <v>3</v>
      </c>
      <c r="T63" s="24">
        <f t="shared" si="18"/>
        <v>11.725694444444343</v>
      </c>
      <c r="U63" s="41" t="str">
        <f t="shared" si="19"/>
        <v/>
      </c>
      <c r="V63" s="24">
        <f t="shared" si="20"/>
        <v>8.7083333333321207</v>
      </c>
      <c r="W63" s="41" t="str">
        <f t="shared" si="21"/>
        <v/>
      </c>
      <c r="X63" s="24">
        <f t="shared" si="22"/>
        <v>8.4999999999854481</v>
      </c>
      <c r="Y63" s="41" t="str">
        <f t="shared" si="23"/>
        <v/>
      </c>
      <c r="Z63" s="24">
        <f t="shared" si="24"/>
        <v>5.999999999825377</v>
      </c>
      <c r="AA63" s="41" t="str">
        <f t="shared" si="25"/>
        <v/>
      </c>
      <c r="AB63" s="24">
        <f t="shared" si="26"/>
        <v>11.999999997904524</v>
      </c>
      <c r="AC63" s="41" t="str">
        <f t="shared" si="27"/>
        <v/>
      </c>
      <c r="AD63" s="24">
        <f t="shared" si="28"/>
        <v>11.99999997485429</v>
      </c>
      <c r="AE63" s="41" t="str">
        <f t="shared" si="29"/>
        <v/>
      </c>
      <c r="AF63" s="24">
        <f t="shared" si="30"/>
        <v>11.999999698251486</v>
      </c>
      <c r="AG63" s="41" t="str">
        <f t="shared" si="31"/>
        <v/>
      </c>
      <c r="AH63" s="24">
        <f t="shared" si="32"/>
        <v>11.99999637901783</v>
      </c>
      <c r="AI63" s="41" t="str">
        <f t="shared" si="33"/>
        <v/>
      </c>
      <c r="AJ63" s="24">
        <f t="shared" si="34"/>
        <v>11.999956548213959</v>
      </c>
      <c r="AK63" s="41" t="str">
        <f t="shared" si="35"/>
        <v/>
      </c>
    </row>
    <row r="64" spans="1:37" ht="13.5" customHeight="1">
      <c r="A64" s="770"/>
      <c r="B64" s="774"/>
      <c r="C64" s="775"/>
      <c r="D64" s="775"/>
      <c r="E64" s="610" t="s">
        <v>458</v>
      </c>
      <c r="F64" s="147">
        <v>-374500000</v>
      </c>
      <c r="G64" s="8">
        <v>4</v>
      </c>
      <c r="H64" s="21">
        <f t="shared" si="8"/>
        <v>5851562.5</v>
      </c>
      <c r="I64" s="37" t="str">
        <f t="shared" si="9"/>
        <v>1;E624</v>
      </c>
      <c r="J64" s="38">
        <v>6</v>
      </c>
      <c r="K64" s="132">
        <f t="shared" si="10"/>
        <v>1.9596764416688099</v>
      </c>
      <c r="L64" s="39" t="str">
        <f>INDEX(powers!$H$2:$H$75,33+J64)</f>
        <v>cosmic centy</v>
      </c>
      <c r="M64" s="40" t="str">
        <f t="shared" si="11"/>
        <v>1</v>
      </c>
      <c r="N64" s="24">
        <f t="shared" si="12"/>
        <v>11.516117300025719</v>
      </c>
      <c r="O64" s="41" t="str">
        <f t="shared" si="13"/>
        <v>E</v>
      </c>
      <c r="P64" s="24">
        <f t="shared" si="14"/>
        <v>6.1934076003086318</v>
      </c>
      <c r="Q64" s="41" t="str">
        <f t="shared" si="15"/>
        <v>6</v>
      </c>
      <c r="R64" s="24">
        <f t="shared" si="16"/>
        <v>2.3208912037035816</v>
      </c>
      <c r="S64" s="41" t="str">
        <f t="shared" si="17"/>
        <v>2</v>
      </c>
      <c r="T64" s="24">
        <f t="shared" si="18"/>
        <v>3.8506944444429791</v>
      </c>
      <c r="U64" s="41" t="str">
        <f t="shared" si="19"/>
        <v>4</v>
      </c>
      <c r="V64" s="24">
        <f t="shared" si="20"/>
        <v>10.20833333331575</v>
      </c>
      <c r="W64" s="41" t="str">
        <f t="shared" si="21"/>
        <v/>
      </c>
      <c r="X64" s="24">
        <f t="shared" si="22"/>
        <v>2.4999999997889972</v>
      </c>
      <c r="Y64" s="41" t="str">
        <f t="shared" si="23"/>
        <v/>
      </c>
      <c r="Z64" s="24">
        <f t="shared" si="24"/>
        <v>5.9999999974679668</v>
      </c>
      <c r="AA64" s="41" t="str">
        <f t="shared" si="25"/>
        <v/>
      </c>
      <c r="AB64" s="24">
        <f t="shared" si="26"/>
        <v>11.999999969615601</v>
      </c>
      <c r="AC64" s="41" t="str">
        <f t="shared" si="27"/>
        <v/>
      </c>
      <c r="AD64" s="24">
        <f t="shared" si="28"/>
        <v>11.999999635387212</v>
      </c>
      <c r="AE64" s="41" t="str">
        <f t="shared" si="29"/>
        <v/>
      </c>
      <c r="AF64" s="24">
        <f t="shared" si="30"/>
        <v>11.999995624646544</v>
      </c>
      <c r="AG64" s="41" t="str">
        <f t="shared" si="31"/>
        <v/>
      </c>
      <c r="AH64" s="24">
        <f t="shared" si="32"/>
        <v>11.999947495758533</v>
      </c>
      <c r="AI64" s="41" t="str">
        <f t="shared" si="33"/>
        <v/>
      </c>
      <c r="AJ64" s="24">
        <f t="shared" si="34"/>
        <v>11.999369949102402</v>
      </c>
      <c r="AK64" s="41" t="str">
        <f t="shared" si="35"/>
        <v/>
      </c>
    </row>
    <row r="65" spans="1:37" ht="13.5" customHeight="1">
      <c r="A65" s="770"/>
      <c r="B65" s="774"/>
      <c r="C65" s="773" t="s">
        <v>459</v>
      </c>
      <c r="D65" s="773" t="s">
        <v>460</v>
      </c>
      <c r="E65" s="610" t="s">
        <v>461</v>
      </c>
      <c r="F65" s="147">
        <v>-359200000</v>
      </c>
      <c r="G65" s="8">
        <v>4</v>
      </c>
      <c r="H65" s="21">
        <f t="shared" si="8"/>
        <v>5612500</v>
      </c>
      <c r="I65" s="37" t="str">
        <f t="shared" si="9"/>
        <v>1;X67</v>
      </c>
      <c r="J65" s="38">
        <v>6</v>
      </c>
      <c r="K65" s="132">
        <f t="shared" si="10"/>
        <v>1.8796148941186557</v>
      </c>
      <c r="L65" s="39" t="str">
        <f>INDEX(powers!$H$2:$H$75,33+J65)</f>
        <v>cosmic centy</v>
      </c>
      <c r="M65" s="40" t="str">
        <f t="shared" si="11"/>
        <v>1</v>
      </c>
      <c r="N65" s="24">
        <f t="shared" si="12"/>
        <v>10.555378729423868</v>
      </c>
      <c r="O65" s="41" t="str">
        <f t="shared" si="13"/>
        <v>X</v>
      </c>
      <c r="P65" s="24">
        <f t="shared" si="14"/>
        <v>6.6645447530864175</v>
      </c>
      <c r="Q65" s="41" t="str">
        <f t="shared" si="15"/>
        <v>6</v>
      </c>
      <c r="R65" s="24">
        <f t="shared" si="16"/>
        <v>7.9745370370370097</v>
      </c>
      <c r="S65" s="41" t="str">
        <f t="shared" si="17"/>
        <v>7</v>
      </c>
      <c r="T65" s="24">
        <f t="shared" si="18"/>
        <v>11.694444444444116</v>
      </c>
      <c r="U65" s="41" t="str">
        <f t="shared" si="19"/>
        <v/>
      </c>
      <c r="V65" s="24">
        <f t="shared" si="20"/>
        <v>8.3333333333293922</v>
      </c>
      <c r="W65" s="41" t="str">
        <f t="shared" si="21"/>
        <v/>
      </c>
      <c r="X65" s="24">
        <f t="shared" si="22"/>
        <v>3.9999999999527063</v>
      </c>
      <c r="Y65" s="41" t="str">
        <f t="shared" si="23"/>
        <v/>
      </c>
      <c r="Z65" s="24">
        <f t="shared" si="24"/>
        <v>11.999999999432475</v>
      </c>
      <c r="AA65" s="41" t="str">
        <f t="shared" si="25"/>
        <v/>
      </c>
      <c r="AB65" s="24">
        <f t="shared" si="26"/>
        <v>11.999999993189704</v>
      </c>
      <c r="AC65" s="41" t="str">
        <f t="shared" si="27"/>
        <v/>
      </c>
      <c r="AD65" s="24">
        <f t="shared" si="28"/>
        <v>11.999999918276444</v>
      </c>
      <c r="AE65" s="41" t="str">
        <f t="shared" si="29"/>
        <v/>
      </c>
      <c r="AF65" s="24">
        <f t="shared" si="30"/>
        <v>11.999999019317329</v>
      </c>
      <c r="AG65" s="41" t="str">
        <f t="shared" si="31"/>
        <v/>
      </c>
      <c r="AH65" s="24">
        <f t="shared" si="32"/>
        <v>11.999988231807947</v>
      </c>
      <c r="AI65" s="41" t="str">
        <f t="shared" si="33"/>
        <v/>
      </c>
      <c r="AJ65" s="24">
        <f t="shared" si="34"/>
        <v>11.999858781695366</v>
      </c>
      <c r="AK65" s="41" t="str">
        <f t="shared" si="35"/>
        <v/>
      </c>
    </row>
    <row r="66" spans="1:37" ht="13.5" customHeight="1">
      <c r="A66" s="770"/>
      <c r="B66" s="774"/>
      <c r="C66" s="774"/>
      <c r="D66" s="774"/>
      <c r="E66" s="610" t="s">
        <v>462</v>
      </c>
      <c r="F66" s="147">
        <v>-345300000</v>
      </c>
      <c r="G66" s="8">
        <v>4</v>
      </c>
      <c r="H66" s="21">
        <f t="shared" si="8"/>
        <v>5395312.5</v>
      </c>
      <c r="I66" s="37" t="str">
        <f t="shared" si="9"/>
        <v>1;9823</v>
      </c>
      <c r="J66" s="38">
        <v>6</v>
      </c>
      <c r="K66" s="132">
        <f t="shared" si="10"/>
        <v>1.8068792398083848</v>
      </c>
      <c r="L66" s="39" t="str">
        <f>INDEX(powers!$H$2:$H$75,33+J66)</f>
        <v>cosmic centy</v>
      </c>
      <c r="M66" s="40" t="str">
        <f t="shared" si="11"/>
        <v>1</v>
      </c>
      <c r="N66" s="24">
        <f t="shared" si="12"/>
        <v>9.6825508777006171</v>
      </c>
      <c r="O66" s="41" t="str">
        <f t="shared" si="13"/>
        <v>9</v>
      </c>
      <c r="P66" s="24">
        <f t="shared" si="14"/>
        <v>8.1906105324074048</v>
      </c>
      <c r="Q66" s="41" t="str">
        <f t="shared" si="15"/>
        <v>8</v>
      </c>
      <c r="R66" s="24">
        <f t="shared" si="16"/>
        <v>2.2873263888888573</v>
      </c>
      <c r="S66" s="41" t="str">
        <f t="shared" si="17"/>
        <v>2</v>
      </c>
      <c r="T66" s="24">
        <f t="shared" si="18"/>
        <v>3.4479166666662877</v>
      </c>
      <c r="U66" s="41" t="str">
        <f t="shared" si="19"/>
        <v>3</v>
      </c>
      <c r="V66" s="24">
        <f t="shared" si="20"/>
        <v>5.3749999999954525</v>
      </c>
      <c r="W66" s="41" t="str">
        <f t="shared" si="21"/>
        <v/>
      </c>
      <c r="X66" s="24">
        <f t="shared" si="22"/>
        <v>4.4999999999454303</v>
      </c>
      <c r="Y66" s="41" t="str">
        <f t="shared" si="23"/>
        <v/>
      </c>
      <c r="Z66" s="24">
        <f t="shared" si="24"/>
        <v>5.9999999993451638</v>
      </c>
      <c r="AA66" s="41" t="str">
        <f t="shared" si="25"/>
        <v/>
      </c>
      <c r="AB66" s="24">
        <f t="shared" si="26"/>
        <v>11.999999992141966</v>
      </c>
      <c r="AC66" s="41" t="str">
        <f t="shared" si="27"/>
        <v/>
      </c>
      <c r="AD66" s="24">
        <f t="shared" si="28"/>
        <v>11.999999905703589</v>
      </c>
      <c r="AE66" s="41" t="str">
        <f t="shared" si="29"/>
        <v/>
      </c>
      <c r="AF66" s="24">
        <f t="shared" si="30"/>
        <v>11.999998868443072</v>
      </c>
      <c r="AG66" s="41" t="str">
        <f t="shared" si="31"/>
        <v/>
      </c>
      <c r="AH66" s="24">
        <f t="shared" si="32"/>
        <v>11.999986421316862</v>
      </c>
      <c r="AI66" s="41" t="str">
        <f t="shared" si="33"/>
        <v/>
      </c>
      <c r="AJ66" s="24">
        <f t="shared" si="34"/>
        <v>11.999837055802345</v>
      </c>
      <c r="AK66" s="41" t="str">
        <f t="shared" si="35"/>
        <v/>
      </c>
    </row>
    <row r="67" spans="1:37" ht="13.5" customHeight="1">
      <c r="A67" s="770"/>
      <c r="B67" s="774"/>
      <c r="C67" s="774"/>
      <c r="D67" s="775"/>
      <c r="E67" s="610" t="s">
        <v>463</v>
      </c>
      <c r="F67" s="147">
        <v>-328300000</v>
      </c>
      <c r="G67" s="8">
        <v>4</v>
      </c>
      <c r="H67" s="21">
        <f t="shared" si="8"/>
        <v>5129687.5</v>
      </c>
      <c r="I67" s="37" t="str">
        <f t="shared" si="9"/>
        <v>1;8747</v>
      </c>
      <c r="J67" s="38">
        <v>6</v>
      </c>
      <c r="K67" s="132">
        <f t="shared" si="10"/>
        <v>1.7179219647526578</v>
      </c>
      <c r="L67" s="39" t="str">
        <f>INDEX(powers!$H$2:$H$75,33+J67)</f>
        <v>cosmic centy</v>
      </c>
      <c r="M67" s="40" t="str">
        <f t="shared" si="11"/>
        <v>1</v>
      </c>
      <c r="N67" s="24">
        <f t="shared" si="12"/>
        <v>8.6150635770318935</v>
      </c>
      <c r="O67" s="41" t="str">
        <f t="shared" si="13"/>
        <v>8</v>
      </c>
      <c r="P67" s="24">
        <f t="shared" si="14"/>
        <v>7.3807629243827222</v>
      </c>
      <c r="Q67" s="41" t="str">
        <f t="shared" si="15"/>
        <v>7</v>
      </c>
      <c r="R67" s="24">
        <f t="shared" si="16"/>
        <v>4.5691550925926663</v>
      </c>
      <c r="S67" s="41" t="str">
        <f t="shared" si="17"/>
        <v>4</v>
      </c>
      <c r="T67" s="24">
        <f t="shared" si="18"/>
        <v>6.8298611111119953</v>
      </c>
      <c r="U67" s="41" t="str">
        <f t="shared" si="19"/>
        <v>7</v>
      </c>
      <c r="V67" s="24">
        <f t="shared" si="20"/>
        <v>9.9583333333439441</v>
      </c>
      <c r="W67" s="41" t="str">
        <f t="shared" si="21"/>
        <v/>
      </c>
      <c r="X67" s="24">
        <f t="shared" si="22"/>
        <v>11.500000000127329</v>
      </c>
      <c r="Y67" s="41" t="str">
        <f t="shared" si="23"/>
        <v/>
      </c>
      <c r="Z67" s="24">
        <f t="shared" si="24"/>
        <v>6.0000000015279511</v>
      </c>
      <c r="AA67" s="41" t="str">
        <f t="shared" si="25"/>
        <v/>
      </c>
      <c r="AB67" s="24">
        <f t="shared" si="26"/>
        <v>1.8335413187742233E-8</v>
      </c>
      <c r="AC67" s="41" t="str">
        <f t="shared" si="27"/>
        <v/>
      </c>
      <c r="AD67" s="24">
        <f t="shared" si="28"/>
        <v>2.200249582529068E-7</v>
      </c>
      <c r="AE67" s="41" t="str">
        <f t="shared" si="29"/>
        <v/>
      </c>
      <c r="AF67" s="24">
        <f t="shared" si="30"/>
        <v>2.6402994990348816E-6</v>
      </c>
      <c r="AG67" s="41" t="str">
        <f t="shared" si="31"/>
        <v/>
      </c>
      <c r="AH67" s="24">
        <f t="shared" si="32"/>
        <v>3.1683593988418579E-5</v>
      </c>
      <c r="AI67" s="41" t="str">
        <f t="shared" si="33"/>
        <v/>
      </c>
      <c r="AJ67" s="24">
        <f t="shared" si="34"/>
        <v>3.8020312786102295E-4</v>
      </c>
      <c r="AK67" s="41" t="str">
        <f t="shared" si="35"/>
        <v/>
      </c>
    </row>
    <row r="68" spans="1:37" ht="13.5" customHeight="1">
      <c r="A68" s="770"/>
      <c r="B68" s="774"/>
      <c r="C68" s="774"/>
      <c r="D68" s="773" t="s">
        <v>464</v>
      </c>
      <c r="E68" s="610" t="s">
        <v>465</v>
      </c>
      <c r="F68" s="147">
        <v>-318100000</v>
      </c>
      <c r="G68" s="8">
        <v>4</v>
      </c>
      <c r="H68" s="21">
        <f t="shared" si="8"/>
        <v>4970312.5</v>
      </c>
      <c r="I68" s="37" t="str">
        <f t="shared" si="9"/>
        <v>1;7E84</v>
      </c>
      <c r="J68" s="38">
        <v>6</v>
      </c>
      <c r="K68" s="132">
        <f t="shared" si="10"/>
        <v>1.6645475997192216</v>
      </c>
      <c r="L68" s="39" t="str">
        <f>INDEX(powers!$H$2:$H$75,33+J68)</f>
        <v>cosmic centy</v>
      </c>
      <c r="M68" s="40" t="str">
        <f t="shared" si="11"/>
        <v>1</v>
      </c>
      <c r="N68" s="24">
        <f t="shared" si="12"/>
        <v>7.9745711966306594</v>
      </c>
      <c r="O68" s="41" t="str">
        <f t="shared" si="13"/>
        <v>7</v>
      </c>
      <c r="P68" s="24">
        <f t="shared" si="14"/>
        <v>11.694854359567913</v>
      </c>
      <c r="Q68" s="41" t="str">
        <f t="shared" si="15"/>
        <v>E</v>
      </c>
      <c r="R68" s="24">
        <f t="shared" si="16"/>
        <v>8.3382523148149517</v>
      </c>
      <c r="S68" s="41" t="str">
        <f t="shared" si="17"/>
        <v>8</v>
      </c>
      <c r="T68" s="24">
        <f t="shared" si="18"/>
        <v>4.0590277777794199</v>
      </c>
      <c r="U68" s="41" t="str">
        <f t="shared" si="19"/>
        <v>4</v>
      </c>
      <c r="V68" s="24">
        <f t="shared" si="20"/>
        <v>0.70833333335303905</v>
      </c>
      <c r="W68" s="41" t="str">
        <f t="shared" si="21"/>
        <v/>
      </c>
      <c r="X68" s="24">
        <f t="shared" si="22"/>
        <v>8.5000000002364686</v>
      </c>
      <c r="Y68" s="41" t="str">
        <f t="shared" si="23"/>
        <v/>
      </c>
      <c r="Z68" s="24">
        <f t="shared" si="24"/>
        <v>6.0000000028376235</v>
      </c>
      <c r="AA68" s="41" t="str">
        <f t="shared" si="25"/>
        <v/>
      </c>
      <c r="AB68" s="24">
        <f t="shared" si="26"/>
        <v>3.4051481634378433E-8</v>
      </c>
      <c r="AC68" s="41" t="str">
        <f t="shared" si="27"/>
        <v/>
      </c>
      <c r="AD68" s="24">
        <f t="shared" si="28"/>
        <v>4.086177796125412E-7</v>
      </c>
      <c r="AE68" s="41" t="str">
        <f t="shared" si="29"/>
        <v/>
      </c>
      <c r="AF68" s="24">
        <f t="shared" si="30"/>
        <v>4.9034133553504944E-6</v>
      </c>
      <c r="AG68" s="41" t="str">
        <f t="shared" si="31"/>
        <v/>
      </c>
      <c r="AH68" s="24">
        <f t="shared" si="32"/>
        <v>5.8840960264205933E-5</v>
      </c>
      <c r="AI68" s="41" t="str">
        <f t="shared" si="33"/>
        <v/>
      </c>
      <c r="AJ68" s="24">
        <f t="shared" si="34"/>
        <v>7.0609152317047119E-4</v>
      </c>
      <c r="AK68" s="41" t="str">
        <f t="shared" si="35"/>
        <v/>
      </c>
    </row>
    <row r="69" spans="1:37" ht="13.5" customHeight="1">
      <c r="A69" s="770"/>
      <c r="B69" s="774"/>
      <c r="C69" s="774"/>
      <c r="D69" s="774"/>
      <c r="E69" s="610" t="s">
        <v>466</v>
      </c>
      <c r="F69" s="147">
        <v>-311700000</v>
      </c>
      <c r="G69" s="8">
        <v>4</v>
      </c>
      <c r="H69" s="21">
        <f t="shared" si="8"/>
        <v>4870312.5</v>
      </c>
      <c r="I69" s="37" t="str">
        <f t="shared" si="9"/>
        <v>1;76X6</v>
      </c>
      <c r="J69" s="38">
        <v>6</v>
      </c>
      <c r="K69" s="132">
        <f t="shared" si="10"/>
        <v>1.6310578020511832</v>
      </c>
      <c r="L69" s="39" t="str">
        <f>INDEX(powers!$H$2:$H$75,33+J69)</f>
        <v>cosmic centy</v>
      </c>
      <c r="M69" s="40" t="str">
        <f t="shared" si="11"/>
        <v>1</v>
      </c>
      <c r="N69" s="24">
        <f t="shared" si="12"/>
        <v>7.5726936246141987</v>
      </c>
      <c r="O69" s="41" t="str">
        <f t="shared" si="13"/>
        <v>7</v>
      </c>
      <c r="P69" s="24">
        <f t="shared" si="14"/>
        <v>6.8723234953703844</v>
      </c>
      <c r="Q69" s="41" t="str">
        <f t="shared" si="15"/>
        <v>6</v>
      </c>
      <c r="R69" s="24">
        <f t="shared" si="16"/>
        <v>10.467881944444613</v>
      </c>
      <c r="S69" s="41" t="str">
        <f t="shared" si="17"/>
        <v>X</v>
      </c>
      <c r="T69" s="24">
        <f t="shared" si="18"/>
        <v>5.6145833333353607</v>
      </c>
      <c r="U69" s="41" t="str">
        <f t="shared" si="19"/>
        <v>6</v>
      </c>
      <c r="V69" s="24">
        <f t="shared" si="20"/>
        <v>7.375000000024329</v>
      </c>
      <c r="W69" s="41" t="str">
        <f t="shared" si="21"/>
        <v/>
      </c>
      <c r="X69" s="24">
        <f t="shared" si="22"/>
        <v>4.5000000002919478</v>
      </c>
      <c r="Y69" s="41" t="str">
        <f t="shared" si="23"/>
        <v/>
      </c>
      <c r="Z69" s="24">
        <f t="shared" si="24"/>
        <v>6.0000000035033736</v>
      </c>
      <c r="AA69" s="41" t="str">
        <f t="shared" si="25"/>
        <v/>
      </c>
      <c r="AB69" s="24">
        <f t="shared" si="26"/>
        <v>4.2040483094751835E-8</v>
      </c>
      <c r="AC69" s="41" t="str">
        <f t="shared" si="27"/>
        <v/>
      </c>
      <c r="AD69" s="24">
        <f t="shared" si="28"/>
        <v>5.0448579713702202E-7</v>
      </c>
      <c r="AE69" s="41" t="str">
        <f t="shared" si="29"/>
        <v/>
      </c>
      <c r="AF69" s="24">
        <f t="shared" si="30"/>
        <v>6.0538295656442642E-6</v>
      </c>
      <c r="AG69" s="41" t="str">
        <f t="shared" si="31"/>
        <v/>
      </c>
      <c r="AH69" s="24">
        <f t="shared" si="32"/>
        <v>7.2645954787731171E-5</v>
      </c>
      <c r="AI69" s="41" t="str">
        <f t="shared" si="33"/>
        <v/>
      </c>
      <c r="AJ69" s="24">
        <f t="shared" si="34"/>
        <v>8.7175145745277405E-4</v>
      </c>
      <c r="AK69" s="41" t="str">
        <f t="shared" si="35"/>
        <v/>
      </c>
    </row>
    <row r="70" spans="1:37" ht="13.5" customHeight="1">
      <c r="A70" s="770"/>
      <c r="B70" s="774"/>
      <c r="C70" s="774"/>
      <c r="D70" s="774"/>
      <c r="E70" s="610" t="s">
        <v>467</v>
      </c>
      <c r="F70" s="147">
        <v>-307200000</v>
      </c>
      <c r="G70" s="8">
        <v>4</v>
      </c>
      <c r="H70" s="21">
        <f t="shared" si="8"/>
        <v>4800000</v>
      </c>
      <c r="I70" s="37" t="str">
        <f t="shared" si="9"/>
        <v>1;7359</v>
      </c>
      <c r="J70" s="38">
        <v>6</v>
      </c>
      <c r="K70" s="132">
        <f t="shared" si="10"/>
        <v>1.6075102880658436</v>
      </c>
      <c r="L70" s="39" t="str">
        <f>INDEX(powers!$H$2:$H$75,33+J70)</f>
        <v>cosmic centy</v>
      </c>
      <c r="M70" s="40" t="str">
        <f t="shared" si="11"/>
        <v>1</v>
      </c>
      <c r="N70" s="24">
        <f t="shared" si="12"/>
        <v>7.2901234567901234</v>
      </c>
      <c r="O70" s="41" t="str">
        <f t="shared" si="13"/>
        <v>7</v>
      </c>
      <c r="P70" s="24">
        <f t="shared" si="14"/>
        <v>3.481481481481481</v>
      </c>
      <c r="Q70" s="41" t="str">
        <f t="shared" si="15"/>
        <v>3</v>
      </c>
      <c r="R70" s="24">
        <f t="shared" si="16"/>
        <v>5.7777777777777715</v>
      </c>
      <c r="S70" s="41" t="str">
        <f t="shared" si="17"/>
        <v>5</v>
      </c>
      <c r="T70" s="24">
        <f t="shared" si="18"/>
        <v>9.3333333333332575</v>
      </c>
      <c r="U70" s="41" t="str">
        <f t="shared" si="19"/>
        <v>9</v>
      </c>
      <c r="V70" s="24">
        <f t="shared" si="20"/>
        <v>3.9999999999990905</v>
      </c>
      <c r="W70" s="41" t="str">
        <f t="shared" si="21"/>
        <v/>
      </c>
      <c r="X70" s="24">
        <f t="shared" si="22"/>
        <v>11.999999999989086</v>
      </c>
      <c r="Y70" s="41" t="str">
        <f t="shared" si="23"/>
        <v/>
      </c>
      <c r="Z70" s="24">
        <f t="shared" si="24"/>
        <v>11.999999999869033</v>
      </c>
      <c r="AA70" s="41" t="str">
        <f t="shared" si="25"/>
        <v/>
      </c>
      <c r="AB70" s="24">
        <f t="shared" si="26"/>
        <v>11.999999998428393</v>
      </c>
      <c r="AC70" s="41" t="str">
        <f t="shared" si="27"/>
        <v/>
      </c>
      <c r="AD70" s="24">
        <f t="shared" si="28"/>
        <v>11.999999981140718</v>
      </c>
      <c r="AE70" s="41" t="str">
        <f t="shared" si="29"/>
        <v/>
      </c>
      <c r="AF70" s="24">
        <f t="shared" si="30"/>
        <v>11.999999773688614</v>
      </c>
      <c r="AG70" s="41" t="str">
        <f t="shared" si="31"/>
        <v/>
      </c>
      <c r="AH70" s="24">
        <f t="shared" si="32"/>
        <v>11.999997284263372</v>
      </c>
      <c r="AI70" s="41" t="str">
        <f t="shared" si="33"/>
        <v/>
      </c>
      <c r="AJ70" s="24">
        <f t="shared" si="34"/>
        <v>11.999967411160469</v>
      </c>
      <c r="AK70" s="41" t="str">
        <f t="shared" si="35"/>
        <v/>
      </c>
    </row>
    <row r="71" spans="1:37" ht="13.5" customHeight="1">
      <c r="A71" s="770"/>
      <c r="B71" s="774"/>
      <c r="C71" s="775"/>
      <c r="D71" s="775"/>
      <c r="E71" s="610" t="s">
        <v>468</v>
      </c>
      <c r="F71" s="147">
        <v>-303400000</v>
      </c>
      <c r="G71" s="8">
        <v>4</v>
      </c>
      <c r="H71" s="21">
        <f t="shared" si="8"/>
        <v>4740625</v>
      </c>
      <c r="I71" s="37" t="str">
        <f t="shared" si="9"/>
        <v>1;7075</v>
      </c>
      <c r="J71" s="38">
        <v>6</v>
      </c>
      <c r="K71" s="132">
        <f t="shared" si="10"/>
        <v>1.5876257207004458</v>
      </c>
      <c r="L71" s="39" t="str">
        <f>INDEX(powers!$H$2:$H$75,33+J71)</f>
        <v>cosmic centy</v>
      </c>
      <c r="M71" s="40" t="str">
        <f t="shared" si="11"/>
        <v>1</v>
      </c>
      <c r="N71" s="24">
        <f t="shared" si="12"/>
        <v>7.05150864840535</v>
      </c>
      <c r="O71" s="41" t="str">
        <f t="shared" si="13"/>
        <v>7</v>
      </c>
      <c r="P71" s="24">
        <f t="shared" si="14"/>
        <v>0.61810378086419959</v>
      </c>
      <c r="Q71" s="41" t="str">
        <f t="shared" si="15"/>
        <v>0</v>
      </c>
      <c r="R71" s="24">
        <f t="shared" si="16"/>
        <v>7.4172453703703951</v>
      </c>
      <c r="S71" s="41" t="str">
        <f t="shared" si="17"/>
        <v>7</v>
      </c>
      <c r="T71" s="24">
        <f t="shared" si="18"/>
        <v>5.0069444444447413</v>
      </c>
      <c r="U71" s="41" t="str">
        <f t="shared" si="19"/>
        <v>5</v>
      </c>
      <c r="V71" s="24">
        <f t="shared" si="20"/>
        <v>8.3333333336895521E-2</v>
      </c>
      <c r="W71" s="41" t="str">
        <f t="shared" si="21"/>
        <v/>
      </c>
      <c r="X71" s="24">
        <f t="shared" si="22"/>
        <v>1.0000000000427463</v>
      </c>
      <c r="Y71" s="41" t="str">
        <f t="shared" si="23"/>
        <v/>
      </c>
      <c r="Z71" s="24">
        <f t="shared" si="24"/>
        <v>5.1295501179993153E-10</v>
      </c>
      <c r="AA71" s="41" t="str">
        <f t="shared" si="25"/>
        <v/>
      </c>
      <c r="AB71" s="24">
        <f t="shared" si="26"/>
        <v>6.1554601415991783E-9</v>
      </c>
      <c r="AC71" s="41" t="str">
        <f t="shared" si="27"/>
        <v/>
      </c>
      <c r="AD71" s="24">
        <f t="shared" si="28"/>
        <v>7.386552169919014E-8</v>
      </c>
      <c r="AE71" s="41" t="str">
        <f t="shared" si="29"/>
        <v/>
      </c>
      <c r="AF71" s="24">
        <f t="shared" si="30"/>
        <v>8.8638626039028168E-7</v>
      </c>
      <c r="AG71" s="41" t="str">
        <f t="shared" si="31"/>
        <v/>
      </c>
      <c r="AH71" s="24">
        <f t="shared" si="32"/>
        <v>1.063663512468338E-5</v>
      </c>
      <c r="AI71" s="41" t="str">
        <f t="shared" si="33"/>
        <v/>
      </c>
      <c r="AJ71" s="24">
        <f t="shared" si="34"/>
        <v>1.2763962149620056E-4</v>
      </c>
      <c r="AK71" s="41" t="str">
        <f t="shared" si="35"/>
        <v/>
      </c>
    </row>
    <row r="72" spans="1:37" ht="13.5" customHeight="1">
      <c r="A72" s="770"/>
      <c r="B72" s="774"/>
      <c r="C72" s="773" t="s">
        <v>469</v>
      </c>
      <c r="D72" s="773" t="s">
        <v>470</v>
      </c>
      <c r="E72" s="610" t="s">
        <v>471</v>
      </c>
      <c r="F72" s="147">
        <v>-299000000</v>
      </c>
      <c r="G72" s="8">
        <v>4</v>
      </c>
      <c r="H72" s="21">
        <f t="shared" si="8"/>
        <v>4671875</v>
      </c>
      <c r="I72" s="37" t="str">
        <f t="shared" si="9"/>
        <v>1;6938</v>
      </c>
      <c r="J72" s="38">
        <v>6</v>
      </c>
      <c r="K72" s="132">
        <f t="shared" si="10"/>
        <v>1.5646014848036693</v>
      </c>
      <c r="L72" s="39" t="str">
        <f>INDEX(powers!$H$2:$H$75,33+J72)</f>
        <v>cosmic centy</v>
      </c>
      <c r="M72" s="40" t="str">
        <f t="shared" si="11"/>
        <v>1</v>
      </c>
      <c r="N72" s="24">
        <f t="shared" si="12"/>
        <v>6.7752178176440321</v>
      </c>
      <c r="O72" s="41" t="str">
        <f t="shared" si="13"/>
        <v>6</v>
      </c>
      <c r="P72" s="24">
        <f t="shared" si="14"/>
        <v>9.302613811728385</v>
      </c>
      <c r="Q72" s="41" t="str">
        <f t="shared" si="15"/>
        <v>9</v>
      </c>
      <c r="R72" s="24">
        <f t="shared" si="16"/>
        <v>3.6313657407406197</v>
      </c>
      <c r="S72" s="41" t="str">
        <f t="shared" si="17"/>
        <v>3</v>
      </c>
      <c r="T72" s="24">
        <f t="shared" si="18"/>
        <v>7.5763888888874362</v>
      </c>
      <c r="U72" s="41" t="str">
        <f t="shared" si="19"/>
        <v>8</v>
      </c>
      <c r="V72" s="24">
        <f t="shared" si="20"/>
        <v>6.9166666666492347</v>
      </c>
      <c r="W72" s="41" t="str">
        <f t="shared" si="21"/>
        <v/>
      </c>
      <c r="X72" s="24">
        <f t="shared" si="22"/>
        <v>10.999999999790816</v>
      </c>
      <c r="Y72" s="41" t="str">
        <f t="shared" si="23"/>
        <v/>
      </c>
      <c r="Z72" s="24">
        <f t="shared" si="24"/>
        <v>11.999999997489795</v>
      </c>
      <c r="AA72" s="41" t="str">
        <f t="shared" si="25"/>
        <v/>
      </c>
      <c r="AB72" s="24">
        <f t="shared" si="26"/>
        <v>11.999999969877535</v>
      </c>
      <c r="AC72" s="41" t="str">
        <f t="shared" si="27"/>
        <v/>
      </c>
      <c r="AD72" s="24">
        <f t="shared" si="28"/>
        <v>11.999999638530426</v>
      </c>
      <c r="AE72" s="41" t="str">
        <f t="shared" si="29"/>
        <v/>
      </c>
      <c r="AF72" s="24">
        <f t="shared" si="30"/>
        <v>11.999995662365109</v>
      </c>
      <c r="AG72" s="41" t="str">
        <f t="shared" si="31"/>
        <v/>
      </c>
      <c r="AH72" s="24">
        <f t="shared" si="32"/>
        <v>11.999947948381305</v>
      </c>
      <c r="AI72" s="41" t="str">
        <f t="shared" si="33"/>
        <v/>
      </c>
      <c r="AJ72" s="24">
        <f t="shared" si="34"/>
        <v>11.999375380575657</v>
      </c>
      <c r="AK72" s="41" t="str">
        <f t="shared" si="35"/>
        <v/>
      </c>
    </row>
    <row r="73" spans="1:37" ht="13.5" customHeight="1">
      <c r="A73" s="770"/>
      <c r="B73" s="774"/>
      <c r="C73" s="774"/>
      <c r="D73" s="774"/>
      <c r="E73" s="610" t="s">
        <v>472</v>
      </c>
      <c r="F73" s="147">
        <v>-294600000</v>
      </c>
      <c r="G73" s="8">
        <v>4</v>
      </c>
      <c r="H73" s="21">
        <f t="shared" si="8"/>
        <v>4603125</v>
      </c>
      <c r="I73" s="37" t="str">
        <f t="shared" si="9"/>
        <v>1;65EX</v>
      </c>
      <c r="J73" s="38">
        <v>6</v>
      </c>
      <c r="K73" s="132">
        <f t="shared" si="10"/>
        <v>1.5415772489068931</v>
      </c>
      <c r="L73" s="39" t="str">
        <f>INDEX(powers!$H$2:$H$75,33+J73)</f>
        <v>cosmic centy</v>
      </c>
      <c r="M73" s="40" t="str">
        <f t="shared" si="11"/>
        <v>1</v>
      </c>
      <c r="N73" s="24">
        <f t="shared" si="12"/>
        <v>6.4989269868827169</v>
      </c>
      <c r="O73" s="41" t="str">
        <f t="shared" si="13"/>
        <v>6</v>
      </c>
      <c r="P73" s="24">
        <f t="shared" si="14"/>
        <v>5.9871238425926023</v>
      </c>
      <c r="Q73" s="41" t="str">
        <f t="shared" si="15"/>
        <v>5</v>
      </c>
      <c r="R73" s="24">
        <f t="shared" si="16"/>
        <v>11.845486111111228</v>
      </c>
      <c r="S73" s="41" t="str">
        <f t="shared" si="17"/>
        <v>E</v>
      </c>
      <c r="T73" s="24">
        <f t="shared" si="18"/>
        <v>10.145833333334735</v>
      </c>
      <c r="U73" s="41" t="str">
        <f t="shared" si="19"/>
        <v>X</v>
      </c>
      <c r="V73" s="24">
        <f t="shared" si="20"/>
        <v>1.7500000000168257</v>
      </c>
      <c r="W73" s="41" t="str">
        <f t="shared" si="21"/>
        <v/>
      </c>
      <c r="X73" s="24">
        <f t="shared" si="22"/>
        <v>9.0000000002019078</v>
      </c>
      <c r="Y73" s="41" t="str">
        <f t="shared" si="23"/>
        <v/>
      </c>
      <c r="Z73" s="24">
        <f t="shared" si="24"/>
        <v>2.4228938855230808E-9</v>
      </c>
      <c r="AA73" s="41" t="str">
        <f t="shared" si="25"/>
        <v/>
      </c>
      <c r="AB73" s="24">
        <f t="shared" si="26"/>
        <v>2.907472662627697E-8</v>
      </c>
      <c r="AC73" s="41" t="str">
        <f t="shared" si="27"/>
        <v/>
      </c>
      <c r="AD73" s="24">
        <f t="shared" si="28"/>
        <v>3.4889671951532364E-7</v>
      </c>
      <c r="AE73" s="41" t="str">
        <f t="shared" si="29"/>
        <v/>
      </c>
      <c r="AF73" s="24">
        <f t="shared" si="30"/>
        <v>4.1867606341838837E-6</v>
      </c>
      <c r="AG73" s="41" t="str">
        <f t="shared" si="31"/>
        <v/>
      </c>
      <c r="AH73" s="24">
        <f t="shared" si="32"/>
        <v>5.0241127610206604E-5</v>
      </c>
      <c r="AI73" s="41" t="str">
        <f t="shared" si="33"/>
        <v/>
      </c>
      <c r="AJ73" s="24">
        <f t="shared" si="34"/>
        <v>6.0289353132247925E-4</v>
      </c>
      <c r="AK73" s="41" t="str">
        <f t="shared" si="35"/>
        <v/>
      </c>
    </row>
    <row r="74" spans="1:37" ht="13.5" customHeight="1">
      <c r="A74" s="770"/>
      <c r="B74" s="774"/>
      <c r="C74" s="774"/>
      <c r="D74" s="774"/>
      <c r="E74" s="610" t="s">
        <v>473</v>
      </c>
      <c r="F74" s="147">
        <v>-284400000</v>
      </c>
      <c r="G74" s="8">
        <v>4</v>
      </c>
      <c r="H74" s="21">
        <f t="shared" si="8"/>
        <v>4443750</v>
      </c>
      <c r="I74" s="37" t="str">
        <f t="shared" si="9"/>
        <v>1;5X37</v>
      </c>
      <c r="J74" s="38">
        <v>6</v>
      </c>
      <c r="K74" s="132">
        <f t="shared" si="10"/>
        <v>1.4882028838734569</v>
      </c>
      <c r="L74" s="39" t="str">
        <f>INDEX(powers!$H$2:$H$75,33+J74)</f>
        <v>cosmic centy</v>
      </c>
      <c r="M74" s="40" t="str">
        <f t="shared" si="11"/>
        <v>1</v>
      </c>
      <c r="N74" s="24">
        <f t="shared" si="12"/>
        <v>5.8584346064814827</v>
      </c>
      <c r="O74" s="41" t="str">
        <f t="shared" si="13"/>
        <v>5</v>
      </c>
      <c r="P74" s="24">
        <f t="shared" si="14"/>
        <v>10.301215277777793</v>
      </c>
      <c r="Q74" s="41" t="str">
        <f t="shared" si="15"/>
        <v>X</v>
      </c>
      <c r="R74" s="24">
        <f t="shared" si="16"/>
        <v>3.6145833333335133</v>
      </c>
      <c r="S74" s="41" t="str">
        <f t="shared" si="17"/>
        <v>3</v>
      </c>
      <c r="T74" s="24">
        <f t="shared" si="18"/>
        <v>7.37500000000216</v>
      </c>
      <c r="U74" s="41" t="str">
        <f t="shared" si="19"/>
        <v>7</v>
      </c>
      <c r="V74" s="24">
        <f t="shared" si="20"/>
        <v>4.5000000000259206</v>
      </c>
      <c r="W74" s="41" t="str">
        <f t="shared" si="21"/>
        <v/>
      </c>
      <c r="X74" s="24">
        <f t="shared" si="22"/>
        <v>6.0000000003110472</v>
      </c>
      <c r="Y74" s="41" t="str">
        <f t="shared" si="23"/>
        <v/>
      </c>
      <c r="Z74" s="24">
        <f t="shared" si="24"/>
        <v>3.7325662560760975E-9</v>
      </c>
      <c r="AA74" s="41" t="str">
        <f t="shared" si="25"/>
        <v/>
      </c>
      <c r="AB74" s="24">
        <f t="shared" si="26"/>
        <v>4.479079507291317E-8</v>
      </c>
      <c r="AC74" s="41" t="str">
        <f t="shared" si="27"/>
        <v/>
      </c>
      <c r="AD74" s="24">
        <f t="shared" si="28"/>
        <v>5.3748954087495804E-7</v>
      </c>
      <c r="AE74" s="41" t="str">
        <f t="shared" si="29"/>
        <v/>
      </c>
      <c r="AF74" s="24">
        <f t="shared" si="30"/>
        <v>6.4498744904994965E-6</v>
      </c>
      <c r="AG74" s="41" t="str">
        <f t="shared" si="31"/>
        <v/>
      </c>
      <c r="AH74" s="24">
        <f t="shared" si="32"/>
        <v>7.7398493885993958E-5</v>
      </c>
      <c r="AI74" s="41" t="str">
        <f t="shared" si="33"/>
        <v/>
      </c>
      <c r="AJ74" s="24">
        <f t="shared" si="34"/>
        <v>9.2878192663192749E-4</v>
      </c>
      <c r="AK74" s="41" t="str">
        <f t="shared" si="35"/>
        <v/>
      </c>
    </row>
    <row r="75" spans="1:37" ht="13.5" customHeight="1">
      <c r="A75" s="770"/>
      <c r="B75" s="774"/>
      <c r="C75" s="774"/>
      <c r="D75" s="775"/>
      <c r="E75" s="610" t="s">
        <v>474</v>
      </c>
      <c r="F75" s="147">
        <v>-275600000</v>
      </c>
      <c r="G75" s="8">
        <v>4</v>
      </c>
      <c r="H75" s="21">
        <f t="shared" si="8"/>
        <v>4306250</v>
      </c>
      <c r="I75" s="37" t="str">
        <f t="shared" si="9"/>
        <v>1;5381</v>
      </c>
      <c r="J75" s="38">
        <v>6</v>
      </c>
      <c r="K75" s="132">
        <f t="shared" si="10"/>
        <v>1.4421544120799039</v>
      </c>
      <c r="L75" s="39" t="str">
        <f>INDEX(powers!$H$2:$H$75,33+J75)</f>
        <v>cosmic centy</v>
      </c>
      <c r="M75" s="40" t="str">
        <f t="shared" si="11"/>
        <v>1</v>
      </c>
      <c r="N75" s="24">
        <f t="shared" si="12"/>
        <v>5.305852944958847</v>
      </c>
      <c r="O75" s="41" t="str">
        <f t="shared" si="13"/>
        <v>5</v>
      </c>
      <c r="P75" s="24">
        <f t="shared" si="14"/>
        <v>3.6702353395061635</v>
      </c>
      <c r="Q75" s="41" t="str">
        <f t="shared" si="15"/>
        <v>3</v>
      </c>
      <c r="R75" s="24">
        <f t="shared" si="16"/>
        <v>8.0428240740739625</v>
      </c>
      <c r="S75" s="41" t="str">
        <f t="shared" si="17"/>
        <v>8</v>
      </c>
      <c r="T75" s="24">
        <f t="shared" si="18"/>
        <v>0.51388888888754991</v>
      </c>
      <c r="U75" s="41" t="str">
        <f t="shared" si="19"/>
        <v>1</v>
      </c>
      <c r="V75" s="24">
        <f t="shared" si="20"/>
        <v>6.1666666666505989</v>
      </c>
      <c r="W75" s="41" t="str">
        <f t="shared" si="21"/>
        <v/>
      </c>
      <c r="X75" s="24">
        <f t="shared" si="22"/>
        <v>1.9999999998071871</v>
      </c>
      <c r="Y75" s="41" t="str">
        <f t="shared" si="23"/>
        <v/>
      </c>
      <c r="Z75" s="24">
        <f t="shared" si="24"/>
        <v>11.999999997686245</v>
      </c>
      <c r="AA75" s="41" t="str">
        <f t="shared" si="25"/>
        <v/>
      </c>
      <c r="AB75" s="24">
        <f t="shared" si="26"/>
        <v>11.999999972234946</v>
      </c>
      <c r="AC75" s="41" t="str">
        <f t="shared" si="27"/>
        <v/>
      </c>
      <c r="AD75" s="24">
        <f t="shared" si="28"/>
        <v>11.999999666819349</v>
      </c>
      <c r="AE75" s="41" t="str">
        <f t="shared" si="29"/>
        <v/>
      </c>
      <c r="AF75" s="24">
        <f t="shared" si="30"/>
        <v>11.999996001832187</v>
      </c>
      <c r="AG75" s="41" t="str">
        <f t="shared" si="31"/>
        <v/>
      </c>
      <c r="AH75" s="24">
        <f t="shared" si="32"/>
        <v>11.999952021986246</v>
      </c>
      <c r="AI75" s="41" t="str">
        <f t="shared" si="33"/>
        <v/>
      </c>
      <c r="AJ75" s="24">
        <f t="shared" si="34"/>
        <v>11.999424263834953</v>
      </c>
      <c r="AK75" s="41" t="str">
        <f t="shared" si="35"/>
        <v/>
      </c>
    </row>
    <row r="76" spans="1:37" ht="13.5" customHeight="1">
      <c r="A76" s="770"/>
      <c r="B76" s="774"/>
      <c r="C76" s="774"/>
      <c r="D76" s="773" t="s">
        <v>475</v>
      </c>
      <c r="E76" s="610" t="s">
        <v>476</v>
      </c>
      <c r="F76" s="147">
        <v>-270600000</v>
      </c>
      <c r="G76" s="8">
        <v>4</v>
      </c>
      <c r="H76" s="21">
        <f t="shared" si="8"/>
        <v>4228125</v>
      </c>
      <c r="I76" s="37" t="str">
        <f t="shared" si="9"/>
        <v>1;4EXX</v>
      </c>
      <c r="J76" s="38">
        <v>6</v>
      </c>
      <c r="K76" s="132">
        <f t="shared" si="10"/>
        <v>1.4159905076517489</v>
      </c>
      <c r="L76" s="39" t="str">
        <f>INDEX(powers!$H$2:$H$75,33+J76)</f>
        <v>cosmic centy</v>
      </c>
      <c r="M76" s="40" t="str">
        <f t="shared" si="11"/>
        <v>1</v>
      </c>
      <c r="N76" s="24">
        <f t="shared" si="12"/>
        <v>4.9918860918209873</v>
      </c>
      <c r="O76" s="41" t="str">
        <f t="shared" si="13"/>
        <v>4</v>
      </c>
      <c r="P76" s="24">
        <f t="shared" si="14"/>
        <v>11.902633101851848</v>
      </c>
      <c r="Q76" s="41" t="str">
        <f t="shared" si="15"/>
        <v>E</v>
      </c>
      <c r="R76" s="24">
        <f t="shared" si="16"/>
        <v>10.831597222222172</v>
      </c>
      <c r="S76" s="41" t="str">
        <f t="shared" si="17"/>
        <v>X</v>
      </c>
      <c r="T76" s="24">
        <f t="shared" si="18"/>
        <v>9.9791666666660603</v>
      </c>
      <c r="U76" s="41" t="str">
        <f t="shared" si="19"/>
        <v>X</v>
      </c>
      <c r="V76" s="24">
        <f t="shared" si="20"/>
        <v>11.749999999992724</v>
      </c>
      <c r="W76" s="41" t="str">
        <f t="shared" si="21"/>
        <v/>
      </c>
      <c r="X76" s="24">
        <f t="shared" si="22"/>
        <v>8.9999999999126885</v>
      </c>
      <c r="Y76" s="41" t="str">
        <f t="shared" si="23"/>
        <v/>
      </c>
      <c r="Z76" s="24">
        <f t="shared" si="24"/>
        <v>11.999999998952262</v>
      </c>
      <c r="AA76" s="41" t="str">
        <f t="shared" si="25"/>
        <v/>
      </c>
      <c r="AB76" s="24">
        <f t="shared" si="26"/>
        <v>11.999999987427145</v>
      </c>
      <c r="AC76" s="41" t="str">
        <f t="shared" si="27"/>
        <v/>
      </c>
      <c r="AD76" s="24">
        <f t="shared" si="28"/>
        <v>11.999999849125743</v>
      </c>
      <c r="AE76" s="41" t="str">
        <f t="shared" si="29"/>
        <v/>
      </c>
      <c r="AF76" s="24">
        <f t="shared" si="30"/>
        <v>11.999998189508915</v>
      </c>
      <c r="AG76" s="41" t="str">
        <f t="shared" si="31"/>
        <v/>
      </c>
      <c r="AH76" s="24">
        <f t="shared" si="32"/>
        <v>11.999978274106979</v>
      </c>
      <c r="AI76" s="41" t="str">
        <f t="shared" si="33"/>
        <v/>
      </c>
      <c r="AJ76" s="24">
        <f t="shared" si="34"/>
        <v>11.999739289283752</v>
      </c>
      <c r="AK76" s="41" t="str">
        <f t="shared" si="35"/>
        <v/>
      </c>
    </row>
    <row r="77" spans="1:37" ht="13.5" customHeight="1">
      <c r="A77" s="770"/>
      <c r="B77" s="774"/>
      <c r="C77" s="774"/>
      <c r="D77" s="774"/>
      <c r="E77" s="610" t="s">
        <v>477</v>
      </c>
      <c r="F77" s="147">
        <v>-268000000</v>
      </c>
      <c r="G77" s="8">
        <v>4</v>
      </c>
      <c r="H77" s="21">
        <f t="shared" si="8"/>
        <v>4187500</v>
      </c>
      <c r="I77" s="37" t="str">
        <f t="shared" si="9"/>
        <v>1;49E4</v>
      </c>
      <c r="J77" s="38">
        <v>6</v>
      </c>
      <c r="K77" s="132">
        <f t="shared" si="10"/>
        <v>1.4023852773491083</v>
      </c>
      <c r="L77" s="39" t="str">
        <f>INDEX(powers!$H$2:$H$75,33+J77)</f>
        <v>cosmic centy</v>
      </c>
      <c r="M77" s="40" t="str">
        <f t="shared" si="11"/>
        <v>1</v>
      </c>
      <c r="N77" s="24">
        <f t="shared" si="12"/>
        <v>4.8286233281893001</v>
      </c>
      <c r="O77" s="41" t="str">
        <f t="shared" si="13"/>
        <v>4</v>
      </c>
      <c r="P77" s="24">
        <f t="shared" si="14"/>
        <v>9.9434799382716008</v>
      </c>
      <c r="Q77" s="41" t="str">
        <f t="shared" si="15"/>
        <v>9</v>
      </c>
      <c r="R77" s="24">
        <f t="shared" si="16"/>
        <v>11.32175925925921</v>
      </c>
      <c r="S77" s="41" t="str">
        <f t="shared" si="17"/>
        <v>E</v>
      </c>
      <c r="T77" s="24">
        <f t="shared" si="18"/>
        <v>3.8611111111105174</v>
      </c>
      <c r="U77" s="41" t="str">
        <f t="shared" si="19"/>
        <v>4</v>
      </c>
      <c r="V77" s="24">
        <f t="shared" si="20"/>
        <v>10.333333333326209</v>
      </c>
      <c r="W77" s="41" t="str">
        <f t="shared" si="21"/>
        <v/>
      </c>
      <c r="X77" s="24">
        <f t="shared" si="22"/>
        <v>3.9999999999145075</v>
      </c>
      <c r="Y77" s="41" t="str">
        <f t="shared" si="23"/>
        <v/>
      </c>
      <c r="Z77" s="24">
        <f t="shared" si="24"/>
        <v>11.99999999897409</v>
      </c>
      <c r="AA77" s="41" t="str">
        <f t="shared" si="25"/>
        <v/>
      </c>
      <c r="AB77" s="24">
        <f t="shared" si="26"/>
        <v>11.99999998768908</v>
      </c>
      <c r="AC77" s="41" t="str">
        <f t="shared" si="27"/>
        <v/>
      </c>
      <c r="AD77" s="24">
        <f t="shared" si="28"/>
        <v>11.999999852268957</v>
      </c>
      <c r="AE77" s="41" t="str">
        <f t="shared" si="29"/>
        <v/>
      </c>
      <c r="AF77" s="24">
        <f t="shared" si="30"/>
        <v>11.999998227227479</v>
      </c>
      <c r="AG77" s="41" t="str">
        <f t="shared" si="31"/>
        <v/>
      </c>
      <c r="AH77" s="24">
        <f t="shared" si="32"/>
        <v>11.999978726729751</v>
      </c>
      <c r="AI77" s="41" t="str">
        <f t="shared" si="33"/>
        <v/>
      </c>
      <c r="AJ77" s="24">
        <f t="shared" si="34"/>
        <v>11.999744720757008</v>
      </c>
      <c r="AK77" s="41" t="str">
        <f t="shared" si="35"/>
        <v/>
      </c>
    </row>
    <row r="78" spans="1:37" ht="13.5" customHeight="1">
      <c r="A78" s="770"/>
      <c r="B78" s="774"/>
      <c r="C78" s="774"/>
      <c r="D78" s="775"/>
      <c r="E78" s="610" t="s">
        <v>478</v>
      </c>
      <c r="F78" s="147">
        <v>-265800000</v>
      </c>
      <c r="G78" s="8">
        <v>4</v>
      </c>
      <c r="H78" s="21">
        <f t="shared" si="8"/>
        <v>4153125</v>
      </c>
      <c r="I78" s="37" t="str">
        <f t="shared" si="9"/>
        <v>1;4835</v>
      </c>
      <c r="J78" s="38">
        <v>6</v>
      </c>
      <c r="K78" s="132">
        <f t="shared" si="10"/>
        <v>1.3908731594007202</v>
      </c>
      <c r="L78" s="39" t="str">
        <f>INDEX(powers!$H$2:$H$75,33+J78)</f>
        <v>cosmic centy</v>
      </c>
      <c r="M78" s="40" t="str">
        <f t="shared" si="11"/>
        <v>1</v>
      </c>
      <c r="N78" s="24">
        <f t="shared" si="12"/>
        <v>4.6904779128086425</v>
      </c>
      <c r="O78" s="41" t="str">
        <f t="shared" si="13"/>
        <v>4</v>
      </c>
      <c r="P78" s="24">
        <f t="shared" si="14"/>
        <v>8.2857349537037095</v>
      </c>
      <c r="Q78" s="41" t="str">
        <f t="shared" si="15"/>
        <v>8</v>
      </c>
      <c r="R78" s="24">
        <f t="shared" si="16"/>
        <v>3.4288194444445139</v>
      </c>
      <c r="S78" s="41" t="str">
        <f t="shared" si="17"/>
        <v>3</v>
      </c>
      <c r="T78" s="24">
        <f t="shared" si="18"/>
        <v>5.145833333334167</v>
      </c>
      <c r="U78" s="41" t="str">
        <f t="shared" si="19"/>
        <v>5</v>
      </c>
      <c r="V78" s="24">
        <f t="shared" si="20"/>
        <v>1.7500000000100044</v>
      </c>
      <c r="W78" s="41" t="str">
        <f t="shared" si="21"/>
        <v/>
      </c>
      <c r="X78" s="24">
        <f t="shared" si="22"/>
        <v>9.0000000001200533</v>
      </c>
      <c r="Y78" s="41" t="str">
        <f t="shared" si="23"/>
        <v/>
      </c>
      <c r="Z78" s="24">
        <f t="shared" si="24"/>
        <v>1.4406396076083183E-9</v>
      </c>
      <c r="AA78" s="41" t="str">
        <f t="shared" si="25"/>
        <v/>
      </c>
      <c r="AB78" s="24">
        <f t="shared" si="26"/>
        <v>1.728767529129982E-8</v>
      </c>
      <c r="AC78" s="41" t="str">
        <f t="shared" si="27"/>
        <v/>
      </c>
      <c r="AD78" s="24">
        <f t="shared" si="28"/>
        <v>2.0745210349559784E-7</v>
      </c>
      <c r="AE78" s="41" t="str">
        <f t="shared" si="29"/>
        <v/>
      </c>
      <c r="AF78" s="24">
        <f t="shared" si="30"/>
        <v>2.4894252419471741E-6</v>
      </c>
      <c r="AG78" s="41" t="str">
        <f t="shared" si="31"/>
        <v/>
      </c>
      <c r="AH78" s="24">
        <f t="shared" si="32"/>
        <v>2.9873102903366089E-5</v>
      </c>
      <c r="AI78" s="41" t="str">
        <f t="shared" si="33"/>
        <v/>
      </c>
      <c r="AJ78" s="24">
        <f t="shared" si="34"/>
        <v>3.5847723484039307E-4</v>
      </c>
      <c r="AK78" s="41" t="str">
        <f t="shared" si="35"/>
        <v/>
      </c>
    </row>
    <row r="79" spans="1:37" ht="13.5" customHeight="1">
      <c r="A79" s="770"/>
      <c r="B79" s="774"/>
      <c r="C79" s="774"/>
      <c r="D79" s="773" t="s">
        <v>479</v>
      </c>
      <c r="E79" s="610" t="s">
        <v>480</v>
      </c>
      <c r="F79" s="147">
        <v>-260400000</v>
      </c>
      <c r="G79" s="8">
        <v>4</v>
      </c>
      <c r="H79" s="21">
        <f t="shared" si="8"/>
        <v>4068750</v>
      </c>
      <c r="I79" s="37" t="str">
        <f t="shared" si="9"/>
        <v>1;4427</v>
      </c>
      <c r="J79" s="38">
        <v>6</v>
      </c>
      <c r="K79" s="132">
        <f t="shared" si="10"/>
        <v>1.3626161426183128</v>
      </c>
      <c r="L79" s="39" t="str">
        <f>INDEX(powers!$H$2:$H$75,33+J79)</f>
        <v>cosmic centy</v>
      </c>
      <c r="M79" s="40" t="str">
        <f t="shared" si="11"/>
        <v>1</v>
      </c>
      <c r="N79" s="24">
        <f t="shared" si="12"/>
        <v>4.3513937114197532</v>
      </c>
      <c r="O79" s="41" t="str">
        <f t="shared" si="13"/>
        <v>4</v>
      </c>
      <c r="P79" s="24">
        <f t="shared" si="14"/>
        <v>4.2167245370370381</v>
      </c>
      <c r="Q79" s="41" t="str">
        <f t="shared" si="15"/>
        <v>4</v>
      </c>
      <c r="R79" s="24">
        <f t="shared" si="16"/>
        <v>2.6006944444444571</v>
      </c>
      <c r="S79" s="41" t="str">
        <f t="shared" si="17"/>
        <v>2</v>
      </c>
      <c r="T79" s="24">
        <f t="shared" si="18"/>
        <v>7.2083333333334849</v>
      </c>
      <c r="U79" s="41" t="str">
        <f t="shared" si="19"/>
        <v>7</v>
      </c>
      <c r="V79" s="24">
        <f t="shared" si="20"/>
        <v>2.500000000001819</v>
      </c>
      <c r="W79" s="41" t="str">
        <f t="shared" si="21"/>
        <v/>
      </c>
      <c r="X79" s="24">
        <f t="shared" si="22"/>
        <v>6.0000000000218279</v>
      </c>
      <c r="Y79" s="41" t="str">
        <f t="shared" si="23"/>
        <v/>
      </c>
      <c r="Z79" s="24">
        <f t="shared" si="24"/>
        <v>2.6193447411060333E-10</v>
      </c>
      <c r="AA79" s="41" t="str">
        <f t="shared" si="25"/>
        <v/>
      </c>
      <c r="AB79" s="24">
        <f t="shared" si="26"/>
        <v>3.14321368932724E-9</v>
      </c>
      <c r="AC79" s="41" t="str">
        <f t="shared" si="27"/>
        <v/>
      </c>
      <c r="AD79" s="24">
        <f t="shared" si="28"/>
        <v>3.771856427192688E-8</v>
      </c>
      <c r="AE79" s="41" t="str">
        <f t="shared" si="29"/>
        <v/>
      </c>
      <c r="AF79" s="24">
        <f t="shared" si="30"/>
        <v>4.5262277126312256E-7</v>
      </c>
      <c r="AG79" s="41" t="str">
        <f t="shared" si="31"/>
        <v/>
      </c>
      <c r="AH79" s="24">
        <f t="shared" si="32"/>
        <v>5.4314732551574707E-6</v>
      </c>
      <c r="AI79" s="41" t="str">
        <f t="shared" si="33"/>
        <v/>
      </c>
      <c r="AJ79" s="24">
        <f t="shared" si="34"/>
        <v>6.5177679061889648E-5</v>
      </c>
      <c r="AK79" s="41" t="str">
        <f t="shared" si="35"/>
        <v/>
      </c>
    </row>
    <row r="80" spans="1:37" ht="13.5" customHeight="1">
      <c r="A80" s="770"/>
      <c r="B80" s="775"/>
      <c r="C80" s="775"/>
      <c r="D80" s="775"/>
      <c r="E80" s="610" t="s">
        <v>481</v>
      </c>
      <c r="F80" s="147">
        <v>-253800000</v>
      </c>
      <c r="G80" s="8">
        <v>4</v>
      </c>
      <c r="H80" s="21">
        <f t="shared" si="8"/>
        <v>3965625</v>
      </c>
      <c r="I80" s="37" t="str">
        <f t="shared" si="9"/>
        <v>1;3E2E</v>
      </c>
      <c r="J80" s="38">
        <v>6</v>
      </c>
      <c r="K80" s="132">
        <f t="shared" si="10"/>
        <v>1.3280797887731481</v>
      </c>
      <c r="L80" s="39" t="str">
        <f>INDEX(powers!$H$2:$H$75,33+J80)</f>
        <v>cosmic centy</v>
      </c>
      <c r="M80" s="40" t="str">
        <f t="shared" si="11"/>
        <v>1</v>
      </c>
      <c r="N80" s="24">
        <f t="shared" si="12"/>
        <v>3.9369574652777777</v>
      </c>
      <c r="O80" s="41" t="str">
        <f t="shared" si="13"/>
        <v>3</v>
      </c>
      <c r="P80" s="24">
        <f t="shared" si="14"/>
        <v>11.243489583333332</v>
      </c>
      <c r="Q80" s="41" t="str">
        <f t="shared" si="15"/>
        <v>E</v>
      </c>
      <c r="R80" s="24">
        <f t="shared" si="16"/>
        <v>2.9218749999999858</v>
      </c>
      <c r="S80" s="41" t="str">
        <f t="shared" si="17"/>
        <v>2</v>
      </c>
      <c r="T80" s="24">
        <f t="shared" si="18"/>
        <v>11.062499999999829</v>
      </c>
      <c r="U80" s="41" t="str">
        <f t="shared" si="19"/>
        <v>E</v>
      </c>
      <c r="V80" s="24">
        <f t="shared" si="20"/>
        <v>0.74999999999795364</v>
      </c>
      <c r="W80" s="41" t="str">
        <f t="shared" si="21"/>
        <v/>
      </c>
      <c r="X80" s="24">
        <f t="shared" si="22"/>
        <v>8.9999999999754436</v>
      </c>
      <c r="Y80" s="41" t="str">
        <f t="shared" si="23"/>
        <v/>
      </c>
      <c r="Z80" s="24">
        <f t="shared" si="24"/>
        <v>11.999999999705324</v>
      </c>
      <c r="AA80" s="41" t="str">
        <f t="shared" si="25"/>
        <v/>
      </c>
      <c r="AB80" s="24">
        <f t="shared" si="26"/>
        <v>11.999999996463885</v>
      </c>
      <c r="AC80" s="41" t="str">
        <f t="shared" si="27"/>
        <v/>
      </c>
      <c r="AD80" s="24">
        <f t="shared" si="28"/>
        <v>11.999999957566615</v>
      </c>
      <c r="AE80" s="41" t="str">
        <f t="shared" si="29"/>
        <v/>
      </c>
      <c r="AF80" s="24">
        <f t="shared" si="30"/>
        <v>11.999999490799382</v>
      </c>
      <c r="AG80" s="41" t="str">
        <f t="shared" si="31"/>
        <v/>
      </c>
      <c r="AH80" s="24">
        <f t="shared" si="32"/>
        <v>11.999993889592588</v>
      </c>
      <c r="AI80" s="41" t="str">
        <f t="shared" si="33"/>
        <v/>
      </c>
      <c r="AJ80" s="24">
        <f t="shared" si="34"/>
        <v>11.999926675111055</v>
      </c>
      <c r="AK80" s="41" t="str">
        <f t="shared" si="35"/>
        <v/>
      </c>
    </row>
    <row r="81" spans="1:37" ht="13.5" customHeight="1">
      <c r="A81" s="770"/>
      <c r="B81" s="773" t="s">
        <v>482</v>
      </c>
      <c r="C81" s="773" t="s">
        <v>483</v>
      </c>
      <c r="D81" s="773" t="s">
        <v>484</v>
      </c>
      <c r="E81" s="610" t="s">
        <v>485</v>
      </c>
      <c r="F81" s="147">
        <v>-251000000</v>
      </c>
      <c r="G81" s="8">
        <v>4</v>
      </c>
      <c r="H81" s="21">
        <f t="shared" si="8"/>
        <v>3921875</v>
      </c>
      <c r="I81" s="37" t="str">
        <f t="shared" si="9"/>
        <v>1;3917</v>
      </c>
      <c r="J81" s="38">
        <v>6</v>
      </c>
      <c r="K81" s="132">
        <f t="shared" si="10"/>
        <v>1.3134280022933813</v>
      </c>
      <c r="L81" s="39" t="str">
        <f>INDEX(powers!$H$2:$H$75,33+J81)</f>
        <v>cosmic centy</v>
      </c>
      <c r="M81" s="40" t="str">
        <f t="shared" si="11"/>
        <v>1</v>
      </c>
      <c r="N81" s="24">
        <f t="shared" si="12"/>
        <v>3.7611360275205756</v>
      </c>
      <c r="O81" s="41" t="str">
        <f t="shared" si="13"/>
        <v>3</v>
      </c>
      <c r="P81" s="24">
        <f t="shared" si="14"/>
        <v>9.1336323302469076</v>
      </c>
      <c r="Q81" s="41" t="str">
        <f t="shared" si="15"/>
        <v>9</v>
      </c>
      <c r="R81" s="24">
        <f t="shared" si="16"/>
        <v>1.6035879629628909</v>
      </c>
      <c r="S81" s="41" t="str">
        <f t="shared" si="17"/>
        <v>1</v>
      </c>
      <c r="T81" s="24">
        <f t="shared" si="18"/>
        <v>7.2430555555546903</v>
      </c>
      <c r="U81" s="41" t="str">
        <f t="shared" si="19"/>
        <v>7</v>
      </c>
      <c r="V81" s="24">
        <f t="shared" si="20"/>
        <v>2.9166666666562833</v>
      </c>
      <c r="W81" s="41" t="str">
        <f t="shared" si="21"/>
        <v/>
      </c>
      <c r="X81" s="24">
        <f t="shared" si="22"/>
        <v>10.999999999875399</v>
      </c>
      <c r="Y81" s="41" t="str">
        <f t="shared" si="23"/>
        <v/>
      </c>
      <c r="Z81" s="24">
        <f t="shared" si="24"/>
        <v>11.999999998504791</v>
      </c>
      <c r="AA81" s="41" t="str">
        <f t="shared" si="25"/>
        <v/>
      </c>
      <c r="AB81" s="24">
        <f t="shared" si="26"/>
        <v>11.999999982057489</v>
      </c>
      <c r="AC81" s="41" t="str">
        <f t="shared" si="27"/>
        <v/>
      </c>
      <c r="AD81" s="24">
        <f t="shared" si="28"/>
        <v>11.999999784689862</v>
      </c>
      <c r="AE81" s="41" t="str">
        <f t="shared" si="29"/>
        <v/>
      </c>
      <c r="AF81" s="24">
        <f t="shared" si="30"/>
        <v>11.999997416278347</v>
      </c>
      <c r="AG81" s="41" t="str">
        <f t="shared" si="31"/>
        <v/>
      </c>
      <c r="AH81" s="24">
        <f t="shared" si="32"/>
        <v>11.999968995340168</v>
      </c>
      <c r="AI81" s="41" t="str">
        <f t="shared" si="33"/>
        <v/>
      </c>
      <c r="AJ81" s="24">
        <f t="shared" si="34"/>
        <v>11.999627944082022</v>
      </c>
      <c r="AK81" s="41" t="str">
        <f t="shared" si="35"/>
        <v/>
      </c>
    </row>
    <row r="82" spans="1:37" ht="13.5" customHeight="1">
      <c r="A82" s="770"/>
      <c r="B82" s="774"/>
      <c r="C82" s="774"/>
      <c r="D82" s="775"/>
      <c r="E82" s="610" t="s">
        <v>486</v>
      </c>
      <c r="F82" s="147">
        <v>-249500000</v>
      </c>
      <c r="G82" s="8">
        <v>4</v>
      </c>
      <c r="H82" s="21">
        <f t="shared" si="8"/>
        <v>3898437.5</v>
      </c>
      <c r="I82" s="37" t="str">
        <f t="shared" si="9"/>
        <v>1;3800</v>
      </c>
      <c r="J82" s="38">
        <v>6</v>
      </c>
      <c r="K82" s="132">
        <f t="shared" si="10"/>
        <v>1.3055788309649348</v>
      </c>
      <c r="L82" s="39" t="str">
        <f>INDEX(powers!$H$2:$H$75,33+J82)</f>
        <v>cosmic centy</v>
      </c>
      <c r="M82" s="40" t="str">
        <f t="shared" si="11"/>
        <v>1</v>
      </c>
      <c r="N82" s="24">
        <f t="shared" si="12"/>
        <v>3.6669459715792172</v>
      </c>
      <c r="O82" s="41" t="str">
        <f t="shared" si="13"/>
        <v>3</v>
      </c>
      <c r="P82" s="24">
        <f t="shared" si="14"/>
        <v>8.0033516589506064</v>
      </c>
      <c r="Q82" s="41" t="str">
        <f t="shared" si="15"/>
        <v>8</v>
      </c>
      <c r="R82" s="24">
        <f t="shared" si="16"/>
        <v>4.0219907407276878E-2</v>
      </c>
      <c r="S82" s="41" t="str">
        <f t="shared" si="17"/>
        <v>0</v>
      </c>
      <c r="T82" s="24">
        <f t="shared" si="18"/>
        <v>0.48263888888732254</v>
      </c>
      <c r="U82" s="41" t="str">
        <f t="shared" si="19"/>
        <v>0</v>
      </c>
      <c r="V82" s="24">
        <f t="shared" si="20"/>
        <v>5.7916666666478704</v>
      </c>
      <c r="W82" s="41" t="str">
        <f t="shared" si="21"/>
        <v/>
      </c>
      <c r="X82" s="24">
        <f t="shared" si="22"/>
        <v>9.4999999997744453</v>
      </c>
      <c r="Y82" s="41" t="str">
        <f t="shared" si="23"/>
        <v/>
      </c>
      <c r="Z82" s="24">
        <f t="shared" si="24"/>
        <v>5.9999999972933438</v>
      </c>
      <c r="AA82" s="41" t="str">
        <f t="shared" si="25"/>
        <v/>
      </c>
      <c r="AB82" s="24">
        <f t="shared" si="26"/>
        <v>11.999999967520125</v>
      </c>
      <c r="AC82" s="41" t="str">
        <f t="shared" si="27"/>
        <v/>
      </c>
      <c r="AD82" s="24">
        <f t="shared" si="28"/>
        <v>11.999999610241503</v>
      </c>
      <c r="AE82" s="41" t="str">
        <f t="shared" si="29"/>
        <v/>
      </c>
      <c r="AF82" s="24">
        <f t="shared" si="30"/>
        <v>11.99999532289803</v>
      </c>
      <c r="AG82" s="41" t="str">
        <f t="shared" si="31"/>
        <v/>
      </c>
      <c r="AH82" s="24">
        <f t="shared" si="32"/>
        <v>11.999943874776363</v>
      </c>
      <c r="AI82" s="41" t="str">
        <f t="shared" si="33"/>
        <v/>
      </c>
      <c r="AJ82" s="24">
        <f t="shared" si="34"/>
        <v>11.99932649731636</v>
      </c>
      <c r="AK82" s="41" t="str">
        <f t="shared" si="35"/>
        <v/>
      </c>
    </row>
    <row r="83" spans="1:37" ht="13.5" customHeight="1">
      <c r="A83" s="770"/>
      <c r="B83" s="774"/>
      <c r="C83" s="774"/>
      <c r="D83" s="773" t="s">
        <v>487</v>
      </c>
      <c r="E83" s="610" t="s">
        <v>488</v>
      </c>
      <c r="F83" s="147">
        <v>-245900000</v>
      </c>
      <c r="G83" s="8">
        <v>4</v>
      </c>
      <c r="H83" s="21">
        <f t="shared" ref="H83:H132" si="36">-F83/H$15</f>
        <v>3842187.5</v>
      </c>
      <c r="I83" s="37" t="str">
        <f t="shared" ref="I83:I132" si="37">M83&amp;";"&amp;O83&amp;Q83&amp;S83&amp;U83&amp;W83&amp;Y83&amp;AA83&amp;AC83&amp;AE83&amp;AG83&amp;AI83&amp;AK83</f>
        <v>1;3536</v>
      </c>
      <c r="J83" s="38">
        <v>6</v>
      </c>
      <c r="K83" s="132">
        <f t="shared" ref="K83:K132" si="38">H83/POWER(12,J83)</f>
        <v>1.2867408197766632</v>
      </c>
      <c r="L83" s="39" t="str">
        <f>INDEX(powers!$H$2:$H$75,33+J83)</f>
        <v>cosmic centy</v>
      </c>
      <c r="M83" s="40" t="str">
        <f t="shared" ref="M83:M114" si="39">IF($G83&gt;=M$17,MID($J$17,IF($G83&gt;M$17,INT(K83),ROUND(K83,0))+1,1),"")</f>
        <v>1</v>
      </c>
      <c r="N83" s="24">
        <f t="shared" ref="N83:N132" si="40">(K83-INT(K83))*12</f>
        <v>3.4408898373199586</v>
      </c>
      <c r="O83" s="41" t="str">
        <f t="shared" ref="O83:O114" si="41">IF($G83&gt;=O$17,MID($J$17,IF($G83&gt;O$17,INT(N83),ROUND(N83,0))+1,1),"")</f>
        <v>3</v>
      </c>
      <c r="P83" s="24">
        <f t="shared" ref="P83:P132" si="42">(N83-INT(N83))*12</f>
        <v>5.2906780478395028</v>
      </c>
      <c r="Q83" s="41" t="str">
        <f t="shared" ref="Q83:Q114" si="43">IF($G83&gt;=Q$17,MID($J$17,IF($G83&gt;Q$17,INT(P83),ROUND(P83,0))+1,1),"")</f>
        <v>5</v>
      </c>
      <c r="R83" s="24">
        <f t="shared" ref="R83:R132" si="44">(P83-INT(P83))*12</f>
        <v>3.4881365740740335</v>
      </c>
      <c r="S83" s="41" t="str">
        <f t="shared" ref="S83:S114" si="45">IF($G83&gt;=S$17,MID($J$17,IF($G83&gt;S$17,INT(R83),ROUND(R83,0))+1,1),"")</f>
        <v>3</v>
      </c>
      <c r="T83" s="24">
        <f t="shared" ref="T83:T132" si="46">(R83-INT(R83))*12</f>
        <v>5.8576388888884026</v>
      </c>
      <c r="U83" s="41" t="str">
        <f t="shared" ref="U83:U114" si="47">IF($G83&gt;=U$17,MID($J$17,IF($G83&gt;U$17,INT(T83),ROUND(T83,0))+1,1),"")</f>
        <v>6</v>
      </c>
      <c r="V83" s="24">
        <f t="shared" ref="V83:V132" si="48">(T83-INT(T83))*12</f>
        <v>10.291666666660831</v>
      </c>
      <c r="W83" s="41" t="str">
        <f t="shared" ref="W83:W114" si="49">IF($G83&gt;=W$17,MID($J$17,IF($G83&gt;W$17,INT(V83),ROUND(V83,0))+1,1),"")</f>
        <v/>
      </c>
      <c r="X83" s="24">
        <f t="shared" ref="X83:X132" si="50">(V83-INT(V83))*12</f>
        <v>3.4999999999299689</v>
      </c>
      <c r="Y83" s="41" t="str">
        <f t="shared" ref="Y83:Y114" si="51">IF($G83&gt;=Y$17,MID($J$17,IF($G83&gt;Y$17,INT(X83),ROUND(X83,0))+1,1),"")</f>
        <v/>
      </c>
      <c r="Z83" s="24">
        <f t="shared" ref="Z83:Z132" si="52">(X83-INT(X83))*12</f>
        <v>5.9999999991596269</v>
      </c>
      <c r="AA83" s="41" t="str">
        <f t="shared" ref="AA83:AA114" si="53">IF($G83&gt;=AA$17,MID($J$17,IF($G83&gt;AA$17,INT(Z83),ROUND(Z83,0))+1,1),"")</f>
        <v/>
      </c>
      <c r="AB83" s="24">
        <f t="shared" ref="AB83:AB132" si="54">(Z83-INT(Z83))*12</f>
        <v>11.999999989915523</v>
      </c>
      <c r="AC83" s="41" t="str">
        <f t="shared" ref="AC83:AC114" si="55">IF($G83&gt;=AC$17,MID($J$17,IF($G83&gt;AC$17,INT(AB83),ROUND(AB83,0))+1,1),"")</f>
        <v/>
      </c>
      <c r="AD83" s="24">
        <f t="shared" ref="AD83:AD132" si="56">(AB83-INT(AB83))*12</f>
        <v>11.999999878986273</v>
      </c>
      <c r="AE83" s="41" t="str">
        <f t="shared" ref="AE83:AE114" si="57">IF($G83&gt;=AE$17,MID($J$17,IF($G83&gt;AE$17,INT(AD83),ROUND(AD83,0))+1,1),"")</f>
        <v/>
      </c>
      <c r="AF83" s="24">
        <f t="shared" ref="AF83:AF132" si="58">(AD83-INT(AD83))*12</f>
        <v>11.999998547835276</v>
      </c>
      <c r="AG83" s="41" t="str">
        <f t="shared" ref="AG83:AG114" si="59">IF($G83&gt;=AG$17,MID($J$17,IF($G83&gt;AG$17,INT(AF83),ROUND(AF83,0))+1,1),"")</f>
        <v/>
      </c>
      <c r="AH83" s="24">
        <f t="shared" ref="AH83:AH132" si="60">(AF83-INT(AF83))*12</f>
        <v>11.999982574023306</v>
      </c>
      <c r="AI83" s="41" t="str">
        <f t="shared" ref="AI83:AI114" si="61">IF($G83&gt;=AI$17,MID($J$17,IF($G83&gt;AI$17,INT(AH83),ROUND(AH83,0))+1,1),"")</f>
        <v/>
      </c>
      <c r="AJ83" s="24">
        <f t="shared" ref="AJ83:AJ132" si="62">(AH83-INT(AH83))*12</f>
        <v>11.999790888279676</v>
      </c>
      <c r="AK83" s="41" t="str">
        <f t="shared" ref="AK83:AK114" si="63">IF($G83&gt;=AK$17,MID($J$17,IF($G83&gt;AK$17,INT(AJ83),ROUND(AJ83,0))+1,1),"")</f>
        <v/>
      </c>
    </row>
    <row r="84" spans="1:37" ht="13.5" customHeight="1">
      <c r="A84" s="770"/>
      <c r="B84" s="774"/>
      <c r="C84" s="774"/>
      <c r="D84" s="775"/>
      <c r="E84" s="610" t="s">
        <v>489</v>
      </c>
      <c r="F84" s="147">
        <v>-237000000</v>
      </c>
      <c r="G84" s="8">
        <v>4</v>
      </c>
      <c r="H84" s="21">
        <f t="shared" si="36"/>
        <v>3703125</v>
      </c>
      <c r="I84" s="37" t="str">
        <f t="shared" si="37"/>
        <v>1;2X70</v>
      </c>
      <c r="J84" s="38">
        <v>6</v>
      </c>
      <c r="K84" s="132">
        <f t="shared" si="38"/>
        <v>1.2401690698945473</v>
      </c>
      <c r="L84" s="39" t="str">
        <f>INDEX(powers!$H$2:$H$75,33+J84)</f>
        <v>cosmic centy</v>
      </c>
      <c r="M84" s="40" t="str">
        <f t="shared" si="39"/>
        <v>1</v>
      </c>
      <c r="N84" s="24">
        <f t="shared" si="40"/>
        <v>2.8820288387345681</v>
      </c>
      <c r="O84" s="41" t="str">
        <f t="shared" si="41"/>
        <v>2</v>
      </c>
      <c r="P84" s="24">
        <f t="shared" si="42"/>
        <v>10.584346064814817</v>
      </c>
      <c r="Q84" s="41" t="str">
        <f t="shared" si="43"/>
        <v>X</v>
      </c>
      <c r="R84" s="24">
        <f t="shared" si="44"/>
        <v>7.0121527777777999</v>
      </c>
      <c r="S84" s="41" t="str">
        <f t="shared" si="45"/>
        <v>7</v>
      </c>
      <c r="T84" s="24">
        <f t="shared" si="46"/>
        <v>0.1458333333335986</v>
      </c>
      <c r="U84" s="41" t="str">
        <f t="shared" si="47"/>
        <v>0</v>
      </c>
      <c r="V84" s="24">
        <f t="shared" si="48"/>
        <v>1.7500000000031832</v>
      </c>
      <c r="W84" s="41" t="str">
        <f t="shared" si="49"/>
        <v/>
      </c>
      <c r="X84" s="24">
        <f t="shared" si="50"/>
        <v>9.0000000000381988</v>
      </c>
      <c r="Y84" s="41" t="str">
        <f t="shared" si="51"/>
        <v/>
      </c>
      <c r="Z84" s="24">
        <f t="shared" si="52"/>
        <v>4.5838532969355583E-10</v>
      </c>
      <c r="AA84" s="41" t="str">
        <f t="shared" si="53"/>
        <v/>
      </c>
      <c r="AB84" s="24">
        <f t="shared" si="54"/>
        <v>5.50062395632267E-9</v>
      </c>
      <c r="AC84" s="41" t="str">
        <f t="shared" si="55"/>
        <v/>
      </c>
      <c r="AD84" s="24">
        <f t="shared" si="56"/>
        <v>6.600748747587204E-8</v>
      </c>
      <c r="AE84" s="41" t="str">
        <f t="shared" si="57"/>
        <v/>
      </c>
      <c r="AF84" s="24">
        <f t="shared" si="58"/>
        <v>7.9208984971046448E-7</v>
      </c>
      <c r="AG84" s="41" t="str">
        <f t="shared" si="59"/>
        <v/>
      </c>
      <c r="AH84" s="24">
        <f t="shared" si="60"/>
        <v>9.5050781965255737E-6</v>
      </c>
      <c r="AI84" s="41" t="str">
        <f t="shared" si="61"/>
        <v/>
      </c>
      <c r="AJ84" s="24">
        <f t="shared" si="62"/>
        <v>1.1406093835830688E-4</v>
      </c>
      <c r="AK84" s="41" t="str">
        <f t="shared" si="63"/>
        <v/>
      </c>
    </row>
    <row r="85" spans="1:37" ht="13.5" customHeight="1">
      <c r="A85" s="770"/>
      <c r="B85" s="774"/>
      <c r="C85" s="774"/>
      <c r="D85" s="773" t="s">
        <v>490</v>
      </c>
      <c r="E85" s="610" t="s">
        <v>491</v>
      </c>
      <c r="F85" s="147">
        <v>-228700000</v>
      </c>
      <c r="G85" s="8">
        <v>4</v>
      </c>
      <c r="H85" s="21">
        <f t="shared" si="36"/>
        <v>3573437.5</v>
      </c>
      <c r="I85" s="37" t="str">
        <f t="shared" si="37"/>
        <v>1;243</v>
      </c>
      <c r="J85" s="38">
        <v>6</v>
      </c>
      <c r="K85" s="132">
        <f t="shared" si="38"/>
        <v>1.1967369885438099</v>
      </c>
      <c r="L85" s="39" t="str">
        <f>INDEX(powers!$H$2:$H$75,33+J85)</f>
        <v>cosmic centy</v>
      </c>
      <c r="M85" s="40" t="str">
        <f t="shared" si="39"/>
        <v>1</v>
      </c>
      <c r="N85" s="24">
        <f t="shared" si="40"/>
        <v>2.3608438625257193</v>
      </c>
      <c r="O85" s="41" t="str">
        <f t="shared" si="41"/>
        <v>2</v>
      </c>
      <c r="P85" s="24">
        <f t="shared" si="42"/>
        <v>4.3301263503086318</v>
      </c>
      <c r="Q85" s="41" t="str">
        <f t="shared" si="43"/>
        <v>4</v>
      </c>
      <c r="R85" s="24">
        <f t="shared" si="44"/>
        <v>3.9615162037035816</v>
      </c>
      <c r="S85" s="41" t="str">
        <f t="shared" si="45"/>
        <v>3</v>
      </c>
      <c r="T85" s="24">
        <f t="shared" si="46"/>
        <v>11.538194444442979</v>
      </c>
      <c r="U85" s="41" t="str">
        <f t="shared" si="47"/>
        <v/>
      </c>
      <c r="V85" s="24">
        <f t="shared" si="48"/>
        <v>6.4583333333157498</v>
      </c>
      <c r="W85" s="41" t="str">
        <f t="shared" si="49"/>
        <v/>
      </c>
      <c r="X85" s="24">
        <f t="shared" si="50"/>
        <v>5.4999999997889972</v>
      </c>
      <c r="Y85" s="41" t="str">
        <f t="shared" si="51"/>
        <v/>
      </c>
      <c r="Z85" s="24">
        <f t="shared" si="52"/>
        <v>5.9999999974679668</v>
      </c>
      <c r="AA85" s="41" t="str">
        <f t="shared" si="53"/>
        <v/>
      </c>
      <c r="AB85" s="24">
        <f t="shared" si="54"/>
        <v>11.999999969615601</v>
      </c>
      <c r="AC85" s="41" t="str">
        <f t="shared" si="55"/>
        <v/>
      </c>
      <c r="AD85" s="24">
        <f t="shared" si="56"/>
        <v>11.999999635387212</v>
      </c>
      <c r="AE85" s="41" t="str">
        <f t="shared" si="57"/>
        <v/>
      </c>
      <c r="AF85" s="24">
        <f t="shared" si="58"/>
        <v>11.999995624646544</v>
      </c>
      <c r="AG85" s="41" t="str">
        <f t="shared" si="59"/>
        <v/>
      </c>
      <c r="AH85" s="24">
        <f t="shared" si="60"/>
        <v>11.999947495758533</v>
      </c>
      <c r="AI85" s="41" t="str">
        <f t="shared" si="61"/>
        <v/>
      </c>
      <c r="AJ85" s="24">
        <f t="shared" si="62"/>
        <v>11.999369949102402</v>
      </c>
      <c r="AK85" s="41" t="str">
        <f t="shared" si="63"/>
        <v/>
      </c>
    </row>
    <row r="86" spans="1:37" ht="13.5" customHeight="1">
      <c r="A86" s="770"/>
      <c r="B86" s="774"/>
      <c r="C86" s="774"/>
      <c r="D86" s="774"/>
      <c r="E86" s="610" t="s">
        <v>492</v>
      </c>
      <c r="F86" s="147">
        <v>-216500000</v>
      </c>
      <c r="G86" s="8">
        <v>4</v>
      </c>
      <c r="H86" s="21">
        <f t="shared" si="36"/>
        <v>3382812.5</v>
      </c>
      <c r="I86" s="37" t="str">
        <f t="shared" si="37"/>
        <v>1;1718</v>
      </c>
      <c r="J86" s="38">
        <v>6</v>
      </c>
      <c r="K86" s="132">
        <f t="shared" si="38"/>
        <v>1.1328970617391119</v>
      </c>
      <c r="L86" s="39" t="str">
        <f>INDEX(powers!$H$2:$H$75,33+J86)</f>
        <v>cosmic centy</v>
      </c>
      <c r="M86" s="40" t="str">
        <f t="shared" si="39"/>
        <v>1</v>
      </c>
      <c r="N86" s="24">
        <f t="shared" si="40"/>
        <v>1.5947647408693424</v>
      </c>
      <c r="O86" s="41" t="str">
        <f t="shared" si="41"/>
        <v>1</v>
      </c>
      <c r="P86" s="24">
        <f t="shared" si="42"/>
        <v>7.1371768904321087</v>
      </c>
      <c r="Q86" s="41" t="str">
        <f t="shared" si="43"/>
        <v>7</v>
      </c>
      <c r="R86" s="24">
        <f t="shared" si="44"/>
        <v>1.6461226851853041</v>
      </c>
      <c r="S86" s="41" t="str">
        <f t="shared" si="45"/>
        <v>1</v>
      </c>
      <c r="T86" s="24">
        <f t="shared" si="46"/>
        <v>7.7534722222236496</v>
      </c>
      <c r="U86" s="41" t="str">
        <f t="shared" si="47"/>
        <v>8</v>
      </c>
      <c r="V86" s="24">
        <f t="shared" si="48"/>
        <v>9.0416666666837955</v>
      </c>
      <c r="W86" s="41" t="str">
        <f t="shared" si="49"/>
        <v/>
      </c>
      <c r="X86" s="24">
        <f t="shared" si="50"/>
        <v>0.5000000002055458</v>
      </c>
      <c r="Y86" s="41" t="str">
        <f t="shared" si="51"/>
        <v/>
      </c>
      <c r="Z86" s="24">
        <f t="shared" si="52"/>
        <v>6.0000000024665496</v>
      </c>
      <c r="AA86" s="41" t="str">
        <f t="shared" si="53"/>
        <v/>
      </c>
      <c r="AB86" s="24">
        <f t="shared" si="54"/>
        <v>2.9598595574498177E-8</v>
      </c>
      <c r="AC86" s="41" t="str">
        <f t="shared" si="55"/>
        <v/>
      </c>
      <c r="AD86" s="24">
        <f t="shared" si="56"/>
        <v>3.5518314689397812E-7</v>
      </c>
      <c r="AE86" s="41" t="str">
        <f t="shared" si="57"/>
        <v/>
      </c>
      <c r="AF86" s="24">
        <f t="shared" si="58"/>
        <v>4.2621977627277374E-6</v>
      </c>
      <c r="AG86" s="41" t="str">
        <f t="shared" si="59"/>
        <v/>
      </c>
      <c r="AH86" s="24">
        <f t="shared" si="60"/>
        <v>5.1146373152732849E-5</v>
      </c>
      <c r="AI86" s="41" t="str">
        <f t="shared" si="61"/>
        <v/>
      </c>
      <c r="AJ86" s="24">
        <f t="shared" si="62"/>
        <v>6.1375647783279419E-4</v>
      </c>
      <c r="AK86" s="41" t="str">
        <f t="shared" si="63"/>
        <v/>
      </c>
    </row>
    <row r="87" spans="1:37" ht="13.5" customHeight="1">
      <c r="A87" s="770"/>
      <c r="B87" s="774"/>
      <c r="C87" s="775"/>
      <c r="D87" s="775"/>
      <c r="E87" s="610" t="s">
        <v>493</v>
      </c>
      <c r="F87" s="147">
        <v>-203600000</v>
      </c>
      <c r="G87" s="8">
        <v>4</v>
      </c>
      <c r="H87" s="21">
        <f t="shared" si="36"/>
        <v>3181250</v>
      </c>
      <c r="I87" s="37" t="str">
        <f t="shared" si="37"/>
        <v>1;0950</v>
      </c>
      <c r="J87" s="38">
        <v>6</v>
      </c>
      <c r="K87" s="132">
        <f t="shared" si="38"/>
        <v>1.065394188314472</v>
      </c>
      <c r="L87" s="39" t="str">
        <f>INDEX(powers!$H$2:$H$75,33+J87)</f>
        <v>cosmic centy</v>
      </c>
      <c r="M87" s="40" t="str">
        <f t="shared" si="39"/>
        <v>1</v>
      </c>
      <c r="N87" s="24">
        <f t="shared" si="40"/>
        <v>0.78473025977366362</v>
      </c>
      <c r="O87" s="41" t="str">
        <f t="shared" si="41"/>
        <v>0</v>
      </c>
      <c r="P87" s="24">
        <f t="shared" si="42"/>
        <v>9.4167631172839634</v>
      </c>
      <c r="Q87" s="41" t="str">
        <f t="shared" si="43"/>
        <v>9</v>
      </c>
      <c r="R87" s="24">
        <f t="shared" si="44"/>
        <v>5.0011574074075611</v>
      </c>
      <c r="S87" s="41" t="str">
        <f t="shared" si="45"/>
        <v>5</v>
      </c>
      <c r="T87" s="24">
        <f t="shared" si="46"/>
        <v>1.3888888890733142E-2</v>
      </c>
      <c r="U87" s="41" t="str">
        <f t="shared" si="47"/>
        <v>0</v>
      </c>
      <c r="V87" s="24">
        <f t="shared" si="48"/>
        <v>0.1666666666887977</v>
      </c>
      <c r="W87" s="41" t="str">
        <f t="shared" si="49"/>
        <v/>
      </c>
      <c r="X87" s="24">
        <f t="shared" si="50"/>
        <v>2.0000000002655725</v>
      </c>
      <c r="Y87" s="41" t="str">
        <f t="shared" si="51"/>
        <v/>
      </c>
      <c r="Z87" s="24">
        <f t="shared" si="52"/>
        <v>3.1868694350123405E-9</v>
      </c>
      <c r="AA87" s="41" t="str">
        <f t="shared" si="53"/>
        <v/>
      </c>
      <c r="AB87" s="24">
        <f t="shared" si="54"/>
        <v>3.8242433220148087E-8</v>
      </c>
      <c r="AC87" s="41" t="str">
        <f t="shared" si="55"/>
        <v/>
      </c>
      <c r="AD87" s="24">
        <f t="shared" si="56"/>
        <v>4.5890919864177704E-7</v>
      </c>
      <c r="AE87" s="41" t="str">
        <f t="shared" si="57"/>
        <v/>
      </c>
      <c r="AF87" s="24">
        <f t="shared" si="58"/>
        <v>5.5069103837013245E-6</v>
      </c>
      <c r="AG87" s="41" t="str">
        <f t="shared" si="59"/>
        <v/>
      </c>
      <c r="AH87" s="24">
        <f t="shared" si="60"/>
        <v>6.6082924604415894E-5</v>
      </c>
      <c r="AI87" s="41" t="str">
        <f t="shared" si="61"/>
        <v/>
      </c>
      <c r="AJ87" s="24">
        <f t="shared" si="62"/>
        <v>7.9299509525299072E-4</v>
      </c>
      <c r="AK87" s="41" t="str">
        <f t="shared" si="63"/>
        <v/>
      </c>
    </row>
    <row r="88" spans="1:37" ht="13.5" customHeight="1">
      <c r="A88" s="770"/>
      <c r="B88" s="774"/>
      <c r="C88" s="773" t="s">
        <v>494</v>
      </c>
      <c r="D88" s="773" t="s">
        <v>495</v>
      </c>
      <c r="E88" s="610" t="s">
        <v>496</v>
      </c>
      <c r="F88" s="147">
        <v>-199600000</v>
      </c>
      <c r="G88" s="8">
        <v>4</v>
      </c>
      <c r="H88" s="21">
        <f t="shared" si="36"/>
        <v>3118750</v>
      </c>
      <c r="I88" s="37" t="str">
        <f t="shared" si="37"/>
        <v>1;064X</v>
      </c>
      <c r="J88" s="38">
        <v>6</v>
      </c>
      <c r="K88" s="132">
        <f t="shared" si="38"/>
        <v>1.0444630647719479</v>
      </c>
      <c r="L88" s="39" t="str">
        <f>INDEX(powers!$H$2:$H$75,33+J88)</f>
        <v>cosmic centy</v>
      </c>
      <c r="M88" s="40" t="str">
        <f t="shared" si="39"/>
        <v>1</v>
      </c>
      <c r="N88" s="24">
        <f t="shared" si="40"/>
        <v>0.53355677726337536</v>
      </c>
      <c r="O88" s="41" t="str">
        <f t="shared" si="41"/>
        <v>0</v>
      </c>
      <c r="P88" s="24">
        <f t="shared" si="42"/>
        <v>6.4026813271605043</v>
      </c>
      <c r="Q88" s="41" t="str">
        <f t="shared" si="43"/>
        <v>6</v>
      </c>
      <c r="R88" s="24">
        <f t="shared" si="44"/>
        <v>4.8321759259260517</v>
      </c>
      <c r="S88" s="41" t="str">
        <f t="shared" si="45"/>
        <v>4</v>
      </c>
      <c r="T88" s="24">
        <f t="shared" si="46"/>
        <v>9.9861111111126206</v>
      </c>
      <c r="U88" s="41" t="str">
        <f t="shared" si="47"/>
        <v>X</v>
      </c>
      <c r="V88" s="24">
        <f t="shared" si="48"/>
        <v>11.833333333351447</v>
      </c>
      <c r="W88" s="41" t="str">
        <f t="shared" si="49"/>
        <v/>
      </c>
      <c r="X88" s="24">
        <f t="shared" si="50"/>
        <v>10.000000000217369</v>
      </c>
      <c r="Y88" s="41" t="str">
        <f t="shared" si="51"/>
        <v/>
      </c>
      <c r="Z88" s="24">
        <f t="shared" si="52"/>
        <v>2.6084308046847582E-9</v>
      </c>
      <c r="AA88" s="41" t="str">
        <f t="shared" si="53"/>
        <v/>
      </c>
      <c r="AB88" s="24">
        <f t="shared" si="54"/>
        <v>3.1301169656217098E-8</v>
      </c>
      <c r="AC88" s="41" t="str">
        <f t="shared" si="55"/>
        <v/>
      </c>
      <c r="AD88" s="24">
        <f t="shared" si="56"/>
        <v>3.7561403587460518E-7</v>
      </c>
      <c r="AE88" s="41" t="str">
        <f t="shared" si="57"/>
        <v/>
      </c>
      <c r="AF88" s="24">
        <f t="shared" si="58"/>
        <v>4.5073684304952621E-6</v>
      </c>
      <c r="AG88" s="41" t="str">
        <f t="shared" si="59"/>
        <v/>
      </c>
      <c r="AH88" s="24">
        <f t="shared" si="60"/>
        <v>5.4088421165943146E-5</v>
      </c>
      <c r="AI88" s="41" t="str">
        <f t="shared" si="61"/>
        <v/>
      </c>
      <c r="AJ88" s="24">
        <f t="shared" si="62"/>
        <v>6.4906105399131775E-4</v>
      </c>
      <c r="AK88" s="41" t="str">
        <f t="shared" si="63"/>
        <v/>
      </c>
    </row>
    <row r="89" spans="1:37" ht="13.5" customHeight="1">
      <c r="A89" s="770"/>
      <c r="B89" s="774"/>
      <c r="C89" s="774"/>
      <c r="D89" s="774"/>
      <c r="E89" s="610" t="s">
        <v>497</v>
      </c>
      <c r="F89" s="147">
        <v>-196500000</v>
      </c>
      <c r="G89" s="8">
        <v>4</v>
      </c>
      <c r="H89" s="21">
        <f t="shared" si="36"/>
        <v>3070312.5</v>
      </c>
      <c r="I89" s="37" t="str">
        <f t="shared" si="37"/>
        <v>1;040X</v>
      </c>
      <c r="J89" s="38">
        <v>6</v>
      </c>
      <c r="K89" s="132">
        <f t="shared" si="38"/>
        <v>1.0282414440264918</v>
      </c>
      <c r="L89" s="39" t="str">
        <f>INDEX(powers!$H$2:$H$75,33+J89)</f>
        <v>cosmic centy</v>
      </c>
      <c r="M89" s="40" t="str">
        <f t="shared" si="39"/>
        <v>1</v>
      </c>
      <c r="N89" s="24">
        <f t="shared" si="40"/>
        <v>0.33889732831790109</v>
      </c>
      <c r="O89" s="41" t="str">
        <f t="shared" si="41"/>
        <v>0</v>
      </c>
      <c r="P89" s="24">
        <f t="shared" si="42"/>
        <v>4.0667679398148131</v>
      </c>
      <c r="Q89" s="41" t="str">
        <f t="shared" si="43"/>
        <v>4</v>
      </c>
      <c r="R89" s="24">
        <f t="shared" si="44"/>
        <v>0.80121527777775725</v>
      </c>
      <c r="S89" s="41" t="str">
        <f t="shared" si="45"/>
        <v>0</v>
      </c>
      <c r="T89" s="24">
        <f t="shared" si="46"/>
        <v>9.614583333333087</v>
      </c>
      <c r="U89" s="41" t="str">
        <f t="shared" si="47"/>
        <v>X</v>
      </c>
      <c r="V89" s="24">
        <f t="shared" si="48"/>
        <v>7.3749999999970441</v>
      </c>
      <c r="W89" s="41" t="str">
        <f t="shared" si="49"/>
        <v/>
      </c>
      <c r="X89" s="24">
        <f t="shared" si="50"/>
        <v>4.4999999999645297</v>
      </c>
      <c r="Y89" s="41" t="str">
        <f t="shared" si="51"/>
        <v/>
      </c>
      <c r="Z89" s="24">
        <f t="shared" si="52"/>
        <v>5.9999999995743565</v>
      </c>
      <c r="AA89" s="41" t="str">
        <f t="shared" si="53"/>
        <v/>
      </c>
      <c r="AB89" s="24">
        <f t="shared" si="54"/>
        <v>11.999999994892278</v>
      </c>
      <c r="AC89" s="41" t="str">
        <f t="shared" si="55"/>
        <v/>
      </c>
      <c r="AD89" s="24">
        <f t="shared" si="56"/>
        <v>11.999999938707333</v>
      </c>
      <c r="AE89" s="41" t="str">
        <f t="shared" si="57"/>
        <v/>
      </c>
      <c r="AF89" s="24">
        <f t="shared" si="58"/>
        <v>11.999999264487997</v>
      </c>
      <c r="AG89" s="41" t="str">
        <f t="shared" si="59"/>
        <v/>
      </c>
      <c r="AH89" s="24">
        <f t="shared" si="60"/>
        <v>11.99999117385596</v>
      </c>
      <c r="AI89" s="41" t="str">
        <f t="shared" si="61"/>
        <v/>
      </c>
      <c r="AJ89" s="24">
        <f t="shared" si="62"/>
        <v>11.999894086271524</v>
      </c>
      <c r="AK89" s="41" t="str">
        <f t="shared" si="63"/>
        <v/>
      </c>
    </row>
    <row r="90" spans="1:37" ht="13.5" customHeight="1">
      <c r="A90" s="770"/>
      <c r="B90" s="774"/>
      <c r="C90" s="774"/>
      <c r="D90" s="774"/>
      <c r="E90" s="610" t="s">
        <v>498</v>
      </c>
      <c r="F90" s="147">
        <v>-189600000</v>
      </c>
      <c r="G90" s="8">
        <v>4</v>
      </c>
      <c r="H90" s="21">
        <f t="shared" si="36"/>
        <v>2962500</v>
      </c>
      <c r="I90" s="37" t="str">
        <f t="shared" si="37"/>
        <v>E;XX4E</v>
      </c>
      <c r="J90" s="38">
        <v>5</v>
      </c>
      <c r="K90" s="132">
        <f t="shared" si="38"/>
        <v>11.905623070987655</v>
      </c>
      <c r="L90" s="39" t="str">
        <f>INDEX(powers!$H$2:$H$75,33+J90)</f>
        <v>cosmic milly</v>
      </c>
      <c r="M90" s="40" t="str">
        <f t="shared" si="39"/>
        <v>E</v>
      </c>
      <c r="N90" s="24">
        <f t="shared" si="40"/>
        <v>10.867476851851862</v>
      </c>
      <c r="O90" s="41" t="str">
        <f t="shared" si="41"/>
        <v>X</v>
      </c>
      <c r="P90" s="24">
        <f t="shared" si="42"/>
        <v>10.409722222222342</v>
      </c>
      <c r="Q90" s="41" t="str">
        <f t="shared" si="43"/>
        <v>X</v>
      </c>
      <c r="R90" s="24">
        <f t="shared" si="44"/>
        <v>4.9166666666681067</v>
      </c>
      <c r="S90" s="41" t="str">
        <f t="shared" si="45"/>
        <v>4</v>
      </c>
      <c r="T90" s="24">
        <f t="shared" si="46"/>
        <v>11.00000000001728</v>
      </c>
      <c r="U90" s="41" t="str">
        <f t="shared" si="47"/>
        <v>E</v>
      </c>
      <c r="V90" s="24">
        <f t="shared" si="48"/>
        <v>2.0736479200422764E-10</v>
      </c>
      <c r="W90" s="41" t="str">
        <f t="shared" si="49"/>
        <v/>
      </c>
      <c r="X90" s="24">
        <f t="shared" si="50"/>
        <v>2.4883775040507317E-9</v>
      </c>
      <c r="Y90" s="41" t="str">
        <f t="shared" si="51"/>
        <v/>
      </c>
      <c r="Z90" s="24">
        <f t="shared" si="52"/>
        <v>2.986053004860878E-8</v>
      </c>
      <c r="AA90" s="41" t="str">
        <f t="shared" si="53"/>
        <v/>
      </c>
      <c r="AB90" s="24">
        <f t="shared" si="54"/>
        <v>3.5832636058330536E-7</v>
      </c>
      <c r="AC90" s="41" t="str">
        <f t="shared" si="55"/>
        <v/>
      </c>
      <c r="AD90" s="24">
        <f t="shared" si="56"/>
        <v>4.2999163269996643E-6</v>
      </c>
      <c r="AE90" s="41" t="str">
        <f t="shared" si="57"/>
        <v/>
      </c>
      <c r="AF90" s="24">
        <f t="shared" si="58"/>
        <v>5.1598995923995972E-5</v>
      </c>
      <c r="AG90" s="41" t="str">
        <f t="shared" si="59"/>
        <v/>
      </c>
      <c r="AH90" s="24">
        <f t="shared" si="60"/>
        <v>6.1918795108795166E-4</v>
      </c>
      <c r="AI90" s="41" t="str">
        <f t="shared" si="61"/>
        <v/>
      </c>
      <c r="AJ90" s="24">
        <f t="shared" si="62"/>
        <v>7.4302554130554199E-3</v>
      </c>
      <c r="AK90" s="41" t="str">
        <f t="shared" si="63"/>
        <v/>
      </c>
    </row>
    <row r="91" spans="1:37" ht="13.5" customHeight="1">
      <c r="A91" s="770"/>
      <c r="B91" s="774"/>
      <c r="C91" s="774"/>
      <c r="D91" s="775"/>
      <c r="E91" s="610" t="s">
        <v>499</v>
      </c>
      <c r="F91" s="147">
        <v>-183000000</v>
      </c>
      <c r="G91" s="8">
        <v>4</v>
      </c>
      <c r="H91" s="21">
        <f t="shared" si="36"/>
        <v>2859375</v>
      </c>
      <c r="I91" s="37" t="str">
        <f t="shared" si="37"/>
        <v>E;5X89</v>
      </c>
      <c r="J91" s="38">
        <v>5</v>
      </c>
      <c r="K91" s="132">
        <f t="shared" si="38"/>
        <v>11.491186824845679</v>
      </c>
      <c r="L91" s="39" t="str">
        <f>INDEX(powers!$H$2:$H$75,33+J91)</f>
        <v>cosmic milly</v>
      </c>
      <c r="M91" s="40" t="str">
        <f t="shared" si="39"/>
        <v>E</v>
      </c>
      <c r="N91" s="24">
        <f t="shared" si="40"/>
        <v>5.8942418981481453</v>
      </c>
      <c r="O91" s="41" t="str">
        <f t="shared" si="41"/>
        <v>5</v>
      </c>
      <c r="P91" s="24">
        <f t="shared" si="42"/>
        <v>10.730902777777743</v>
      </c>
      <c r="Q91" s="41" t="str">
        <f t="shared" si="43"/>
        <v>X</v>
      </c>
      <c r="R91" s="24">
        <f t="shared" si="44"/>
        <v>8.7708333333329165</v>
      </c>
      <c r="S91" s="41" t="str">
        <f t="shared" si="45"/>
        <v>8</v>
      </c>
      <c r="T91" s="24">
        <f t="shared" si="46"/>
        <v>9.2499999999949978</v>
      </c>
      <c r="U91" s="41" t="str">
        <f t="shared" si="47"/>
        <v>9</v>
      </c>
      <c r="V91" s="24">
        <f t="shared" si="48"/>
        <v>2.9999999999399733</v>
      </c>
      <c r="W91" s="41" t="str">
        <f t="shared" si="49"/>
        <v/>
      </c>
      <c r="X91" s="24">
        <f t="shared" si="50"/>
        <v>11.99999999927968</v>
      </c>
      <c r="Y91" s="41" t="str">
        <f t="shared" si="51"/>
        <v/>
      </c>
      <c r="Z91" s="24">
        <f t="shared" si="52"/>
        <v>11.999999991356162</v>
      </c>
      <c r="AA91" s="41" t="str">
        <f t="shared" si="53"/>
        <v/>
      </c>
      <c r="AB91" s="24">
        <f t="shared" si="54"/>
        <v>11.999999896273948</v>
      </c>
      <c r="AC91" s="41" t="str">
        <f t="shared" si="55"/>
        <v/>
      </c>
      <c r="AD91" s="24">
        <f t="shared" si="56"/>
        <v>11.999998755287379</v>
      </c>
      <c r="AE91" s="41" t="str">
        <f t="shared" si="57"/>
        <v/>
      </c>
      <c r="AF91" s="24">
        <f t="shared" si="58"/>
        <v>11.999985063448548</v>
      </c>
      <c r="AG91" s="41" t="str">
        <f t="shared" si="59"/>
        <v/>
      </c>
      <c r="AH91" s="24">
        <f t="shared" si="60"/>
        <v>11.99982076138258</v>
      </c>
      <c r="AI91" s="41" t="str">
        <f t="shared" si="61"/>
        <v/>
      </c>
      <c r="AJ91" s="24">
        <f t="shared" si="62"/>
        <v>11.997849136590958</v>
      </c>
      <c r="AK91" s="41" t="str">
        <f t="shared" si="63"/>
        <v/>
      </c>
    </row>
    <row r="92" spans="1:37" ht="13.5" customHeight="1">
      <c r="A92" s="770"/>
      <c r="B92" s="774"/>
      <c r="C92" s="774"/>
      <c r="D92" s="773" t="s">
        <v>500</v>
      </c>
      <c r="E92" s="610" t="s">
        <v>501</v>
      </c>
      <c r="F92" s="147">
        <v>-175600000</v>
      </c>
      <c r="G92" s="8">
        <v>4</v>
      </c>
      <c r="H92" s="21">
        <f t="shared" si="36"/>
        <v>2743750</v>
      </c>
      <c r="I92" s="37" t="str">
        <f t="shared" si="37"/>
        <v>E;039X</v>
      </c>
      <c r="J92" s="38">
        <v>5</v>
      </c>
      <c r="K92" s="132">
        <f t="shared" si="38"/>
        <v>11.026515882201647</v>
      </c>
      <c r="L92" s="39" t="str">
        <f>INDEX(powers!$H$2:$H$75,33+J92)</f>
        <v>cosmic milly</v>
      </c>
      <c r="M92" s="40" t="str">
        <f t="shared" si="39"/>
        <v>E</v>
      </c>
      <c r="N92" s="24">
        <f t="shared" si="40"/>
        <v>0.31819058641976028</v>
      </c>
      <c r="O92" s="41" t="str">
        <f t="shared" si="41"/>
        <v>0</v>
      </c>
      <c r="P92" s="24">
        <f t="shared" si="42"/>
        <v>3.8182870370371234</v>
      </c>
      <c r="Q92" s="41" t="str">
        <f t="shared" si="43"/>
        <v>3</v>
      </c>
      <c r="R92" s="24">
        <f t="shared" si="44"/>
        <v>9.8194444444454803</v>
      </c>
      <c r="S92" s="41" t="str">
        <f t="shared" si="45"/>
        <v>9</v>
      </c>
      <c r="T92" s="24">
        <f t="shared" si="46"/>
        <v>9.8333333333457631</v>
      </c>
      <c r="U92" s="41" t="str">
        <f t="shared" si="47"/>
        <v>X</v>
      </c>
      <c r="V92" s="24">
        <f t="shared" si="48"/>
        <v>10.000000000149157</v>
      </c>
      <c r="W92" s="41" t="str">
        <f t="shared" si="49"/>
        <v/>
      </c>
      <c r="X92" s="24">
        <f t="shared" si="50"/>
        <v>1.7898855730891228E-9</v>
      </c>
      <c r="Y92" s="41" t="str">
        <f t="shared" si="51"/>
        <v/>
      </c>
      <c r="Z92" s="24">
        <f t="shared" si="52"/>
        <v>2.1478626877069473E-8</v>
      </c>
      <c r="AA92" s="41" t="str">
        <f t="shared" si="53"/>
        <v/>
      </c>
      <c r="AB92" s="24">
        <f t="shared" si="54"/>
        <v>2.5774352252483368E-7</v>
      </c>
      <c r="AC92" s="41" t="str">
        <f t="shared" si="55"/>
        <v/>
      </c>
      <c r="AD92" s="24">
        <f t="shared" si="56"/>
        <v>3.0929222702980042E-6</v>
      </c>
      <c r="AE92" s="41" t="str">
        <f t="shared" si="57"/>
        <v/>
      </c>
      <c r="AF92" s="24">
        <f t="shared" si="58"/>
        <v>3.711506724357605E-5</v>
      </c>
      <c r="AG92" s="41" t="str">
        <f t="shared" si="59"/>
        <v/>
      </c>
      <c r="AH92" s="24">
        <f t="shared" si="60"/>
        <v>4.453808069229126E-4</v>
      </c>
      <c r="AI92" s="41" t="str">
        <f t="shared" si="61"/>
        <v/>
      </c>
      <c r="AJ92" s="24">
        <f t="shared" si="62"/>
        <v>5.3445696830749512E-3</v>
      </c>
      <c r="AK92" s="41" t="str">
        <f t="shared" si="63"/>
        <v/>
      </c>
    </row>
    <row r="93" spans="1:37" ht="13.5" customHeight="1">
      <c r="A93" s="770"/>
      <c r="B93" s="774"/>
      <c r="C93" s="774"/>
      <c r="D93" s="774"/>
      <c r="E93" s="610" t="s">
        <v>502</v>
      </c>
      <c r="F93" s="147">
        <v>-171600000</v>
      </c>
      <c r="G93" s="8">
        <v>4</v>
      </c>
      <c r="H93" s="21">
        <f t="shared" si="36"/>
        <v>2681250</v>
      </c>
      <c r="I93" s="37" t="str">
        <f t="shared" si="37"/>
        <v>X;9379</v>
      </c>
      <c r="J93" s="38">
        <v>5</v>
      </c>
      <c r="K93" s="132">
        <f t="shared" si="38"/>
        <v>10.775342399691358</v>
      </c>
      <c r="L93" s="39" t="str">
        <f>INDEX(powers!$H$2:$H$75,33+J93)</f>
        <v>cosmic milly</v>
      </c>
      <c r="M93" s="40" t="str">
        <f t="shared" si="39"/>
        <v>X</v>
      </c>
      <c r="N93" s="24">
        <f t="shared" si="40"/>
        <v>9.3041087962962905</v>
      </c>
      <c r="O93" s="41" t="str">
        <f t="shared" si="41"/>
        <v>9</v>
      </c>
      <c r="P93" s="24">
        <f t="shared" si="42"/>
        <v>3.6493055555554861</v>
      </c>
      <c r="Q93" s="41" t="str">
        <f t="shared" si="43"/>
        <v>3</v>
      </c>
      <c r="R93" s="24">
        <f t="shared" si="44"/>
        <v>7.791666666665833</v>
      </c>
      <c r="S93" s="41" t="str">
        <f t="shared" si="45"/>
        <v>7</v>
      </c>
      <c r="T93" s="24">
        <f t="shared" si="46"/>
        <v>9.4999999999899956</v>
      </c>
      <c r="U93" s="41" t="str">
        <f t="shared" si="47"/>
        <v>9</v>
      </c>
      <c r="V93" s="24">
        <f t="shared" si="48"/>
        <v>5.9999999998799467</v>
      </c>
      <c r="W93" s="41" t="str">
        <f t="shared" si="49"/>
        <v/>
      </c>
      <c r="X93" s="24">
        <f t="shared" si="50"/>
        <v>11.99999999855936</v>
      </c>
      <c r="Y93" s="41" t="str">
        <f t="shared" si="51"/>
        <v/>
      </c>
      <c r="Z93" s="24">
        <f t="shared" si="52"/>
        <v>11.999999982712325</v>
      </c>
      <c r="AA93" s="41" t="str">
        <f t="shared" si="53"/>
        <v/>
      </c>
      <c r="AB93" s="24">
        <f t="shared" si="54"/>
        <v>11.999999792547897</v>
      </c>
      <c r="AC93" s="41" t="str">
        <f t="shared" si="55"/>
        <v/>
      </c>
      <c r="AD93" s="24">
        <f t="shared" si="56"/>
        <v>11.999997510574758</v>
      </c>
      <c r="AE93" s="41" t="str">
        <f t="shared" si="57"/>
        <v/>
      </c>
      <c r="AF93" s="24">
        <f t="shared" si="58"/>
        <v>11.999970126897097</v>
      </c>
      <c r="AG93" s="41" t="str">
        <f t="shared" si="59"/>
        <v/>
      </c>
      <c r="AH93" s="24">
        <f t="shared" si="60"/>
        <v>11.99964152276516</v>
      </c>
      <c r="AI93" s="41" t="str">
        <f t="shared" si="61"/>
        <v/>
      </c>
      <c r="AJ93" s="24">
        <f t="shared" si="62"/>
        <v>11.995698273181915</v>
      </c>
      <c r="AK93" s="41" t="str">
        <f t="shared" si="63"/>
        <v/>
      </c>
    </row>
    <row r="94" spans="1:37" ht="13.5" customHeight="1">
      <c r="A94" s="770"/>
      <c r="B94" s="774"/>
      <c r="C94" s="774"/>
      <c r="D94" s="774"/>
      <c r="E94" s="610" t="s">
        <v>503</v>
      </c>
      <c r="F94" s="147">
        <v>-167700000</v>
      </c>
      <c r="G94" s="8">
        <v>4</v>
      </c>
      <c r="H94" s="21">
        <f t="shared" si="36"/>
        <v>2620312.5</v>
      </c>
      <c r="I94" s="37" t="str">
        <f t="shared" si="37"/>
        <v>X;6447</v>
      </c>
      <c r="J94" s="38">
        <v>5</v>
      </c>
      <c r="K94" s="132">
        <f t="shared" si="38"/>
        <v>10.530448254243828</v>
      </c>
      <c r="L94" s="39" t="str">
        <f>INDEX(powers!$H$2:$H$75,33+J94)</f>
        <v>cosmic milly</v>
      </c>
      <c r="M94" s="40" t="str">
        <f t="shared" si="39"/>
        <v>X</v>
      </c>
      <c r="N94" s="24">
        <f t="shared" si="40"/>
        <v>6.3653790509259309</v>
      </c>
      <c r="O94" s="41" t="str">
        <f t="shared" si="41"/>
        <v>6</v>
      </c>
      <c r="P94" s="24">
        <f t="shared" si="42"/>
        <v>4.3845486111111711</v>
      </c>
      <c r="Q94" s="41" t="str">
        <f t="shared" si="43"/>
        <v>4</v>
      </c>
      <c r="R94" s="24">
        <f t="shared" si="44"/>
        <v>4.6145833333340533</v>
      </c>
      <c r="S94" s="41" t="str">
        <f t="shared" si="45"/>
        <v>4</v>
      </c>
      <c r="T94" s="24">
        <f t="shared" si="46"/>
        <v>7.3750000000086402</v>
      </c>
      <c r="U94" s="41" t="str">
        <f t="shared" si="47"/>
        <v>7</v>
      </c>
      <c r="V94" s="24">
        <f t="shared" si="48"/>
        <v>4.5000000001036824</v>
      </c>
      <c r="W94" s="41" t="str">
        <f t="shared" si="49"/>
        <v/>
      </c>
      <c r="X94" s="24">
        <f t="shared" si="50"/>
        <v>6.0000000012441888</v>
      </c>
      <c r="Y94" s="41" t="str">
        <f t="shared" si="51"/>
        <v/>
      </c>
      <c r="Z94" s="24">
        <f t="shared" si="52"/>
        <v>1.493026502430439E-8</v>
      </c>
      <c r="AA94" s="41" t="str">
        <f t="shared" si="53"/>
        <v/>
      </c>
      <c r="AB94" s="24">
        <f t="shared" si="54"/>
        <v>1.7916318029165268E-7</v>
      </c>
      <c r="AC94" s="41" t="str">
        <f t="shared" si="55"/>
        <v/>
      </c>
      <c r="AD94" s="24">
        <f t="shared" si="56"/>
        <v>2.1499581634998322E-6</v>
      </c>
      <c r="AE94" s="41" t="str">
        <f t="shared" si="57"/>
        <v/>
      </c>
      <c r="AF94" s="24">
        <f t="shared" si="58"/>
        <v>2.5799497961997986E-5</v>
      </c>
      <c r="AG94" s="41" t="str">
        <f t="shared" si="59"/>
        <v/>
      </c>
      <c r="AH94" s="24">
        <f t="shared" si="60"/>
        <v>3.0959397554397583E-4</v>
      </c>
      <c r="AI94" s="41" t="str">
        <f t="shared" si="61"/>
        <v/>
      </c>
      <c r="AJ94" s="24">
        <f t="shared" si="62"/>
        <v>3.71512770652771E-3</v>
      </c>
      <c r="AK94" s="41" t="str">
        <f t="shared" si="63"/>
        <v/>
      </c>
    </row>
    <row r="95" spans="1:37" ht="13.5" customHeight="1">
      <c r="A95" s="770"/>
      <c r="B95" s="774"/>
      <c r="C95" s="774"/>
      <c r="D95" s="775"/>
      <c r="E95" s="610" t="s">
        <v>504</v>
      </c>
      <c r="F95" s="147">
        <v>-164700000</v>
      </c>
      <c r="G95" s="8">
        <v>4</v>
      </c>
      <c r="H95" s="21">
        <f t="shared" si="36"/>
        <v>2573437.5</v>
      </c>
      <c r="I95" s="37" t="str">
        <f t="shared" si="37"/>
        <v>X;4131</v>
      </c>
      <c r="J95" s="38">
        <v>5</v>
      </c>
      <c r="K95" s="132">
        <f t="shared" si="38"/>
        <v>10.342068142361111</v>
      </c>
      <c r="L95" s="39" t="str">
        <f>INDEX(powers!$H$2:$H$75,33+J95)</f>
        <v>cosmic milly</v>
      </c>
      <c r="M95" s="40" t="str">
        <f t="shared" si="39"/>
        <v>X</v>
      </c>
      <c r="N95" s="24">
        <f t="shared" si="40"/>
        <v>4.1048177083333286</v>
      </c>
      <c r="O95" s="41" t="str">
        <f t="shared" si="41"/>
        <v>4</v>
      </c>
      <c r="P95" s="24">
        <f t="shared" si="42"/>
        <v>1.2578124999999432</v>
      </c>
      <c r="Q95" s="41" t="str">
        <f t="shared" si="43"/>
        <v>1</v>
      </c>
      <c r="R95" s="24">
        <f t="shared" si="44"/>
        <v>3.0937499999993179</v>
      </c>
      <c r="S95" s="41" t="str">
        <f t="shared" si="45"/>
        <v>3</v>
      </c>
      <c r="T95" s="24">
        <f t="shared" si="46"/>
        <v>1.1249999999918145</v>
      </c>
      <c r="U95" s="41" t="str">
        <f t="shared" si="47"/>
        <v>1</v>
      </c>
      <c r="V95" s="24">
        <f t="shared" si="48"/>
        <v>1.4999999999017746</v>
      </c>
      <c r="W95" s="41" t="str">
        <f t="shared" si="49"/>
        <v/>
      </c>
      <c r="X95" s="24">
        <f t="shared" si="50"/>
        <v>5.9999999988212949</v>
      </c>
      <c r="Y95" s="41" t="str">
        <f t="shared" si="51"/>
        <v/>
      </c>
      <c r="Z95" s="24">
        <f t="shared" si="52"/>
        <v>11.999999985855538</v>
      </c>
      <c r="AA95" s="41" t="str">
        <f t="shared" si="53"/>
        <v/>
      </c>
      <c r="AB95" s="24">
        <f t="shared" si="54"/>
        <v>11.999999830266461</v>
      </c>
      <c r="AC95" s="41" t="str">
        <f t="shared" si="55"/>
        <v/>
      </c>
      <c r="AD95" s="24">
        <f t="shared" si="56"/>
        <v>11.999997963197529</v>
      </c>
      <c r="AE95" s="41" t="str">
        <f t="shared" si="57"/>
        <v/>
      </c>
      <c r="AF95" s="24">
        <f t="shared" si="58"/>
        <v>11.999975558370352</v>
      </c>
      <c r="AG95" s="41" t="str">
        <f t="shared" si="59"/>
        <v/>
      </c>
      <c r="AH95" s="24">
        <f t="shared" si="60"/>
        <v>11.999706700444221</v>
      </c>
      <c r="AI95" s="41" t="str">
        <f t="shared" si="61"/>
        <v/>
      </c>
      <c r="AJ95" s="24">
        <f t="shared" si="62"/>
        <v>11.996480405330658</v>
      </c>
      <c r="AK95" s="41" t="str">
        <f t="shared" si="63"/>
        <v/>
      </c>
    </row>
    <row r="96" spans="1:37" ht="13.5" customHeight="1">
      <c r="A96" s="770"/>
      <c r="B96" s="774"/>
      <c r="C96" s="774"/>
      <c r="D96" s="773" t="s">
        <v>505</v>
      </c>
      <c r="E96" s="610" t="s">
        <v>506</v>
      </c>
      <c r="F96" s="147">
        <v>-161200000</v>
      </c>
      <c r="G96" s="8">
        <v>4</v>
      </c>
      <c r="H96" s="21">
        <f t="shared" si="36"/>
        <v>2518750</v>
      </c>
      <c r="I96" s="37" t="str">
        <f t="shared" si="37"/>
        <v>X;1574</v>
      </c>
      <c r="J96" s="38">
        <v>5</v>
      </c>
      <c r="K96" s="132">
        <f t="shared" si="38"/>
        <v>10.122291345164609</v>
      </c>
      <c r="L96" s="39" t="str">
        <f>INDEX(powers!$H$2:$H$75,33+J96)</f>
        <v>cosmic milly</v>
      </c>
      <c r="M96" s="40" t="str">
        <f t="shared" si="39"/>
        <v>X</v>
      </c>
      <c r="N96" s="24">
        <f t="shared" si="40"/>
        <v>1.4674961419753032</v>
      </c>
      <c r="O96" s="41" t="str">
        <f t="shared" si="41"/>
        <v>1</v>
      </c>
      <c r="P96" s="24">
        <f t="shared" si="42"/>
        <v>5.6099537037036384</v>
      </c>
      <c r="Q96" s="41" t="str">
        <f t="shared" si="43"/>
        <v>5</v>
      </c>
      <c r="R96" s="24">
        <f t="shared" si="44"/>
        <v>7.3194444444436613</v>
      </c>
      <c r="S96" s="41" t="str">
        <f t="shared" si="45"/>
        <v>7</v>
      </c>
      <c r="T96" s="24">
        <f t="shared" si="46"/>
        <v>3.8333333333239352</v>
      </c>
      <c r="U96" s="41" t="str">
        <f t="shared" si="47"/>
        <v>4</v>
      </c>
      <c r="V96" s="24">
        <f t="shared" si="48"/>
        <v>9.9999999998872227</v>
      </c>
      <c r="W96" s="41" t="str">
        <f t="shared" si="49"/>
        <v/>
      </c>
      <c r="X96" s="24">
        <f t="shared" si="50"/>
        <v>11.999999998646672</v>
      </c>
      <c r="Y96" s="41" t="str">
        <f t="shared" si="51"/>
        <v/>
      </c>
      <c r="Z96" s="24">
        <f t="shared" si="52"/>
        <v>11.999999983760063</v>
      </c>
      <c r="AA96" s="41" t="str">
        <f t="shared" si="53"/>
        <v/>
      </c>
      <c r="AB96" s="24">
        <f t="shared" si="54"/>
        <v>11.999999805120751</v>
      </c>
      <c r="AC96" s="41" t="str">
        <f t="shared" si="55"/>
        <v/>
      </c>
      <c r="AD96" s="24">
        <f t="shared" si="56"/>
        <v>11.999997661449015</v>
      </c>
      <c r="AE96" s="41" t="str">
        <f t="shared" si="57"/>
        <v/>
      </c>
      <c r="AF96" s="24">
        <f t="shared" si="58"/>
        <v>11.999971937388182</v>
      </c>
      <c r="AG96" s="41" t="str">
        <f t="shared" si="59"/>
        <v/>
      </c>
      <c r="AH96" s="24">
        <f t="shared" si="60"/>
        <v>11.99966324865818</v>
      </c>
      <c r="AI96" s="41" t="str">
        <f t="shared" si="61"/>
        <v/>
      </c>
      <c r="AJ96" s="24">
        <f t="shared" si="62"/>
        <v>11.995958983898163</v>
      </c>
      <c r="AK96" s="41" t="str">
        <f t="shared" si="63"/>
        <v/>
      </c>
    </row>
    <row r="97" spans="1:37" ht="13.5" customHeight="1">
      <c r="A97" s="770"/>
      <c r="B97" s="774"/>
      <c r="C97" s="774"/>
      <c r="D97" s="774"/>
      <c r="E97" s="610" t="s">
        <v>507</v>
      </c>
      <c r="F97" s="147">
        <v>-155600000</v>
      </c>
      <c r="G97" s="8">
        <v>4</v>
      </c>
      <c r="H97" s="21">
        <f t="shared" si="36"/>
        <v>2431250</v>
      </c>
      <c r="I97" s="37" t="str">
        <f t="shared" si="37"/>
        <v>9;92E8</v>
      </c>
      <c r="J97" s="38">
        <v>5</v>
      </c>
      <c r="K97" s="132">
        <f t="shared" si="38"/>
        <v>9.7706484696502063</v>
      </c>
      <c r="L97" s="39" t="str">
        <f>INDEX(powers!$H$2:$H$75,33+J97)</f>
        <v>cosmic milly</v>
      </c>
      <c r="M97" s="40" t="str">
        <f t="shared" si="39"/>
        <v>9</v>
      </c>
      <c r="N97" s="24">
        <f t="shared" si="40"/>
        <v>9.2477816358024754</v>
      </c>
      <c r="O97" s="41" t="str">
        <f t="shared" si="41"/>
        <v>9</v>
      </c>
      <c r="P97" s="24">
        <f t="shared" si="42"/>
        <v>2.9733796296297044</v>
      </c>
      <c r="Q97" s="41" t="str">
        <f t="shared" si="43"/>
        <v>2</v>
      </c>
      <c r="R97" s="24">
        <f t="shared" si="44"/>
        <v>11.680555555556452</v>
      </c>
      <c r="S97" s="41" t="str">
        <f t="shared" si="45"/>
        <v>E</v>
      </c>
      <c r="T97" s="24">
        <f t="shared" si="46"/>
        <v>8.166666666677429</v>
      </c>
      <c r="U97" s="41" t="str">
        <f t="shared" si="47"/>
        <v>8</v>
      </c>
      <c r="V97" s="24">
        <f t="shared" si="48"/>
        <v>2.0000000001291482</v>
      </c>
      <c r="W97" s="41" t="str">
        <f t="shared" si="49"/>
        <v/>
      </c>
      <c r="X97" s="24">
        <f t="shared" si="50"/>
        <v>1.5497789718210697E-9</v>
      </c>
      <c r="Y97" s="41" t="str">
        <f t="shared" si="51"/>
        <v/>
      </c>
      <c r="Z97" s="24">
        <f t="shared" si="52"/>
        <v>1.8597347661852837E-8</v>
      </c>
      <c r="AA97" s="41" t="str">
        <f t="shared" si="53"/>
        <v/>
      </c>
      <c r="AB97" s="24">
        <f t="shared" si="54"/>
        <v>2.2316817194223404E-7</v>
      </c>
      <c r="AC97" s="41" t="str">
        <f t="shared" si="55"/>
        <v/>
      </c>
      <c r="AD97" s="24">
        <f t="shared" si="56"/>
        <v>2.6780180633068085E-6</v>
      </c>
      <c r="AE97" s="41" t="str">
        <f t="shared" si="57"/>
        <v/>
      </c>
      <c r="AF97" s="24">
        <f t="shared" si="58"/>
        <v>3.2136216759681702E-5</v>
      </c>
      <c r="AG97" s="41" t="str">
        <f t="shared" si="59"/>
        <v/>
      </c>
      <c r="AH97" s="24">
        <f t="shared" si="60"/>
        <v>3.8563460111618042E-4</v>
      </c>
      <c r="AI97" s="41" t="str">
        <f t="shared" si="61"/>
        <v/>
      </c>
      <c r="AJ97" s="24">
        <f t="shared" si="62"/>
        <v>4.627615213394165E-3</v>
      </c>
      <c r="AK97" s="41" t="str">
        <f t="shared" si="63"/>
        <v/>
      </c>
    </row>
    <row r="98" spans="1:37" ht="13.5" customHeight="1">
      <c r="A98" s="770"/>
      <c r="B98" s="774"/>
      <c r="C98" s="775"/>
      <c r="D98" s="775"/>
      <c r="E98" s="610" t="s">
        <v>508</v>
      </c>
      <c r="F98" s="147">
        <v>-150800000</v>
      </c>
      <c r="G98" s="8">
        <v>4</v>
      </c>
      <c r="H98" s="21">
        <f t="shared" si="36"/>
        <v>2356250</v>
      </c>
      <c r="I98" s="37" t="str">
        <f t="shared" si="37"/>
        <v>9;576X</v>
      </c>
      <c r="J98" s="38">
        <v>5</v>
      </c>
      <c r="K98" s="132">
        <f t="shared" si="38"/>
        <v>9.4692402906378597</v>
      </c>
      <c r="L98" s="39" t="str">
        <f>INDEX(powers!$H$2:$H$75,33+J98)</f>
        <v>cosmic milly</v>
      </c>
      <c r="M98" s="40" t="str">
        <f t="shared" si="39"/>
        <v>9</v>
      </c>
      <c r="N98" s="24">
        <f t="shared" si="40"/>
        <v>5.6308834876543159</v>
      </c>
      <c r="O98" s="41" t="str">
        <f t="shared" si="41"/>
        <v>5</v>
      </c>
      <c r="P98" s="24">
        <f t="shared" si="42"/>
        <v>7.5706018518517908</v>
      </c>
      <c r="Q98" s="41" t="str">
        <f t="shared" si="43"/>
        <v>7</v>
      </c>
      <c r="R98" s="24">
        <f t="shared" si="44"/>
        <v>6.8472222222214896</v>
      </c>
      <c r="S98" s="41" t="str">
        <f t="shared" si="45"/>
        <v>6</v>
      </c>
      <c r="T98" s="24">
        <f t="shared" si="46"/>
        <v>10.166666666657875</v>
      </c>
      <c r="U98" s="41" t="str">
        <f t="shared" si="47"/>
        <v>X</v>
      </c>
      <c r="V98" s="24">
        <f t="shared" si="48"/>
        <v>1.9999999998944986</v>
      </c>
      <c r="W98" s="41" t="str">
        <f t="shared" si="49"/>
        <v/>
      </c>
      <c r="X98" s="24">
        <f t="shared" si="50"/>
        <v>11.999999998733983</v>
      </c>
      <c r="Y98" s="41" t="str">
        <f t="shared" si="51"/>
        <v/>
      </c>
      <c r="Z98" s="24">
        <f t="shared" si="52"/>
        <v>11.999999984807801</v>
      </c>
      <c r="AA98" s="41" t="str">
        <f t="shared" si="53"/>
        <v/>
      </c>
      <c r="AB98" s="24">
        <f t="shared" si="54"/>
        <v>11.999999817693606</v>
      </c>
      <c r="AC98" s="41" t="str">
        <f t="shared" si="55"/>
        <v/>
      </c>
      <c r="AD98" s="24">
        <f t="shared" si="56"/>
        <v>11.999997812323272</v>
      </c>
      <c r="AE98" s="41" t="str">
        <f t="shared" si="57"/>
        <v/>
      </c>
      <c r="AF98" s="24">
        <f t="shared" si="58"/>
        <v>11.999973747879267</v>
      </c>
      <c r="AG98" s="41" t="str">
        <f t="shared" si="59"/>
        <v/>
      </c>
      <c r="AH98" s="24">
        <f t="shared" si="60"/>
        <v>11.999684974551201</v>
      </c>
      <c r="AI98" s="41" t="str">
        <f t="shared" si="61"/>
        <v/>
      </c>
      <c r="AJ98" s="24">
        <f t="shared" si="62"/>
        <v>11.99621969461441</v>
      </c>
      <c r="AK98" s="41" t="str">
        <f t="shared" si="63"/>
        <v/>
      </c>
    </row>
    <row r="99" spans="1:37" ht="13.5" customHeight="1">
      <c r="A99" s="770"/>
      <c r="B99" s="774"/>
      <c r="C99" s="773" t="s">
        <v>509</v>
      </c>
      <c r="D99" s="773" t="s">
        <v>510</v>
      </c>
      <c r="E99" s="610" t="s">
        <v>511</v>
      </c>
      <c r="F99" s="147">
        <v>-145500000</v>
      </c>
      <c r="G99" s="8">
        <v>4</v>
      </c>
      <c r="H99" s="21">
        <f t="shared" si="36"/>
        <v>2273437.5</v>
      </c>
      <c r="I99" s="37" t="str">
        <f t="shared" si="37"/>
        <v>9;1779</v>
      </c>
      <c r="J99" s="38">
        <v>5</v>
      </c>
      <c r="K99" s="132">
        <f t="shared" si="38"/>
        <v>9.1364354263117278</v>
      </c>
      <c r="L99" s="39" t="str">
        <f>INDEX(powers!$H$2:$H$75,33+J99)</f>
        <v>cosmic milly</v>
      </c>
      <c r="M99" s="40" t="str">
        <f t="shared" si="39"/>
        <v>9</v>
      </c>
      <c r="N99" s="24">
        <f t="shared" si="40"/>
        <v>1.6372251157407334</v>
      </c>
      <c r="O99" s="41" t="str">
        <f t="shared" si="41"/>
        <v>1</v>
      </c>
      <c r="P99" s="24">
        <f t="shared" si="42"/>
        <v>7.6467013888888005</v>
      </c>
      <c r="Q99" s="41" t="str">
        <f t="shared" si="43"/>
        <v>7</v>
      </c>
      <c r="R99" s="24">
        <f t="shared" si="44"/>
        <v>7.7604166666656056</v>
      </c>
      <c r="S99" s="41" t="str">
        <f t="shared" si="45"/>
        <v>7</v>
      </c>
      <c r="T99" s="24">
        <f t="shared" si="46"/>
        <v>9.1249999999872671</v>
      </c>
      <c r="U99" s="41" t="str">
        <f t="shared" si="47"/>
        <v>9</v>
      </c>
      <c r="V99" s="24">
        <f t="shared" si="48"/>
        <v>1.4999999998472049</v>
      </c>
      <c r="W99" s="41" t="str">
        <f t="shared" si="49"/>
        <v/>
      </c>
      <c r="X99" s="24">
        <f t="shared" si="50"/>
        <v>5.9999999981664587</v>
      </c>
      <c r="Y99" s="41" t="str">
        <f t="shared" si="51"/>
        <v/>
      </c>
      <c r="Z99" s="24">
        <f t="shared" si="52"/>
        <v>11.999999977997504</v>
      </c>
      <c r="AA99" s="41" t="str">
        <f t="shared" si="53"/>
        <v/>
      </c>
      <c r="AB99" s="24">
        <f t="shared" si="54"/>
        <v>11.99999973597005</v>
      </c>
      <c r="AC99" s="41" t="str">
        <f t="shared" si="55"/>
        <v/>
      </c>
      <c r="AD99" s="24">
        <f t="shared" si="56"/>
        <v>11.999996831640601</v>
      </c>
      <c r="AE99" s="41" t="str">
        <f t="shared" si="57"/>
        <v/>
      </c>
      <c r="AF99" s="24">
        <f t="shared" si="58"/>
        <v>11.999961979687214</v>
      </c>
      <c r="AG99" s="41" t="str">
        <f t="shared" si="59"/>
        <v/>
      </c>
      <c r="AH99" s="24">
        <f t="shared" si="60"/>
        <v>11.999543756246567</v>
      </c>
      <c r="AI99" s="41" t="str">
        <f t="shared" si="61"/>
        <v/>
      </c>
      <c r="AJ99" s="24">
        <f t="shared" si="62"/>
        <v>11.994525074958801</v>
      </c>
      <c r="AK99" s="41" t="str">
        <f t="shared" si="63"/>
        <v/>
      </c>
    </row>
    <row r="100" spans="1:37" ht="13.5" customHeight="1">
      <c r="A100" s="770"/>
      <c r="B100" s="774"/>
      <c r="C100" s="774"/>
      <c r="D100" s="774"/>
      <c r="E100" s="610" t="s">
        <v>512</v>
      </c>
      <c r="F100" s="147">
        <v>-140200000</v>
      </c>
      <c r="G100" s="8">
        <v>4</v>
      </c>
      <c r="H100" s="21">
        <f t="shared" si="36"/>
        <v>2190625</v>
      </c>
      <c r="I100" s="37" t="str">
        <f t="shared" si="37"/>
        <v>8;9788</v>
      </c>
      <c r="J100" s="38">
        <v>5</v>
      </c>
      <c r="K100" s="132">
        <f t="shared" si="38"/>
        <v>8.8036305619855959</v>
      </c>
      <c r="L100" s="39" t="str">
        <f>INDEX(powers!$H$2:$H$75,33+J100)</f>
        <v>cosmic milly</v>
      </c>
      <c r="M100" s="40" t="str">
        <f t="shared" si="39"/>
        <v>8</v>
      </c>
      <c r="N100" s="24">
        <f t="shared" si="40"/>
        <v>9.6435667438271508</v>
      </c>
      <c r="O100" s="41" t="str">
        <f t="shared" si="41"/>
        <v>9</v>
      </c>
      <c r="P100" s="24">
        <f t="shared" si="42"/>
        <v>7.7228009259258101</v>
      </c>
      <c r="Q100" s="41" t="str">
        <f t="shared" si="43"/>
        <v>7</v>
      </c>
      <c r="R100" s="24">
        <f t="shared" si="44"/>
        <v>8.6736111111097216</v>
      </c>
      <c r="S100" s="41" t="str">
        <f t="shared" si="45"/>
        <v>8</v>
      </c>
      <c r="T100" s="24">
        <f t="shared" si="46"/>
        <v>8.0833333333166593</v>
      </c>
      <c r="U100" s="41" t="str">
        <f t="shared" si="47"/>
        <v>8</v>
      </c>
      <c r="V100" s="24">
        <f t="shared" si="48"/>
        <v>0.99999999979991117</v>
      </c>
      <c r="W100" s="41" t="str">
        <f t="shared" si="49"/>
        <v/>
      </c>
      <c r="X100" s="24">
        <f t="shared" si="50"/>
        <v>11.999999997598934</v>
      </c>
      <c r="Y100" s="41" t="str">
        <f t="shared" si="51"/>
        <v/>
      </c>
      <c r="Z100" s="24">
        <f t="shared" si="52"/>
        <v>11.999999971187208</v>
      </c>
      <c r="AA100" s="41" t="str">
        <f t="shared" si="53"/>
        <v/>
      </c>
      <c r="AB100" s="24">
        <f t="shared" si="54"/>
        <v>11.999999654246494</v>
      </c>
      <c r="AC100" s="41" t="str">
        <f t="shared" si="55"/>
        <v/>
      </c>
      <c r="AD100" s="24">
        <f t="shared" si="56"/>
        <v>11.99999585095793</v>
      </c>
      <c r="AE100" s="41" t="str">
        <f t="shared" si="57"/>
        <v/>
      </c>
      <c r="AF100" s="24">
        <f t="shared" si="58"/>
        <v>11.999950211495161</v>
      </c>
      <c r="AG100" s="41" t="str">
        <f t="shared" si="59"/>
        <v/>
      </c>
      <c r="AH100" s="24">
        <f t="shared" si="60"/>
        <v>11.999402537941933</v>
      </c>
      <c r="AI100" s="41" t="str">
        <f t="shared" si="61"/>
        <v/>
      </c>
      <c r="AJ100" s="24">
        <f t="shared" si="62"/>
        <v>11.992830455303192</v>
      </c>
      <c r="AK100" s="41" t="str">
        <f t="shared" si="63"/>
        <v/>
      </c>
    </row>
    <row r="101" spans="1:37" ht="13.5" customHeight="1">
      <c r="A101" s="770"/>
      <c r="B101" s="774"/>
      <c r="C101" s="774"/>
      <c r="D101" s="774"/>
      <c r="E101" s="610" t="s">
        <v>513</v>
      </c>
      <c r="F101" s="147">
        <v>-133900000</v>
      </c>
      <c r="G101" s="8">
        <v>4</v>
      </c>
      <c r="H101" s="21">
        <f t="shared" si="36"/>
        <v>2092187.5</v>
      </c>
      <c r="I101" s="37" t="str">
        <f t="shared" si="37"/>
        <v>8;4X91</v>
      </c>
      <c r="J101" s="38">
        <v>5</v>
      </c>
      <c r="K101" s="132">
        <f t="shared" si="38"/>
        <v>8.4080323270318935</v>
      </c>
      <c r="L101" s="39" t="str">
        <f>INDEX(powers!$H$2:$H$75,33+J101)</f>
        <v>cosmic milly</v>
      </c>
      <c r="M101" s="40" t="str">
        <f t="shared" si="39"/>
        <v>8</v>
      </c>
      <c r="N101" s="24">
        <f t="shared" si="40"/>
        <v>4.8963879243827222</v>
      </c>
      <c r="O101" s="41" t="str">
        <f t="shared" si="41"/>
        <v>4</v>
      </c>
      <c r="P101" s="24">
        <f t="shared" si="42"/>
        <v>10.756655092592666</v>
      </c>
      <c r="Q101" s="41" t="str">
        <f t="shared" si="43"/>
        <v>X</v>
      </c>
      <c r="R101" s="24">
        <f t="shared" si="44"/>
        <v>9.0798611111119953</v>
      </c>
      <c r="S101" s="41" t="str">
        <f t="shared" si="45"/>
        <v>9</v>
      </c>
      <c r="T101" s="24">
        <f t="shared" si="46"/>
        <v>0.9583333333439441</v>
      </c>
      <c r="U101" s="41" t="str">
        <f t="shared" si="47"/>
        <v>1</v>
      </c>
      <c r="V101" s="24">
        <f t="shared" si="48"/>
        <v>11.500000000127329</v>
      </c>
      <c r="W101" s="41" t="str">
        <f t="shared" si="49"/>
        <v/>
      </c>
      <c r="X101" s="24">
        <f t="shared" si="50"/>
        <v>6.0000000015279511</v>
      </c>
      <c r="Y101" s="41" t="str">
        <f t="shared" si="51"/>
        <v/>
      </c>
      <c r="Z101" s="24">
        <f t="shared" si="52"/>
        <v>1.8335413187742233E-8</v>
      </c>
      <c r="AA101" s="41" t="str">
        <f t="shared" si="53"/>
        <v/>
      </c>
      <c r="AB101" s="24">
        <f t="shared" si="54"/>
        <v>2.200249582529068E-7</v>
      </c>
      <c r="AC101" s="41" t="str">
        <f t="shared" si="55"/>
        <v/>
      </c>
      <c r="AD101" s="24">
        <f t="shared" si="56"/>
        <v>2.6402994990348816E-6</v>
      </c>
      <c r="AE101" s="41" t="str">
        <f t="shared" si="57"/>
        <v/>
      </c>
      <c r="AF101" s="24">
        <f t="shared" si="58"/>
        <v>3.1683593988418579E-5</v>
      </c>
      <c r="AG101" s="41" t="str">
        <f t="shared" si="59"/>
        <v/>
      </c>
      <c r="AH101" s="24">
        <f t="shared" si="60"/>
        <v>3.8020312786102295E-4</v>
      </c>
      <c r="AI101" s="41" t="str">
        <f t="shared" si="61"/>
        <v/>
      </c>
      <c r="AJ101" s="24">
        <f t="shared" si="62"/>
        <v>4.5624375343322754E-3</v>
      </c>
      <c r="AK101" s="41" t="str">
        <f t="shared" si="63"/>
        <v/>
      </c>
    </row>
    <row r="102" spans="1:37" ht="13.5" customHeight="1">
      <c r="A102" s="770"/>
      <c r="B102" s="774"/>
      <c r="C102" s="774"/>
      <c r="D102" s="774"/>
      <c r="E102" s="610" t="s">
        <v>514</v>
      </c>
      <c r="F102" s="147">
        <v>-130000000</v>
      </c>
      <c r="G102" s="8">
        <v>4</v>
      </c>
      <c r="H102" s="21">
        <f t="shared" si="36"/>
        <v>2031250</v>
      </c>
      <c r="I102" s="37" t="str">
        <f t="shared" si="37"/>
        <v>8;1E5E</v>
      </c>
      <c r="J102" s="38">
        <v>5</v>
      </c>
      <c r="K102" s="132">
        <f t="shared" si="38"/>
        <v>8.1631381815843618</v>
      </c>
      <c r="L102" s="39" t="str">
        <f>INDEX(powers!$H$2:$H$75,33+J102)</f>
        <v>cosmic milly</v>
      </c>
      <c r="M102" s="40" t="str">
        <f t="shared" si="39"/>
        <v>8</v>
      </c>
      <c r="N102" s="24">
        <f t="shared" si="40"/>
        <v>1.9576581790123413</v>
      </c>
      <c r="O102" s="41" t="str">
        <f t="shared" si="41"/>
        <v>1</v>
      </c>
      <c r="P102" s="24">
        <f t="shared" si="42"/>
        <v>11.491898148148096</v>
      </c>
      <c r="Q102" s="41" t="str">
        <f t="shared" si="43"/>
        <v>E</v>
      </c>
      <c r="R102" s="24">
        <f t="shared" si="44"/>
        <v>5.9027777777771462</v>
      </c>
      <c r="S102" s="41" t="str">
        <f t="shared" si="45"/>
        <v>5</v>
      </c>
      <c r="T102" s="24">
        <f t="shared" si="46"/>
        <v>10.833333333325754</v>
      </c>
      <c r="U102" s="41" t="str">
        <f t="shared" si="47"/>
        <v>E</v>
      </c>
      <c r="V102" s="24">
        <f t="shared" si="48"/>
        <v>9.9999999999090505</v>
      </c>
      <c r="W102" s="41" t="str">
        <f t="shared" si="49"/>
        <v/>
      </c>
      <c r="X102" s="24">
        <f t="shared" si="50"/>
        <v>11.999999998908606</v>
      </c>
      <c r="Y102" s="41" t="str">
        <f t="shared" si="51"/>
        <v/>
      </c>
      <c r="Z102" s="24">
        <f t="shared" si="52"/>
        <v>11.999999986903276</v>
      </c>
      <c r="AA102" s="41" t="str">
        <f t="shared" si="53"/>
        <v/>
      </c>
      <c r="AB102" s="24">
        <f t="shared" si="54"/>
        <v>11.999999842839316</v>
      </c>
      <c r="AC102" s="41" t="str">
        <f t="shared" si="55"/>
        <v/>
      </c>
      <c r="AD102" s="24">
        <f t="shared" si="56"/>
        <v>11.999998114071786</v>
      </c>
      <c r="AE102" s="41" t="str">
        <f t="shared" si="57"/>
        <v/>
      </c>
      <c r="AF102" s="24">
        <f t="shared" si="58"/>
        <v>11.999977368861437</v>
      </c>
      <c r="AG102" s="41" t="str">
        <f t="shared" si="59"/>
        <v/>
      </c>
      <c r="AH102" s="24">
        <f t="shared" si="60"/>
        <v>11.999728426337242</v>
      </c>
      <c r="AI102" s="41" t="str">
        <f t="shared" si="61"/>
        <v/>
      </c>
      <c r="AJ102" s="24">
        <f t="shared" si="62"/>
        <v>11.996741116046906</v>
      </c>
      <c r="AK102" s="41" t="str">
        <f t="shared" si="63"/>
        <v/>
      </c>
    </row>
    <row r="103" spans="1:37" ht="13.5" customHeight="1">
      <c r="A103" s="770"/>
      <c r="B103" s="774"/>
      <c r="C103" s="774"/>
      <c r="D103" s="774"/>
      <c r="E103" s="610" t="s">
        <v>515</v>
      </c>
      <c r="F103" s="147">
        <v>-125000000</v>
      </c>
      <c r="G103" s="8">
        <v>4</v>
      </c>
      <c r="H103" s="21">
        <f t="shared" si="36"/>
        <v>1953125</v>
      </c>
      <c r="I103" s="37" t="str">
        <f t="shared" si="37"/>
        <v>7;X234</v>
      </c>
      <c r="J103" s="38">
        <v>5</v>
      </c>
      <c r="K103" s="132">
        <f t="shared" si="38"/>
        <v>7.8491713284465021</v>
      </c>
      <c r="L103" s="39" t="str">
        <f>INDEX(powers!$H$2:$H$75,33+J103)</f>
        <v>cosmic milly</v>
      </c>
      <c r="M103" s="40" t="str">
        <f t="shared" si="39"/>
        <v>7</v>
      </c>
      <c r="N103" s="24">
        <f t="shared" si="40"/>
        <v>10.190055941358025</v>
      </c>
      <c r="O103" s="41" t="str">
        <f t="shared" si="41"/>
        <v>X</v>
      </c>
      <c r="P103" s="24">
        <f t="shared" si="42"/>
        <v>2.2806712962963047</v>
      </c>
      <c r="Q103" s="41" t="str">
        <f t="shared" si="43"/>
        <v>2</v>
      </c>
      <c r="R103" s="24">
        <f t="shared" si="44"/>
        <v>3.3680555555556566</v>
      </c>
      <c r="S103" s="41" t="str">
        <f t="shared" si="45"/>
        <v>3</v>
      </c>
      <c r="T103" s="24">
        <f t="shared" si="46"/>
        <v>4.4166666666678793</v>
      </c>
      <c r="U103" s="41" t="str">
        <f t="shared" si="47"/>
        <v>4</v>
      </c>
      <c r="V103" s="24">
        <f t="shared" si="48"/>
        <v>5.0000000000145519</v>
      </c>
      <c r="W103" s="41" t="str">
        <f t="shared" si="49"/>
        <v/>
      </c>
      <c r="X103" s="24">
        <f t="shared" si="50"/>
        <v>1.7462298274040222E-10</v>
      </c>
      <c r="Y103" s="41" t="str">
        <f t="shared" si="51"/>
        <v/>
      </c>
      <c r="Z103" s="24">
        <f t="shared" si="52"/>
        <v>2.0954757928848267E-9</v>
      </c>
      <c r="AA103" s="41" t="str">
        <f t="shared" si="53"/>
        <v/>
      </c>
      <c r="AB103" s="24">
        <f t="shared" si="54"/>
        <v>2.514570951461792E-8</v>
      </c>
      <c r="AC103" s="41" t="str">
        <f t="shared" si="55"/>
        <v/>
      </c>
      <c r="AD103" s="24">
        <f t="shared" si="56"/>
        <v>3.0174851417541504E-7</v>
      </c>
      <c r="AE103" s="41" t="str">
        <f t="shared" si="57"/>
        <v/>
      </c>
      <c r="AF103" s="24">
        <f t="shared" si="58"/>
        <v>3.6209821701049805E-6</v>
      </c>
      <c r="AG103" s="41" t="str">
        <f t="shared" si="59"/>
        <v/>
      </c>
      <c r="AH103" s="24">
        <f t="shared" si="60"/>
        <v>4.3451786041259766E-5</v>
      </c>
      <c r="AI103" s="41" t="str">
        <f t="shared" si="61"/>
        <v/>
      </c>
      <c r="AJ103" s="24">
        <f t="shared" si="62"/>
        <v>5.2142143249511719E-4</v>
      </c>
      <c r="AK103" s="41" t="str">
        <f t="shared" si="63"/>
        <v/>
      </c>
    </row>
    <row r="104" spans="1:37" ht="13.5" customHeight="1">
      <c r="A104" s="770"/>
      <c r="B104" s="774"/>
      <c r="C104" s="774"/>
      <c r="D104" s="775"/>
      <c r="E104" s="610" t="s">
        <v>516</v>
      </c>
      <c r="F104" s="147">
        <v>-112000000</v>
      </c>
      <c r="G104" s="8">
        <v>4</v>
      </c>
      <c r="H104" s="21">
        <f t="shared" si="36"/>
        <v>1750000</v>
      </c>
      <c r="I104" s="37" t="str">
        <f t="shared" si="37"/>
        <v>7;0489</v>
      </c>
      <c r="J104" s="38">
        <v>5</v>
      </c>
      <c r="K104" s="132">
        <f t="shared" si="38"/>
        <v>7.0328575102880659</v>
      </c>
      <c r="L104" s="39" t="str">
        <f>INDEX(powers!$H$2:$H$75,33+J104)</f>
        <v>cosmic milly</v>
      </c>
      <c r="M104" s="40" t="str">
        <f t="shared" si="39"/>
        <v>7</v>
      </c>
      <c r="N104" s="24">
        <f t="shared" si="40"/>
        <v>0.39429012345679126</v>
      </c>
      <c r="O104" s="41" t="str">
        <f t="shared" si="41"/>
        <v>0</v>
      </c>
      <c r="P104" s="24">
        <f t="shared" si="42"/>
        <v>4.7314814814814952</v>
      </c>
      <c r="Q104" s="41" t="str">
        <f t="shared" si="43"/>
        <v>4</v>
      </c>
      <c r="R104" s="24">
        <f t="shared" si="44"/>
        <v>8.777777777777942</v>
      </c>
      <c r="S104" s="41" t="str">
        <f t="shared" si="45"/>
        <v>8</v>
      </c>
      <c r="T104" s="24">
        <f t="shared" si="46"/>
        <v>9.3333333333353039</v>
      </c>
      <c r="U104" s="41" t="str">
        <f t="shared" si="47"/>
        <v>9</v>
      </c>
      <c r="V104" s="24">
        <f t="shared" si="48"/>
        <v>4.0000000000236469</v>
      </c>
      <c r="W104" s="41" t="str">
        <f t="shared" si="49"/>
        <v/>
      </c>
      <c r="X104" s="24">
        <f t="shared" si="50"/>
        <v>2.8376234695315361E-10</v>
      </c>
      <c r="Y104" s="41" t="str">
        <f t="shared" si="51"/>
        <v/>
      </c>
      <c r="Z104" s="24">
        <f t="shared" si="52"/>
        <v>3.4051481634378433E-9</v>
      </c>
      <c r="AA104" s="41" t="str">
        <f t="shared" si="53"/>
        <v/>
      </c>
      <c r="AB104" s="24">
        <f t="shared" si="54"/>
        <v>4.086177796125412E-8</v>
      </c>
      <c r="AC104" s="41" t="str">
        <f t="shared" si="55"/>
        <v/>
      </c>
      <c r="AD104" s="24">
        <f t="shared" si="56"/>
        <v>4.9034133553504944E-7</v>
      </c>
      <c r="AE104" s="41" t="str">
        <f t="shared" si="57"/>
        <v/>
      </c>
      <c r="AF104" s="24">
        <f t="shared" si="58"/>
        <v>5.8840960264205933E-6</v>
      </c>
      <c r="AG104" s="41" t="str">
        <f t="shared" si="59"/>
        <v/>
      </c>
      <c r="AH104" s="24">
        <f t="shared" si="60"/>
        <v>7.0609152317047119E-5</v>
      </c>
      <c r="AI104" s="41" t="str">
        <f t="shared" si="61"/>
        <v/>
      </c>
      <c r="AJ104" s="24">
        <f t="shared" si="62"/>
        <v>8.4730982780456543E-4</v>
      </c>
      <c r="AK104" s="41" t="str">
        <f t="shared" si="63"/>
        <v/>
      </c>
    </row>
    <row r="105" spans="1:37" ht="13.5" customHeight="1">
      <c r="A105" s="770"/>
      <c r="B105" s="774"/>
      <c r="C105" s="774"/>
      <c r="D105" s="773" t="s">
        <v>517</v>
      </c>
      <c r="E105" s="610" t="s">
        <v>518</v>
      </c>
      <c r="F105" s="147">
        <v>-99600000</v>
      </c>
      <c r="G105" s="8">
        <v>4</v>
      </c>
      <c r="H105" s="21">
        <f t="shared" si="36"/>
        <v>1556250</v>
      </c>
      <c r="I105" s="37" t="str">
        <f t="shared" si="37"/>
        <v>6;3073</v>
      </c>
      <c r="J105" s="38">
        <v>5</v>
      </c>
      <c r="K105" s="132">
        <f t="shared" si="38"/>
        <v>6.2542197145061724</v>
      </c>
      <c r="L105" s="39" t="str">
        <f>INDEX(powers!$H$2:$H$75,33+J105)</f>
        <v>cosmic milly</v>
      </c>
      <c r="M105" s="40" t="str">
        <f t="shared" si="39"/>
        <v>6</v>
      </c>
      <c r="N105" s="24">
        <f t="shared" si="40"/>
        <v>3.0506365740740691</v>
      </c>
      <c r="O105" s="41" t="str">
        <f t="shared" si="41"/>
        <v>3</v>
      </c>
      <c r="P105" s="24">
        <f t="shared" si="42"/>
        <v>0.60763888888882889</v>
      </c>
      <c r="Q105" s="41" t="str">
        <f t="shared" si="43"/>
        <v>0</v>
      </c>
      <c r="R105" s="24">
        <f t="shared" si="44"/>
        <v>7.2916666666659467</v>
      </c>
      <c r="S105" s="41" t="str">
        <f t="shared" si="45"/>
        <v>7</v>
      </c>
      <c r="T105" s="24">
        <f t="shared" si="46"/>
        <v>3.4999999999913598</v>
      </c>
      <c r="U105" s="41" t="str">
        <f t="shared" si="47"/>
        <v>3</v>
      </c>
      <c r="V105" s="24">
        <f t="shared" si="48"/>
        <v>5.9999999998963176</v>
      </c>
      <c r="W105" s="41" t="str">
        <f t="shared" si="49"/>
        <v/>
      </c>
      <c r="X105" s="24">
        <f t="shared" si="50"/>
        <v>11.999999998755811</v>
      </c>
      <c r="Y105" s="41" t="str">
        <f t="shared" si="51"/>
        <v/>
      </c>
      <c r="Z105" s="24">
        <f t="shared" si="52"/>
        <v>11.999999985069735</v>
      </c>
      <c r="AA105" s="41" t="str">
        <f t="shared" si="53"/>
        <v/>
      </c>
      <c r="AB105" s="24">
        <f t="shared" si="54"/>
        <v>11.99999982083682</v>
      </c>
      <c r="AC105" s="41" t="str">
        <f t="shared" si="55"/>
        <v/>
      </c>
      <c r="AD105" s="24">
        <f t="shared" si="56"/>
        <v>11.999997850041837</v>
      </c>
      <c r="AE105" s="41" t="str">
        <f t="shared" si="57"/>
        <v/>
      </c>
      <c r="AF105" s="24">
        <f t="shared" si="58"/>
        <v>11.999974200502038</v>
      </c>
      <c r="AG105" s="41" t="str">
        <f t="shared" si="59"/>
        <v/>
      </c>
      <c r="AH105" s="24">
        <f t="shared" si="60"/>
        <v>11.999690406024456</v>
      </c>
      <c r="AI105" s="41" t="str">
        <f t="shared" si="61"/>
        <v/>
      </c>
      <c r="AJ105" s="24">
        <f t="shared" si="62"/>
        <v>11.996284872293472</v>
      </c>
      <c r="AK105" s="41" t="str">
        <f t="shared" si="63"/>
        <v/>
      </c>
    </row>
    <row r="106" spans="1:37" ht="13.5" customHeight="1">
      <c r="A106" s="770"/>
      <c r="B106" s="774"/>
      <c r="C106" s="774"/>
      <c r="D106" s="774"/>
      <c r="E106" s="610" t="s">
        <v>519</v>
      </c>
      <c r="F106" s="147">
        <v>-93600000</v>
      </c>
      <c r="G106" s="8">
        <v>4</v>
      </c>
      <c r="H106" s="21">
        <f t="shared" si="36"/>
        <v>1462500</v>
      </c>
      <c r="I106" s="37" t="str">
        <f t="shared" si="37"/>
        <v>5;X643</v>
      </c>
      <c r="J106" s="38">
        <v>5</v>
      </c>
      <c r="K106" s="132">
        <f t="shared" si="38"/>
        <v>5.8774594907407405</v>
      </c>
      <c r="L106" s="39" t="str">
        <f>INDEX(powers!$H$2:$H$75,33+J106)</f>
        <v>cosmic milly</v>
      </c>
      <c r="M106" s="40" t="str">
        <f t="shared" si="39"/>
        <v>5</v>
      </c>
      <c r="N106" s="24">
        <f t="shared" si="40"/>
        <v>10.529513888888886</v>
      </c>
      <c r="O106" s="41" t="str">
        <f t="shared" si="41"/>
        <v>X</v>
      </c>
      <c r="P106" s="24">
        <f t="shared" si="42"/>
        <v>6.3541666666666288</v>
      </c>
      <c r="Q106" s="41" t="str">
        <f t="shared" si="43"/>
        <v>6</v>
      </c>
      <c r="R106" s="24">
        <f t="shared" si="44"/>
        <v>4.2499999999995453</v>
      </c>
      <c r="S106" s="41" t="str">
        <f t="shared" si="45"/>
        <v>4</v>
      </c>
      <c r="T106" s="24">
        <f t="shared" si="46"/>
        <v>2.999999999994543</v>
      </c>
      <c r="U106" s="41" t="str">
        <f t="shared" si="47"/>
        <v>3</v>
      </c>
      <c r="V106" s="24">
        <f t="shared" si="48"/>
        <v>11.999999999934516</v>
      </c>
      <c r="W106" s="41" t="str">
        <f t="shared" si="49"/>
        <v/>
      </c>
      <c r="X106" s="24">
        <f t="shared" si="50"/>
        <v>11.999999999214197</v>
      </c>
      <c r="Y106" s="41" t="str">
        <f t="shared" si="51"/>
        <v/>
      </c>
      <c r="Z106" s="24">
        <f t="shared" si="52"/>
        <v>11.999999990570359</v>
      </c>
      <c r="AA106" s="41" t="str">
        <f t="shared" si="53"/>
        <v/>
      </c>
      <c r="AB106" s="24">
        <f t="shared" si="54"/>
        <v>11.999999886844307</v>
      </c>
      <c r="AC106" s="41" t="str">
        <f t="shared" si="55"/>
        <v/>
      </c>
      <c r="AD106" s="24">
        <f t="shared" si="56"/>
        <v>11.999998642131686</v>
      </c>
      <c r="AE106" s="41" t="str">
        <f t="shared" si="57"/>
        <v/>
      </c>
      <c r="AF106" s="24">
        <f t="shared" si="58"/>
        <v>11.999983705580235</v>
      </c>
      <c r="AG106" s="41" t="str">
        <f t="shared" si="59"/>
        <v/>
      </c>
      <c r="AH106" s="24">
        <f t="shared" si="60"/>
        <v>11.999804466962814</v>
      </c>
      <c r="AI106" s="41" t="str">
        <f t="shared" si="61"/>
        <v/>
      </c>
      <c r="AJ106" s="24">
        <f t="shared" si="62"/>
        <v>11.997653603553772</v>
      </c>
      <c r="AK106" s="41" t="str">
        <f t="shared" si="63"/>
        <v/>
      </c>
    </row>
    <row r="107" spans="1:37" ht="13.5" customHeight="1">
      <c r="A107" s="770"/>
      <c r="B107" s="774"/>
      <c r="C107" s="774"/>
      <c r="D107" s="774"/>
      <c r="E107" s="610" t="s">
        <v>520</v>
      </c>
      <c r="F107" s="147">
        <v>-88600000</v>
      </c>
      <c r="G107" s="8">
        <v>4</v>
      </c>
      <c r="H107" s="21">
        <f t="shared" si="36"/>
        <v>1384375</v>
      </c>
      <c r="I107" s="37" t="str">
        <f t="shared" si="37"/>
        <v>5;6919</v>
      </c>
      <c r="J107" s="38">
        <v>5</v>
      </c>
      <c r="K107" s="132">
        <f t="shared" si="38"/>
        <v>5.5634926376028808</v>
      </c>
      <c r="L107" s="39" t="str">
        <f>INDEX(powers!$H$2:$H$75,33+J107)</f>
        <v>cosmic milly</v>
      </c>
      <c r="M107" s="40" t="str">
        <f t="shared" si="39"/>
        <v>5</v>
      </c>
      <c r="N107" s="24">
        <f t="shared" si="40"/>
        <v>6.7619116512345698</v>
      </c>
      <c r="O107" s="41" t="str">
        <f t="shared" si="41"/>
        <v>6</v>
      </c>
      <c r="P107" s="24">
        <f t="shared" si="42"/>
        <v>9.142939814814838</v>
      </c>
      <c r="Q107" s="41" t="str">
        <f t="shared" si="43"/>
        <v>9</v>
      </c>
      <c r="R107" s="24">
        <f t="shared" si="44"/>
        <v>1.7152777777780557</v>
      </c>
      <c r="S107" s="41" t="str">
        <f t="shared" si="45"/>
        <v>1</v>
      </c>
      <c r="T107" s="24">
        <f t="shared" si="46"/>
        <v>8.5833333333366681</v>
      </c>
      <c r="U107" s="41" t="str">
        <f t="shared" si="47"/>
        <v>9</v>
      </c>
      <c r="V107" s="24">
        <f t="shared" si="48"/>
        <v>7.0000000000400178</v>
      </c>
      <c r="W107" s="41" t="str">
        <f t="shared" si="49"/>
        <v/>
      </c>
      <c r="X107" s="24">
        <f t="shared" si="50"/>
        <v>4.8021320253610611E-10</v>
      </c>
      <c r="Y107" s="41" t="str">
        <f t="shared" si="51"/>
        <v/>
      </c>
      <c r="Z107" s="24">
        <f t="shared" si="52"/>
        <v>5.7625584304332733E-9</v>
      </c>
      <c r="AA107" s="41" t="str">
        <f t="shared" si="53"/>
        <v/>
      </c>
      <c r="AB107" s="24">
        <f t="shared" si="54"/>
        <v>6.915070116519928E-8</v>
      </c>
      <c r="AC107" s="41" t="str">
        <f t="shared" si="55"/>
        <v/>
      </c>
      <c r="AD107" s="24">
        <f t="shared" si="56"/>
        <v>8.2980841398239136E-7</v>
      </c>
      <c r="AE107" s="41" t="str">
        <f t="shared" si="57"/>
        <v/>
      </c>
      <c r="AF107" s="24">
        <f t="shared" si="58"/>
        <v>9.9577009677886963E-6</v>
      </c>
      <c r="AG107" s="41" t="str">
        <f t="shared" si="59"/>
        <v/>
      </c>
      <c r="AH107" s="24">
        <f t="shared" si="60"/>
        <v>1.1949241161346436E-4</v>
      </c>
      <c r="AI107" s="41" t="str">
        <f t="shared" si="61"/>
        <v/>
      </c>
      <c r="AJ107" s="24">
        <f t="shared" si="62"/>
        <v>1.4339089393615723E-3</v>
      </c>
      <c r="AK107" s="41" t="str">
        <f t="shared" si="63"/>
        <v/>
      </c>
    </row>
    <row r="108" spans="1:37" ht="13.5" customHeight="1">
      <c r="A108" s="770"/>
      <c r="B108" s="774"/>
      <c r="C108" s="774"/>
      <c r="D108" s="774"/>
      <c r="E108" s="610" t="s">
        <v>521</v>
      </c>
      <c r="F108" s="147">
        <v>-85800000</v>
      </c>
      <c r="G108" s="8">
        <v>4</v>
      </c>
      <c r="H108" s="21">
        <f t="shared" si="36"/>
        <v>1340625</v>
      </c>
      <c r="I108" s="37" t="str">
        <f t="shared" si="37"/>
        <v>5;479E</v>
      </c>
      <c r="J108" s="38">
        <v>5</v>
      </c>
      <c r="K108" s="132">
        <f t="shared" si="38"/>
        <v>5.3876711998456788</v>
      </c>
      <c r="L108" s="39" t="str">
        <f>INDEX(powers!$H$2:$H$75,33+J108)</f>
        <v>cosmic milly</v>
      </c>
      <c r="M108" s="40" t="str">
        <f t="shared" si="39"/>
        <v>5</v>
      </c>
      <c r="N108" s="24">
        <f t="shared" si="40"/>
        <v>4.6520543981481453</v>
      </c>
      <c r="O108" s="41" t="str">
        <f t="shared" si="41"/>
        <v>4</v>
      </c>
      <c r="P108" s="24">
        <f t="shared" si="42"/>
        <v>7.824652777777743</v>
      </c>
      <c r="Q108" s="41" t="str">
        <f t="shared" si="43"/>
        <v>7</v>
      </c>
      <c r="R108" s="24">
        <f t="shared" si="44"/>
        <v>9.8958333333329165</v>
      </c>
      <c r="S108" s="41" t="str">
        <f t="shared" si="45"/>
        <v>9</v>
      </c>
      <c r="T108" s="24">
        <f t="shared" si="46"/>
        <v>10.749999999994998</v>
      </c>
      <c r="U108" s="41" t="str">
        <f t="shared" si="47"/>
        <v>E</v>
      </c>
      <c r="V108" s="24">
        <f t="shared" si="48"/>
        <v>8.9999999999399733</v>
      </c>
      <c r="W108" s="41" t="str">
        <f t="shared" si="49"/>
        <v/>
      </c>
      <c r="X108" s="24">
        <f t="shared" si="50"/>
        <v>11.99999999927968</v>
      </c>
      <c r="Y108" s="41" t="str">
        <f t="shared" si="51"/>
        <v/>
      </c>
      <c r="Z108" s="24">
        <f t="shared" si="52"/>
        <v>11.999999991356162</v>
      </c>
      <c r="AA108" s="41" t="str">
        <f t="shared" si="53"/>
        <v/>
      </c>
      <c r="AB108" s="24">
        <f t="shared" si="54"/>
        <v>11.999999896273948</v>
      </c>
      <c r="AC108" s="41" t="str">
        <f t="shared" si="55"/>
        <v/>
      </c>
      <c r="AD108" s="24">
        <f t="shared" si="56"/>
        <v>11.999998755287379</v>
      </c>
      <c r="AE108" s="41" t="str">
        <f t="shared" si="57"/>
        <v/>
      </c>
      <c r="AF108" s="24">
        <f t="shared" si="58"/>
        <v>11.999985063448548</v>
      </c>
      <c r="AG108" s="41" t="str">
        <f t="shared" si="59"/>
        <v/>
      </c>
      <c r="AH108" s="24">
        <f t="shared" si="60"/>
        <v>11.99982076138258</v>
      </c>
      <c r="AI108" s="41" t="str">
        <f t="shared" si="61"/>
        <v/>
      </c>
      <c r="AJ108" s="24">
        <f t="shared" si="62"/>
        <v>11.997849136590958</v>
      </c>
      <c r="AK108" s="41" t="str">
        <f t="shared" si="63"/>
        <v/>
      </c>
    </row>
    <row r="109" spans="1:37" ht="13.5" customHeight="1">
      <c r="A109" s="770"/>
      <c r="B109" s="774"/>
      <c r="C109" s="774"/>
      <c r="D109" s="774"/>
      <c r="E109" s="610" t="s">
        <v>522</v>
      </c>
      <c r="F109" s="147">
        <v>-83500000</v>
      </c>
      <c r="G109" s="8">
        <v>4</v>
      </c>
      <c r="H109" s="21">
        <f t="shared" si="36"/>
        <v>1304687.5</v>
      </c>
      <c r="I109" s="37" t="str">
        <f t="shared" si="37"/>
        <v>5;2E04</v>
      </c>
      <c r="J109" s="38">
        <v>5</v>
      </c>
      <c r="K109" s="132">
        <f t="shared" si="38"/>
        <v>5.2432464474022638</v>
      </c>
      <c r="L109" s="39" t="str">
        <f>INDEX(powers!$H$2:$H$75,33+J109)</f>
        <v>cosmic milly</v>
      </c>
      <c r="M109" s="40" t="str">
        <f t="shared" si="39"/>
        <v>5</v>
      </c>
      <c r="N109" s="24">
        <f t="shared" si="40"/>
        <v>2.9189573688271651</v>
      </c>
      <c r="O109" s="41" t="str">
        <f t="shared" si="41"/>
        <v>2</v>
      </c>
      <c r="P109" s="24">
        <f t="shared" si="42"/>
        <v>11.027488425925981</v>
      </c>
      <c r="Q109" s="41" t="str">
        <f t="shared" si="43"/>
        <v>E</v>
      </c>
      <c r="R109" s="24">
        <f t="shared" si="44"/>
        <v>0.32986111111176797</v>
      </c>
      <c r="S109" s="41" t="str">
        <f t="shared" si="45"/>
        <v>0</v>
      </c>
      <c r="T109" s="24">
        <f t="shared" si="46"/>
        <v>3.9583333333412156</v>
      </c>
      <c r="U109" s="41" t="str">
        <f t="shared" si="47"/>
        <v>4</v>
      </c>
      <c r="V109" s="24">
        <f t="shared" si="48"/>
        <v>11.500000000094587</v>
      </c>
      <c r="W109" s="41" t="str">
        <f t="shared" si="49"/>
        <v/>
      </c>
      <c r="X109" s="24">
        <f t="shared" si="50"/>
        <v>6.0000000011350494</v>
      </c>
      <c r="Y109" s="41" t="str">
        <f t="shared" si="51"/>
        <v/>
      </c>
      <c r="Z109" s="24">
        <f t="shared" si="52"/>
        <v>1.3620592653751373E-8</v>
      </c>
      <c r="AA109" s="41" t="str">
        <f t="shared" si="53"/>
        <v/>
      </c>
      <c r="AB109" s="24">
        <f t="shared" si="54"/>
        <v>1.6344711184501648E-7</v>
      </c>
      <c r="AC109" s="41" t="str">
        <f t="shared" si="55"/>
        <v/>
      </c>
      <c r="AD109" s="24">
        <f t="shared" si="56"/>
        <v>1.9613653421401978E-6</v>
      </c>
      <c r="AE109" s="41" t="str">
        <f t="shared" si="57"/>
        <v/>
      </c>
      <c r="AF109" s="24">
        <f t="shared" si="58"/>
        <v>2.3536384105682373E-5</v>
      </c>
      <c r="AG109" s="41" t="str">
        <f t="shared" si="59"/>
        <v/>
      </c>
      <c r="AH109" s="24">
        <f t="shared" si="60"/>
        <v>2.8243660926818848E-4</v>
      </c>
      <c r="AI109" s="41" t="str">
        <f t="shared" si="61"/>
        <v/>
      </c>
      <c r="AJ109" s="24">
        <f t="shared" si="62"/>
        <v>3.3892393112182617E-3</v>
      </c>
      <c r="AK109" s="41" t="str">
        <f t="shared" si="63"/>
        <v/>
      </c>
    </row>
    <row r="110" spans="1:37" ht="13.5" customHeight="1">
      <c r="A110" s="770"/>
      <c r="B110" s="775"/>
      <c r="C110" s="775"/>
      <c r="D110" s="775"/>
      <c r="E110" s="610" t="s">
        <v>523</v>
      </c>
      <c r="F110" s="147">
        <v>-70600000</v>
      </c>
      <c r="G110" s="8">
        <v>4</v>
      </c>
      <c r="H110" s="21">
        <f t="shared" si="36"/>
        <v>1103125</v>
      </c>
      <c r="I110" s="37" t="str">
        <f t="shared" si="37"/>
        <v>4;5247</v>
      </c>
      <c r="J110" s="38">
        <v>5</v>
      </c>
      <c r="K110" s="132">
        <f t="shared" si="38"/>
        <v>4.4332119663065841</v>
      </c>
      <c r="L110" s="39" t="str">
        <f>INDEX(powers!$H$2:$H$75,33+J110)</f>
        <v>cosmic milly</v>
      </c>
      <c r="M110" s="40" t="str">
        <f t="shared" si="39"/>
        <v>4</v>
      </c>
      <c r="N110" s="24">
        <f t="shared" si="40"/>
        <v>5.1985435956790091</v>
      </c>
      <c r="O110" s="41" t="str">
        <f t="shared" si="41"/>
        <v>5</v>
      </c>
      <c r="P110" s="24">
        <f t="shared" si="42"/>
        <v>2.3825231481481097</v>
      </c>
      <c r="Q110" s="41" t="str">
        <f t="shared" si="43"/>
        <v>2</v>
      </c>
      <c r="R110" s="24">
        <f t="shared" si="44"/>
        <v>4.5902777777773167</v>
      </c>
      <c r="S110" s="41" t="str">
        <f t="shared" si="45"/>
        <v>4</v>
      </c>
      <c r="T110" s="24">
        <f t="shared" si="46"/>
        <v>7.0833333333278006</v>
      </c>
      <c r="U110" s="41" t="str">
        <f t="shared" si="47"/>
        <v>7</v>
      </c>
      <c r="V110" s="24">
        <f t="shared" si="48"/>
        <v>0.99999999993360689</v>
      </c>
      <c r="W110" s="41" t="str">
        <f t="shared" si="49"/>
        <v/>
      </c>
      <c r="X110" s="24">
        <f t="shared" si="50"/>
        <v>11.999999999203283</v>
      </c>
      <c r="Y110" s="41" t="str">
        <f t="shared" si="51"/>
        <v/>
      </c>
      <c r="Z110" s="24">
        <f t="shared" si="52"/>
        <v>11.999999990439392</v>
      </c>
      <c r="AA110" s="41" t="str">
        <f t="shared" si="53"/>
        <v/>
      </c>
      <c r="AB110" s="24">
        <f t="shared" si="54"/>
        <v>11.9999998852727</v>
      </c>
      <c r="AC110" s="41" t="str">
        <f t="shared" si="55"/>
        <v/>
      </c>
      <c r="AD110" s="24">
        <f t="shared" si="56"/>
        <v>11.999998623272404</v>
      </c>
      <c r="AE110" s="41" t="str">
        <f t="shared" si="57"/>
        <v/>
      </c>
      <c r="AF110" s="24">
        <f t="shared" si="58"/>
        <v>11.999983479268849</v>
      </c>
      <c r="AG110" s="41" t="str">
        <f t="shared" si="59"/>
        <v/>
      </c>
      <c r="AH110" s="24">
        <f t="shared" si="60"/>
        <v>11.999801751226187</v>
      </c>
      <c r="AI110" s="41" t="str">
        <f t="shared" si="61"/>
        <v/>
      </c>
      <c r="AJ110" s="24">
        <f t="shared" si="62"/>
        <v>11.997621014714241</v>
      </c>
      <c r="AK110" s="41" t="str">
        <f t="shared" si="63"/>
        <v/>
      </c>
    </row>
    <row r="111" spans="1:37" ht="13.5" customHeight="1">
      <c r="A111" s="770"/>
      <c r="B111" s="773" t="s">
        <v>524</v>
      </c>
      <c r="C111" s="773" t="s">
        <v>525</v>
      </c>
      <c r="D111" s="773" t="s">
        <v>526</v>
      </c>
      <c r="E111" s="610" t="s">
        <v>527</v>
      </c>
      <c r="F111" s="147">
        <v>-65500000</v>
      </c>
      <c r="G111" s="8">
        <v>4</v>
      </c>
      <c r="H111" s="21">
        <f t="shared" si="36"/>
        <v>1023437.5</v>
      </c>
      <c r="I111" s="37" t="str">
        <f t="shared" si="37"/>
        <v>4;1432</v>
      </c>
      <c r="J111" s="38">
        <v>5</v>
      </c>
      <c r="K111" s="132">
        <f t="shared" si="38"/>
        <v>4.112965776105967</v>
      </c>
      <c r="L111" s="39" t="str">
        <f>INDEX(powers!$H$2:$H$75,33+J111)</f>
        <v>cosmic milly</v>
      </c>
      <c r="M111" s="40" t="str">
        <f t="shared" si="39"/>
        <v>4</v>
      </c>
      <c r="N111" s="24">
        <f t="shared" si="40"/>
        <v>1.3555893132716044</v>
      </c>
      <c r="O111" s="41" t="str">
        <f t="shared" si="41"/>
        <v>1</v>
      </c>
      <c r="P111" s="24">
        <f t="shared" si="42"/>
        <v>4.2670717592592524</v>
      </c>
      <c r="Q111" s="41" t="str">
        <f t="shared" si="43"/>
        <v>4</v>
      </c>
      <c r="R111" s="24">
        <f t="shared" si="44"/>
        <v>3.204861111111029</v>
      </c>
      <c r="S111" s="41" t="str">
        <f t="shared" si="45"/>
        <v>3</v>
      </c>
      <c r="T111" s="24">
        <f t="shared" si="46"/>
        <v>2.458333333332348</v>
      </c>
      <c r="U111" s="41" t="str">
        <f t="shared" si="47"/>
        <v>2</v>
      </c>
      <c r="V111" s="24">
        <f t="shared" si="48"/>
        <v>5.4999999999881766</v>
      </c>
      <c r="W111" s="41" t="str">
        <f t="shared" si="49"/>
        <v/>
      </c>
      <c r="X111" s="24">
        <f t="shared" si="50"/>
        <v>5.9999999998581188</v>
      </c>
      <c r="Y111" s="41" t="str">
        <f t="shared" si="51"/>
        <v/>
      </c>
      <c r="Z111" s="24">
        <f t="shared" si="52"/>
        <v>11.999999998297426</v>
      </c>
      <c r="AA111" s="41" t="str">
        <f t="shared" si="53"/>
        <v/>
      </c>
      <c r="AB111" s="24">
        <f t="shared" si="54"/>
        <v>11.999999979569111</v>
      </c>
      <c r="AC111" s="41" t="str">
        <f t="shared" si="55"/>
        <v/>
      </c>
      <c r="AD111" s="24">
        <f t="shared" si="56"/>
        <v>11.999999754829332</v>
      </c>
      <c r="AE111" s="41" t="str">
        <f t="shared" si="57"/>
        <v/>
      </c>
      <c r="AF111" s="24">
        <f t="shared" si="58"/>
        <v>11.999997057951987</v>
      </c>
      <c r="AG111" s="41" t="str">
        <f t="shared" si="59"/>
        <v/>
      </c>
      <c r="AH111" s="24">
        <f t="shared" si="60"/>
        <v>11.999964695423841</v>
      </c>
      <c r="AI111" s="41" t="str">
        <f t="shared" si="61"/>
        <v/>
      </c>
      <c r="AJ111" s="24">
        <f t="shared" si="62"/>
        <v>11.999576345086098</v>
      </c>
      <c r="AK111" s="41" t="str">
        <f t="shared" si="63"/>
        <v/>
      </c>
    </row>
    <row r="112" spans="1:37" ht="13.5" customHeight="1">
      <c r="A112" s="770"/>
      <c r="B112" s="774"/>
      <c r="C112" s="774"/>
      <c r="D112" s="774"/>
      <c r="E112" s="610" t="s">
        <v>528</v>
      </c>
      <c r="F112" s="147">
        <v>-61100000</v>
      </c>
      <c r="G112" s="8">
        <v>4</v>
      </c>
      <c r="H112" s="21">
        <f t="shared" si="36"/>
        <v>954687.5</v>
      </c>
      <c r="I112" s="37" t="str">
        <f t="shared" si="37"/>
        <v>3;X059</v>
      </c>
      <c r="J112" s="38">
        <v>5</v>
      </c>
      <c r="K112" s="132">
        <f t="shared" si="38"/>
        <v>3.83667494534465</v>
      </c>
      <c r="L112" s="39" t="str">
        <f>INDEX(powers!$H$2:$H$75,33+J112)</f>
        <v>cosmic milly</v>
      </c>
      <c r="M112" s="40" t="str">
        <f t="shared" si="39"/>
        <v>3</v>
      </c>
      <c r="N112" s="24">
        <f t="shared" si="40"/>
        <v>10.0400993441358</v>
      </c>
      <c r="O112" s="41" t="str">
        <f t="shared" si="41"/>
        <v>X</v>
      </c>
      <c r="P112" s="24">
        <f t="shared" si="42"/>
        <v>0.48119212962960489</v>
      </c>
      <c r="Q112" s="41" t="str">
        <f t="shared" si="43"/>
        <v>0</v>
      </c>
      <c r="R112" s="24">
        <f t="shared" si="44"/>
        <v>5.7743055555552587</v>
      </c>
      <c r="S112" s="41" t="str">
        <f t="shared" si="45"/>
        <v>5</v>
      </c>
      <c r="T112" s="24">
        <f t="shared" si="46"/>
        <v>9.2916666666631045</v>
      </c>
      <c r="U112" s="41" t="str">
        <f t="shared" si="47"/>
        <v>9</v>
      </c>
      <c r="V112" s="24">
        <f t="shared" si="48"/>
        <v>3.4999999999572537</v>
      </c>
      <c r="W112" s="41" t="str">
        <f t="shared" si="49"/>
        <v/>
      </c>
      <c r="X112" s="24">
        <f t="shared" si="50"/>
        <v>5.999999999487045</v>
      </c>
      <c r="Y112" s="41" t="str">
        <f t="shared" si="51"/>
        <v/>
      </c>
      <c r="Z112" s="24">
        <f t="shared" si="52"/>
        <v>11.99999999384454</v>
      </c>
      <c r="AA112" s="41" t="str">
        <f t="shared" si="53"/>
        <v/>
      </c>
      <c r="AB112" s="24">
        <f t="shared" si="54"/>
        <v>11.999999926134478</v>
      </c>
      <c r="AC112" s="41" t="str">
        <f t="shared" si="55"/>
        <v/>
      </c>
      <c r="AD112" s="24">
        <f t="shared" si="56"/>
        <v>11.99999911361374</v>
      </c>
      <c r="AE112" s="41" t="str">
        <f t="shared" si="57"/>
        <v/>
      </c>
      <c r="AF112" s="24">
        <f t="shared" si="58"/>
        <v>11.999989363364875</v>
      </c>
      <c r="AG112" s="41" t="str">
        <f t="shared" si="59"/>
        <v/>
      </c>
      <c r="AH112" s="24">
        <f t="shared" si="60"/>
        <v>11.999872360378504</v>
      </c>
      <c r="AI112" s="41" t="str">
        <f t="shared" si="61"/>
        <v/>
      </c>
      <c r="AJ112" s="24">
        <f t="shared" si="62"/>
        <v>11.998468324542046</v>
      </c>
      <c r="AK112" s="41" t="str">
        <f t="shared" si="63"/>
        <v/>
      </c>
    </row>
    <row r="113" spans="1:37" ht="13.5" customHeight="1">
      <c r="A113" s="770"/>
      <c r="B113" s="774"/>
      <c r="C113" s="774"/>
      <c r="D113" s="775"/>
      <c r="E113" s="610" t="s">
        <v>529</v>
      </c>
      <c r="F113" s="147">
        <v>-58700000</v>
      </c>
      <c r="G113" s="8">
        <v>4</v>
      </c>
      <c r="H113" s="21">
        <f t="shared" si="36"/>
        <v>917187.5</v>
      </c>
      <c r="I113" s="37" t="str">
        <f t="shared" si="37"/>
        <v>3;8294</v>
      </c>
      <c r="J113" s="38">
        <v>5</v>
      </c>
      <c r="K113" s="132">
        <f t="shared" si="38"/>
        <v>3.6859708558384772</v>
      </c>
      <c r="L113" s="39" t="str">
        <f>INDEX(powers!$H$2:$H$75,33+J113)</f>
        <v>cosmic milly</v>
      </c>
      <c r="M113" s="40" t="str">
        <f t="shared" si="39"/>
        <v>3</v>
      </c>
      <c r="N113" s="24">
        <f t="shared" si="40"/>
        <v>8.231650270061726</v>
      </c>
      <c r="O113" s="41" t="str">
        <f t="shared" si="41"/>
        <v>8</v>
      </c>
      <c r="P113" s="24">
        <f t="shared" si="42"/>
        <v>2.7798032407407121</v>
      </c>
      <c r="Q113" s="41" t="str">
        <f t="shared" si="43"/>
        <v>2</v>
      </c>
      <c r="R113" s="24">
        <f t="shared" si="44"/>
        <v>9.3576388888885447</v>
      </c>
      <c r="S113" s="41" t="str">
        <f t="shared" si="45"/>
        <v>9</v>
      </c>
      <c r="T113" s="24">
        <f t="shared" si="46"/>
        <v>4.291666666662536</v>
      </c>
      <c r="U113" s="41" t="str">
        <f t="shared" si="47"/>
        <v>4</v>
      </c>
      <c r="V113" s="24">
        <f t="shared" si="48"/>
        <v>3.4999999999504325</v>
      </c>
      <c r="W113" s="41" t="str">
        <f t="shared" si="49"/>
        <v/>
      </c>
      <c r="X113" s="24">
        <f t="shared" si="50"/>
        <v>5.9999999994051905</v>
      </c>
      <c r="Y113" s="41" t="str">
        <f t="shared" si="51"/>
        <v/>
      </c>
      <c r="Z113" s="24">
        <f t="shared" si="52"/>
        <v>11.999999992862286</v>
      </c>
      <c r="AA113" s="41" t="str">
        <f t="shared" si="53"/>
        <v/>
      </c>
      <c r="AB113" s="24">
        <f t="shared" si="54"/>
        <v>11.999999914347427</v>
      </c>
      <c r="AC113" s="41" t="str">
        <f t="shared" si="55"/>
        <v/>
      </c>
      <c r="AD113" s="24">
        <f t="shared" si="56"/>
        <v>11.999998972169124</v>
      </c>
      <c r="AE113" s="41" t="str">
        <f t="shared" si="57"/>
        <v/>
      </c>
      <c r="AF113" s="24">
        <f t="shared" si="58"/>
        <v>11.999987666029483</v>
      </c>
      <c r="AG113" s="41" t="str">
        <f t="shared" si="59"/>
        <v/>
      </c>
      <c r="AH113" s="24">
        <f t="shared" si="60"/>
        <v>11.999851992353797</v>
      </c>
      <c r="AI113" s="41" t="str">
        <f t="shared" si="61"/>
        <v/>
      </c>
      <c r="AJ113" s="24">
        <f t="shared" si="62"/>
        <v>11.998223908245564</v>
      </c>
      <c r="AK113" s="41" t="str">
        <f t="shared" si="63"/>
        <v/>
      </c>
    </row>
    <row r="114" spans="1:37" ht="13.5" customHeight="1">
      <c r="A114" s="770"/>
      <c r="B114" s="774"/>
      <c r="C114" s="774"/>
      <c r="D114" s="773" t="s">
        <v>530</v>
      </c>
      <c r="E114" s="610" t="s">
        <v>531</v>
      </c>
      <c r="F114" s="147">
        <v>-55800000</v>
      </c>
      <c r="G114" s="8">
        <v>4</v>
      </c>
      <c r="H114" s="21">
        <f t="shared" si="36"/>
        <v>871875</v>
      </c>
      <c r="I114" s="37" t="str">
        <f t="shared" si="37"/>
        <v>3;6068</v>
      </c>
      <c r="J114" s="38">
        <v>5</v>
      </c>
      <c r="K114" s="132">
        <f t="shared" si="38"/>
        <v>3.5038700810185186</v>
      </c>
      <c r="L114" s="39" t="str">
        <f>INDEX(powers!$H$2:$H$75,33+J114)</f>
        <v>cosmic milly</v>
      </c>
      <c r="M114" s="40" t="str">
        <f t="shared" si="39"/>
        <v>3</v>
      </c>
      <c r="N114" s="24">
        <f t="shared" si="40"/>
        <v>6.0464409722222232</v>
      </c>
      <c r="O114" s="41" t="str">
        <f t="shared" si="41"/>
        <v>6</v>
      </c>
      <c r="P114" s="24">
        <f t="shared" si="42"/>
        <v>0.55729166666667851</v>
      </c>
      <c r="Q114" s="41" t="str">
        <f t="shared" si="43"/>
        <v>0</v>
      </c>
      <c r="R114" s="24">
        <f t="shared" si="44"/>
        <v>6.6875000000001421</v>
      </c>
      <c r="S114" s="41" t="str">
        <f t="shared" si="45"/>
        <v>6</v>
      </c>
      <c r="T114" s="24">
        <f t="shared" si="46"/>
        <v>8.2500000000017053</v>
      </c>
      <c r="U114" s="41" t="str">
        <f t="shared" si="47"/>
        <v>8</v>
      </c>
      <c r="V114" s="24">
        <f t="shared" si="48"/>
        <v>3.0000000000204636</v>
      </c>
      <c r="W114" s="41" t="str">
        <f t="shared" si="49"/>
        <v/>
      </c>
      <c r="X114" s="24">
        <f t="shared" si="50"/>
        <v>2.4556356947869062E-10</v>
      </c>
      <c r="Y114" s="41" t="str">
        <f t="shared" si="51"/>
        <v/>
      </c>
      <c r="Z114" s="24">
        <f t="shared" si="52"/>
        <v>2.9467628337442875E-9</v>
      </c>
      <c r="AA114" s="41" t="str">
        <f t="shared" si="53"/>
        <v/>
      </c>
      <c r="AB114" s="24">
        <f t="shared" si="54"/>
        <v>3.536115400493145E-8</v>
      </c>
      <c r="AC114" s="41" t="str">
        <f t="shared" si="55"/>
        <v/>
      </c>
      <c r="AD114" s="24">
        <f t="shared" si="56"/>
        <v>4.243338480591774E-7</v>
      </c>
      <c r="AE114" s="41" t="str">
        <f t="shared" si="57"/>
        <v/>
      </c>
      <c r="AF114" s="24">
        <f t="shared" si="58"/>
        <v>5.0920061767101288E-6</v>
      </c>
      <c r="AG114" s="41" t="str">
        <f t="shared" si="59"/>
        <v/>
      </c>
      <c r="AH114" s="24">
        <f t="shared" si="60"/>
        <v>6.1104074120521545E-5</v>
      </c>
      <c r="AI114" s="41" t="str">
        <f t="shared" si="61"/>
        <v/>
      </c>
      <c r="AJ114" s="24">
        <f t="shared" si="62"/>
        <v>7.3324888944625854E-4</v>
      </c>
      <c r="AK114" s="41" t="str">
        <f t="shared" si="63"/>
        <v/>
      </c>
    </row>
    <row r="115" spans="1:37" ht="13.5" customHeight="1">
      <c r="A115" s="770"/>
      <c r="B115" s="774"/>
      <c r="C115" s="774"/>
      <c r="D115" s="774"/>
      <c r="E115" s="610" t="s">
        <v>532</v>
      </c>
      <c r="F115" s="147">
        <v>-48600000</v>
      </c>
      <c r="G115" s="8">
        <v>4</v>
      </c>
      <c r="H115" s="21">
        <f t="shared" si="36"/>
        <v>759375</v>
      </c>
      <c r="I115" s="37" t="str">
        <f t="shared" si="37"/>
        <v>3;0755</v>
      </c>
      <c r="J115" s="38">
        <v>5</v>
      </c>
      <c r="K115" s="132">
        <f t="shared" si="38"/>
        <v>3.0517578125</v>
      </c>
      <c r="L115" s="39" t="str">
        <f>INDEX(powers!$H$2:$H$75,33+J115)</f>
        <v>cosmic milly</v>
      </c>
      <c r="M115" s="40" t="str">
        <f t="shared" ref="M115:M132" si="64">IF($G115&gt;=M$17,MID($J$17,IF($G115&gt;M$17,INT(K115),ROUND(K115,0))+1,1),"")</f>
        <v>3</v>
      </c>
      <c r="N115" s="24">
        <f t="shared" si="40"/>
        <v>0.62109375</v>
      </c>
      <c r="O115" s="41" t="str">
        <f t="shared" ref="O115:O132" si="65">IF($G115&gt;=O$17,MID($J$17,IF($G115&gt;O$17,INT(N115),ROUND(N115,0))+1,1),"")</f>
        <v>0</v>
      </c>
      <c r="P115" s="24">
        <f t="shared" si="42"/>
        <v>7.453125</v>
      </c>
      <c r="Q115" s="41" t="str">
        <f t="shared" ref="Q115:Q132" si="66">IF($G115&gt;=Q$17,MID($J$17,IF($G115&gt;Q$17,INT(P115),ROUND(P115,0))+1,1),"")</f>
        <v>7</v>
      </c>
      <c r="R115" s="24">
        <f t="shared" si="44"/>
        <v>5.4375</v>
      </c>
      <c r="S115" s="41" t="str">
        <f t="shared" ref="S115:S132" si="67">IF($G115&gt;=S$17,MID($J$17,IF($G115&gt;S$17,INT(R115),ROUND(R115,0))+1,1),"")</f>
        <v>5</v>
      </c>
      <c r="T115" s="24">
        <f t="shared" si="46"/>
        <v>5.25</v>
      </c>
      <c r="U115" s="41" t="str">
        <f t="shared" ref="U115:U132" si="68">IF($G115&gt;=U$17,MID($J$17,IF($G115&gt;U$17,INT(T115),ROUND(T115,0))+1,1),"")</f>
        <v>5</v>
      </c>
      <c r="V115" s="24">
        <f t="shared" si="48"/>
        <v>3</v>
      </c>
      <c r="W115" s="41" t="str">
        <f t="shared" ref="W115:W132" si="69">IF($G115&gt;=W$17,MID($J$17,IF($G115&gt;W$17,INT(V115),ROUND(V115,0))+1,1),"")</f>
        <v/>
      </c>
      <c r="X115" s="24">
        <f t="shared" si="50"/>
        <v>0</v>
      </c>
      <c r="Y115" s="41" t="str">
        <f t="shared" ref="Y115:Y132" si="70">IF($G115&gt;=Y$17,MID($J$17,IF($G115&gt;Y$17,INT(X115),ROUND(X115,0))+1,1),"")</f>
        <v/>
      </c>
      <c r="Z115" s="24">
        <f t="shared" si="52"/>
        <v>0</v>
      </c>
      <c r="AA115" s="41" t="str">
        <f t="shared" ref="AA115:AA132" si="71">IF($G115&gt;=AA$17,MID($J$17,IF($G115&gt;AA$17,INT(Z115),ROUND(Z115,0))+1,1),"")</f>
        <v/>
      </c>
      <c r="AB115" s="24">
        <f t="shared" si="54"/>
        <v>0</v>
      </c>
      <c r="AC115" s="41" t="str">
        <f t="shared" ref="AC115:AC132" si="72">IF($G115&gt;=AC$17,MID($J$17,IF($G115&gt;AC$17,INT(AB115),ROUND(AB115,0))+1,1),"")</f>
        <v/>
      </c>
      <c r="AD115" s="24">
        <f t="shared" si="56"/>
        <v>0</v>
      </c>
      <c r="AE115" s="41" t="str">
        <f t="shared" ref="AE115:AE132" si="73">IF($G115&gt;=AE$17,MID($J$17,IF($G115&gt;AE$17,INT(AD115),ROUND(AD115,0))+1,1),"")</f>
        <v/>
      </c>
      <c r="AF115" s="24">
        <f t="shared" si="58"/>
        <v>0</v>
      </c>
      <c r="AG115" s="41" t="str">
        <f t="shared" ref="AG115:AG132" si="74">IF($G115&gt;=AG$17,MID($J$17,IF($G115&gt;AG$17,INT(AF115),ROUND(AF115,0))+1,1),"")</f>
        <v/>
      </c>
      <c r="AH115" s="24">
        <f t="shared" si="60"/>
        <v>0</v>
      </c>
      <c r="AI115" s="41" t="str">
        <f t="shared" ref="AI115:AI132" si="75">IF($G115&gt;=AI$17,MID($J$17,IF($G115&gt;AI$17,INT(AH115),ROUND(AH115,0))+1,1),"")</f>
        <v/>
      </c>
      <c r="AJ115" s="24">
        <f t="shared" si="62"/>
        <v>0</v>
      </c>
      <c r="AK115" s="41" t="str">
        <f t="shared" ref="AK115:AK132" si="76">IF($G115&gt;=AK$17,MID($J$17,IF($G115&gt;AK$17,INT(AJ115),ROUND(AJ115,0))+1,1),"")</f>
        <v/>
      </c>
    </row>
    <row r="116" spans="1:37" ht="13.5" customHeight="1">
      <c r="A116" s="770"/>
      <c r="B116" s="774"/>
      <c r="C116" s="774"/>
      <c r="D116" s="774"/>
      <c r="E116" s="610" t="s">
        <v>533</v>
      </c>
      <c r="F116" s="147">
        <v>-40400000</v>
      </c>
      <c r="G116" s="8">
        <v>4</v>
      </c>
      <c r="H116" s="21">
        <f t="shared" si="36"/>
        <v>631250</v>
      </c>
      <c r="I116" s="37" t="str">
        <f t="shared" si="37"/>
        <v>2;6538</v>
      </c>
      <c r="J116" s="38">
        <v>5</v>
      </c>
      <c r="K116" s="132">
        <f t="shared" si="38"/>
        <v>2.5368521733539096</v>
      </c>
      <c r="L116" s="39" t="str">
        <f>INDEX(powers!$H$2:$H$75,33+J116)</f>
        <v>cosmic milly</v>
      </c>
      <c r="M116" s="40" t="str">
        <f t="shared" si="64"/>
        <v>2</v>
      </c>
      <c r="N116" s="24">
        <f t="shared" si="40"/>
        <v>6.4422260802469147</v>
      </c>
      <c r="O116" s="41" t="str">
        <f t="shared" si="65"/>
        <v>6</v>
      </c>
      <c r="P116" s="24">
        <f t="shared" si="42"/>
        <v>5.3067129629629761</v>
      </c>
      <c r="Q116" s="41" t="str">
        <f t="shared" si="66"/>
        <v>5</v>
      </c>
      <c r="R116" s="24">
        <f t="shared" si="44"/>
        <v>3.6805555555557135</v>
      </c>
      <c r="S116" s="41" t="str">
        <f t="shared" si="67"/>
        <v>3</v>
      </c>
      <c r="T116" s="24">
        <f t="shared" si="46"/>
        <v>8.1666666666685614</v>
      </c>
      <c r="U116" s="41" t="str">
        <f t="shared" si="68"/>
        <v>8</v>
      </c>
      <c r="V116" s="24">
        <f t="shared" si="48"/>
        <v>2.0000000000227374</v>
      </c>
      <c r="W116" s="41" t="str">
        <f t="shared" si="69"/>
        <v/>
      </c>
      <c r="X116" s="24">
        <f t="shared" si="50"/>
        <v>2.7284841053187847E-10</v>
      </c>
      <c r="Y116" s="41" t="str">
        <f t="shared" si="70"/>
        <v/>
      </c>
      <c r="Z116" s="24">
        <f t="shared" si="52"/>
        <v>3.2741809263825417E-9</v>
      </c>
      <c r="AA116" s="41" t="str">
        <f t="shared" si="71"/>
        <v/>
      </c>
      <c r="AB116" s="24">
        <f t="shared" si="54"/>
        <v>3.92901711165905E-8</v>
      </c>
      <c r="AC116" s="41" t="str">
        <f t="shared" si="72"/>
        <v/>
      </c>
      <c r="AD116" s="24">
        <f t="shared" si="56"/>
        <v>4.71482053399086E-7</v>
      </c>
      <c r="AE116" s="41" t="str">
        <f t="shared" si="73"/>
        <v/>
      </c>
      <c r="AF116" s="24">
        <f t="shared" si="58"/>
        <v>5.657784640789032E-6</v>
      </c>
      <c r="AG116" s="41" t="str">
        <f t="shared" si="74"/>
        <v/>
      </c>
      <c r="AH116" s="24">
        <f t="shared" si="60"/>
        <v>6.7893415689468384E-5</v>
      </c>
      <c r="AI116" s="41" t="str">
        <f t="shared" si="75"/>
        <v/>
      </c>
      <c r="AJ116" s="24">
        <f t="shared" si="62"/>
        <v>8.1472098827362061E-4</v>
      </c>
      <c r="AK116" s="41" t="str">
        <f t="shared" si="76"/>
        <v/>
      </c>
    </row>
    <row r="117" spans="1:37" ht="13.5" customHeight="1">
      <c r="A117" s="770"/>
      <c r="B117" s="774"/>
      <c r="C117" s="774"/>
      <c r="D117" s="775"/>
      <c r="E117" s="610" t="s">
        <v>534</v>
      </c>
      <c r="F117" s="147">
        <v>-37200000</v>
      </c>
      <c r="G117" s="8">
        <v>4</v>
      </c>
      <c r="H117" s="21">
        <f t="shared" si="36"/>
        <v>581250</v>
      </c>
      <c r="I117" s="37" t="str">
        <f t="shared" si="37"/>
        <v>2;4046</v>
      </c>
      <c r="J117" s="38">
        <v>5</v>
      </c>
      <c r="K117" s="132">
        <f t="shared" si="38"/>
        <v>2.3359133873456792</v>
      </c>
      <c r="L117" s="39" t="str">
        <f>INDEX(powers!$H$2:$H$75,33+J117)</f>
        <v>cosmic milly</v>
      </c>
      <c r="M117" s="40" t="str">
        <f t="shared" si="64"/>
        <v>2</v>
      </c>
      <c r="N117" s="24">
        <f t="shared" si="40"/>
        <v>4.0309606481481506</v>
      </c>
      <c r="O117" s="41" t="str">
        <f t="shared" si="65"/>
        <v>4</v>
      </c>
      <c r="P117" s="24">
        <f t="shared" si="42"/>
        <v>0.37152777777780699</v>
      </c>
      <c r="Q117" s="41" t="str">
        <f t="shared" si="66"/>
        <v>0</v>
      </c>
      <c r="R117" s="24">
        <f t="shared" si="44"/>
        <v>4.4583333333336839</v>
      </c>
      <c r="S117" s="41" t="str">
        <f t="shared" si="67"/>
        <v>4</v>
      </c>
      <c r="T117" s="24">
        <f t="shared" si="46"/>
        <v>5.5000000000042064</v>
      </c>
      <c r="U117" s="41" t="str">
        <f t="shared" si="68"/>
        <v>6</v>
      </c>
      <c r="V117" s="24">
        <f t="shared" si="48"/>
        <v>6.000000000050477</v>
      </c>
      <c r="W117" s="41" t="str">
        <f t="shared" si="69"/>
        <v/>
      </c>
      <c r="X117" s="24">
        <f t="shared" si="50"/>
        <v>6.0572347138077021E-10</v>
      </c>
      <c r="Y117" s="41" t="str">
        <f t="shared" si="70"/>
        <v/>
      </c>
      <c r="Z117" s="24">
        <f t="shared" si="52"/>
        <v>7.2686816565692425E-9</v>
      </c>
      <c r="AA117" s="41" t="str">
        <f t="shared" si="71"/>
        <v/>
      </c>
      <c r="AB117" s="24">
        <f t="shared" si="54"/>
        <v>8.722417987883091E-8</v>
      </c>
      <c r="AC117" s="41" t="str">
        <f t="shared" si="72"/>
        <v/>
      </c>
      <c r="AD117" s="24">
        <f t="shared" si="56"/>
        <v>1.0466901585459709E-6</v>
      </c>
      <c r="AE117" s="41" t="str">
        <f t="shared" si="73"/>
        <v/>
      </c>
      <c r="AF117" s="24">
        <f t="shared" si="58"/>
        <v>1.2560281902551651E-5</v>
      </c>
      <c r="AG117" s="41" t="str">
        <f t="shared" si="74"/>
        <v/>
      </c>
      <c r="AH117" s="24">
        <f t="shared" si="60"/>
        <v>1.5072338283061981E-4</v>
      </c>
      <c r="AI117" s="41" t="str">
        <f t="shared" si="75"/>
        <v/>
      </c>
      <c r="AJ117" s="24">
        <f t="shared" si="62"/>
        <v>1.8086805939674377E-3</v>
      </c>
      <c r="AK117" s="41" t="str">
        <f t="shared" si="76"/>
        <v/>
      </c>
    </row>
    <row r="118" spans="1:37" ht="13.5" customHeight="1">
      <c r="A118" s="770"/>
      <c r="B118" s="774"/>
      <c r="C118" s="774"/>
      <c r="D118" s="773" t="s">
        <v>535</v>
      </c>
      <c r="E118" s="610" t="s">
        <v>536</v>
      </c>
      <c r="F118" s="147">
        <v>-33900000</v>
      </c>
      <c r="G118" s="8">
        <v>4</v>
      </c>
      <c r="H118" s="21">
        <f t="shared" si="36"/>
        <v>529687.5</v>
      </c>
      <c r="I118" s="37" t="str">
        <f t="shared" si="37"/>
        <v>2;1665</v>
      </c>
      <c r="J118" s="38">
        <v>5</v>
      </c>
      <c r="K118" s="132">
        <f t="shared" si="38"/>
        <v>2.1286952642746915</v>
      </c>
      <c r="L118" s="39" t="str">
        <f>INDEX(powers!$H$2:$H$75,33+J118)</f>
        <v>cosmic milly</v>
      </c>
      <c r="M118" s="40" t="str">
        <f t="shared" si="64"/>
        <v>2</v>
      </c>
      <c r="N118" s="24">
        <f t="shared" si="40"/>
        <v>1.5443431712962976</v>
      </c>
      <c r="O118" s="41" t="str">
        <f t="shared" si="65"/>
        <v>1</v>
      </c>
      <c r="P118" s="24">
        <f t="shared" si="42"/>
        <v>6.5321180555555713</v>
      </c>
      <c r="Q118" s="41" t="str">
        <f t="shared" si="66"/>
        <v>6</v>
      </c>
      <c r="R118" s="24">
        <f t="shared" si="44"/>
        <v>6.3854166666668561</v>
      </c>
      <c r="S118" s="41" t="str">
        <f t="shared" si="67"/>
        <v>6</v>
      </c>
      <c r="T118" s="24">
        <f t="shared" si="46"/>
        <v>4.6250000000022737</v>
      </c>
      <c r="U118" s="41" t="str">
        <f t="shared" si="68"/>
        <v>5</v>
      </c>
      <c r="V118" s="24">
        <f t="shared" si="48"/>
        <v>7.5000000000272848</v>
      </c>
      <c r="W118" s="41" t="str">
        <f t="shared" si="69"/>
        <v/>
      </c>
      <c r="X118" s="24">
        <f t="shared" si="50"/>
        <v>6.0000000003274181</v>
      </c>
      <c r="Y118" s="41" t="str">
        <f t="shared" si="70"/>
        <v/>
      </c>
      <c r="Z118" s="24">
        <f t="shared" si="52"/>
        <v>3.92901711165905E-9</v>
      </c>
      <c r="AA118" s="41" t="str">
        <f t="shared" si="71"/>
        <v/>
      </c>
      <c r="AB118" s="24">
        <f t="shared" si="54"/>
        <v>4.71482053399086E-8</v>
      </c>
      <c r="AC118" s="41" t="str">
        <f t="shared" si="72"/>
        <v/>
      </c>
      <c r="AD118" s="24">
        <f t="shared" si="56"/>
        <v>5.657784640789032E-7</v>
      </c>
      <c r="AE118" s="41" t="str">
        <f t="shared" si="73"/>
        <v/>
      </c>
      <c r="AF118" s="24">
        <f t="shared" si="58"/>
        <v>6.7893415689468384E-6</v>
      </c>
      <c r="AG118" s="41" t="str">
        <f t="shared" si="74"/>
        <v/>
      </c>
      <c r="AH118" s="24">
        <f t="shared" si="60"/>
        <v>8.1472098827362061E-5</v>
      </c>
      <c r="AI118" s="41" t="str">
        <f t="shared" si="75"/>
        <v/>
      </c>
      <c r="AJ118" s="24">
        <f t="shared" si="62"/>
        <v>9.7766518592834473E-4</v>
      </c>
      <c r="AK118" s="41" t="str">
        <f t="shared" si="76"/>
        <v/>
      </c>
    </row>
    <row r="119" spans="1:37" ht="13.5" customHeight="1">
      <c r="A119" s="770"/>
      <c r="B119" s="774"/>
      <c r="C119" s="775"/>
      <c r="D119" s="775"/>
      <c r="E119" s="610" t="s">
        <v>537</v>
      </c>
      <c r="F119" s="147">
        <v>-28400000</v>
      </c>
      <c r="G119" s="8">
        <v>4</v>
      </c>
      <c r="H119" s="21">
        <f t="shared" si="36"/>
        <v>443750</v>
      </c>
      <c r="I119" s="37" t="str">
        <f t="shared" si="37"/>
        <v>1;9497</v>
      </c>
      <c r="J119" s="38">
        <v>5</v>
      </c>
      <c r="K119" s="132">
        <f t="shared" si="38"/>
        <v>1.7833317258230452</v>
      </c>
      <c r="L119" s="39" t="str">
        <f>INDEX(powers!$H$2:$H$75,33+J119)</f>
        <v>cosmic milly</v>
      </c>
      <c r="M119" s="40" t="str">
        <f t="shared" si="64"/>
        <v>1</v>
      </c>
      <c r="N119" s="24">
        <f t="shared" si="40"/>
        <v>9.3999807098765427</v>
      </c>
      <c r="O119" s="41" t="str">
        <f t="shared" si="65"/>
        <v>9</v>
      </c>
      <c r="P119" s="24">
        <f t="shared" si="42"/>
        <v>4.7997685185185119</v>
      </c>
      <c r="Q119" s="41" t="str">
        <f t="shared" si="66"/>
        <v>4</v>
      </c>
      <c r="R119" s="24">
        <f t="shared" si="44"/>
        <v>9.5972222222221433</v>
      </c>
      <c r="S119" s="41" t="str">
        <f t="shared" si="67"/>
        <v>9</v>
      </c>
      <c r="T119" s="24">
        <f t="shared" si="46"/>
        <v>7.1666666666657193</v>
      </c>
      <c r="U119" s="41" t="str">
        <f t="shared" si="68"/>
        <v>7</v>
      </c>
      <c r="V119" s="24">
        <f t="shared" si="48"/>
        <v>1.9999999999886313</v>
      </c>
      <c r="W119" s="41" t="str">
        <f t="shared" si="69"/>
        <v/>
      </c>
      <c r="X119" s="24">
        <f t="shared" si="50"/>
        <v>11.999999999863576</v>
      </c>
      <c r="Y119" s="41" t="str">
        <f t="shared" si="70"/>
        <v/>
      </c>
      <c r="Z119" s="24">
        <f t="shared" si="52"/>
        <v>11.99999999836291</v>
      </c>
      <c r="AA119" s="41" t="str">
        <f t="shared" si="71"/>
        <v/>
      </c>
      <c r="AB119" s="24">
        <f t="shared" si="54"/>
        <v>11.999999980354914</v>
      </c>
      <c r="AC119" s="41" t="str">
        <f t="shared" si="72"/>
        <v/>
      </c>
      <c r="AD119" s="24">
        <f t="shared" si="56"/>
        <v>11.999999764258973</v>
      </c>
      <c r="AE119" s="41" t="str">
        <f t="shared" si="73"/>
        <v/>
      </c>
      <c r="AF119" s="24">
        <f t="shared" si="58"/>
        <v>11.99999717110768</v>
      </c>
      <c r="AG119" s="41" t="str">
        <f t="shared" si="74"/>
        <v/>
      </c>
      <c r="AH119" s="24">
        <f t="shared" si="60"/>
        <v>11.999966053292155</v>
      </c>
      <c r="AI119" s="41" t="str">
        <f t="shared" si="75"/>
        <v/>
      </c>
      <c r="AJ119" s="24">
        <f t="shared" si="62"/>
        <v>11.999592639505863</v>
      </c>
      <c r="AK119" s="41" t="str">
        <f t="shared" si="76"/>
        <v/>
      </c>
    </row>
    <row r="120" spans="1:37" ht="13.5" customHeight="1">
      <c r="A120" s="770"/>
      <c r="B120" s="774"/>
      <c r="C120" s="773" t="s">
        <v>538</v>
      </c>
      <c r="D120" s="773" t="s">
        <v>539</v>
      </c>
      <c r="E120" s="610" t="s">
        <v>540</v>
      </c>
      <c r="F120" s="147">
        <v>-23030000</v>
      </c>
      <c r="G120" s="8">
        <v>4</v>
      </c>
      <c r="H120" s="21">
        <f t="shared" si="36"/>
        <v>359843.75</v>
      </c>
      <c r="I120" s="37" t="str">
        <f t="shared" si="37"/>
        <v>1;542E</v>
      </c>
      <c r="J120" s="38">
        <v>5</v>
      </c>
      <c r="K120" s="132">
        <f t="shared" si="38"/>
        <v>1.4461313255529835</v>
      </c>
      <c r="L120" s="39" t="str">
        <f>INDEX(powers!$H$2:$H$75,33+J120)</f>
        <v>cosmic milly</v>
      </c>
      <c r="M120" s="40" t="str">
        <f t="shared" si="64"/>
        <v>1</v>
      </c>
      <c r="N120" s="24">
        <f t="shared" si="40"/>
        <v>5.3535759066358022</v>
      </c>
      <c r="O120" s="41" t="str">
        <f t="shared" si="65"/>
        <v>5</v>
      </c>
      <c r="P120" s="24">
        <f t="shared" si="42"/>
        <v>4.2429108796296262</v>
      </c>
      <c r="Q120" s="41" t="str">
        <f t="shared" si="66"/>
        <v>4</v>
      </c>
      <c r="R120" s="24">
        <f t="shared" si="44"/>
        <v>2.9149305555555145</v>
      </c>
      <c r="S120" s="41" t="str">
        <f t="shared" si="67"/>
        <v>2</v>
      </c>
      <c r="T120" s="24">
        <f t="shared" si="46"/>
        <v>10.979166666666174</v>
      </c>
      <c r="U120" s="41" t="str">
        <f t="shared" si="68"/>
        <v>E</v>
      </c>
      <c r="V120" s="24">
        <f t="shared" si="48"/>
        <v>11.749999999994088</v>
      </c>
      <c r="W120" s="41" t="str">
        <f t="shared" si="69"/>
        <v/>
      </c>
      <c r="X120" s="24">
        <f t="shared" si="50"/>
        <v>8.9999999999290594</v>
      </c>
      <c r="Y120" s="41" t="str">
        <f t="shared" si="70"/>
        <v/>
      </c>
      <c r="Z120" s="24">
        <f t="shared" si="52"/>
        <v>11.999999999148713</v>
      </c>
      <c r="AA120" s="41" t="str">
        <f t="shared" si="71"/>
        <v/>
      </c>
      <c r="AB120" s="24">
        <f t="shared" si="54"/>
        <v>11.999999989784556</v>
      </c>
      <c r="AC120" s="41" t="str">
        <f t="shared" si="72"/>
        <v/>
      </c>
      <c r="AD120" s="24">
        <f t="shared" si="56"/>
        <v>11.999999877414666</v>
      </c>
      <c r="AE120" s="41" t="str">
        <f t="shared" si="73"/>
        <v/>
      </c>
      <c r="AF120" s="24">
        <f t="shared" si="58"/>
        <v>11.999998528975993</v>
      </c>
      <c r="AG120" s="41" t="str">
        <f t="shared" si="74"/>
        <v/>
      </c>
      <c r="AH120" s="24">
        <f t="shared" si="60"/>
        <v>11.999982347711921</v>
      </c>
      <c r="AI120" s="41" t="str">
        <f t="shared" si="75"/>
        <v/>
      </c>
      <c r="AJ120" s="24">
        <f t="shared" si="62"/>
        <v>11.999788172543049</v>
      </c>
      <c r="AK120" s="41" t="str">
        <f t="shared" si="76"/>
        <v/>
      </c>
    </row>
    <row r="121" spans="1:37" ht="13.5" customHeight="1">
      <c r="A121" s="770"/>
      <c r="B121" s="774"/>
      <c r="C121" s="774"/>
      <c r="D121" s="774"/>
      <c r="E121" s="610" t="s">
        <v>541</v>
      </c>
      <c r="F121" s="147">
        <v>-20430000</v>
      </c>
      <c r="G121" s="8">
        <v>4</v>
      </c>
      <c r="H121" s="21">
        <f t="shared" si="36"/>
        <v>319218.75</v>
      </c>
      <c r="I121" s="37" t="str">
        <f t="shared" si="37"/>
        <v>1;348X</v>
      </c>
      <c r="J121" s="38">
        <v>5</v>
      </c>
      <c r="K121" s="132">
        <f t="shared" si="38"/>
        <v>1.2828685619212963</v>
      </c>
      <c r="L121" s="39" t="str">
        <f>INDEX(powers!$H$2:$H$75,33+J121)</f>
        <v>cosmic milly</v>
      </c>
      <c r="M121" s="40" t="str">
        <f t="shared" si="64"/>
        <v>1</v>
      </c>
      <c r="N121" s="24">
        <f t="shared" si="40"/>
        <v>3.3944227430555554</v>
      </c>
      <c r="O121" s="41" t="str">
        <f t="shared" si="65"/>
        <v>3</v>
      </c>
      <c r="P121" s="24">
        <f t="shared" si="42"/>
        <v>4.7330729166666643</v>
      </c>
      <c r="Q121" s="41" t="str">
        <f t="shared" si="66"/>
        <v>4</v>
      </c>
      <c r="R121" s="24">
        <f t="shared" si="44"/>
        <v>8.7968749999999716</v>
      </c>
      <c r="S121" s="41" t="str">
        <f t="shared" si="67"/>
        <v>8</v>
      </c>
      <c r="T121" s="24">
        <f t="shared" si="46"/>
        <v>9.5624999999996589</v>
      </c>
      <c r="U121" s="41" t="str">
        <f t="shared" si="68"/>
        <v>X</v>
      </c>
      <c r="V121" s="24">
        <f t="shared" si="48"/>
        <v>6.7499999999959073</v>
      </c>
      <c r="W121" s="41" t="str">
        <f t="shared" si="69"/>
        <v/>
      </c>
      <c r="X121" s="24">
        <f t="shared" si="50"/>
        <v>8.9999999999508873</v>
      </c>
      <c r="Y121" s="41" t="str">
        <f t="shared" si="70"/>
        <v/>
      </c>
      <c r="Z121" s="24">
        <f t="shared" si="52"/>
        <v>11.999999999410647</v>
      </c>
      <c r="AA121" s="41" t="str">
        <f t="shared" si="71"/>
        <v/>
      </c>
      <c r="AB121" s="24">
        <f t="shared" si="54"/>
        <v>11.999999992927769</v>
      </c>
      <c r="AC121" s="41" t="str">
        <f t="shared" si="72"/>
        <v/>
      </c>
      <c r="AD121" s="24">
        <f t="shared" si="56"/>
        <v>11.99999991513323</v>
      </c>
      <c r="AE121" s="41" t="str">
        <f t="shared" si="73"/>
        <v/>
      </c>
      <c r="AF121" s="24">
        <f t="shared" si="58"/>
        <v>11.999998981598765</v>
      </c>
      <c r="AG121" s="41" t="str">
        <f t="shared" si="74"/>
        <v/>
      </c>
      <c r="AH121" s="24">
        <f t="shared" si="60"/>
        <v>11.999987779185176</v>
      </c>
      <c r="AI121" s="41" t="str">
        <f t="shared" si="75"/>
        <v/>
      </c>
      <c r="AJ121" s="24">
        <f t="shared" si="62"/>
        <v>11.999853350222111</v>
      </c>
      <c r="AK121" s="41" t="str">
        <f t="shared" si="76"/>
        <v/>
      </c>
    </row>
    <row r="122" spans="1:37" ht="13.5" customHeight="1">
      <c r="A122" s="770"/>
      <c r="B122" s="774"/>
      <c r="C122" s="774"/>
      <c r="D122" s="774"/>
      <c r="E122" s="610" t="s">
        <v>542</v>
      </c>
      <c r="F122" s="147">
        <v>-15970000</v>
      </c>
      <c r="G122" s="8">
        <v>4</v>
      </c>
      <c r="H122" s="21">
        <f t="shared" si="36"/>
        <v>249531.25</v>
      </c>
      <c r="I122" s="37" t="str">
        <f t="shared" si="37"/>
        <v>1;004X</v>
      </c>
      <c r="J122" s="38">
        <v>5</v>
      </c>
      <c r="K122" s="132">
        <f t="shared" si="38"/>
        <v>1.002810128922325</v>
      </c>
      <c r="L122" s="39" t="str">
        <f>INDEX(powers!$H$2:$H$75,33+J122)</f>
        <v>cosmic milly</v>
      </c>
      <c r="M122" s="40" t="str">
        <f t="shared" si="64"/>
        <v>1</v>
      </c>
      <c r="N122" s="24">
        <f t="shared" si="40"/>
        <v>3.3721547067900204E-2</v>
      </c>
      <c r="O122" s="41" t="str">
        <f t="shared" si="65"/>
        <v>0</v>
      </c>
      <c r="P122" s="24">
        <f t="shared" si="42"/>
        <v>0.40465856481480245</v>
      </c>
      <c r="Q122" s="41" t="str">
        <f t="shared" si="66"/>
        <v>0</v>
      </c>
      <c r="R122" s="24">
        <f t="shared" si="44"/>
        <v>4.8559027777776294</v>
      </c>
      <c r="S122" s="41" t="str">
        <f t="shared" si="67"/>
        <v>4</v>
      </c>
      <c r="T122" s="24">
        <f t="shared" si="46"/>
        <v>10.270833333331552</v>
      </c>
      <c r="U122" s="41" t="str">
        <f t="shared" si="68"/>
        <v>X</v>
      </c>
      <c r="V122" s="24">
        <f t="shared" si="48"/>
        <v>3.2499999999786269</v>
      </c>
      <c r="W122" s="41" t="str">
        <f t="shared" si="69"/>
        <v/>
      </c>
      <c r="X122" s="24">
        <f t="shared" si="50"/>
        <v>2.9999999997435225</v>
      </c>
      <c r="Y122" s="41" t="str">
        <f t="shared" si="70"/>
        <v/>
      </c>
      <c r="Z122" s="24">
        <f t="shared" si="52"/>
        <v>11.99999999692227</v>
      </c>
      <c r="AA122" s="41" t="str">
        <f t="shared" si="71"/>
        <v/>
      </c>
      <c r="AB122" s="24">
        <f t="shared" si="54"/>
        <v>11.999999963067239</v>
      </c>
      <c r="AC122" s="41" t="str">
        <f t="shared" si="72"/>
        <v/>
      </c>
      <c r="AD122" s="24">
        <f t="shared" si="56"/>
        <v>11.99999955680687</v>
      </c>
      <c r="AE122" s="41" t="str">
        <f t="shared" si="73"/>
        <v/>
      </c>
      <c r="AF122" s="24">
        <f t="shared" si="58"/>
        <v>11.999994681682438</v>
      </c>
      <c r="AG122" s="41" t="str">
        <f t="shared" si="74"/>
        <v/>
      </c>
      <c r="AH122" s="24">
        <f t="shared" si="60"/>
        <v>11.999936180189252</v>
      </c>
      <c r="AI122" s="41" t="str">
        <f t="shared" si="75"/>
        <v/>
      </c>
      <c r="AJ122" s="24">
        <f t="shared" si="62"/>
        <v>11.999234162271023</v>
      </c>
      <c r="AK122" s="41" t="str">
        <f t="shared" si="76"/>
        <v/>
      </c>
    </row>
    <row r="123" spans="1:37" ht="13.5" customHeight="1">
      <c r="A123" s="770"/>
      <c r="B123" s="774"/>
      <c r="C123" s="774"/>
      <c r="D123" s="774"/>
      <c r="E123" s="610" t="s">
        <v>543</v>
      </c>
      <c r="F123" s="147">
        <v>-13820000</v>
      </c>
      <c r="G123" s="8">
        <v>4</v>
      </c>
      <c r="H123" s="21">
        <f t="shared" si="36"/>
        <v>215937.5</v>
      </c>
      <c r="I123" s="37" t="str">
        <f t="shared" si="37"/>
        <v>X;4E69</v>
      </c>
      <c r="J123" s="38">
        <v>4</v>
      </c>
      <c r="K123" s="132">
        <f t="shared" si="38"/>
        <v>10.413652584876543</v>
      </c>
      <c r="L123" s="39" t="str">
        <f>INDEX(powers!$H$2:$H$75,33+J123)</f>
        <v>super</v>
      </c>
      <c r="M123" s="40" t="str">
        <f t="shared" si="64"/>
        <v>X</v>
      </c>
      <c r="N123" s="24">
        <f t="shared" si="40"/>
        <v>4.9638310185185119</v>
      </c>
      <c r="O123" s="41" t="str">
        <f t="shared" si="65"/>
        <v>4</v>
      </c>
      <c r="P123" s="24">
        <f t="shared" si="42"/>
        <v>11.565972222222143</v>
      </c>
      <c r="Q123" s="41" t="str">
        <f t="shared" si="66"/>
        <v>E</v>
      </c>
      <c r="R123" s="24">
        <f t="shared" si="44"/>
        <v>6.7916666666657193</v>
      </c>
      <c r="S123" s="41" t="str">
        <f t="shared" si="67"/>
        <v>6</v>
      </c>
      <c r="T123" s="24">
        <f t="shared" si="46"/>
        <v>9.4999999999886313</v>
      </c>
      <c r="U123" s="41" t="str">
        <f t="shared" si="68"/>
        <v>9</v>
      </c>
      <c r="V123" s="24">
        <f t="shared" si="48"/>
        <v>5.9999999998635758</v>
      </c>
      <c r="W123" s="41" t="str">
        <f t="shared" si="69"/>
        <v/>
      </c>
      <c r="X123" s="24">
        <f t="shared" si="50"/>
        <v>11.99999999836291</v>
      </c>
      <c r="Y123" s="41" t="str">
        <f t="shared" si="70"/>
        <v/>
      </c>
      <c r="Z123" s="24">
        <f t="shared" si="52"/>
        <v>11.999999980354914</v>
      </c>
      <c r="AA123" s="41" t="str">
        <f t="shared" si="71"/>
        <v/>
      </c>
      <c r="AB123" s="24">
        <f t="shared" si="54"/>
        <v>11.999999764258973</v>
      </c>
      <c r="AC123" s="41" t="str">
        <f t="shared" si="72"/>
        <v/>
      </c>
      <c r="AD123" s="24">
        <f t="shared" si="56"/>
        <v>11.99999717110768</v>
      </c>
      <c r="AE123" s="41" t="str">
        <f t="shared" si="73"/>
        <v/>
      </c>
      <c r="AF123" s="24">
        <f t="shared" si="58"/>
        <v>11.999966053292155</v>
      </c>
      <c r="AG123" s="41" t="str">
        <f t="shared" si="74"/>
        <v/>
      </c>
      <c r="AH123" s="24">
        <f t="shared" si="60"/>
        <v>11.999592639505863</v>
      </c>
      <c r="AI123" s="41" t="str">
        <f t="shared" si="75"/>
        <v/>
      </c>
      <c r="AJ123" s="24">
        <f t="shared" si="62"/>
        <v>11.995111674070358</v>
      </c>
      <c r="AK123" s="41" t="str">
        <f t="shared" si="76"/>
        <v/>
      </c>
    </row>
    <row r="124" spans="1:37" ht="13.5" customHeight="1">
      <c r="A124" s="770"/>
      <c r="B124" s="774"/>
      <c r="C124" s="774"/>
      <c r="D124" s="774"/>
      <c r="E124" s="610" t="s">
        <v>544</v>
      </c>
      <c r="F124" s="147">
        <v>-11608000</v>
      </c>
      <c r="G124" s="8">
        <v>4</v>
      </c>
      <c r="H124" s="21">
        <f t="shared" si="36"/>
        <v>181375</v>
      </c>
      <c r="I124" s="37" t="str">
        <f t="shared" si="37"/>
        <v>8;8E67</v>
      </c>
      <c r="J124" s="38">
        <v>4</v>
      </c>
      <c r="K124" s="132">
        <f t="shared" si="38"/>
        <v>8.7468653549382722</v>
      </c>
      <c r="L124" s="39" t="str">
        <f>INDEX(powers!$H$2:$H$75,33+J124)</f>
        <v>super</v>
      </c>
      <c r="M124" s="40" t="str">
        <f t="shared" si="64"/>
        <v>8</v>
      </c>
      <c r="N124" s="24">
        <f t="shared" si="40"/>
        <v>8.9623842592592666</v>
      </c>
      <c r="O124" s="41" t="str">
        <f t="shared" si="65"/>
        <v>8</v>
      </c>
      <c r="P124" s="24">
        <f t="shared" si="42"/>
        <v>11.5486111111112</v>
      </c>
      <c r="Q124" s="41" t="str">
        <f t="shared" si="66"/>
        <v>E</v>
      </c>
      <c r="R124" s="24">
        <f t="shared" si="44"/>
        <v>6.5833333333343944</v>
      </c>
      <c r="S124" s="41" t="str">
        <f t="shared" si="67"/>
        <v>6</v>
      </c>
      <c r="T124" s="24">
        <f t="shared" si="46"/>
        <v>7.0000000000127329</v>
      </c>
      <c r="U124" s="41" t="str">
        <f t="shared" si="68"/>
        <v>7</v>
      </c>
      <c r="V124" s="24">
        <f t="shared" si="48"/>
        <v>1.5279510989785194E-10</v>
      </c>
      <c r="W124" s="41" t="str">
        <f t="shared" si="69"/>
        <v/>
      </c>
      <c r="X124" s="24">
        <f t="shared" si="50"/>
        <v>1.8335413187742233E-9</v>
      </c>
      <c r="Y124" s="41" t="str">
        <f t="shared" si="70"/>
        <v/>
      </c>
      <c r="Z124" s="24">
        <f t="shared" si="52"/>
        <v>2.200249582529068E-8</v>
      </c>
      <c r="AA124" s="41" t="str">
        <f t="shared" si="71"/>
        <v/>
      </c>
      <c r="AB124" s="24">
        <f t="shared" si="54"/>
        <v>2.6402994990348816E-7</v>
      </c>
      <c r="AC124" s="41" t="str">
        <f t="shared" si="72"/>
        <v/>
      </c>
      <c r="AD124" s="24">
        <f t="shared" si="56"/>
        <v>3.1683593988418579E-6</v>
      </c>
      <c r="AE124" s="41" t="str">
        <f t="shared" si="73"/>
        <v/>
      </c>
      <c r="AF124" s="24">
        <f t="shared" si="58"/>
        <v>3.8020312786102295E-5</v>
      </c>
      <c r="AG124" s="41" t="str">
        <f t="shared" si="74"/>
        <v/>
      </c>
      <c r="AH124" s="24">
        <f t="shared" si="60"/>
        <v>4.5624375343322754E-4</v>
      </c>
      <c r="AI124" s="41" t="str">
        <f t="shared" si="75"/>
        <v/>
      </c>
      <c r="AJ124" s="24">
        <f t="shared" si="62"/>
        <v>5.4749250411987305E-3</v>
      </c>
      <c r="AK124" s="41" t="str">
        <f t="shared" si="76"/>
        <v/>
      </c>
    </row>
    <row r="125" spans="1:37" ht="13.5" customHeight="1">
      <c r="A125" s="770"/>
      <c r="B125" s="774"/>
      <c r="C125" s="774"/>
      <c r="D125" s="775"/>
      <c r="E125" s="610" t="s">
        <v>545</v>
      </c>
      <c r="F125" s="147">
        <v>-7246000</v>
      </c>
      <c r="G125" s="8">
        <v>4</v>
      </c>
      <c r="H125" s="21">
        <f t="shared" si="36"/>
        <v>113218.75</v>
      </c>
      <c r="I125" s="37" t="str">
        <f t="shared" si="37"/>
        <v>5;562E</v>
      </c>
      <c r="J125" s="38">
        <v>4</v>
      </c>
      <c r="K125" s="132">
        <f t="shared" si="38"/>
        <v>5.4600091628086416</v>
      </c>
      <c r="L125" s="39" t="str">
        <f>INDEX(powers!$H$2:$H$75,33+J125)</f>
        <v>super</v>
      </c>
      <c r="M125" s="40" t="str">
        <f t="shared" si="64"/>
        <v>5</v>
      </c>
      <c r="N125" s="24">
        <f t="shared" si="40"/>
        <v>5.5201099537036988</v>
      </c>
      <c r="O125" s="41" t="str">
        <f t="shared" si="65"/>
        <v>5</v>
      </c>
      <c r="P125" s="24">
        <f t="shared" si="42"/>
        <v>6.241319444444386</v>
      </c>
      <c r="Q125" s="41" t="str">
        <f t="shared" si="66"/>
        <v>6</v>
      </c>
      <c r="R125" s="24">
        <f t="shared" si="44"/>
        <v>2.8958333333326323</v>
      </c>
      <c r="S125" s="41" t="str">
        <f t="shared" si="67"/>
        <v>2</v>
      </c>
      <c r="T125" s="24">
        <f t="shared" si="46"/>
        <v>10.749999999991587</v>
      </c>
      <c r="U125" s="41" t="str">
        <f t="shared" si="68"/>
        <v>E</v>
      </c>
      <c r="V125" s="24">
        <f t="shared" si="48"/>
        <v>8.9999999998990461</v>
      </c>
      <c r="W125" s="41" t="str">
        <f t="shared" si="69"/>
        <v/>
      </c>
      <c r="X125" s="24">
        <f t="shared" si="50"/>
        <v>11.999999998788553</v>
      </c>
      <c r="Y125" s="41" t="str">
        <f t="shared" si="70"/>
        <v/>
      </c>
      <c r="Z125" s="24">
        <f t="shared" si="52"/>
        <v>11.999999985462637</v>
      </c>
      <c r="AA125" s="41" t="str">
        <f t="shared" si="71"/>
        <v/>
      </c>
      <c r="AB125" s="24">
        <f t="shared" si="54"/>
        <v>11.99999982555164</v>
      </c>
      <c r="AC125" s="41" t="str">
        <f t="shared" si="72"/>
        <v/>
      </c>
      <c r="AD125" s="24">
        <f t="shared" si="56"/>
        <v>11.999997906619683</v>
      </c>
      <c r="AE125" s="41" t="str">
        <f t="shared" si="73"/>
        <v/>
      </c>
      <c r="AF125" s="24">
        <f t="shared" si="58"/>
        <v>11.999974879436195</v>
      </c>
      <c r="AG125" s="41" t="str">
        <f t="shared" si="74"/>
        <v/>
      </c>
      <c r="AH125" s="24">
        <f t="shared" si="60"/>
        <v>11.999698553234339</v>
      </c>
      <c r="AI125" s="41" t="str">
        <f t="shared" si="75"/>
        <v/>
      </c>
      <c r="AJ125" s="24">
        <f t="shared" si="62"/>
        <v>11.996382638812065</v>
      </c>
      <c r="AK125" s="41" t="str">
        <f t="shared" si="76"/>
        <v/>
      </c>
    </row>
    <row r="126" spans="1:37" ht="13.5" customHeight="1">
      <c r="A126" s="770"/>
      <c r="B126" s="774"/>
      <c r="C126" s="774"/>
      <c r="D126" s="773" t="s">
        <v>546</v>
      </c>
      <c r="E126" s="610" t="s">
        <v>547</v>
      </c>
      <c r="F126" s="147">
        <v>-5332000</v>
      </c>
      <c r="G126" s="8">
        <v>4</v>
      </c>
      <c r="H126" s="21">
        <f t="shared" si="36"/>
        <v>83312.5</v>
      </c>
      <c r="I126" s="37" t="str">
        <f t="shared" si="37"/>
        <v>4;0269</v>
      </c>
      <c r="J126" s="38">
        <v>4</v>
      </c>
      <c r="K126" s="132">
        <f t="shared" si="38"/>
        <v>4.0177710262345681</v>
      </c>
      <c r="L126" s="39" t="str">
        <f>INDEX(powers!$H$2:$H$75,33+J126)</f>
        <v>super</v>
      </c>
      <c r="M126" s="40" t="str">
        <f t="shared" si="64"/>
        <v>4</v>
      </c>
      <c r="N126" s="24">
        <f t="shared" si="40"/>
        <v>0.21325231481481666</v>
      </c>
      <c r="O126" s="41" t="str">
        <f t="shared" si="65"/>
        <v>0</v>
      </c>
      <c r="P126" s="24">
        <f t="shared" si="42"/>
        <v>2.5590277777777999</v>
      </c>
      <c r="Q126" s="41" t="str">
        <f t="shared" si="66"/>
        <v>2</v>
      </c>
      <c r="R126" s="24">
        <f t="shared" si="44"/>
        <v>6.7083333333335986</v>
      </c>
      <c r="S126" s="41" t="str">
        <f t="shared" si="67"/>
        <v>6</v>
      </c>
      <c r="T126" s="24">
        <f t="shared" si="46"/>
        <v>8.5000000000031832</v>
      </c>
      <c r="U126" s="41" t="str">
        <f t="shared" si="68"/>
        <v>9</v>
      </c>
      <c r="V126" s="24">
        <f t="shared" si="48"/>
        <v>6.0000000000381988</v>
      </c>
      <c r="W126" s="41" t="str">
        <f t="shared" si="69"/>
        <v/>
      </c>
      <c r="X126" s="24">
        <f t="shared" si="50"/>
        <v>4.5838532969355583E-10</v>
      </c>
      <c r="Y126" s="41" t="str">
        <f t="shared" si="70"/>
        <v/>
      </c>
      <c r="Z126" s="24">
        <f t="shared" si="52"/>
        <v>5.50062395632267E-9</v>
      </c>
      <c r="AA126" s="41" t="str">
        <f t="shared" si="71"/>
        <v/>
      </c>
      <c r="AB126" s="24">
        <f t="shared" si="54"/>
        <v>6.600748747587204E-8</v>
      </c>
      <c r="AC126" s="41" t="str">
        <f t="shared" si="72"/>
        <v/>
      </c>
      <c r="AD126" s="24">
        <f t="shared" si="56"/>
        <v>7.9208984971046448E-7</v>
      </c>
      <c r="AE126" s="41" t="str">
        <f t="shared" si="73"/>
        <v/>
      </c>
      <c r="AF126" s="24">
        <f t="shared" si="58"/>
        <v>9.5050781965255737E-6</v>
      </c>
      <c r="AG126" s="41" t="str">
        <f t="shared" si="74"/>
        <v/>
      </c>
      <c r="AH126" s="24">
        <f t="shared" si="60"/>
        <v>1.1406093835830688E-4</v>
      </c>
      <c r="AI126" s="41" t="str">
        <f t="shared" si="75"/>
        <v/>
      </c>
      <c r="AJ126" s="24">
        <f t="shared" si="62"/>
        <v>1.3687312602996826E-3</v>
      </c>
      <c r="AK126" s="41" t="str">
        <f t="shared" si="76"/>
        <v/>
      </c>
    </row>
    <row r="127" spans="1:37" ht="13.5" customHeight="1">
      <c r="A127" s="770"/>
      <c r="B127" s="774"/>
      <c r="C127" s="775"/>
      <c r="D127" s="775"/>
      <c r="E127" s="610" t="s">
        <v>548</v>
      </c>
      <c r="F127" s="147">
        <v>-3600000</v>
      </c>
      <c r="G127" s="8">
        <v>4</v>
      </c>
      <c r="H127" s="21">
        <f t="shared" si="36"/>
        <v>56250</v>
      </c>
      <c r="I127" s="37" t="str">
        <f t="shared" si="37"/>
        <v>2;8676</v>
      </c>
      <c r="J127" s="38">
        <v>4</v>
      </c>
      <c r="K127" s="132">
        <f t="shared" si="38"/>
        <v>2.7126736111111112</v>
      </c>
      <c r="L127" s="39" t="str">
        <f>INDEX(powers!$H$2:$H$75,33+J127)</f>
        <v>super</v>
      </c>
      <c r="M127" s="40" t="str">
        <f t="shared" si="64"/>
        <v>2</v>
      </c>
      <c r="N127" s="24">
        <f t="shared" si="40"/>
        <v>8.5520833333333339</v>
      </c>
      <c r="O127" s="41" t="str">
        <f t="shared" si="65"/>
        <v>8</v>
      </c>
      <c r="P127" s="24">
        <f t="shared" si="42"/>
        <v>6.6250000000000071</v>
      </c>
      <c r="Q127" s="41" t="str">
        <f t="shared" si="66"/>
        <v>6</v>
      </c>
      <c r="R127" s="24">
        <f t="shared" si="44"/>
        <v>7.5000000000000853</v>
      </c>
      <c r="S127" s="41" t="str">
        <f t="shared" si="67"/>
        <v>7</v>
      </c>
      <c r="T127" s="24">
        <f t="shared" si="46"/>
        <v>6.0000000000010232</v>
      </c>
      <c r="U127" s="41" t="str">
        <f t="shared" si="68"/>
        <v>6</v>
      </c>
      <c r="V127" s="24">
        <f t="shared" si="48"/>
        <v>1.2278178473934531E-11</v>
      </c>
      <c r="W127" s="41" t="str">
        <f t="shared" si="69"/>
        <v/>
      </c>
      <c r="X127" s="24">
        <f t="shared" si="50"/>
        <v>1.4733814168721437E-10</v>
      </c>
      <c r="Y127" s="41" t="str">
        <f t="shared" si="70"/>
        <v/>
      </c>
      <c r="Z127" s="24">
        <f t="shared" si="52"/>
        <v>1.7680577002465725E-9</v>
      </c>
      <c r="AA127" s="41" t="str">
        <f t="shared" si="71"/>
        <v/>
      </c>
      <c r="AB127" s="24">
        <f t="shared" si="54"/>
        <v>2.121669240295887E-8</v>
      </c>
      <c r="AC127" s="41" t="str">
        <f t="shared" si="72"/>
        <v/>
      </c>
      <c r="AD127" s="24">
        <f t="shared" si="56"/>
        <v>2.5460030883550644E-7</v>
      </c>
      <c r="AE127" s="41" t="str">
        <f t="shared" si="73"/>
        <v/>
      </c>
      <c r="AF127" s="24">
        <f t="shared" si="58"/>
        <v>3.0552037060260773E-6</v>
      </c>
      <c r="AG127" s="41" t="str">
        <f t="shared" si="74"/>
        <v/>
      </c>
      <c r="AH127" s="24">
        <f t="shared" si="60"/>
        <v>3.6662444472312927E-5</v>
      </c>
      <c r="AI127" s="41" t="str">
        <f t="shared" si="75"/>
        <v/>
      </c>
      <c r="AJ127" s="24">
        <f t="shared" si="62"/>
        <v>4.3994933366775513E-4</v>
      </c>
      <c r="AK127" s="41" t="str">
        <f t="shared" si="76"/>
        <v/>
      </c>
    </row>
    <row r="128" spans="1:37" ht="13.5" customHeight="1">
      <c r="A128" s="770"/>
      <c r="B128" s="774"/>
      <c r="C128" s="773" t="s">
        <v>549</v>
      </c>
      <c r="D128" s="773" t="s">
        <v>550</v>
      </c>
      <c r="E128" s="610" t="s">
        <v>551</v>
      </c>
      <c r="F128" s="147">
        <v>-2588000</v>
      </c>
      <c r="G128" s="8">
        <v>4</v>
      </c>
      <c r="H128" s="21">
        <f t="shared" si="36"/>
        <v>40437.5</v>
      </c>
      <c r="I128" s="37" t="str">
        <f t="shared" si="37"/>
        <v>1;E49X</v>
      </c>
      <c r="J128" s="38">
        <v>4</v>
      </c>
      <c r="K128" s="132">
        <f t="shared" si="38"/>
        <v>1.9501109182098766</v>
      </c>
      <c r="L128" s="39" t="str">
        <f>INDEX(powers!$H$2:$H$75,33+J128)</f>
        <v>super</v>
      </c>
      <c r="M128" s="40" t="str">
        <f t="shared" si="64"/>
        <v>1</v>
      </c>
      <c r="N128" s="24">
        <f t="shared" si="40"/>
        <v>11.401331018518519</v>
      </c>
      <c r="O128" s="41" t="str">
        <f t="shared" si="65"/>
        <v>E</v>
      </c>
      <c r="P128" s="24">
        <f t="shared" si="42"/>
        <v>4.8159722222222285</v>
      </c>
      <c r="Q128" s="41" t="str">
        <f t="shared" si="66"/>
        <v>4</v>
      </c>
      <c r="R128" s="24">
        <f t="shared" si="44"/>
        <v>9.7916666666667425</v>
      </c>
      <c r="S128" s="41" t="str">
        <f t="shared" si="67"/>
        <v>9</v>
      </c>
      <c r="T128" s="24">
        <f t="shared" si="46"/>
        <v>9.5000000000009095</v>
      </c>
      <c r="U128" s="41" t="str">
        <f t="shared" si="68"/>
        <v>X</v>
      </c>
      <c r="V128" s="24">
        <f t="shared" si="48"/>
        <v>6.0000000000109139</v>
      </c>
      <c r="W128" s="41" t="str">
        <f t="shared" si="69"/>
        <v/>
      </c>
      <c r="X128" s="24">
        <f t="shared" si="50"/>
        <v>1.3096723705530167E-10</v>
      </c>
      <c r="Y128" s="41" t="str">
        <f t="shared" si="70"/>
        <v/>
      </c>
      <c r="Z128" s="24">
        <f t="shared" si="52"/>
        <v>1.57160684466362E-9</v>
      </c>
      <c r="AA128" s="41" t="str">
        <f t="shared" si="71"/>
        <v/>
      </c>
      <c r="AB128" s="24">
        <f t="shared" si="54"/>
        <v>1.885928213596344E-8</v>
      </c>
      <c r="AC128" s="41" t="str">
        <f t="shared" si="72"/>
        <v/>
      </c>
      <c r="AD128" s="24">
        <f t="shared" si="56"/>
        <v>2.2631138563156128E-7</v>
      </c>
      <c r="AE128" s="41" t="str">
        <f t="shared" si="73"/>
        <v/>
      </c>
      <c r="AF128" s="24">
        <f t="shared" si="58"/>
        <v>2.7157366275787354E-6</v>
      </c>
      <c r="AG128" s="41" t="str">
        <f t="shared" si="74"/>
        <v/>
      </c>
      <c r="AH128" s="24">
        <f t="shared" si="60"/>
        <v>3.2588839530944824E-5</v>
      </c>
      <c r="AI128" s="41" t="str">
        <f t="shared" si="75"/>
        <v/>
      </c>
      <c r="AJ128" s="24">
        <f t="shared" si="62"/>
        <v>3.9106607437133789E-4</v>
      </c>
      <c r="AK128" s="41" t="str">
        <f t="shared" si="76"/>
        <v/>
      </c>
    </row>
    <row r="129" spans="1:37" ht="13.5" customHeight="1">
      <c r="A129" s="770"/>
      <c r="B129" s="774"/>
      <c r="C129" s="774"/>
      <c r="D129" s="774"/>
      <c r="E129" s="610" t="s">
        <v>552</v>
      </c>
      <c r="F129" s="147">
        <v>-1806000</v>
      </c>
      <c r="G129" s="8">
        <v>4</v>
      </c>
      <c r="H129" s="21">
        <f t="shared" si="36"/>
        <v>28218.75</v>
      </c>
      <c r="I129" s="37" t="str">
        <f t="shared" si="37"/>
        <v>1;43E7</v>
      </c>
      <c r="J129" s="38">
        <v>4</v>
      </c>
      <c r="K129" s="132">
        <f t="shared" si="38"/>
        <v>1.3608579282407407</v>
      </c>
      <c r="L129" s="39" t="str">
        <f>INDEX(powers!$H$2:$H$75,33+J129)</f>
        <v>super</v>
      </c>
      <c r="M129" s="40" t="str">
        <f t="shared" si="64"/>
        <v>1</v>
      </c>
      <c r="N129" s="24">
        <f t="shared" si="40"/>
        <v>4.3302951388888884</v>
      </c>
      <c r="O129" s="41" t="str">
        <f t="shared" si="65"/>
        <v>4</v>
      </c>
      <c r="P129" s="24">
        <f t="shared" si="42"/>
        <v>3.9635416666666607</v>
      </c>
      <c r="Q129" s="41" t="str">
        <f t="shared" si="66"/>
        <v>3</v>
      </c>
      <c r="R129" s="24">
        <f t="shared" si="44"/>
        <v>11.562499999999929</v>
      </c>
      <c r="S129" s="41" t="str">
        <f t="shared" si="67"/>
        <v>E</v>
      </c>
      <c r="T129" s="24">
        <f t="shared" si="46"/>
        <v>6.7499999999991473</v>
      </c>
      <c r="U129" s="41" t="str">
        <f t="shared" si="68"/>
        <v>7</v>
      </c>
      <c r="V129" s="24">
        <f t="shared" si="48"/>
        <v>8.9999999999897682</v>
      </c>
      <c r="W129" s="41" t="str">
        <f t="shared" si="69"/>
        <v/>
      </c>
      <c r="X129" s="24">
        <f t="shared" si="50"/>
        <v>11.999999999877218</v>
      </c>
      <c r="Y129" s="41" t="str">
        <f t="shared" si="70"/>
        <v/>
      </c>
      <c r="Z129" s="24">
        <f t="shared" si="52"/>
        <v>11.999999998526619</v>
      </c>
      <c r="AA129" s="41" t="str">
        <f t="shared" si="71"/>
        <v/>
      </c>
      <c r="AB129" s="24">
        <f t="shared" si="54"/>
        <v>11.999999982319423</v>
      </c>
      <c r="AC129" s="41" t="str">
        <f t="shared" si="72"/>
        <v/>
      </c>
      <c r="AD129" s="24">
        <f t="shared" si="56"/>
        <v>11.999999787833076</v>
      </c>
      <c r="AE129" s="41" t="str">
        <f t="shared" si="73"/>
        <v/>
      </c>
      <c r="AF129" s="24">
        <f t="shared" si="58"/>
        <v>11.999997453996912</v>
      </c>
      <c r="AG129" s="41" t="str">
        <f t="shared" si="74"/>
        <v/>
      </c>
      <c r="AH129" s="24">
        <f t="shared" si="60"/>
        <v>11.99996944796294</v>
      </c>
      <c r="AI129" s="41" t="str">
        <f t="shared" si="75"/>
        <v/>
      </c>
      <c r="AJ129" s="24">
        <f t="shared" si="62"/>
        <v>11.999633375555277</v>
      </c>
      <c r="AK129" s="41" t="str">
        <f t="shared" si="76"/>
        <v/>
      </c>
    </row>
    <row r="130" spans="1:37" ht="13.5" customHeight="1">
      <c r="A130" s="770"/>
      <c r="B130" s="774"/>
      <c r="C130" s="774"/>
      <c r="D130" s="774"/>
      <c r="E130" s="610" t="s">
        <v>553</v>
      </c>
      <c r="F130" s="147">
        <v>-781000</v>
      </c>
      <c r="G130" s="8">
        <v>3</v>
      </c>
      <c r="H130" s="21">
        <f t="shared" si="36"/>
        <v>12203.125</v>
      </c>
      <c r="I130" s="37" t="str">
        <f t="shared" si="37"/>
        <v>7;08E</v>
      </c>
      <c r="J130" s="38">
        <v>3</v>
      </c>
      <c r="K130" s="132">
        <f t="shared" si="38"/>
        <v>7.0619936342592595</v>
      </c>
      <c r="L130" s="39" t="str">
        <f>INDEX(powers!$H$2:$H$75,33+J130)</f>
        <v>kily</v>
      </c>
      <c r="M130" s="40" t="str">
        <f t="shared" si="64"/>
        <v>7</v>
      </c>
      <c r="N130" s="24">
        <f t="shared" si="40"/>
        <v>0.74392361111111427</v>
      </c>
      <c r="O130" s="41" t="str">
        <f t="shared" si="65"/>
        <v>0</v>
      </c>
      <c r="P130" s="24">
        <f t="shared" si="42"/>
        <v>8.9270833333333712</v>
      </c>
      <c r="Q130" s="41" t="str">
        <f t="shared" si="66"/>
        <v>8</v>
      </c>
      <c r="R130" s="24">
        <f t="shared" si="44"/>
        <v>11.125000000000455</v>
      </c>
      <c r="S130" s="41" t="str">
        <f t="shared" si="67"/>
        <v>E</v>
      </c>
      <c r="T130" s="24">
        <f t="shared" si="46"/>
        <v>1.500000000005457</v>
      </c>
      <c r="U130" s="41" t="str">
        <f t="shared" si="68"/>
        <v/>
      </c>
      <c r="V130" s="24">
        <f t="shared" si="48"/>
        <v>6.0000000000654836</v>
      </c>
      <c r="W130" s="41" t="str">
        <f t="shared" si="69"/>
        <v/>
      </c>
      <c r="X130" s="24">
        <f t="shared" si="50"/>
        <v>7.8580342233181E-10</v>
      </c>
      <c r="Y130" s="41" t="str">
        <f t="shared" si="70"/>
        <v/>
      </c>
      <c r="Z130" s="24">
        <f t="shared" si="52"/>
        <v>9.42964106798172E-9</v>
      </c>
      <c r="AA130" s="41" t="str">
        <f t="shared" si="71"/>
        <v/>
      </c>
      <c r="AB130" s="24">
        <f t="shared" si="54"/>
        <v>1.1315569281578064E-7</v>
      </c>
      <c r="AC130" s="41" t="str">
        <f t="shared" si="72"/>
        <v/>
      </c>
      <c r="AD130" s="24">
        <f t="shared" si="56"/>
        <v>1.3578683137893677E-6</v>
      </c>
      <c r="AE130" s="41" t="str">
        <f t="shared" si="73"/>
        <v/>
      </c>
      <c r="AF130" s="24">
        <f t="shared" si="58"/>
        <v>1.6294419765472412E-5</v>
      </c>
      <c r="AG130" s="41" t="str">
        <f t="shared" si="74"/>
        <v/>
      </c>
      <c r="AH130" s="24">
        <f t="shared" si="60"/>
        <v>1.9553303718566895E-4</v>
      </c>
      <c r="AI130" s="41" t="str">
        <f t="shared" si="75"/>
        <v/>
      </c>
      <c r="AJ130" s="24">
        <f t="shared" si="62"/>
        <v>2.3463964462280273E-3</v>
      </c>
      <c r="AK130" s="41" t="str">
        <f t="shared" si="76"/>
        <v/>
      </c>
    </row>
    <row r="131" spans="1:37" ht="13.5" customHeight="1">
      <c r="A131" s="770"/>
      <c r="B131" s="774"/>
      <c r="C131" s="774"/>
      <c r="D131" s="775"/>
      <c r="E131" s="610" t="s">
        <v>554</v>
      </c>
      <c r="F131" s="147">
        <v>-126000</v>
      </c>
      <c r="G131" s="8">
        <v>3</v>
      </c>
      <c r="H131" s="21">
        <f t="shared" si="36"/>
        <v>1968.75</v>
      </c>
      <c r="I131" s="37" t="str">
        <f t="shared" si="37"/>
        <v>1;181</v>
      </c>
      <c r="J131" s="38">
        <v>3</v>
      </c>
      <c r="K131" s="132">
        <f t="shared" si="38"/>
        <v>1.1393229166666667</v>
      </c>
      <c r="L131" s="39" t="str">
        <f>INDEX(powers!$H$2:$H$75,33+J131)</f>
        <v>kily</v>
      </c>
      <c r="M131" s="40" t="str">
        <f t="shared" si="64"/>
        <v>1</v>
      </c>
      <c r="N131" s="24">
        <f t="shared" si="40"/>
        <v>1.6718750000000009</v>
      </c>
      <c r="O131" s="41" t="str">
        <f t="shared" si="65"/>
        <v>1</v>
      </c>
      <c r="P131" s="24">
        <f t="shared" si="42"/>
        <v>8.0625000000000107</v>
      </c>
      <c r="Q131" s="41" t="str">
        <f t="shared" si="66"/>
        <v>8</v>
      </c>
      <c r="R131" s="24">
        <f t="shared" si="44"/>
        <v>0.7500000000001279</v>
      </c>
      <c r="S131" s="41" t="str">
        <f t="shared" si="67"/>
        <v>1</v>
      </c>
      <c r="T131" s="24">
        <f t="shared" si="46"/>
        <v>9.0000000000015348</v>
      </c>
      <c r="U131" s="41" t="str">
        <f t="shared" si="68"/>
        <v/>
      </c>
      <c r="V131" s="24">
        <f t="shared" si="48"/>
        <v>1.8417267710901797E-11</v>
      </c>
      <c r="W131" s="41" t="str">
        <f t="shared" si="69"/>
        <v/>
      </c>
      <c r="X131" s="24">
        <f t="shared" si="50"/>
        <v>2.2100721253082156E-10</v>
      </c>
      <c r="Y131" s="41" t="str">
        <f t="shared" si="70"/>
        <v/>
      </c>
      <c r="Z131" s="24">
        <f t="shared" si="52"/>
        <v>2.6520865503698587E-9</v>
      </c>
      <c r="AA131" s="41" t="str">
        <f t="shared" si="71"/>
        <v/>
      </c>
      <c r="AB131" s="24">
        <f t="shared" si="54"/>
        <v>3.1825038604438305E-8</v>
      </c>
      <c r="AC131" s="41" t="str">
        <f t="shared" si="72"/>
        <v/>
      </c>
      <c r="AD131" s="24">
        <f t="shared" si="56"/>
        <v>3.8190046325325966E-7</v>
      </c>
      <c r="AE131" s="41" t="str">
        <f t="shared" si="73"/>
        <v/>
      </c>
      <c r="AF131" s="24">
        <f t="shared" si="58"/>
        <v>4.5828055590391159E-6</v>
      </c>
      <c r="AG131" s="41" t="str">
        <f t="shared" si="74"/>
        <v/>
      </c>
      <c r="AH131" s="24">
        <f t="shared" si="60"/>
        <v>5.4993666708469391E-5</v>
      </c>
      <c r="AI131" s="41" t="str">
        <f t="shared" si="75"/>
        <v/>
      </c>
      <c r="AJ131" s="24">
        <f t="shared" si="62"/>
        <v>6.5992400050163269E-4</v>
      </c>
      <c r="AK131" s="41" t="str">
        <f t="shared" si="76"/>
        <v/>
      </c>
    </row>
    <row r="132" spans="1:37" ht="14.25" customHeight="1" thickBot="1">
      <c r="A132" s="772"/>
      <c r="B132" s="776"/>
      <c r="C132" s="776"/>
      <c r="D132" s="781" t="s">
        <v>555</v>
      </c>
      <c r="E132" s="782"/>
      <c r="F132" s="148">
        <v>-11700</v>
      </c>
      <c r="G132" s="33">
        <v>2</v>
      </c>
      <c r="H132" s="32">
        <f t="shared" si="36"/>
        <v>182.8125</v>
      </c>
      <c r="I132" s="47" t="str">
        <f t="shared" si="37"/>
        <v>1;33</v>
      </c>
      <c r="J132" s="48">
        <v>2</v>
      </c>
      <c r="K132" s="110">
        <f t="shared" si="38"/>
        <v>1.26953125</v>
      </c>
      <c r="L132" s="49" t="str">
        <f>INDEX(powers!$H$2:$H$75,33+J132)</f>
        <v>hecty</v>
      </c>
      <c r="M132" s="40" t="str">
        <f t="shared" si="64"/>
        <v>1</v>
      </c>
      <c r="N132" s="24">
        <f t="shared" si="40"/>
        <v>3.234375</v>
      </c>
      <c r="O132" s="41" t="str">
        <f t="shared" si="65"/>
        <v>3</v>
      </c>
      <c r="P132" s="24">
        <f t="shared" si="42"/>
        <v>2.8125</v>
      </c>
      <c r="Q132" s="41" t="str">
        <f t="shared" si="66"/>
        <v>3</v>
      </c>
      <c r="R132" s="24">
        <f t="shared" si="44"/>
        <v>9.75</v>
      </c>
      <c r="S132" s="41" t="str">
        <f t="shared" si="67"/>
        <v/>
      </c>
      <c r="T132" s="24">
        <f t="shared" si="46"/>
        <v>9</v>
      </c>
      <c r="U132" s="41" t="str">
        <f t="shared" si="68"/>
        <v/>
      </c>
      <c r="V132" s="24">
        <f t="shared" si="48"/>
        <v>0</v>
      </c>
      <c r="W132" s="41" t="str">
        <f t="shared" si="69"/>
        <v/>
      </c>
      <c r="X132" s="24">
        <f t="shared" si="50"/>
        <v>0</v>
      </c>
      <c r="Y132" s="41" t="str">
        <f t="shared" si="70"/>
        <v/>
      </c>
      <c r="Z132" s="24">
        <f t="shared" si="52"/>
        <v>0</v>
      </c>
      <c r="AA132" s="41" t="str">
        <f t="shared" si="71"/>
        <v/>
      </c>
      <c r="AB132" s="24">
        <f t="shared" si="54"/>
        <v>0</v>
      </c>
      <c r="AC132" s="41" t="str">
        <f t="shared" si="72"/>
        <v/>
      </c>
      <c r="AD132" s="24">
        <f t="shared" si="56"/>
        <v>0</v>
      </c>
      <c r="AE132" s="41" t="str">
        <f t="shared" si="73"/>
        <v/>
      </c>
      <c r="AF132" s="24">
        <f t="shared" si="58"/>
        <v>0</v>
      </c>
      <c r="AG132" s="41" t="str">
        <f t="shared" si="74"/>
        <v/>
      </c>
      <c r="AH132" s="24">
        <f t="shared" si="60"/>
        <v>0</v>
      </c>
      <c r="AI132" s="41" t="str">
        <f t="shared" si="75"/>
        <v/>
      </c>
      <c r="AJ132" s="24">
        <f t="shared" si="62"/>
        <v>0</v>
      </c>
      <c r="AK132" s="41" t="str">
        <f t="shared" si="76"/>
        <v/>
      </c>
    </row>
    <row r="133" spans="1:37" ht="14.25" customHeight="1">
      <c r="A133" s="264"/>
      <c r="B133" s="264"/>
      <c r="C133" s="264"/>
      <c r="D133" s="264"/>
      <c r="E133" s="611"/>
      <c r="F133" s="265"/>
      <c r="G133" s="247"/>
      <c r="H133" s="266"/>
      <c r="I133" s="249"/>
      <c r="J133" s="250"/>
      <c r="K133" s="251"/>
      <c r="L133" s="251"/>
      <c r="M133" s="252"/>
      <c r="N133" s="247"/>
      <c r="O133" s="252"/>
      <c r="P133" s="247"/>
      <c r="Q133" s="252"/>
      <c r="R133" s="247"/>
      <c r="S133" s="252"/>
      <c r="T133" s="247"/>
      <c r="U133" s="252"/>
      <c r="V133" s="247"/>
      <c r="W133" s="252"/>
      <c r="X133" s="247"/>
      <c r="Y133" s="252"/>
      <c r="Z133" s="247"/>
      <c r="AA133" s="252"/>
      <c r="AB133" s="247"/>
      <c r="AC133" s="252"/>
      <c r="AD133" s="247"/>
      <c r="AE133" s="252"/>
      <c r="AF133" s="247"/>
      <c r="AG133" s="252"/>
      <c r="AH133" s="247"/>
      <c r="AI133" s="252"/>
      <c r="AJ133" s="247"/>
      <c r="AK133" s="252"/>
    </row>
    <row r="134" spans="1:37" ht="12.75" thickBot="1">
      <c r="F134" s="54" t="s">
        <v>678</v>
      </c>
    </row>
    <row r="135" spans="1:37">
      <c r="D135" s="14" t="s">
        <v>680</v>
      </c>
      <c r="F135" s="262">
        <f t="shared" ref="F135:F166" si="77">F$187+(H135-H$187)*H$15</f>
        <v>-9676</v>
      </c>
      <c r="G135" s="152">
        <v>2</v>
      </c>
      <c r="H135" s="263">
        <v>1E-13</v>
      </c>
      <c r="I135" s="155" t="str">
        <f t="shared" ref="I135" si="78">M135&amp;";"&amp;O135&amp;Q135&amp;S135&amp;U135&amp;W135&amp;Y135&amp;AA135&amp;AC135&amp;AE135&amp;AG135&amp;AI135&amp;AK135</f>
        <v>0;00</v>
      </c>
      <c r="J135" s="156">
        <v>2</v>
      </c>
      <c r="K135" s="205">
        <f t="shared" ref="K135" si="79">H135/POWER(12,J135)</f>
        <v>6.944444444444445E-16</v>
      </c>
      <c r="L135" s="157" t="str">
        <f>INDEX(powers!$H$2:$H$75,33+J135)</f>
        <v>hecty</v>
      </c>
      <c r="M135" s="40" t="str">
        <f t="shared" ref="M135" si="80">IF($G135&gt;=M$17,MID($J$17,IF($G135&gt;M$17,INT(K135),ROUND(K135,0))+1,1),"")</f>
        <v>0</v>
      </c>
      <c r="N135" s="24">
        <f t="shared" ref="N135" si="81">(K135-INT(K135))*12</f>
        <v>8.3333333333333336E-15</v>
      </c>
      <c r="O135" s="41" t="str">
        <f t="shared" ref="O135" si="82">IF($G135&gt;=O$17,MID($J$17,IF($G135&gt;O$17,INT(N135),ROUND(N135,0))+1,1),"")</f>
        <v>0</v>
      </c>
      <c r="P135" s="24">
        <f t="shared" ref="P135" si="83">(N135-INT(N135))*12</f>
        <v>1E-13</v>
      </c>
      <c r="Q135" s="41" t="str">
        <f t="shared" ref="Q135" si="84">IF($G135&gt;=Q$17,MID($J$17,IF($G135&gt;Q$17,INT(P135),ROUND(P135,0))+1,1),"")</f>
        <v>0</v>
      </c>
      <c r="R135" s="24">
        <f t="shared" ref="R135" si="85">(P135-INT(P135))*12</f>
        <v>1.2000000000000001E-12</v>
      </c>
      <c r="S135" s="41" t="str">
        <f t="shared" ref="S135" si="86">IF($G135&gt;=S$17,MID($J$17,IF($G135&gt;S$17,INT(R135),ROUND(R135,0))+1,1),"")</f>
        <v/>
      </c>
      <c r="T135" s="24">
        <f t="shared" ref="T135" si="87">(R135-INT(R135))*12</f>
        <v>1.4400000000000002E-11</v>
      </c>
      <c r="U135" s="41" t="str">
        <f t="shared" ref="U135" si="88">IF($G135&gt;=U$17,MID($J$17,IF($G135&gt;U$17,INT(T135),ROUND(T135,0))+1,1),"")</f>
        <v/>
      </c>
      <c r="V135" s="24">
        <f t="shared" ref="V135" si="89">(T135-INT(T135))*12</f>
        <v>1.7280000000000001E-10</v>
      </c>
      <c r="W135" s="41" t="str">
        <f t="shared" ref="W135" si="90">IF($G135&gt;=W$17,MID($J$17,IF($G135&gt;W$17,INT(V135),ROUND(V135,0))+1,1),"")</f>
        <v/>
      </c>
      <c r="X135" s="24">
        <f t="shared" ref="X135" si="91">(V135-INT(V135))*12</f>
        <v>2.0736E-9</v>
      </c>
      <c r="Y135" s="41" t="str">
        <f t="shared" ref="Y135" si="92">IF($G135&gt;=Y$17,MID($J$17,IF($G135&gt;Y$17,INT(X135),ROUND(X135,0))+1,1),"")</f>
        <v/>
      </c>
      <c r="Z135" s="24">
        <f t="shared" ref="Z135" si="93">(X135-INT(X135))*12</f>
        <v>2.4883199999999999E-8</v>
      </c>
      <c r="AA135" s="41" t="str">
        <f t="shared" ref="AA135" si="94">IF($G135&gt;=AA$17,MID($J$17,IF($G135&gt;AA$17,INT(Z135),ROUND(Z135,0))+1,1),"")</f>
        <v/>
      </c>
      <c r="AB135" s="24">
        <f t="shared" ref="AB135" si="95">(Z135-INT(Z135))*12</f>
        <v>2.9859840000000001E-7</v>
      </c>
      <c r="AC135" s="41" t="str">
        <f t="shared" ref="AC135" si="96">IF($G135&gt;=AC$17,MID($J$17,IF($G135&gt;AC$17,INT(AB135),ROUND(AB135,0))+1,1),"")</f>
        <v/>
      </c>
      <c r="AD135" s="24">
        <f t="shared" ref="AD135" si="97">(AB135-INT(AB135))*12</f>
        <v>3.5831808000000001E-6</v>
      </c>
      <c r="AE135" s="41" t="str">
        <f t="shared" ref="AE135" si="98">IF($G135&gt;=AE$17,MID($J$17,IF($G135&gt;AE$17,INT(AD135),ROUND(AD135,0))+1,1),"")</f>
        <v/>
      </c>
      <c r="AF135" s="24">
        <f t="shared" ref="AF135" si="99">(AD135-INT(AD135))*12</f>
        <v>4.2998169600000003E-5</v>
      </c>
      <c r="AG135" s="41" t="str">
        <f t="shared" ref="AG135" si="100">IF($G135&gt;=AG$17,MID($J$17,IF($G135&gt;AG$17,INT(AF135),ROUND(AF135,0))+1,1),"")</f>
        <v/>
      </c>
      <c r="AH135" s="24">
        <f t="shared" ref="AH135" si="101">(AF135-INT(AF135))*12</f>
        <v>5.1597803520000009E-4</v>
      </c>
      <c r="AI135" s="41" t="str">
        <f t="shared" ref="AI135" si="102">IF($G135&gt;=AI$17,MID($J$17,IF($G135&gt;AI$17,INT(AH135),ROUND(AH135,0))+1,1),"")</f>
        <v/>
      </c>
      <c r="AJ135" s="24">
        <f t="shared" ref="AJ135" si="103">(AH135-INT(AH135))*12</f>
        <v>6.191736422400001E-3</v>
      </c>
      <c r="AK135" s="41" t="str">
        <f t="shared" ref="AK135" si="104">IF($G135&gt;=AK$17,MID($J$17,IF($G135&gt;AK$17,INT(AJ135),ROUND(AJ135,0))+1,1),"")</f>
        <v/>
      </c>
    </row>
    <row r="136" spans="1:37">
      <c r="F136" s="95">
        <f t="shared" si="77"/>
        <v>-8908</v>
      </c>
      <c r="G136" s="8">
        <v>2</v>
      </c>
      <c r="H136" s="8">
        <f>H135+12</f>
        <v>12.000000000000099</v>
      </c>
      <c r="I136" s="37" t="str">
        <f t="shared" ref="I136:I147" si="105">M136&amp;";"&amp;O136&amp;Q136&amp;S136&amp;U136&amp;W136&amp;Y136&amp;AA136&amp;AC136&amp;AE136&amp;AG136&amp;AI136&amp;AK136</f>
        <v>0;10</v>
      </c>
      <c r="J136" s="38">
        <v>2</v>
      </c>
      <c r="K136" s="132">
        <f t="shared" ref="K136:K147" si="106">H136/POWER(12,J136)</f>
        <v>8.3333333333334023E-2</v>
      </c>
      <c r="L136" s="39" t="str">
        <f>INDEX(powers!$H$2:$H$75,33+J136)</f>
        <v>hecty</v>
      </c>
      <c r="M136" s="40" t="str">
        <f t="shared" ref="M136:M147" si="107">IF($G136&gt;=M$17,MID($J$17,IF($G136&gt;M$17,INT(K136),ROUND(K136,0))+1,1),"")</f>
        <v>0</v>
      </c>
      <c r="N136" s="24">
        <f t="shared" ref="N136:N147" si="108">(K136-INT(K136))*12</f>
        <v>1.0000000000000082</v>
      </c>
      <c r="O136" s="41" t="str">
        <f t="shared" ref="O136:O147" si="109">IF($G136&gt;=O$17,MID($J$17,IF($G136&gt;O$17,INT(N136),ROUND(N136,0))+1,1),"")</f>
        <v>1</v>
      </c>
      <c r="P136" s="24">
        <f t="shared" ref="P136:P147" si="110">(N136-INT(N136))*12</f>
        <v>9.8587804586713901E-14</v>
      </c>
      <c r="Q136" s="41" t="str">
        <f t="shared" ref="Q136:Q147" si="111">IF($G136&gt;=Q$17,MID($J$17,IF($G136&gt;Q$17,INT(P136),ROUND(P136,0))+1,1),"")</f>
        <v>0</v>
      </c>
      <c r="R136" s="24">
        <f t="shared" ref="R136:R147" si="112">(P136-INT(P136))*12</f>
        <v>1.1830536550405668E-12</v>
      </c>
      <c r="S136" s="41" t="str">
        <f t="shared" ref="S136:S147" si="113">IF($G136&gt;=S$17,MID($J$17,IF($G136&gt;S$17,INT(R136),ROUND(R136,0))+1,1),"")</f>
        <v/>
      </c>
      <c r="T136" s="24">
        <f t="shared" ref="T136:T147" si="114">(R136-INT(R136))*12</f>
        <v>1.4196643860486802E-11</v>
      </c>
      <c r="U136" s="41" t="str">
        <f t="shared" ref="U136:U147" si="115">IF($G136&gt;=U$17,MID($J$17,IF($G136&gt;U$17,INT(T136),ROUND(T136,0))+1,1),"")</f>
        <v/>
      </c>
      <c r="V136" s="24">
        <f t="shared" ref="V136:V147" si="116">(T136-INT(T136))*12</f>
        <v>1.7035972632584162E-10</v>
      </c>
      <c r="W136" s="41" t="str">
        <f t="shared" ref="W136:W147" si="117">IF($G136&gt;=W$17,MID($J$17,IF($G136&gt;W$17,INT(V136),ROUND(V136,0))+1,1),"")</f>
        <v/>
      </c>
      <c r="X136" s="24">
        <f t="shared" ref="X136:X147" si="118">(V136-INT(V136))*12</f>
        <v>2.0443167159100994E-9</v>
      </c>
      <c r="Y136" s="41" t="str">
        <f t="shared" ref="Y136:Y147" si="119">IF($G136&gt;=Y$17,MID($J$17,IF($G136&gt;Y$17,INT(X136),ROUND(X136,0))+1,1),"")</f>
        <v/>
      </c>
      <c r="Z136" s="24">
        <f t="shared" ref="Z136:Z147" si="120">(X136-INT(X136))*12</f>
        <v>2.4531800590921193E-8</v>
      </c>
      <c r="AA136" s="41" t="str">
        <f t="shared" ref="AA136:AA147" si="121">IF($G136&gt;=AA$17,MID($J$17,IF($G136&gt;AA$17,INT(Z136),ROUND(Z136,0))+1,1),"")</f>
        <v/>
      </c>
      <c r="AB136" s="24">
        <f t="shared" ref="AB136:AB147" si="122">(Z136-INT(Z136))*12</f>
        <v>2.9438160709105432E-7</v>
      </c>
      <c r="AC136" s="41" t="str">
        <f t="shared" ref="AC136:AC147" si="123">IF($G136&gt;=AC$17,MID($J$17,IF($G136&gt;AC$17,INT(AB136),ROUND(AB136,0))+1,1),"")</f>
        <v/>
      </c>
      <c r="AD136" s="24">
        <f t="shared" ref="AD136:AD147" si="124">(AB136-INT(AB136))*12</f>
        <v>3.5325792850926518E-6</v>
      </c>
      <c r="AE136" s="41" t="str">
        <f t="shared" ref="AE136:AE147" si="125">IF($G136&gt;=AE$17,MID($J$17,IF($G136&gt;AE$17,INT(AD136),ROUND(AD136,0))+1,1),"")</f>
        <v/>
      </c>
      <c r="AF136" s="24">
        <f t="shared" ref="AF136:AF147" si="126">(AD136-INT(AD136))*12</f>
        <v>4.2390951421111822E-5</v>
      </c>
      <c r="AG136" s="41" t="str">
        <f t="shared" ref="AG136:AG147" si="127">IF($G136&gt;=AG$17,MID($J$17,IF($G136&gt;AG$17,INT(AF136),ROUND(AF136,0))+1,1),"")</f>
        <v/>
      </c>
      <c r="AH136" s="24">
        <f t="shared" ref="AH136:AH147" si="128">(AF136-INT(AF136))*12</f>
        <v>5.0869141705334187E-4</v>
      </c>
      <c r="AI136" s="41" t="str">
        <f t="shared" ref="AI136:AI147" si="129">IF($G136&gt;=AI$17,MID($J$17,IF($G136&gt;AI$17,INT(AH136),ROUND(AH136,0))+1,1),"")</f>
        <v/>
      </c>
      <c r="AJ136" s="24">
        <f t="shared" ref="AJ136:AJ147" si="130">(AH136-INT(AH136))*12</f>
        <v>6.1042970046401024E-3</v>
      </c>
      <c r="AK136" s="41" t="str">
        <f t="shared" ref="AK136:AK147" si="131">IF($G136&gt;=AK$17,MID($J$17,IF($G136&gt;AK$17,INT(AJ136),ROUND(AJ136,0))+1,1),"")</f>
        <v/>
      </c>
    </row>
    <row r="137" spans="1:37">
      <c r="F137" s="95">
        <f t="shared" si="77"/>
        <v>-8140</v>
      </c>
      <c r="G137" s="8">
        <v>2</v>
      </c>
      <c r="H137" s="8">
        <f>H136+12</f>
        <v>24.000000000000099</v>
      </c>
      <c r="I137" s="37" t="str">
        <f t="shared" si="105"/>
        <v>0;20</v>
      </c>
      <c r="J137" s="38">
        <v>2</v>
      </c>
      <c r="K137" s="132">
        <f t="shared" si="106"/>
        <v>0.16666666666666735</v>
      </c>
      <c r="L137" s="39" t="str">
        <f>INDEX(powers!$H$2:$H$75,33+J137)</f>
        <v>hecty</v>
      </c>
      <c r="M137" s="40" t="str">
        <f t="shared" si="107"/>
        <v>0</v>
      </c>
      <c r="N137" s="24">
        <f t="shared" si="108"/>
        <v>2.000000000000008</v>
      </c>
      <c r="O137" s="41" t="str">
        <f t="shared" si="109"/>
        <v>2</v>
      </c>
      <c r="P137" s="24">
        <f t="shared" si="110"/>
        <v>9.5923269327613525E-14</v>
      </c>
      <c r="Q137" s="41" t="str">
        <f t="shared" si="111"/>
        <v>0</v>
      </c>
      <c r="R137" s="24">
        <f t="shared" si="112"/>
        <v>1.1510792319313623E-12</v>
      </c>
      <c r="S137" s="41" t="str">
        <f t="shared" si="113"/>
        <v/>
      </c>
      <c r="T137" s="24">
        <f t="shared" si="114"/>
        <v>1.3812950783176348E-11</v>
      </c>
      <c r="U137" s="41" t="str">
        <f t="shared" si="115"/>
        <v/>
      </c>
      <c r="V137" s="24">
        <f t="shared" si="116"/>
        <v>1.6575540939811617E-10</v>
      </c>
      <c r="W137" s="41" t="str">
        <f t="shared" si="117"/>
        <v/>
      </c>
      <c r="X137" s="24">
        <f t="shared" si="118"/>
        <v>1.9890649127773941E-9</v>
      </c>
      <c r="Y137" s="41" t="str">
        <f t="shared" si="119"/>
        <v/>
      </c>
      <c r="Z137" s="24">
        <f t="shared" si="120"/>
        <v>2.3868778953328729E-8</v>
      </c>
      <c r="AA137" s="41" t="str">
        <f t="shared" si="121"/>
        <v/>
      </c>
      <c r="AB137" s="24">
        <f t="shared" si="122"/>
        <v>2.8642534743994474E-7</v>
      </c>
      <c r="AC137" s="41" t="str">
        <f t="shared" si="123"/>
        <v/>
      </c>
      <c r="AD137" s="24">
        <f t="shared" si="124"/>
        <v>3.4371041692793369E-6</v>
      </c>
      <c r="AE137" s="41" t="str">
        <f t="shared" si="125"/>
        <v/>
      </c>
      <c r="AF137" s="24">
        <f t="shared" si="126"/>
        <v>4.1245250031352043E-5</v>
      </c>
      <c r="AG137" s="41" t="str">
        <f t="shared" si="127"/>
        <v/>
      </c>
      <c r="AH137" s="24">
        <f t="shared" si="128"/>
        <v>4.9494300037622452E-4</v>
      </c>
      <c r="AI137" s="41" t="str">
        <f t="shared" si="129"/>
        <v/>
      </c>
      <c r="AJ137" s="24">
        <f t="shared" si="130"/>
        <v>5.9393160045146942E-3</v>
      </c>
      <c r="AK137" s="41" t="str">
        <f t="shared" si="131"/>
        <v/>
      </c>
    </row>
    <row r="138" spans="1:37">
      <c r="F138" s="95">
        <f t="shared" si="77"/>
        <v>-7372</v>
      </c>
      <c r="G138" s="8">
        <v>2</v>
      </c>
      <c r="H138" s="8">
        <f t="shared" ref="H138:H147" si="132">H137+12</f>
        <v>36.000000000000099</v>
      </c>
      <c r="I138" s="37" t="str">
        <f t="shared" si="105"/>
        <v>0;30</v>
      </c>
      <c r="J138" s="38">
        <v>2</v>
      </c>
      <c r="K138" s="132">
        <f t="shared" si="106"/>
        <v>0.25000000000000067</v>
      </c>
      <c r="L138" s="39" t="str">
        <f>INDEX(powers!$H$2:$H$75,33+J138)</f>
        <v>hecty</v>
      </c>
      <c r="M138" s="40" t="str">
        <f t="shared" si="107"/>
        <v>0</v>
      </c>
      <c r="N138" s="24">
        <f t="shared" si="108"/>
        <v>3.000000000000008</v>
      </c>
      <c r="O138" s="41" t="str">
        <f t="shared" si="109"/>
        <v>3</v>
      </c>
      <c r="P138" s="24">
        <f t="shared" si="110"/>
        <v>9.5923269327613525E-14</v>
      </c>
      <c r="Q138" s="41" t="str">
        <f t="shared" si="111"/>
        <v>0</v>
      </c>
      <c r="R138" s="24">
        <f t="shared" si="112"/>
        <v>1.1510792319313623E-12</v>
      </c>
      <c r="S138" s="41" t="str">
        <f t="shared" si="113"/>
        <v/>
      </c>
      <c r="T138" s="24">
        <f t="shared" si="114"/>
        <v>1.3812950783176348E-11</v>
      </c>
      <c r="U138" s="41" t="str">
        <f t="shared" si="115"/>
        <v/>
      </c>
      <c r="V138" s="24">
        <f t="shared" si="116"/>
        <v>1.6575540939811617E-10</v>
      </c>
      <c r="W138" s="41" t="str">
        <f t="shared" si="117"/>
        <v/>
      </c>
      <c r="X138" s="24">
        <f t="shared" si="118"/>
        <v>1.9890649127773941E-9</v>
      </c>
      <c r="Y138" s="41" t="str">
        <f t="shared" si="119"/>
        <v/>
      </c>
      <c r="Z138" s="24">
        <f t="shared" si="120"/>
        <v>2.3868778953328729E-8</v>
      </c>
      <c r="AA138" s="41" t="str">
        <f t="shared" si="121"/>
        <v/>
      </c>
      <c r="AB138" s="24">
        <f t="shared" si="122"/>
        <v>2.8642534743994474E-7</v>
      </c>
      <c r="AC138" s="41" t="str">
        <f t="shared" si="123"/>
        <v/>
      </c>
      <c r="AD138" s="24">
        <f t="shared" si="124"/>
        <v>3.4371041692793369E-6</v>
      </c>
      <c r="AE138" s="41" t="str">
        <f t="shared" si="125"/>
        <v/>
      </c>
      <c r="AF138" s="24">
        <f t="shared" si="126"/>
        <v>4.1245250031352043E-5</v>
      </c>
      <c r="AG138" s="41" t="str">
        <f t="shared" si="127"/>
        <v/>
      </c>
      <c r="AH138" s="24">
        <f t="shared" si="128"/>
        <v>4.9494300037622452E-4</v>
      </c>
      <c r="AI138" s="41" t="str">
        <f t="shared" si="129"/>
        <v/>
      </c>
      <c r="AJ138" s="24">
        <f t="shared" si="130"/>
        <v>5.9393160045146942E-3</v>
      </c>
      <c r="AK138" s="41" t="str">
        <f t="shared" si="131"/>
        <v/>
      </c>
    </row>
    <row r="139" spans="1:37">
      <c r="F139" s="95">
        <f t="shared" si="77"/>
        <v>-6604</v>
      </c>
      <c r="G139" s="8">
        <v>2</v>
      </c>
      <c r="H139" s="8">
        <f t="shared" si="132"/>
        <v>48.000000000000099</v>
      </c>
      <c r="I139" s="37" t="str">
        <f t="shared" si="105"/>
        <v>0;40</v>
      </c>
      <c r="J139" s="38">
        <v>2</v>
      </c>
      <c r="K139" s="132">
        <f t="shared" si="106"/>
        <v>0.33333333333333404</v>
      </c>
      <c r="L139" s="39" t="str">
        <f>INDEX(powers!$H$2:$H$75,33+J139)</f>
        <v>hecty</v>
      </c>
      <c r="M139" s="40" t="str">
        <f t="shared" si="107"/>
        <v>0</v>
      </c>
      <c r="N139" s="24">
        <f t="shared" si="108"/>
        <v>4.0000000000000089</v>
      </c>
      <c r="O139" s="41" t="str">
        <f t="shared" si="109"/>
        <v>4</v>
      </c>
      <c r="P139" s="24">
        <f t="shared" si="110"/>
        <v>1.0658141036401503E-13</v>
      </c>
      <c r="Q139" s="41" t="str">
        <f t="shared" si="111"/>
        <v>0</v>
      </c>
      <c r="R139" s="24">
        <f t="shared" si="112"/>
        <v>1.2789769243681803E-12</v>
      </c>
      <c r="S139" s="41" t="str">
        <f t="shared" si="113"/>
        <v/>
      </c>
      <c r="T139" s="24">
        <f t="shared" si="114"/>
        <v>1.5347723092418164E-11</v>
      </c>
      <c r="U139" s="41" t="str">
        <f t="shared" si="115"/>
        <v/>
      </c>
      <c r="V139" s="24">
        <f t="shared" si="116"/>
        <v>1.8417267710901797E-10</v>
      </c>
      <c r="W139" s="41" t="str">
        <f t="shared" si="117"/>
        <v/>
      </c>
      <c r="X139" s="24">
        <f t="shared" si="118"/>
        <v>2.2100721253082156E-9</v>
      </c>
      <c r="Y139" s="41" t="str">
        <f t="shared" si="119"/>
        <v/>
      </c>
      <c r="Z139" s="24">
        <f t="shared" si="120"/>
        <v>2.6520865503698587E-8</v>
      </c>
      <c r="AA139" s="41" t="str">
        <f t="shared" si="121"/>
        <v/>
      </c>
      <c r="AB139" s="24">
        <f t="shared" si="122"/>
        <v>3.1825038604438305E-7</v>
      </c>
      <c r="AC139" s="41" t="str">
        <f t="shared" si="123"/>
        <v/>
      </c>
      <c r="AD139" s="24">
        <f t="shared" si="124"/>
        <v>3.8190046325325966E-6</v>
      </c>
      <c r="AE139" s="41" t="str">
        <f t="shared" si="125"/>
        <v/>
      </c>
      <c r="AF139" s="24">
        <f t="shared" si="126"/>
        <v>4.5828055590391159E-5</v>
      </c>
      <c r="AG139" s="41" t="str">
        <f t="shared" si="127"/>
        <v/>
      </c>
      <c r="AH139" s="24">
        <f t="shared" si="128"/>
        <v>5.4993666708469391E-4</v>
      </c>
      <c r="AI139" s="41" t="str">
        <f t="shared" si="129"/>
        <v/>
      </c>
      <c r="AJ139" s="24">
        <f t="shared" si="130"/>
        <v>6.5992400050163269E-3</v>
      </c>
      <c r="AK139" s="41" t="str">
        <f t="shared" si="131"/>
        <v/>
      </c>
    </row>
    <row r="140" spans="1:37">
      <c r="F140" s="95">
        <f t="shared" si="77"/>
        <v>-5836.0000000000009</v>
      </c>
      <c r="G140" s="8">
        <v>2</v>
      </c>
      <c r="H140" s="8">
        <f t="shared" si="132"/>
        <v>60.000000000000099</v>
      </c>
      <c r="I140" s="37" t="str">
        <f t="shared" si="105"/>
        <v>0;50</v>
      </c>
      <c r="J140" s="38">
        <v>2</v>
      </c>
      <c r="K140" s="132">
        <f t="shared" si="106"/>
        <v>0.41666666666666735</v>
      </c>
      <c r="L140" s="39" t="str">
        <f>INDEX(powers!$H$2:$H$75,33+J140)</f>
        <v>hecty</v>
      </c>
      <c r="M140" s="40" t="str">
        <f t="shared" si="107"/>
        <v>0</v>
      </c>
      <c r="N140" s="24">
        <f t="shared" si="108"/>
        <v>5.000000000000008</v>
      </c>
      <c r="O140" s="41" t="str">
        <f t="shared" si="109"/>
        <v>5</v>
      </c>
      <c r="P140" s="24">
        <f t="shared" si="110"/>
        <v>9.5923269327613525E-14</v>
      </c>
      <c r="Q140" s="41" t="str">
        <f t="shared" si="111"/>
        <v>0</v>
      </c>
      <c r="R140" s="24">
        <f t="shared" si="112"/>
        <v>1.1510792319313623E-12</v>
      </c>
      <c r="S140" s="41" t="str">
        <f t="shared" si="113"/>
        <v/>
      </c>
      <c r="T140" s="24">
        <f t="shared" si="114"/>
        <v>1.3812950783176348E-11</v>
      </c>
      <c r="U140" s="41" t="str">
        <f t="shared" si="115"/>
        <v/>
      </c>
      <c r="V140" s="24">
        <f t="shared" si="116"/>
        <v>1.6575540939811617E-10</v>
      </c>
      <c r="W140" s="41" t="str">
        <f t="shared" si="117"/>
        <v/>
      </c>
      <c r="X140" s="24">
        <f t="shared" si="118"/>
        <v>1.9890649127773941E-9</v>
      </c>
      <c r="Y140" s="41" t="str">
        <f t="shared" si="119"/>
        <v/>
      </c>
      <c r="Z140" s="24">
        <f t="shared" si="120"/>
        <v>2.3868778953328729E-8</v>
      </c>
      <c r="AA140" s="41" t="str">
        <f t="shared" si="121"/>
        <v/>
      </c>
      <c r="AB140" s="24">
        <f t="shared" si="122"/>
        <v>2.8642534743994474E-7</v>
      </c>
      <c r="AC140" s="41" t="str">
        <f t="shared" si="123"/>
        <v/>
      </c>
      <c r="AD140" s="24">
        <f t="shared" si="124"/>
        <v>3.4371041692793369E-6</v>
      </c>
      <c r="AE140" s="41" t="str">
        <f t="shared" si="125"/>
        <v/>
      </c>
      <c r="AF140" s="24">
        <f t="shared" si="126"/>
        <v>4.1245250031352043E-5</v>
      </c>
      <c r="AG140" s="41" t="str">
        <f t="shared" si="127"/>
        <v/>
      </c>
      <c r="AH140" s="24">
        <f t="shared" si="128"/>
        <v>4.9494300037622452E-4</v>
      </c>
      <c r="AI140" s="41" t="str">
        <f t="shared" si="129"/>
        <v/>
      </c>
      <c r="AJ140" s="24">
        <f t="shared" si="130"/>
        <v>5.9393160045146942E-3</v>
      </c>
      <c r="AK140" s="41" t="str">
        <f t="shared" si="131"/>
        <v/>
      </c>
    </row>
    <row r="141" spans="1:37">
      <c r="F141" s="95">
        <f t="shared" si="77"/>
        <v>-5068.0000000000009</v>
      </c>
      <c r="G141" s="8">
        <v>2</v>
      </c>
      <c r="H141" s="8">
        <f t="shared" si="132"/>
        <v>72.000000000000099</v>
      </c>
      <c r="I141" s="37" t="str">
        <f t="shared" si="105"/>
        <v>0;60</v>
      </c>
      <c r="J141" s="38">
        <v>2</v>
      </c>
      <c r="K141" s="132">
        <f t="shared" si="106"/>
        <v>0.50000000000000067</v>
      </c>
      <c r="L141" s="39" t="str">
        <f>INDEX(powers!$H$2:$H$75,33+J141)</f>
        <v>hecty</v>
      </c>
      <c r="M141" s="40" t="str">
        <f t="shared" si="107"/>
        <v>0</v>
      </c>
      <c r="N141" s="24">
        <f t="shared" si="108"/>
        <v>6.000000000000008</v>
      </c>
      <c r="O141" s="41" t="str">
        <f t="shared" si="109"/>
        <v>6</v>
      </c>
      <c r="P141" s="24">
        <f t="shared" si="110"/>
        <v>9.5923269327613525E-14</v>
      </c>
      <c r="Q141" s="41" t="str">
        <f t="shared" si="111"/>
        <v>0</v>
      </c>
      <c r="R141" s="24">
        <f t="shared" si="112"/>
        <v>1.1510792319313623E-12</v>
      </c>
      <c r="S141" s="41" t="str">
        <f t="shared" si="113"/>
        <v/>
      </c>
      <c r="T141" s="24">
        <f t="shared" si="114"/>
        <v>1.3812950783176348E-11</v>
      </c>
      <c r="U141" s="41" t="str">
        <f t="shared" si="115"/>
        <v/>
      </c>
      <c r="V141" s="24">
        <f t="shared" si="116"/>
        <v>1.6575540939811617E-10</v>
      </c>
      <c r="W141" s="41" t="str">
        <f t="shared" si="117"/>
        <v/>
      </c>
      <c r="X141" s="24">
        <f t="shared" si="118"/>
        <v>1.9890649127773941E-9</v>
      </c>
      <c r="Y141" s="41" t="str">
        <f t="shared" si="119"/>
        <v/>
      </c>
      <c r="Z141" s="24">
        <f t="shared" si="120"/>
        <v>2.3868778953328729E-8</v>
      </c>
      <c r="AA141" s="41" t="str">
        <f t="shared" si="121"/>
        <v/>
      </c>
      <c r="AB141" s="24">
        <f t="shared" si="122"/>
        <v>2.8642534743994474E-7</v>
      </c>
      <c r="AC141" s="41" t="str">
        <f t="shared" si="123"/>
        <v/>
      </c>
      <c r="AD141" s="24">
        <f t="shared" si="124"/>
        <v>3.4371041692793369E-6</v>
      </c>
      <c r="AE141" s="41" t="str">
        <f t="shared" si="125"/>
        <v/>
      </c>
      <c r="AF141" s="24">
        <f t="shared" si="126"/>
        <v>4.1245250031352043E-5</v>
      </c>
      <c r="AG141" s="41" t="str">
        <f t="shared" si="127"/>
        <v/>
      </c>
      <c r="AH141" s="24">
        <f t="shared" si="128"/>
        <v>4.9494300037622452E-4</v>
      </c>
      <c r="AI141" s="41" t="str">
        <f t="shared" si="129"/>
        <v/>
      </c>
      <c r="AJ141" s="24">
        <f t="shared" si="130"/>
        <v>5.9393160045146942E-3</v>
      </c>
      <c r="AK141" s="41" t="str">
        <f t="shared" si="131"/>
        <v/>
      </c>
    </row>
    <row r="142" spans="1:37">
      <c r="F142" s="95">
        <f t="shared" si="77"/>
        <v>-4300.0000000000009</v>
      </c>
      <c r="G142" s="8">
        <v>2</v>
      </c>
      <c r="H142" s="8">
        <f t="shared" si="132"/>
        <v>84.000000000000099</v>
      </c>
      <c r="I142" s="37" t="str">
        <f t="shared" si="105"/>
        <v>0;70</v>
      </c>
      <c r="J142" s="38">
        <v>2</v>
      </c>
      <c r="K142" s="132">
        <f t="shared" si="106"/>
        <v>0.58333333333333404</v>
      </c>
      <c r="L142" s="39" t="str">
        <f>INDEX(powers!$H$2:$H$75,33+J142)</f>
        <v>hecty</v>
      </c>
      <c r="M142" s="40" t="str">
        <f t="shared" si="107"/>
        <v>0</v>
      </c>
      <c r="N142" s="24">
        <f t="shared" si="108"/>
        <v>7.0000000000000089</v>
      </c>
      <c r="O142" s="41" t="str">
        <f t="shared" si="109"/>
        <v>7</v>
      </c>
      <c r="P142" s="24">
        <f t="shared" si="110"/>
        <v>1.0658141036401503E-13</v>
      </c>
      <c r="Q142" s="41" t="str">
        <f t="shared" si="111"/>
        <v>0</v>
      </c>
      <c r="R142" s="24">
        <f t="shared" si="112"/>
        <v>1.2789769243681803E-12</v>
      </c>
      <c r="S142" s="41" t="str">
        <f t="shared" si="113"/>
        <v/>
      </c>
      <c r="T142" s="24">
        <f t="shared" si="114"/>
        <v>1.5347723092418164E-11</v>
      </c>
      <c r="U142" s="41" t="str">
        <f t="shared" si="115"/>
        <v/>
      </c>
      <c r="V142" s="24">
        <f t="shared" si="116"/>
        <v>1.8417267710901797E-10</v>
      </c>
      <c r="W142" s="41" t="str">
        <f t="shared" si="117"/>
        <v/>
      </c>
      <c r="X142" s="24">
        <f t="shared" si="118"/>
        <v>2.2100721253082156E-9</v>
      </c>
      <c r="Y142" s="41" t="str">
        <f t="shared" si="119"/>
        <v/>
      </c>
      <c r="Z142" s="24">
        <f t="shared" si="120"/>
        <v>2.6520865503698587E-8</v>
      </c>
      <c r="AA142" s="41" t="str">
        <f t="shared" si="121"/>
        <v/>
      </c>
      <c r="AB142" s="24">
        <f t="shared" si="122"/>
        <v>3.1825038604438305E-7</v>
      </c>
      <c r="AC142" s="41" t="str">
        <f t="shared" si="123"/>
        <v/>
      </c>
      <c r="AD142" s="24">
        <f t="shared" si="124"/>
        <v>3.8190046325325966E-6</v>
      </c>
      <c r="AE142" s="41" t="str">
        <f t="shared" si="125"/>
        <v/>
      </c>
      <c r="AF142" s="24">
        <f t="shared" si="126"/>
        <v>4.5828055590391159E-5</v>
      </c>
      <c r="AG142" s="41" t="str">
        <f t="shared" si="127"/>
        <v/>
      </c>
      <c r="AH142" s="24">
        <f t="shared" si="128"/>
        <v>5.4993666708469391E-4</v>
      </c>
      <c r="AI142" s="41" t="str">
        <f t="shared" si="129"/>
        <v/>
      </c>
      <c r="AJ142" s="24">
        <f t="shared" si="130"/>
        <v>6.5992400050163269E-3</v>
      </c>
      <c r="AK142" s="41" t="str">
        <f t="shared" si="131"/>
        <v/>
      </c>
    </row>
    <row r="143" spans="1:37">
      <c r="F143" s="95">
        <f t="shared" si="77"/>
        <v>-3532.0000000000009</v>
      </c>
      <c r="G143" s="8">
        <v>2</v>
      </c>
      <c r="H143" s="8">
        <f t="shared" si="132"/>
        <v>96.000000000000099</v>
      </c>
      <c r="I143" s="37" t="str">
        <f t="shared" si="105"/>
        <v>0;80</v>
      </c>
      <c r="J143" s="38">
        <v>2</v>
      </c>
      <c r="K143" s="132">
        <f t="shared" si="106"/>
        <v>0.66666666666666741</v>
      </c>
      <c r="L143" s="39" t="str">
        <f>INDEX(powers!$H$2:$H$75,33+J143)</f>
        <v>hecty</v>
      </c>
      <c r="M143" s="40" t="str">
        <f t="shared" si="107"/>
        <v>0</v>
      </c>
      <c r="N143" s="24">
        <f t="shared" si="108"/>
        <v>8.0000000000000089</v>
      </c>
      <c r="O143" s="41" t="str">
        <f t="shared" si="109"/>
        <v>8</v>
      </c>
      <c r="P143" s="24">
        <f t="shared" si="110"/>
        <v>1.0658141036401503E-13</v>
      </c>
      <c r="Q143" s="41" t="str">
        <f t="shared" si="111"/>
        <v>0</v>
      </c>
      <c r="R143" s="24">
        <f t="shared" si="112"/>
        <v>1.2789769243681803E-12</v>
      </c>
      <c r="S143" s="41" t="str">
        <f t="shared" si="113"/>
        <v/>
      </c>
      <c r="T143" s="24">
        <f t="shared" si="114"/>
        <v>1.5347723092418164E-11</v>
      </c>
      <c r="U143" s="41" t="str">
        <f t="shared" si="115"/>
        <v/>
      </c>
      <c r="V143" s="24">
        <f t="shared" si="116"/>
        <v>1.8417267710901797E-10</v>
      </c>
      <c r="W143" s="41" t="str">
        <f t="shared" si="117"/>
        <v/>
      </c>
      <c r="X143" s="24">
        <f t="shared" si="118"/>
        <v>2.2100721253082156E-9</v>
      </c>
      <c r="Y143" s="41" t="str">
        <f t="shared" si="119"/>
        <v/>
      </c>
      <c r="Z143" s="24">
        <f t="shared" si="120"/>
        <v>2.6520865503698587E-8</v>
      </c>
      <c r="AA143" s="41" t="str">
        <f t="shared" si="121"/>
        <v/>
      </c>
      <c r="AB143" s="24">
        <f t="shared" si="122"/>
        <v>3.1825038604438305E-7</v>
      </c>
      <c r="AC143" s="41" t="str">
        <f t="shared" si="123"/>
        <v/>
      </c>
      <c r="AD143" s="24">
        <f t="shared" si="124"/>
        <v>3.8190046325325966E-6</v>
      </c>
      <c r="AE143" s="41" t="str">
        <f t="shared" si="125"/>
        <v/>
      </c>
      <c r="AF143" s="24">
        <f t="shared" si="126"/>
        <v>4.5828055590391159E-5</v>
      </c>
      <c r="AG143" s="41" t="str">
        <f t="shared" si="127"/>
        <v/>
      </c>
      <c r="AH143" s="24">
        <f t="shared" si="128"/>
        <v>5.4993666708469391E-4</v>
      </c>
      <c r="AI143" s="41" t="str">
        <f t="shared" si="129"/>
        <v/>
      </c>
      <c r="AJ143" s="24">
        <f t="shared" si="130"/>
        <v>6.5992400050163269E-3</v>
      </c>
      <c r="AK143" s="41" t="str">
        <f t="shared" si="131"/>
        <v/>
      </c>
    </row>
    <row r="144" spans="1:37">
      <c r="F144" s="95">
        <f t="shared" si="77"/>
        <v>-2764.0000000000009</v>
      </c>
      <c r="G144" s="8">
        <v>2</v>
      </c>
      <c r="H144" s="8">
        <f t="shared" si="132"/>
        <v>108.0000000000001</v>
      </c>
      <c r="I144" s="37" t="str">
        <f t="shared" si="105"/>
        <v>0;90</v>
      </c>
      <c r="J144" s="38">
        <v>2</v>
      </c>
      <c r="K144" s="132">
        <f t="shared" si="106"/>
        <v>0.75000000000000067</v>
      </c>
      <c r="L144" s="39" t="str">
        <f>INDEX(powers!$H$2:$H$75,33+J144)</f>
        <v>hecty</v>
      </c>
      <c r="M144" s="40" t="str">
        <f t="shared" si="107"/>
        <v>0</v>
      </c>
      <c r="N144" s="24">
        <f t="shared" si="108"/>
        <v>9.0000000000000071</v>
      </c>
      <c r="O144" s="41" t="str">
        <f t="shared" si="109"/>
        <v>9</v>
      </c>
      <c r="P144" s="24">
        <f t="shared" si="110"/>
        <v>8.5265128291212022E-14</v>
      </c>
      <c r="Q144" s="41" t="str">
        <f t="shared" si="111"/>
        <v>0</v>
      </c>
      <c r="R144" s="24">
        <f t="shared" si="112"/>
        <v>1.0231815394945443E-12</v>
      </c>
      <c r="S144" s="41" t="str">
        <f t="shared" si="113"/>
        <v/>
      </c>
      <c r="T144" s="24">
        <f t="shared" si="114"/>
        <v>1.2278178473934531E-11</v>
      </c>
      <c r="U144" s="41" t="str">
        <f t="shared" si="115"/>
        <v/>
      </c>
      <c r="V144" s="24">
        <f t="shared" si="116"/>
        <v>1.4733814168721437E-10</v>
      </c>
      <c r="W144" s="41" t="str">
        <f t="shared" si="117"/>
        <v/>
      </c>
      <c r="X144" s="24">
        <f t="shared" si="118"/>
        <v>1.7680577002465725E-9</v>
      </c>
      <c r="Y144" s="41" t="str">
        <f t="shared" si="119"/>
        <v/>
      </c>
      <c r="Z144" s="24">
        <f t="shared" si="120"/>
        <v>2.121669240295887E-8</v>
      </c>
      <c r="AA144" s="41" t="str">
        <f t="shared" si="121"/>
        <v/>
      </c>
      <c r="AB144" s="24">
        <f t="shared" si="122"/>
        <v>2.5460030883550644E-7</v>
      </c>
      <c r="AC144" s="41" t="str">
        <f t="shared" si="123"/>
        <v/>
      </c>
      <c r="AD144" s="24">
        <f t="shared" si="124"/>
        <v>3.0552037060260773E-6</v>
      </c>
      <c r="AE144" s="41" t="str">
        <f t="shared" si="125"/>
        <v/>
      </c>
      <c r="AF144" s="24">
        <f t="shared" si="126"/>
        <v>3.6662444472312927E-5</v>
      </c>
      <c r="AG144" s="41" t="str">
        <f t="shared" si="127"/>
        <v/>
      </c>
      <c r="AH144" s="24">
        <f t="shared" si="128"/>
        <v>4.3994933366775513E-4</v>
      </c>
      <c r="AI144" s="41" t="str">
        <f t="shared" si="129"/>
        <v/>
      </c>
      <c r="AJ144" s="24">
        <f t="shared" si="130"/>
        <v>5.2793920040130615E-3</v>
      </c>
      <c r="AK144" s="41" t="str">
        <f t="shared" si="131"/>
        <v/>
      </c>
    </row>
    <row r="145" spans="5:37">
      <c r="F145" s="95">
        <f t="shared" si="77"/>
        <v>-1996.0000000000009</v>
      </c>
      <c r="G145" s="8">
        <v>2</v>
      </c>
      <c r="H145" s="8">
        <f t="shared" si="132"/>
        <v>120.0000000000001</v>
      </c>
      <c r="I145" s="37" t="str">
        <f t="shared" si="105"/>
        <v>0;X0</v>
      </c>
      <c r="J145" s="38">
        <v>2</v>
      </c>
      <c r="K145" s="132">
        <f t="shared" si="106"/>
        <v>0.83333333333333404</v>
      </c>
      <c r="L145" s="39" t="str">
        <f>INDEX(powers!$H$2:$H$75,33+J145)</f>
        <v>hecty</v>
      </c>
      <c r="M145" s="40" t="str">
        <f t="shared" si="107"/>
        <v>0</v>
      </c>
      <c r="N145" s="24">
        <f t="shared" si="108"/>
        <v>10.000000000000009</v>
      </c>
      <c r="O145" s="41" t="str">
        <f t="shared" si="109"/>
        <v>X</v>
      </c>
      <c r="P145" s="24">
        <f t="shared" si="110"/>
        <v>1.0658141036401503E-13</v>
      </c>
      <c r="Q145" s="41" t="str">
        <f t="shared" si="111"/>
        <v>0</v>
      </c>
      <c r="R145" s="24">
        <f t="shared" si="112"/>
        <v>1.2789769243681803E-12</v>
      </c>
      <c r="S145" s="41" t="str">
        <f t="shared" si="113"/>
        <v/>
      </c>
      <c r="T145" s="24">
        <f t="shared" si="114"/>
        <v>1.5347723092418164E-11</v>
      </c>
      <c r="U145" s="41" t="str">
        <f t="shared" si="115"/>
        <v/>
      </c>
      <c r="V145" s="24">
        <f t="shared" si="116"/>
        <v>1.8417267710901797E-10</v>
      </c>
      <c r="W145" s="41" t="str">
        <f t="shared" si="117"/>
        <v/>
      </c>
      <c r="X145" s="24">
        <f t="shared" si="118"/>
        <v>2.2100721253082156E-9</v>
      </c>
      <c r="Y145" s="41" t="str">
        <f t="shared" si="119"/>
        <v/>
      </c>
      <c r="Z145" s="24">
        <f t="shared" si="120"/>
        <v>2.6520865503698587E-8</v>
      </c>
      <c r="AA145" s="41" t="str">
        <f t="shared" si="121"/>
        <v/>
      </c>
      <c r="AB145" s="24">
        <f t="shared" si="122"/>
        <v>3.1825038604438305E-7</v>
      </c>
      <c r="AC145" s="41" t="str">
        <f t="shared" si="123"/>
        <v/>
      </c>
      <c r="AD145" s="24">
        <f t="shared" si="124"/>
        <v>3.8190046325325966E-6</v>
      </c>
      <c r="AE145" s="41" t="str">
        <f t="shared" si="125"/>
        <v/>
      </c>
      <c r="AF145" s="24">
        <f t="shared" si="126"/>
        <v>4.5828055590391159E-5</v>
      </c>
      <c r="AG145" s="41" t="str">
        <f t="shared" si="127"/>
        <v/>
      </c>
      <c r="AH145" s="24">
        <f t="shared" si="128"/>
        <v>5.4993666708469391E-4</v>
      </c>
      <c r="AI145" s="41" t="str">
        <f t="shared" si="129"/>
        <v/>
      </c>
      <c r="AJ145" s="24">
        <f t="shared" si="130"/>
        <v>6.5992400050163269E-3</v>
      </c>
      <c r="AK145" s="41" t="str">
        <f t="shared" si="131"/>
        <v/>
      </c>
    </row>
    <row r="146" spans="5:37">
      <c r="F146" s="95">
        <f t="shared" si="77"/>
        <v>-1228</v>
      </c>
      <c r="G146" s="8">
        <v>2</v>
      </c>
      <c r="H146" s="8">
        <f t="shared" si="132"/>
        <v>132.00000000000011</v>
      </c>
      <c r="I146" s="37" t="str">
        <f t="shared" si="105"/>
        <v>0;E0</v>
      </c>
      <c r="J146" s="38">
        <v>2</v>
      </c>
      <c r="K146" s="132">
        <f t="shared" si="106"/>
        <v>0.91666666666666741</v>
      </c>
      <c r="L146" s="39" t="str">
        <f>INDEX(powers!$H$2:$H$75,33+J146)</f>
        <v>hecty</v>
      </c>
      <c r="M146" s="40" t="str">
        <f t="shared" si="107"/>
        <v>0</v>
      </c>
      <c r="N146" s="24">
        <f t="shared" si="108"/>
        <v>11.000000000000009</v>
      </c>
      <c r="O146" s="41" t="str">
        <f t="shared" si="109"/>
        <v>E</v>
      </c>
      <c r="P146" s="24">
        <f t="shared" si="110"/>
        <v>1.0658141036401503E-13</v>
      </c>
      <c r="Q146" s="41" t="str">
        <f t="shared" si="111"/>
        <v>0</v>
      </c>
      <c r="R146" s="24">
        <f t="shared" si="112"/>
        <v>1.2789769243681803E-12</v>
      </c>
      <c r="S146" s="41" t="str">
        <f t="shared" si="113"/>
        <v/>
      </c>
      <c r="T146" s="24">
        <f t="shared" si="114"/>
        <v>1.5347723092418164E-11</v>
      </c>
      <c r="U146" s="41" t="str">
        <f t="shared" si="115"/>
        <v/>
      </c>
      <c r="V146" s="24">
        <f t="shared" si="116"/>
        <v>1.8417267710901797E-10</v>
      </c>
      <c r="W146" s="41" t="str">
        <f t="shared" si="117"/>
        <v/>
      </c>
      <c r="X146" s="24">
        <f t="shared" si="118"/>
        <v>2.2100721253082156E-9</v>
      </c>
      <c r="Y146" s="41" t="str">
        <f t="shared" si="119"/>
        <v/>
      </c>
      <c r="Z146" s="24">
        <f t="shared" si="120"/>
        <v>2.6520865503698587E-8</v>
      </c>
      <c r="AA146" s="41" t="str">
        <f t="shared" si="121"/>
        <v/>
      </c>
      <c r="AB146" s="24">
        <f t="shared" si="122"/>
        <v>3.1825038604438305E-7</v>
      </c>
      <c r="AC146" s="41" t="str">
        <f t="shared" si="123"/>
        <v/>
      </c>
      <c r="AD146" s="24">
        <f t="shared" si="124"/>
        <v>3.8190046325325966E-6</v>
      </c>
      <c r="AE146" s="41" t="str">
        <f t="shared" si="125"/>
        <v/>
      </c>
      <c r="AF146" s="24">
        <f t="shared" si="126"/>
        <v>4.5828055590391159E-5</v>
      </c>
      <c r="AG146" s="41" t="str">
        <f t="shared" si="127"/>
        <v/>
      </c>
      <c r="AH146" s="24">
        <f t="shared" si="128"/>
        <v>5.4993666708469391E-4</v>
      </c>
      <c r="AI146" s="41" t="str">
        <f t="shared" si="129"/>
        <v/>
      </c>
      <c r="AJ146" s="24">
        <f t="shared" si="130"/>
        <v>6.5992400050163269E-3</v>
      </c>
      <c r="AK146" s="41" t="str">
        <f t="shared" si="131"/>
        <v/>
      </c>
    </row>
    <row r="147" spans="5:37">
      <c r="E147" s="539" t="s">
        <v>1556</v>
      </c>
      <c r="F147" s="95">
        <f t="shared" si="77"/>
        <v>-460</v>
      </c>
      <c r="G147" s="8">
        <v>2</v>
      </c>
      <c r="H147" s="8">
        <f t="shared" si="132"/>
        <v>144.00000000000011</v>
      </c>
      <c r="I147" s="37" t="str">
        <f t="shared" si="105"/>
        <v>1;00</v>
      </c>
      <c r="J147" s="38">
        <v>2</v>
      </c>
      <c r="K147" s="132">
        <f t="shared" si="106"/>
        <v>1.0000000000000009</v>
      </c>
      <c r="L147" s="39" t="str">
        <f>INDEX(powers!$H$2:$H$75,33+J147)</f>
        <v>hecty</v>
      </c>
      <c r="M147" s="40" t="str">
        <f t="shared" si="107"/>
        <v>1</v>
      </c>
      <c r="N147" s="24">
        <f t="shared" si="108"/>
        <v>1.0658141036401503E-14</v>
      </c>
      <c r="O147" s="41" t="str">
        <f t="shared" si="109"/>
        <v>0</v>
      </c>
      <c r="P147" s="24">
        <f t="shared" si="110"/>
        <v>1.2789769243681803E-13</v>
      </c>
      <c r="Q147" s="41" t="str">
        <f t="shared" si="111"/>
        <v>0</v>
      </c>
      <c r="R147" s="24">
        <f t="shared" si="112"/>
        <v>1.5347723092418164E-12</v>
      </c>
      <c r="S147" s="41" t="str">
        <f t="shared" si="113"/>
        <v/>
      </c>
      <c r="T147" s="24">
        <f t="shared" si="114"/>
        <v>1.8417267710901797E-11</v>
      </c>
      <c r="U147" s="41" t="str">
        <f t="shared" si="115"/>
        <v/>
      </c>
      <c r="V147" s="24">
        <f t="shared" si="116"/>
        <v>2.2100721253082156E-10</v>
      </c>
      <c r="W147" s="41" t="str">
        <f t="shared" si="117"/>
        <v/>
      </c>
      <c r="X147" s="24">
        <f t="shared" si="118"/>
        <v>2.6520865503698587E-9</v>
      </c>
      <c r="Y147" s="41" t="str">
        <f t="shared" si="119"/>
        <v/>
      </c>
      <c r="Z147" s="24">
        <f t="shared" si="120"/>
        <v>3.1825038604438305E-8</v>
      </c>
      <c r="AA147" s="41" t="str">
        <f t="shared" si="121"/>
        <v/>
      </c>
      <c r="AB147" s="24">
        <f t="shared" si="122"/>
        <v>3.8190046325325966E-7</v>
      </c>
      <c r="AC147" s="41" t="str">
        <f t="shared" si="123"/>
        <v/>
      </c>
      <c r="AD147" s="24">
        <f t="shared" si="124"/>
        <v>4.5828055590391159E-6</v>
      </c>
      <c r="AE147" s="41" t="str">
        <f t="shared" si="125"/>
        <v/>
      </c>
      <c r="AF147" s="24">
        <f t="shared" si="126"/>
        <v>5.4993666708469391E-5</v>
      </c>
      <c r="AG147" s="41" t="str">
        <f t="shared" si="127"/>
        <v/>
      </c>
      <c r="AH147" s="24">
        <f t="shared" si="128"/>
        <v>6.5992400050163269E-4</v>
      </c>
      <c r="AI147" s="41" t="str">
        <f t="shared" si="129"/>
        <v/>
      </c>
      <c r="AJ147" s="24">
        <f t="shared" si="130"/>
        <v>7.9190880060195923E-3</v>
      </c>
      <c r="AK147" s="41" t="str">
        <f t="shared" si="131"/>
        <v/>
      </c>
    </row>
    <row r="148" spans="5:37">
      <c r="E148" s="539" t="s">
        <v>1557</v>
      </c>
      <c r="F148" s="95">
        <f t="shared" si="77"/>
        <v>-396</v>
      </c>
      <c r="G148" s="8">
        <v>2</v>
      </c>
      <c r="H148" s="8">
        <f>H147+1</f>
        <v>145.00000000000011</v>
      </c>
      <c r="I148" s="37" t="str">
        <f t="shared" ref="I148:I186" si="133">M148&amp;";"&amp;O148&amp;Q148&amp;S148&amp;U148&amp;W148&amp;Y148&amp;AA148&amp;AC148&amp;AE148&amp;AG148&amp;AI148&amp;AK148</f>
        <v>1;01</v>
      </c>
      <c r="J148" s="38">
        <v>2</v>
      </c>
      <c r="K148" s="132">
        <f t="shared" ref="K148:K186" si="134">H148/POWER(12,J148)</f>
        <v>1.0069444444444453</v>
      </c>
      <c r="L148" s="39" t="str">
        <f>INDEX(powers!$H$2:$H$75,33+J148)</f>
        <v>hecty</v>
      </c>
      <c r="M148" s="40" t="str">
        <f t="shared" ref="M148:M186" si="135">IF($G148&gt;=M$17,MID($J$17,IF($G148&gt;M$17,INT(K148),ROUND(K148,0))+1,1),"")</f>
        <v>1</v>
      </c>
      <c r="N148" s="24">
        <f t="shared" ref="N148:N186" si="136">(K148-INT(K148))*12</f>
        <v>8.3333333333343695E-2</v>
      </c>
      <c r="O148" s="41" t="str">
        <f t="shared" ref="O148:O186" si="137">IF($G148&gt;=O$17,MID($J$17,IF($G148&gt;O$17,INT(N148),ROUND(N148,0))+1,1),"")</f>
        <v>0</v>
      </c>
      <c r="P148" s="24">
        <f t="shared" ref="P148:P186" si="138">(N148-INT(N148))*12</f>
        <v>1.0000000000001243</v>
      </c>
      <c r="Q148" s="41" t="str">
        <f t="shared" ref="Q148:Q186" si="139">IF($G148&gt;=Q$17,MID($J$17,IF($G148&gt;Q$17,INT(P148),ROUND(P148,0))+1,1),"")</f>
        <v>1</v>
      </c>
      <c r="R148" s="24">
        <f t="shared" ref="R148:R186" si="140">(P148-INT(P148))*12</f>
        <v>1.4921397450962104E-12</v>
      </c>
      <c r="S148" s="41" t="str">
        <f t="shared" ref="S148:S186" si="141">IF($G148&gt;=S$17,MID($J$17,IF($G148&gt;S$17,INT(R148),ROUND(R148,0))+1,1),"")</f>
        <v/>
      </c>
      <c r="T148" s="24">
        <f t="shared" ref="T148:T186" si="142">(R148-INT(R148))*12</f>
        <v>1.7905676941154525E-11</v>
      </c>
      <c r="U148" s="41" t="str">
        <f t="shared" ref="U148:U186" si="143">IF($G148&gt;=U$17,MID($J$17,IF($G148&gt;U$17,INT(T148),ROUND(T148,0))+1,1),"")</f>
        <v/>
      </c>
      <c r="V148" s="24">
        <f t="shared" ref="V148:V186" si="144">(T148-INT(T148))*12</f>
        <v>2.148681232938543E-10</v>
      </c>
      <c r="W148" s="41" t="str">
        <f t="shared" ref="W148:W186" si="145">IF($G148&gt;=W$17,MID($J$17,IF($G148&gt;W$17,INT(V148),ROUND(V148,0))+1,1),"")</f>
        <v/>
      </c>
      <c r="X148" s="24">
        <f t="shared" ref="X148:X186" si="146">(V148-INT(V148))*12</f>
        <v>2.5784174795262516E-9</v>
      </c>
      <c r="Y148" s="41" t="str">
        <f t="shared" ref="Y148:Y186" si="147">IF($G148&gt;=Y$17,MID($J$17,IF($G148&gt;Y$17,INT(X148),ROUND(X148,0))+1,1),"")</f>
        <v/>
      </c>
      <c r="Z148" s="24">
        <f t="shared" ref="Z148:Z186" si="148">(X148-INT(X148))*12</f>
        <v>3.0941009754315019E-8</v>
      </c>
      <c r="AA148" s="41" t="str">
        <f t="shared" ref="AA148:AA186" si="149">IF($G148&gt;=AA$17,MID($J$17,IF($G148&gt;AA$17,INT(Z148),ROUND(Z148,0))+1,1),"")</f>
        <v/>
      </c>
      <c r="AB148" s="24">
        <f t="shared" ref="AB148:AB186" si="150">(Z148-INT(Z148))*12</f>
        <v>3.7129211705178022E-7</v>
      </c>
      <c r="AC148" s="41" t="str">
        <f t="shared" ref="AC148:AC186" si="151">IF($G148&gt;=AC$17,MID($J$17,IF($G148&gt;AC$17,INT(AB148),ROUND(AB148,0))+1,1),"")</f>
        <v/>
      </c>
      <c r="AD148" s="24">
        <f t="shared" ref="AD148:AD186" si="152">(AB148-INT(AB148))*12</f>
        <v>4.4555054046213627E-6</v>
      </c>
      <c r="AE148" s="41" t="str">
        <f t="shared" ref="AE148:AE186" si="153">IF($G148&gt;=AE$17,MID($J$17,IF($G148&gt;AE$17,INT(AD148),ROUND(AD148,0))+1,1),"")</f>
        <v/>
      </c>
      <c r="AF148" s="24">
        <f t="shared" ref="AF148:AF186" si="154">(AD148-INT(AD148))*12</f>
        <v>5.3466064855456352E-5</v>
      </c>
      <c r="AG148" s="41" t="str">
        <f t="shared" ref="AG148:AG186" si="155">IF($G148&gt;=AG$17,MID($J$17,IF($G148&gt;AG$17,INT(AF148),ROUND(AF148,0))+1,1),"")</f>
        <v/>
      </c>
      <c r="AH148" s="24">
        <f t="shared" ref="AH148:AH186" si="156">(AF148-INT(AF148))*12</f>
        <v>6.4159277826547623E-4</v>
      </c>
      <c r="AI148" s="41" t="str">
        <f t="shared" ref="AI148:AI186" si="157">IF($G148&gt;=AI$17,MID($J$17,IF($G148&gt;AI$17,INT(AH148),ROUND(AH148,0))+1,1),"")</f>
        <v/>
      </c>
      <c r="AJ148" s="24">
        <f t="shared" ref="AJ148:AJ186" si="158">(AH148-INT(AH148))*12</f>
        <v>7.6991133391857147E-3</v>
      </c>
      <c r="AK148" s="41" t="str">
        <f t="shared" ref="AK148:AK186" si="159">IF($G148&gt;=AK$17,MID($J$17,IF($G148&gt;AK$17,INT(AJ148),ROUND(AJ148,0))+1,1),"")</f>
        <v/>
      </c>
    </row>
    <row r="149" spans="5:37">
      <c r="E149" s="539" t="s">
        <v>1558</v>
      </c>
      <c r="F149" s="95">
        <f t="shared" si="77"/>
        <v>-332</v>
      </c>
      <c r="G149" s="8">
        <v>2</v>
      </c>
      <c r="H149" s="8">
        <f t="shared" ref="H149:H187" si="160">H148+1</f>
        <v>146.00000000000011</v>
      </c>
      <c r="I149" s="37" t="str">
        <f t="shared" si="133"/>
        <v>1;02</v>
      </c>
      <c r="J149" s="38">
        <v>2</v>
      </c>
      <c r="K149" s="132">
        <f t="shared" si="134"/>
        <v>1.0138888888888897</v>
      </c>
      <c r="L149" s="39" t="str">
        <f>INDEX(powers!$H$2:$H$75,33+J149)</f>
        <v>hecty</v>
      </c>
      <c r="M149" s="40" t="str">
        <f t="shared" si="135"/>
        <v>1</v>
      </c>
      <c r="N149" s="24">
        <f t="shared" si="136"/>
        <v>0.16666666666667673</v>
      </c>
      <c r="O149" s="41" t="str">
        <f t="shared" si="137"/>
        <v>0</v>
      </c>
      <c r="P149" s="24">
        <f t="shared" si="138"/>
        <v>2.0000000000001208</v>
      </c>
      <c r="Q149" s="41" t="str">
        <f t="shared" si="139"/>
        <v>2</v>
      </c>
      <c r="R149" s="24">
        <f t="shared" si="140"/>
        <v>1.4495071809506044E-12</v>
      </c>
      <c r="S149" s="41" t="str">
        <f t="shared" si="141"/>
        <v/>
      </c>
      <c r="T149" s="24">
        <f t="shared" si="142"/>
        <v>1.7394086171407253E-11</v>
      </c>
      <c r="U149" s="41" t="str">
        <f t="shared" si="143"/>
        <v/>
      </c>
      <c r="V149" s="24">
        <f t="shared" si="144"/>
        <v>2.0872903405688703E-10</v>
      </c>
      <c r="W149" s="41" t="str">
        <f t="shared" si="145"/>
        <v/>
      </c>
      <c r="X149" s="24">
        <f t="shared" si="146"/>
        <v>2.5047484086826444E-9</v>
      </c>
      <c r="Y149" s="41" t="str">
        <f t="shared" si="147"/>
        <v/>
      </c>
      <c r="Z149" s="24">
        <f t="shared" si="148"/>
        <v>3.0056980904191732E-8</v>
      </c>
      <c r="AA149" s="41" t="str">
        <f t="shared" si="149"/>
        <v/>
      </c>
      <c r="AB149" s="24">
        <f t="shared" si="150"/>
        <v>3.6068377085030079E-7</v>
      </c>
      <c r="AC149" s="41" t="str">
        <f t="shared" si="151"/>
        <v/>
      </c>
      <c r="AD149" s="24">
        <f t="shared" si="152"/>
        <v>4.3282052502036095E-6</v>
      </c>
      <c r="AE149" s="41" t="str">
        <f t="shared" si="153"/>
        <v/>
      </c>
      <c r="AF149" s="24">
        <f t="shared" si="154"/>
        <v>5.1938463002443314E-5</v>
      </c>
      <c r="AG149" s="41" t="str">
        <f t="shared" si="155"/>
        <v/>
      </c>
      <c r="AH149" s="24">
        <f t="shared" si="156"/>
        <v>6.2326155602931976E-4</v>
      </c>
      <c r="AI149" s="41" t="str">
        <f t="shared" si="157"/>
        <v/>
      </c>
      <c r="AJ149" s="24">
        <f t="shared" si="158"/>
        <v>7.4791386723518372E-3</v>
      </c>
      <c r="AK149" s="41" t="str">
        <f t="shared" si="159"/>
        <v/>
      </c>
    </row>
    <row r="150" spans="5:37">
      <c r="E150" s="539" t="s">
        <v>1559</v>
      </c>
      <c r="F150" s="95">
        <f t="shared" si="77"/>
        <v>-268</v>
      </c>
      <c r="G150" s="8">
        <v>2</v>
      </c>
      <c r="H150" s="8">
        <f t="shared" si="160"/>
        <v>147.00000000000011</v>
      </c>
      <c r="I150" s="37" t="str">
        <f t="shared" si="133"/>
        <v>1;03</v>
      </c>
      <c r="J150" s="38">
        <v>2</v>
      </c>
      <c r="K150" s="132">
        <f t="shared" si="134"/>
        <v>1.0208333333333341</v>
      </c>
      <c r="L150" s="39" t="str">
        <f>INDEX(powers!$H$2:$H$75,33+J150)</f>
        <v>hecty</v>
      </c>
      <c r="M150" s="40" t="str">
        <f t="shared" si="135"/>
        <v>1</v>
      </c>
      <c r="N150" s="24">
        <f t="shared" si="136"/>
        <v>0.25000000000000977</v>
      </c>
      <c r="O150" s="41" t="str">
        <f t="shared" si="137"/>
        <v>0</v>
      </c>
      <c r="P150" s="24">
        <f t="shared" si="138"/>
        <v>3.0000000000001172</v>
      </c>
      <c r="Q150" s="41" t="str">
        <f t="shared" si="139"/>
        <v>3</v>
      </c>
      <c r="R150" s="24">
        <f t="shared" si="140"/>
        <v>1.4068746168049984E-12</v>
      </c>
      <c r="S150" s="41" t="str">
        <f t="shared" si="141"/>
        <v/>
      </c>
      <c r="T150" s="24">
        <f t="shared" si="142"/>
        <v>1.688249540165998E-11</v>
      </c>
      <c r="U150" s="41" t="str">
        <f t="shared" si="143"/>
        <v/>
      </c>
      <c r="V150" s="24">
        <f t="shared" si="144"/>
        <v>2.0258994481991976E-10</v>
      </c>
      <c r="W150" s="41" t="str">
        <f t="shared" si="145"/>
        <v/>
      </c>
      <c r="X150" s="24">
        <f t="shared" si="146"/>
        <v>2.4310793378390372E-9</v>
      </c>
      <c r="Y150" s="41" t="str">
        <f t="shared" si="147"/>
        <v/>
      </c>
      <c r="Z150" s="24">
        <f t="shared" si="148"/>
        <v>2.9172952054068446E-8</v>
      </c>
      <c r="AA150" s="41" t="str">
        <f t="shared" si="149"/>
        <v/>
      </c>
      <c r="AB150" s="24">
        <f t="shared" si="150"/>
        <v>3.5007542464882135E-7</v>
      </c>
      <c r="AC150" s="41" t="str">
        <f t="shared" si="151"/>
        <v/>
      </c>
      <c r="AD150" s="24">
        <f t="shared" si="152"/>
        <v>4.2009050957858562E-6</v>
      </c>
      <c r="AE150" s="41" t="str">
        <f t="shared" si="153"/>
        <v/>
      </c>
      <c r="AF150" s="24">
        <f t="shared" si="154"/>
        <v>5.0410861149430275E-5</v>
      </c>
      <c r="AG150" s="41" t="str">
        <f t="shared" si="155"/>
        <v/>
      </c>
      <c r="AH150" s="24">
        <f t="shared" si="156"/>
        <v>6.049303337931633E-4</v>
      </c>
      <c r="AI150" s="41" t="str">
        <f t="shared" si="157"/>
        <v/>
      </c>
      <c r="AJ150" s="24">
        <f t="shared" si="158"/>
        <v>7.2591640055179596E-3</v>
      </c>
      <c r="AK150" s="41" t="str">
        <f t="shared" si="159"/>
        <v/>
      </c>
    </row>
    <row r="151" spans="5:37">
      <c r="E151" s="539" t="s">
        <v>1560</v>
      </c>
      <c r="F151" s="95">
        <f t="shared" si="77"/>
        <v>-204</v>
      </c>
      <c r="G151" s="8">
        <v>2</v>
      </c>
      <c r="H151" s="8">
        <f t="shared" si="160"/>
        <v>148.00000000000011</v>
      </c>
      <c r="I151" s="37" t="str">
        <f t="shared" si="133"/>
        <v>1;04</v>
      </c>
      <c r="J151" s="38">
        <v>2</v>
      </c>
      <c r="K151" s="132">
        <f t="shared" si="134"/>
        <v>1.0277777777777786</v>
      </c>
      <c r="L151" s="39" t="str">
        <f>INDEX(powers!$H$2:$H$75,33+J151)</f>
        <v>hecty</v>
      </c>
      <c r="M151" s="40" t="str">
        <f t="shared" si="135"/>
        <v>1</v>
      </c>
      <c r="N151" s="24">
        <f t="shared" si="136"/>
        <v>0.33333333333334281</v>
      </c>
      <c r="O151" s="41" t="str">
        <f t="shared" si="137"/>
        <v>0</v>
      </c>
      <c r="P151" s="24">
        <f t="shared" si="138"/>
        <v>4.0000000000001137</v>
      </c>
      <c r="Q151" s="41" t="str">
        <f t="shared" si="139"/>
        <v>4</v>
      </c>
      <c r="R151" s="24">
        <f t="shared" si="140"/>
        <v>1.3642420526593924E-12</v>
      </c>
      <c r="S151" s="41" t="str">
        <f t="shared" si="141"/>
        <v/>
      </c>
      <c r="T151" s="24">
        <f t="shared" si="142"/>
        <v>1.6370904631912708E-11</v>
      </c>
      <c r="U151" s="41" t="str">
        <f t="shared" si="143"/>
        <v/>
      </c>
      <c r="V151" s="24">
        <f t="shared" si="144"/>
        <v>1.964508555829525E-10</v>
      </c>
      <c r="W151" s="41" t="str">
        <f t="shared" si="145"/>
        <v/>
      </c>
      <c r="X151" s="24">
        <f t="shared" si="146"/>
        <v>2.35741026699543E-9</v>
      </c>
      <c r="Y151" s="41" t="str">
        <f t="shared" si="147"/>
        <v/>
      </c>
      <c r="Z151" s="24">
        <f t="shared" si="148"/>
        <v>2.828892320394516E-8</v>
      </c>
      <c r="AA151" s="41" t="str">
        <f t="shared" si="149"/>
        <v/>
      </c>
      <c r="AB151" s="24">
        <f t="shared" si="150"/>
        <v>3.3946707844734192E-7</v>
      </c>
      <c r="AC151" s="41" t="str">
        <f t="shared" si="151"/>
        <v/>
      </c>
      <c r="AD151" s="24">
        <f t="shared" si="152"/>
        <v>4.073604941368103E-6</v>
      </c>
      <c r="AE151" s="41" t="str">
        <f t="shared" si="153"/>
        <v/>
      </c>
      <c r="AF151" s="24">
        <f t="shared" si="154"/>
        <v>4.8883259296417236E-5</v>
      </c>
      <c r="AG151" s="41" t="str">
        <f t="shared" si="155"/>
        <v/>
      </c>
      <c r="AH151" s="24">
        <f t="shared" si="156"/>
        <v>5.8659911155700684E-4</v>
      </c>
      <c r="AI151" s="41" t="str">
        <f t="shared" si="157"/>
        <v/>
      </c>
      <c r="AJ151" s="24">
        <f t="shared" si="158"/>
        <v>7.039189338684082E-3</v>
      </c>
      <c r="AK151" s="41" t="str">
        <f t="shared" si="159"/>
        <v/>
      </c>
    </row>
    <row r="152" spans="5:37">
      <c r="E152" s="539" t="s">
        <v>1561</v>
      </c>
      <c r="F152" s="95">
        <f t="shared" si="77"/>
        <v>-140</v>
      </c>
      <c r="G152" s="8">
        <v>2</v>
      </c>
      <c r="H152" s="8">
        <f t="shared" si="160"/>
        <v>149.00000000000011</v>
      </c>
      <c r="I152" s="37" t="str">
        <f t="shared" si="133"/>
        <v>1;05</v>
      </c>
      <c r="J152" s="38">
        <v>2</v>
      </c>
      <c r="K152" s="132">
        <f t="shared" si="134"/>
        <v>1.034722222222223</v>
      </c>
      <c r="L152" s="39" t="str">
        <f>INDEX(powers!$H$2:$H$75,33+J152)</f>
        <v>hecty</v>
      </c>
      <c r="M152" s="40" t="str">
        <f t="shared" si="135"/>
        <v>1</v>
      </c>
      <c r="N152" s="24">
        <f t="shared" si="136"/>
        <v>0.41666666666667584</v>
      </c>
      <c r="O152" s="41" t="str">
        <f t="shared" si="137"/>
        <v>0</v>
      </c>
      <c r="P152" s="24">
        <f t="shared" si="138"/>
        <v>5.0000000000001101</v>
      </c>
      <c r="Q152" s="41" t="str">
        <f t="shared" si="139"/>
        <v>5</v>
      </c>
      <c r="R152" s="24">
        <f t="shared" si="140"/>
        <v>1.3216094885137863E-12</v>
      </c>
      <c r="S152" s="41" t="str">
        <f t="shared" si="141"/>
        <v/>
      </c>
      <c r="T152" s="24">
        <f t="shared" si="142"/>
        <v>1.5859313862165436E-11</v>
      </c>
      <c r="U152" s="41" t="str">
        <f t="shared" si="143"/>
        <v/>
      </c>
      <c r="V152" s="24">
        <f t="shared" si="144"/>
        <v>1.9031176634598523E-10</v>
      </c>
      <c r="W152" s="41" t="str">
        <f t="shared" si="145"/>
        <v/>
      </c>
      <c r="X152" s="24">
        <f t="shared" si="146"/>
        <v>2.2837411961518228E-9</v>
      </c>
      <c r="Y152" s="41" t="str">
        <f t="shared" si="147"/>
        <v/>
      </c>
      <c r="Z152" s="24">
        <f t="shared" si="148"/>
        <v>2.7404894353821874E-8</v>
      </c>
      <c r="AA152" s="41" t="str">
        <f t="shared" si="149"/>
        <v/>
      </c>
      <c r="AB152" s="24">
        <f t="shared" si="150"/>
        <v>3.2885873224586248E-7</v>
      </c>
      <c r="AC152" s="41" t="str">
        <f t="shared" si="151"/>
        <v/>
      </c>
      <c r="AD152" s="24">
        <f t="shared" si="152"/>
        <v>3.9463047869503498E-6</v>
      </c>
      <c r="AE152" s="41" t="str">
        <f t="shared" si="153"/>
        <v/>
      </c>
      <c r="AF152" s="24">
        <f t="shared" si="154"/>
        <v>4.7355657443404198E-5</v>
      </c>
      <c r="AG152" s="41" t="str">
        <f t="shared" si="155"/>
        <v/>
      </c>
      <c r="AH152" s="24">
        <f t="shared" si="156"/>
        <v>5.6826788932085037E-4</v>
      </c>
      <c r="AI152" s="41" t="str">
        <f t="shared" si="157"/>
        <v/>
      </c>
      <c r="AJ152" s="24">
        <f t="shared" si="158"/>
        <v>6.8192146718502045E-3</v>
      </c>
      <c r="AK152" s="41" t="str">
        <f t="shared" si="159"/>
        <v/>
      </c>
    </row>
    <row r="153" spans="5:37">
      <c r="E153" s="539" t="s">
        <v>1562</v>
      </c>
      <c r="F153" s="95">
        <f t="shared" si="77"/>
        <v>-76</v>
      </c>
      <c r="G153" s="8">
        <v>2</v>
      </c>
      <c r="H153" s="8">
        <f t="shared" si="160"/>
        <v>150.00000000000011</v>
      </c>
      <c r="I153" s="37" t="str">
        <f t="shared" si="133"/>
        <v>1;06</v>
      </c>
      <c r="J153" s="38">
        <v>2</v>
      </c>
      <c r="K153" s="132">
        <f t="shared" si="134"/>
        <v>1.0416666666666674</v>
      </c>
      <c r="L153" s="39" t="str">
        <f>INDEX(powers!$H$2:$H$75,33+J153)</f>
        <v>hecty</v>
      </c>
      <c r="M153" s="40" t="str">
        <f t="shared" si="135"/>
        <v>1</v>
      </c>
      <c r="N153" s="24">
        <f t="shared" si="136"/>
        <v>0.50000000000000888</v>
      </c>
      <c r="O153" s="41" t="str">
        <f t="shared" si="137"/>
        <v>0</v>
      </c>
      <c r="P153" s="24">
        <f t="shared" si="138"/>
        <v>6.0000000000001066</v>
      </c>
      <c r="Q153" s="41" t="str">
        <f t="shared" si="139"/>
        <v>6</v>
      </c>
      <c r="R153" s="24">
        <f t="shared" si="140"/>
        <v>1.2789769243681803E-12</v>
      </c>
      <c r="S153" s="41" t="str">
        <f t="shared" si="141"/>
        <v/>
      </c>
      <c r="T153" s="24">
        <f t="shared" si="142"/>
        <v>1.5347723092418164E-11</v>
      </c>
      <c r="U153" s="41" t="str">
        <f t="shared" si="143"/>
        <v/>
      </c>
      <c r="V153" s="24">
        <f t="shared" si="144"/>
        <v>1.8417267710901797E-10</v>
      </c>
      <c r="W153" s="41" t="str">
        <f t="shared" si="145"/>
        <v/>
      </c>
      <c r="X153" s="24">
        <f t="shared" si="146"/>
        <v>2.2100721253082156E-9</v>
      </c>
      <c r="Y153" s="41" t="str">
        <f t="shared" si="147"/>
        <v/>
      </c>
      <c r="Z153" s="24">
        <f t="shared" si="148"/>
        <v>2.6520865503698587E-8</v>
      </c>
      <c r="AA153" s="41" t="str">
        <f t="shared" si="149"/>
        <v/>
      </c>
      <c r="AB153" s="24">
        <f t="shared" si="150"/>
        <v>3.1825038604438305E-7</v>
      </c>
      <c r="AC153" s="41" t="str">
        <f t="shared" si="151"/>
        <v/>
      </c>
      <c r="AD153" s="24">
        <f t="shared" si="152"/>
        <v>3.8190046325325966E-6</v>
      </c>
      <c r="AE153" s="41" t="str">
        <f t="shared" si="153"/>
        <v/>
      </c>
      <c r="AF153" s="24">
        <f t="shared" si="154"/>
        <v>4.5828055590391159E-5</v>
      </c>
      <c r="AG153" s="41" t="str">
        <f t="shared" si="155"/>
        <v/>
      </c>
      <c r="AH153" s="24">
        <f t="shared" si="156"/>
        <v>5.4993666708469391E-4</v>
      </c>
      <c r="AI153" s="41" t="str">
        <f t="shared" si="157"/>
        <v/>
      </c>
      <c r="AJ153" s="24">
        <f t="shared" si="158"/>
        <v>6.5992400050163269E-3</v>
      </c>
      <c r="AK153" s="41" t="str">
        <f t="shared" si="159"/>
        <v/>
      </c>
    </row>
    <row r="154" spans="5:37">
      <c r="E154" s="539" t="s">
        <v>1563</v>
      </c>
      <c r="F154" s="95">
        <f t="shared" si="77"/>
        <v>-12</v>
      </c>
      <c r="G154" s="8">
        <v>2</v>
      </c>
      <c r="H154" s="8">
        <f t="shared" si="160"/>
        <v>151.00000000000011</v>
      </c>
      <c r="I154" s="37" t="str">
        <f t="shared" si="133"/>
        <v>1;07</v>
      </c>
      <c r="J154" s="38">
        <v>2</v>
      </c>
      <c r="K154" s="132">
        <f t="shared" si="134"/>
        <v>1.0486111111111118</v>
      </c>
      <c r="L154" s="39" t="str">
        <f>INDEX(powers!$H$2:$H$75,33+J154)</f>
        <v>hecty</v>
      </c>
      <c r="M154" s="40" t="str">
        <f t="shared" si="135"/>
        <v>1</v>
      </c>
      <c r="N154" s="24">
        <f t="shared" si="136"/>
        <v>0.58333333333334192</v>
      </c>
      <c r="O154" s="41" t="str">
        <f t="shared" si="137"/>
        <v>0</v>
      </c>
      <c r="P154" s="24">
        <f t="shared" si="138"/>
        <v>7.000000000000103</v>
      </c>
      <c r="Q154" s="41" t="str">
        <f t="shared" si="139"/>
        <v>7</v>
      </c>
      <c r="R154" s="24">
        <f t="shared" si="140"/>
        <v>1.2363443602225743E-12</v>
      </c>
      <c r="S154" s="41" t="str">
        <f t="shared" si="141"/>
        <v/>
      </c>
      <c r="T154" s="24">
        <f t="shared" si="142"/>
        <v>1.4836132322670892E-11</v>
      </c>
      <c r="U154" s="41" t="str">
        <f t="shared" si="143"/>
        <v/>
      </c>
      <c r="V154" s="24">
        <f t="shared" si="144"/>
        <v>1.780335878720507E-10</v>
      </c>
      <c r="W154" s="41" t="str">
        <f t="shared" si="145"/>
        <v/>
      </c>
      <c r="X154" s="24">
        <f t="shared" si="146"/>
        <v>2.1364030544646084E-9</v>
      </c>
      <c r="Y154" s="41" t="str">
        <f t="shared" si="147"/>
        <v/>
      </c>
      <c r="Z154" s="24">
        <f t="shared" si="148"/>
        <v>2.5636836653575301E-8</v>
      </c>
      <c r="AA154" s="41" t="str">
        <f t="shared" si="149"/>
        <v/>
      </c>
      <c r="AB154" s="24">
        <f t="shared" si="150"/>
        <v>3.0764203984290361E-7</v>
      </c>
      <c r="AC154" s="41" t="str">
        <f t="shared" si="151"/>
        <v/>
      </c>
      <c r="AD154" s="24">
        <f t="shared" si="152"/>
        <v>3.6917044781148434E-6</v>
      </c>
      <c r="AE154" s="41" t="str">
        <f t="shared" si="153"/>
        <v/>
      </c>
      <c r="AF154" s="24">
        <f t="shared" si="154"/>
        <v>4.430045373737812E-5</v>
      </c>
      <c r="AG154" s="41" t="str">
        <f t="shared" si="155"/>
        <v/>
      </c>
      <c r="AH154" s="24">
        <f t="shared" si="156"/>
        <v>5.3160544484853745E-4</v>
      </c>
      <c r="AI154" s="41" t="str">
        <f t="shared" si="157"/>
        <v/>
      </c>
      <c r="AJ154" s="24">
        <f t="shared" si="158"/>
        <v>6.3792653381824493E-3</v>
      </c>
      <c r="AK154" s="41" t="str">
        <f t="shared" si="159"/>
        <v/>
      </c>
    </row>
    <row r="155" spans="5:37">
      <c r="E155" s="539" t="s">
        <v>1564</v>
      </c>
      <c r="F155" s="95">
        <f t="shared" si="77"/>
        <v>52</v>
      </c>
      <c r="G155" s="8">
        <v>2</v>
      </c>
      <c r="H155" s="8">
        <f t="shared" si="160"/>
        <v>152.00000000000011</v>
      </c>
      <c r="I155" s="37" t="str">
        <f t="shared" si="133"/>
        <v>1;08</v>
      </c>
      <c r="J155" s="38">
        <v>2</v>
      </c>
      <c r="K155" s="132">
        <f t="shared" si="134"/>
        <v>1.0555555555555562</v>
      </c>
      <c r="L155" s="39" t="str">
        <f>INDEX(powers!$H$2:$H$75,33+J155)</f>
        <v>hecty</v>
      </c>
      <c r="M155" s="40" t="str">
        <f t="shared" si="135"/>
        <v>1</v>
      </c>
      <c r="N155" s="24">
        <f t="shared" si="136"/>
        <v>0.66666666666667496</v>
      </c>
      <c r="O155" s="41" t="str">
        <f t="shared" si="137"/>
        <v>0</v>
      </c>
      <c r="P155" s="24">
        <f t="shared" si="138"/>
        <v>8.0000000000000995</v>
      </c>
      <c r="Q155" s="41" t="str">
        <f t="shared" si="139"/>
        <v>8</v>
      </c>
      <c r="R155" s="24">
        <f t="shared" si="140"/>
        <v>1.1937117960769683E-12</v>
      </c>
      <c r="S155" s="41" t="str">
        <f t="shared" si="141"/>
        <v/>
      </c>
      <c r="T155" s="24">
        <f t="shared" si="142"/>
        <v>1.432454155292362E-11</v>
      </c>
      <c r="U155" s="41" t="str">
        <f t="shared" si="143"/>
        <v/>
      </c>
      <c r="V155" s="24">
        <f t="shared" si="144"/>
        <v>1.7189449863508344E-10</v>
      </c>
      <c r="W155" s="41" t="str">
        <f t="shared" si="145"/>
        <v/>
      </c>
      <c r="X155" s="24">
        <f t="shared" si="146"/>
        <v>2.0627339836210012E-9</v>
      </c>
      <c r="Y155" s="41" t="str">
        <f t="shared" si="147"/>
        <v/>
      </c>
      <c r="Z155" s="24">
        <f t="shared" si="148"/>
        <v>2.4752807803452015E-8</v>
      </c>
      <c r="AA155" s="41" t="str">
        <f t="shared" si="149"/>
        <v/>
      </c>
      <c r="AB155" s="24">
        <f t="shared" si="150"/>
        <v>2.9703369364142418E-7</v>
      </c>
      <c r="AC155" s="41" t="str">
        <f t="shared" si="151"/>
        <v/>
      </c>
      <c r="AD155" s="24">
        <f t="shared" si="152"/>
        <v>3.5644043236970901E-6</v>
      </c>
      <c r="AE155" s="41" t="str">
        <f t="shared" si="153"/>
        <v/>
      </c>
      <c r="AF155" s="24">
        <f t="shared" si="154"/>
        <v>4.2772851884365082E-5</v>
      </c>
      <c r="AG155" s="41" t="str">
        <f t="shared" si="155"/>
        <v/>
      </c>
      <c r="AH155" s="24">
        <f t="shared" si="156"/>
        <v>5.1327422261238098E-4</v>
      </c>
      <c r="AI155" s="41" t="str">
        <f t="shared" si="157"/>
        <v/>
      </c>
      <c r="AJ155" s="24">
        <f t="shared" si="158"/>
        <v>6.1592906713485718E-3</v>
      </c>
      <c r="AK155" s="41" t="str">
        <f t="shared" si="159"/>
        <v/>
      </c>
    </row>
    <row r="156" spans="5:37">
      <c r="E156" s="539" t="s">
        <v>1565</v>
      </c>
      <c r="F156" s="95">
        <f t="shared" si="77"/>
        <v>116</v>
      </c>
      <c r="G156" s="8">
        <v>2</v>
      </c>
      <c r="H156" s="8">
        <f t="shared" si="160"/>
        <v>153.00000000000011</v>
      </c>
      <c r="I156" s="37" t="str">
        <f t="shared" si="133"/>
        <v>1;09</v>
      </c>
      <c r="J156" s="38">
        <v>2</v>
      </c>
      <c r="K156" s="132">
        <f t="shared" si="134"/>
        <v>1.0625000000000009</v>
      </c>
      <c r="L156" s="39" t="str">
        <f>INDEX(powers!$H$2:$H$75,33+J156)</f>
        <v>hecty</v>
      </c>
      <c r="M156" s="40" t="str">
        <f t="shared" si="135"/>
        <v>1</v>
      </c>
      <c r="N156" s="24">
        <f t="shared" si="136"/>
        <v>0.75000000000001066</v>
      </c>
      <c r="O156" s="41" t="str">
        <f t="shared" si="137"/>
        <v>0</v>
      </c>
      <c r="P156" s="24">
        <f t="shared" si="138"/>
        <v>9.0000000000001279</v>
      </c>
      <c r="Q156" s="41" t="str">
        <f t="shared" si="139"/>
        <v>9</v>
      </c>
      <c r="R156" s="24">
        <f t="shared" si="140"/>
        <v>1.5347723092418164E-12</v>
      </c>
      <c r="S156" s="41" t="str">
        <f t="shared" si="141"/>
        <v/>
      </c>
      <c r="T156" s="24">
        <f t="shared" si="142"/>
        <v>1.8417267710901797E-11</v>
      </c>
      <c r="U156" s="41" t="str">
        <f t="shared" si="143"/>
        <v/>
      </c>
      <c r="V156" s="24">
        <f t="shared" si="144"/>
        <v>2.2100721253082156E-10</v>
      </c>
      <c r="W156" s="41" t="str">
        <f t="shared" si="145"/>
        <v/>
      </c>
      <c r="X156" s="24">
        <f t="shared" si="146"/>
        <v>2.6520865503698587E-9</v>
      </c>
      <c r="Y156" s="41" t="str">
        <f t="shared" si="147"/>
        <v/>
      </c>
      <c r="Z156" s="24">
        <f t="shared" si="148"/>
        <v>3.1825038604438305E-8</v>
      </c>
      <c r="AA156" s="41" t="str">
        <f t="shared" si="149"/>
        <v/>
      </c>
      <c r="AB156" s="24">
        <f t="shared" si="150"/>
        <v>3.8190046325325966E-7</v>
      </c>
      <c r="AC156" s="41" t="str">
        <f t="shared" si="151"/>
        <v/>
      </c>
      <c r="AD156" s="24">
        <f t="shared" si="152"/>
        <v>4.5828055590391159E-6</v>
      </c>
      <c r="AE156" s="41" t="str">
        <f t="shared" si="153"/>
        <v/>
      </c>
      <c r="AF156" s="24">
        <f t="shared" si="154"/>
        <v>5.4993666708469391E-5</v>
      </c>
      <c r="AG156" s="41" t="str">
        <f t="shared" si="155"/>
        <v/>
      </c>
      <c r="AH156" s="24">
        <f t="shared" si="156"/>
        <v>6.5992400050163269E-4</v>
      </c>
      <c r="AI156" s="41" t="str">
        <f t="shared" si="157"/>
        <v/>
      </c>
      <c r="AJ156" s="24">
        <f t="shared" si="158"/>
        <v>7.9190880060195923E-3</v>
      </c>
      <c r="AK156" s="41" t="str">
        <f t="shared" si="159"/>
        <v/>
      </c>
    </row>
    <row r="157" spans="5:37">
      <c r="E157" s="539" t="s">
        <v>1566</v>
      </c>
      <c r="F157" s="95">
        <f t="shared" si="77"/>
        <v>180</v>
      </c>
      <c r="G157" s="8">
        <v>2</v>
      </c>
      <c r="H157" s="8">
        <f t="shared" si="160"/>
        <v>154.00000000000011</v>
      </c>
      <c r="I157" s="37" t="str">
        <f t="shared" si="133"/>
        <v>1;0X</v>
      </c>
      <c r="J157" s="38">
        <v>2</v>
      </c>
      <c r="K157" s="132">
        <f t="shared" si="134"/>
        <v>1.0694444444444453</v>
      </c>
      <c r="L157" s="39" t="str">
        <f>INDEX(powers!$H$2:$H$75,33+J157)</f>
        <v>hecty</v>
      </c>
      <c r="M157" s="40" t="str">
        <f t="shared" si="135"/>
        <v>1</v>
      </c>
      <c r="N157" s="24">
        <f t="shared" si="136"/>
        <v>0.8333333333333437</v>
      </c>
      <c r="O157" s="41" t="str">
        <f t="shared" si="137"/>
        <v>0</v>
      </c>
      <c r="P157" s="24">
        <f t="shared" si="138"/>
        <v>10.000000000000124</v>
      </c>
      <c r="Q157" s="41" t="str">
        <f t="shared" si="139"/>
        <v>X</v>
      </c>
      <c r="R157" s="24">
        <f t="shared" si="140"/>
        <v>1.4921397450962104E-12</v>
      </c>
      <c r="S157" s="41" t="str">
        <f t="shared" si="141"/>
        <v/>
      </c>
      <c r="T157" s="24">
        <f t="shared" si="142"/>
        <v>1.7905676941154525E-11</v>
      </c>
      <c r="U157" s="41" t="str">
        <f t="shared" si="143"/>
        <v/>
      </c>
      <c r="V157" s="24">
        <f t="shared" si="144"/>
        <v>2.148681232938543E-10</v>
      </c>
      <c r="W157" s="41" t="str">
        <f t="shared" si="145"/>
        <v/>
      </c>
      <c r="X157" s="24">
        <f t="shared" si="146"/>
        <v>2.5784174795262516E-9</v>
      </c>
      <c r="Y157" s="41" t="str">
        <f t="shared" si="147"/>
        <v/>
      </c>
      <c r="Z157" s="24">
        <f t="shared" si="148"/>
        <v>3.0941009754315019E-8</v>
      </c>
      <c r="AA157" s="41" t="str">
        <f t="shared" si="149"/>
        <v/>
      </c>
      <c r="AB157" s="24">
        <f t="shared" si="150"/>
        <v>3.7129211705178022E-7</v>
      </c>
      <c r="AC157" s="41" t="str">
        <f t="shared" si="151"/>
        <v/>
      </c>
      <c r="AD157" s="24">
        <f t="shared" si="152"/>
        <v>4.4555054046213627E-6</v>
      </c>
      <c r="AE157" s="41" t="str">
        <f t="shared" si="153"/>
        <v/>
      </c>
      <c r="AF157" s="24">
        <f t="shared" si="154"/>
        <v>5.3466064855456352E-5</v>
      </c>
      <c r="AG157" s="41" t="str">
        <f t="shared" si="155"/>
        <v/>
      </c>
      <c r="AH157" s="24">
        <f t="shared" si="156"/>
        <v>6.4159277826547623E-4</v>
      </c>
      <c r="AI157" s="41" t="str">
        <f t="shared" si="157"/>
        <v/>
      </c>
      <c r="AJ157" s="24">
        <f t="shared" si="158"/>
        <v>7.6991133391857147E-3</v>
      </c>
      <c r="AK157" s="41" t="str">
        <f t="shared" si="159"/>
        <v/>
      </c>
    </row>
    <row r="158" spans="5:37">
      <c r="E158" s="539" t="s">
        <v>1567</v>
      </c>
      <c r="F158" s="95">
        <f t="shared" si="77"/>
        <v>244</v>
      </c>
      <c r="G158" s="8">
        <v>2</v>
      </c>
      <c r="H158" s="8">
        <f t="shared" si="160"/>
        <v>155.00000000000011</v>
      </c>
      <c r="I158" s="37" t="str">
        <f t="shared" si="133"/>
        <v>1;0E</v>
      </c>
      <c r="J158" s="38">
        <v>2</v>
      </c>
      <c r="K158" s="132">
        <f t="shared" si="134"/>
        <v>1.0763888888888897</v>
      </c>
      <c r="L158" s="39" t="str">
        <f>INDEX(powers!$H$2:$H$75,33+J158)</f>
        <v>hecty</v>
      </c>
      <c r="M158" s="40" t="str">
        <f t="shared" si="135"/>
        <v>1</v>
      </c>
      <c r="N158" s="24">
        <f t="shared" si="136"/>
        <v>0.91666666666667673</v>
      </c>
      <c r="O158" s="41" t="str">
        <f t="shared" si="137"/>
        <v>0</v>
      </c>
      <c r="P158" s="24">
        <f t="shared" si="138"/>
        <v>11.000000000000121</v>
      </c>
      <c r="Q158" s="41" t="str">
        <f t="shared" si="139"/>
        <v>E</v>
      </c>
      <c r="R158" s="24">
        <f t="shared" si="140"/>
        <v>1.4495071809506044E-12</v>
      </c>
      <c r="S158" s="41" t="str">
        <f t="shared" si="141"/>
        <v/>
      </c>
      <c r="T158" s="24">
        <f t="shared" si="142"/>
        <v>1.7394086171407253E-11</v>
      </c>
      <c r="U158" s="41" t="str">
        <f t="shared" si="143"/>
        <v/>
      </c>
      <c r="V158" s="24">
        <f t="shared" si="144"/>
        <v>2.0872903405688703E-10</v>
      </c>
      <c r="W158" s="41" t="str">
        <f t="shared" si="145"/>
        <v/>
      </c>
      <c r="X158" s="24">
        <f t="shared" si="146"/>
        <v>2.5047484086826444E-9</v>
      </c>
      <c r="Y158" s="41" t="str">
        <f t="shared" si="147"/>
        <v/>
      </c>
      <c r="Z158" s="24">
        <f t="shared" si="148"/>
        <v>3.0056980904191732E-8</v>
      </c>
      <c r="AA158" s="41" t="str">
        <f t="shared" si="149"/>
        <v/>
      </c>
      <c r="AB158" s="24">
        <f t="shared" si="150"/>
        <v>3.6068377085030079E-7</v>
      </c>
      <c r="AC158" s="41" t="str">
        <f t="shared" si="151"/>
        <v/>
      </c>
      <c r="AD158" s="24">
        <f t="shared" si="152"/>
        <v>4.3282052502036095E-6</v>
      </c>
      <c r="AE158" s="41" t="str">
        <f t="shared" si="153"/>
        <v/>
      </c>
      <c r="AF158" s="24">
        <f t="shared" si="154"/>
        <v>5.1938463002443314E-5</v>
      </c>
      <c r="AG158" s="41" t="str">
        <f t="shared" si="155"/>
        <v/>
      </c>
      <c r="AH158" s="24">
        <f t="shared" si="156"/>
        <v>6.2326155602931976E-4</v>
      </c>
      <c r="AI158" s="41" t="str">
        <f t="shared" si="157"/>
        <v/>
      </c>
      <c r="AJ158" s="24">
        <f t="shared" si="158"/>
        <v>7.4791386723518372E-3</v>
      </c>
      <c r="AK158" s="41" t="str">
        <f t="shared" si="159"/>
        <v/>
      </c>
    </row>
    <row r="159" spans="5:37">
      <c r="E159" s="539" t="s">
        <v>1568</v>
      </c>
      <c r="F159" s="95">
        <f t="shared" si="77"/>
        <v>308</v>
      </c>
      <c r="G159" s="8">
        <v>2</v>
      </c>
      <c r="H159" s="8">
        <f t="shared" si="160"/>
        <v>156.00000000000011</v>
      </c>
      <c r="I159" s="37" t="str">
        <f t="shared" si="133"/>
        <v>1;10</v>
      </c>
      <c r="J159" s="38">
        <v>2</v>
      </c>
      <c r="K159" s="132">
        <f t="shared" si="134"/>
        <v>1.0833333333333341</v>
      </c>
      <c r="L159" s="39" t="str">
        <f>INDEX(powers!$H$2:$H$75,33+J159)</f>
        <v>hecty</v>
      </c>
      <c r="M159" s="40" t="str">
        <f t="shared" si="135"/>
        <v>1</v>
      </c>
      <c r="N159" s="24">
        <f t="shared" si="136"/>
        <v>1.0000000000000098</v>
      </c>
      <c r="O159" s="41" t="str">
        <f t="shared" si="137"/>
        <v>1</v>
      </c>
      <c r="P159" s="24">
        <f t="shared" si="138"/>
        <v>1.1723955140041653E-13</v>
      </c>
      <c r="Q159" s="41" t="str">
        <f t="shared" si="139"/>
        <v>0</v>
      </c>
      <c r="R159" s="24">
        <f t="shared" si="140"/>
        <v>1.4068746168049984E-12</v>
      </c>
      <c r="S159" s="41" t="str">
        <f t="shared" si="141"/>
        <v/>
      </c>
      <c r="T159" s="24">
        <f t="shared" si="142"/>
        <v>1.688249540165998E-11</v>
      </c>
      <c r="U159" s="41" t="str">
        <f t="shared" si="143"/>
        <v/>
      </c>
      <c r="V159" s="24">
        <f t="shared" si="144"/>
        <v>2.0258994481991976E-10</v>
      </c>
      <c r="W159" s="41" t="str">
        <f t="shared" si="145"/>
        <v/>
      </c>
      <c r="X159" s="24">
        <f t="shared" si="146"/>
        <v>2.4310793378390372E-9</v>
      </c>
      <c r="Y159" s="41" t="str">
        <f t="shared" si="147"/>
        <v/>
      </c>
      <c r="Z159" s="24">
        <f t="shared" si="148"/>
        <v>2.9172952054068446E-8</v>
      </c>
      <c r="AA159" s="41" t="str">
        <f t="shared" si="149"/>
        <v/>
      </c>
      <c r="AB159" s="24">
        <f t="shared" si="150"/>
        <v>3.5007542464882135E-7</v>
      </c>
      <c r="AC159" s="41" t="str">
        <f t="shared" si="151"/>
        <v/>
      </c>
      <c r="AD159" s="24">
        <f t="shared" si="152"/>
        <v>4.2009050957858562E-6</v>
      </c>
      <c r="AE159" s="41" t="str">
        <f t="shared" si="153"/>
        <v/>
      </c>
      <c r="AF159" s="24">
        <f t="shared" si="154"/>
        <v>5.0410861149430275E-5</v>
      </c>
      <c r="AG159" s="41" t="str">
        <f t="shared" si="155"/>
        <v/>
      </c>
      <c r="AH159" s="24">
        <f t="shared" si="156"/>
        <v>6.049303337931633E-4</v>
      </c>
      <c r="AI159" s="41" t="str">
        <f t="shared" si="157"/>
        <v/>
      </c>
      <c r="AJ159" s="24">
        <f t="shared" si="158"/>
        <v>7.2591640055179596E-3</v>
      </c>
      <c r="AK159" s="41" t="str">
        <f t="shared" si="159"/>
        <v/>
      </c>
    </row>
    <row r="160" spans="5:37">
      <c r="E160" s="539" t="s">
        <v>1569</v>
      </c>
      <c r="F160" s="95">
        <f t="shared" si="77"/>
        <v>372</v>
      </c>
      <c r="G160" s="8">
        <v>2</v>
      </c>
      <c r="H160" s="8">
        <f t="shared" si="160"/>
        <v>157.00000000000011</v>
      </c>
      <c r="I160" s="37" t="str">
        <f t="shared" si="133"/>
        <v>1;11</v>
      </c>
      <c r="J160" s="38">
        <v>2</v>
      </c>
      <c r="K160" s="132">
        <f t="shared" si="134"/>
        <v>1.0902777777777786</v>
      </c>
      <c r="L160" s="39" t="str">
        <f>INDEX(powers!$H$2:$H$75,33+J160)</f>
        <v>hecty</v>
      </c>
      <c r="M160" s="40" t="str">
        <f t="shared" si="135"/>
        <v>1</v>
      </c>
      <c r="N160" s="24">
        <f t="shared" si="136"/>
        <v>1.0833333333333428</v>
      </c>
      <c r="O160" s="41" t="str">
        <f t="shared" si="137"/>
        <v>1</v>
      </c>
      <c r="P160" s="24">
        <f t="shared" si="138"/>
        <v>1.0000000000001137</v>
      </c>
      <c r="Q160" s="41" t="str">
        <f t="shared" si="139"/>
        <v>1</v>
      </c>
      <c r="R160" s="24">
        <f t="shared" si="140"/>
        <v>1.3642420526593924E-12</v>
      </c>
      <c r="S160" s="41" t="str">
        <f t="shared" si="141"/>
        <v/>
      </c>
      <c r="T160" s="24">
        <f t="shared" si="142"/>
        <v>1.6370904631912708E-11</v>
      </c>
      <c r="U160" s="41" t="str">
        <f t="shared" si="143"/>
        <v/>
      </c>
      <c r="V160" s="24">
        <f t="shared" si="144"/>
        <v>1.964508555829525E-10</v>
      </c>
      <c r="W160" s="41" t="str">
        <f t="shared" si="145"/>
        <v/>
      </c>
      <c r="X160" s="24">
        <f t="shared" si="146"/>
        <v>2.35741026699543E-9</v>
      </c>
      <c r="Y160" s="41" t="str">
        <f t="shared" si="147"/>
        <v/>
      </c>
      <c r="Z160" s="24">
        <f t="shared" si="148"/>
        <v>2.828892320394516E-8</v>
      </c>
      <c r="AA160" s="41" t="str">
        <f t="shared" si="149"/>
        <v/>
      </c>
      <c r="AB160" s="24">
        <f t="shared" si="150"/>
        <v>3.3946707844734192E-7</v>
      </c>
      <c r="AC160" s="41" t="str">
        <f t="shared" si="151"/>
        <v/>
      </c>
      <c r="AD160" s="24">
        <f t="shared" si="152"/>
        <v>4.073604941368103E-6</v>
      </c>
      <c r="AE160" s="41" t="str">
        <f t="shared" si="153"/>
        <v/>
      </c>
      <c r="AF160" s="24">
        <f t="shared" si="154"/>
        <v>4.8883259296417236E-5</v>
      </c>
      <c r="AG160" s="41" t="str">
        <f t="shared" si="155"/>
        <v/>
      </c>
      <c r="AH160" s="24">
        <f t="shared" si="156"/>
        <v>5.8659911155700684E-4</v>
      </c>
      <c r="AI160" s="41" t="str">
        <f t="shared" si="157"/>
        <v/>
      </c>
      <c r="AJ160" s="24">
        <f t="shared" si="158"/>
        <v>7.039189338684082E-3</v>
      </c>
      <c r="AK160" s="41" t="str">
        <f t="shared" si="159"/>
        <v/>
      </c>
    </row>
    <row r="161" spans="5:37">
      <c r="E161" s="539" t="s">
        <v>1570</v>
      </c>
      <c r="F161" s="95">
        <f t="shared" si="77"/>
        <v>436</v>
      </c>
      <c r="G161" s="8">
        <v>2</v>
      </c>
      <c r="H161" s="8">
        <f t="shared" si="160"/>
        <v>158.00000000000011</v>
      </c>
      <c r="I161" s="37" t="str">
        <f t="shared" si="133"/>
        <v>1;12</v>
      </c>
      <c r="J161" s="38">
        <v>2</v>
      </c>
      <c r="K161" s="132">
        <f t="shared" si="134"/>
        <v>1.097222222222223</v>
      </c>
      <c r="L161" s="39" t="str">
        <f>INDEX(powers!$H$2:$H$75,33+J161)</f>
        <v>hecty</v>
      </c>
      <c r="M161" s="40" t="str">
        <f t="shared" si="135"/>
        <v>1</v>
      </c>
      <c r="N161" s="24">
        <f t="shared" si="136"/>
        <v>1.1666666666666758</v>
      </c>
      <c r="O161" s="41" t="str">
        <f t="shared" si="137"/>
        <v>1</v>
      </c>
      <c r="P161" s="24">
        <f t="shared" si="138"/>
        <v>2.0000000000001101</v>
      </c>
      <c r="Q161" s="41" t="str">
        <f t="shared" si="139"/>
        <v>2</v>
      </c>
      <c r="R161" s="24">
        <f t="shared" si="140"/>
        <v>1.3216094885137863E-12</v>
      </c>
      <c r="S161" s="41" t="str">
        <f t="shared" si="141"/>
        <v/>
      </c>
      <c r="T161" s="24">
        <f t="shared" si="142"/>
        <v>1.5859313862165436E-11</v>
      </c>
      <c r="U161" s="41" t="str">
        <f t="shared" si="143"/>
        <v/>
      </c>
      <c r="V161" s="24">
        <f t="shared" si="144"/>
        <v>1.9031176634598523E-10</v>
      </c>
      <c r="W161" s="41" t="str">
        <f t="shared" si="145"/>
        <v/>
      </c>
      <c r="X161" s="24">
        <f t="shared" si="146"/>
        <v>2.2837411961518228E-9</v>
      </c>
      <c r="Y161" s="41" t="str">
        <f t="shared" si="147"/>
        <v/>
      </c>
      <c r="Z161" s="24">
        <f t="shared" si="148"/>
        <v>2.7404894353821874E-8</v>
      </c>
      <c r="AA161" s="41" t="str">
        <f t="shared" si="149"/>
        <v/>
      </c>
      <c r="AB161" s="24">
        <f t="shared" si="150"/>
        <v>3.2885873224586248E-7</v>
      </c>
      <c r="AC161" s="41" t="str">
        <f t="shared" si="151"/>
        <v/>
      </c>
      <c r="AD161" s="24">
        <f t="shared" si="152"/>
        <v>3.9463047869503498E-6</v>
      </c>
      <c r="AE161" s="41" t="str">
        <f t="shared" si="153"/>
        <v/>
      </c>
      <c r="AF161" s="24">
        <f t="shared" si="154"/>
        <v>4.7355657443404198E-5</v>
      </c>
      <c r="AG161" s="41" t="str">
        <f t="shared" si="155"/>
        <v/>
      </c>
      <c r="AH161" s="24">
        <f t="shared" si="156"/>
        <v>5.6826788932085037E-4</v>
      </c>
      <c r="AI161" s="41" t="str">
        <f t="shared" si="157"/>
        <v/>
      </c>
      <c r="AJ161" s="24">
        <f t="shared" si="158"/>
        <v>6.8192146718502045E-3</v>
      </c>
      <c r="AK161" s="41" t="str">
        <f t="shared" si="159"/>
        <v/>
      </c>
    </row>
    <row r="162" spans="5:37">
      <c r="E162" s="539" t="s">
        <v>1571</v>
      </c>
      <c r="F162" s="95">
        <f t="shared" si="77"/>
        <v>500</v>
      </c>
      <c r="G162" s="8">
        <v>2</v>
      </c>
      <c r="H162" s="8">
        <f t="shared" si="160"/>
        <v>159.00000000000011</v>
      </c>
      <c r="I162" s="37" t="str">
        <f t="shared" si="133"/>
        <v>1;13</v>
      </c>
      <c r="J162" s="38">
        <v>2</v>
      </c>
      <c r="K162" s="132">
        <f t="shared" si="134"/>
        <v>1.1041666666666674</v>
      </c>
      <c r="L162" s="39" t="str">
        <f>INDEX(powers!$H$2:$H$75,33+J162)</f>
        <v>hecty</v>
      </c>
      <c r="M162" s="40" t="str">
        <f t="shared" si="135"/>
        <v>1</v>
      </c>
      <c r="N162" s="24">
        <f t="shared" si="136"/>
        <v>1.2500000000000089</v>
      </c>
      <c r="O162" s="41" t="str">
        <f t="shared" si="137"/>
        <v>1</v>
      </c>
      <c r="P162" s="24">
        <f t="shared" si="138"/>
        <v>3.0000000000001066</v>
      </c>
      <c r="Q162" s="41" t="str">
        <f t="shared" si="139"/>
        <v>3</v>
      </c>
      <c r="R162" s="24">
        <f t="shared" si="140"/>
        <v>1.2789769243681803E-12</v>
      </c>
      <c r="S162" s="41" t="str">
        <f t="shared" si="141"/>
        <v/>
      </c>
      <c r="T162" s="24">
        <f t="shared" si="142"/>
        <v>1.5347723092418164E-11</v>
      </c>
      <c r="U162" s="41" t="str">
        <f t="shared" si="143"/>
        <v/>
      </c>
      <c r="V162" s="24">
        <f t="shared" si="144"/>
        <v>1.8417267710901797E-10</v>
      </c>
      <c r="W162" s="41" t="str">
        <f t="shared" si="145"/>
        <v/>
      </c>
      <c r="X162" s="24">
        <f t="shared" si="146"/>
        <v>2.2100721253082156E-9</v>
      </c>
      <c r="Y162" s="41" t="str">
        <f t="shared" si="147"/>
        <v/>
      </c>
      <c r="Z162" s="24">
        <f t="shared" si="148"/>
        <v>2.6520865503698587E-8</v>
      </c>
      <c r="AA162" s="41" t="str">
        <f t="shared" si="149"/>
        <v/>
      </c>
      <c r="AB162" s="24">
        <f t="shared" si="150"/>
        <v>3.1825038604438305E-7</v>
      </c>
      <c r="AC162" s="41" t="str">
        <f t="shared" si="151"/>
        <v/>
      </c>
      <c r="AD162" s="24">
        <f t="shared" si="152"/>
        <v>3.8190046325325966E-6</v>
      </c>
      <c r="AE162" s="41" t="str">
        <f t="shared" si="153"/>
        <v/>
      </c>
      <c r="AF162" s="24">
        <f t="shared" si="154"/>
        <v>4.5828055590391159E-5</v>
      </c>
      <c r="AG162" s="41" t="str">
        <f t="shared" si="155"/>
        <v/>
      </c>
      <c r="AH162" s="24">
        <f t="shared" si="156"/>
        <v>5.4993666708469391E-4</v>
      </c>
      <c r="AI162" s="41" t="str">
        <f t="shared" si="157"/>
        <v/>
      </c>
      <c r="AJ162" s="24">
        <f t="shared" si="158"/>
        <v>6.5992400050163269E-3</v>
      </c>
      <c r="AK162" s="41" t="str">
        <f t="shared" si="159"/>
        <v/>
      </c>
    </row>
    <row r="163" spans="5:37">
      <c r="E163" s="539" t="s">
        <v>1572</v>
      </c>
      <c r="F163" s="95">
        <f t="shared" si="77"/>
        <v>564</v>
      </c>
      <c r="G163" s="8">
        <v>2</v>
      </c>
      <c r="H163" s="8">
        <f t="shared" si="160"/>
        <v>160.00000000000011</v>
      </c>
      <c r="I163" s="37" t="str">
        <f t="shared" si="133"/>
        <v>1;14</v>
      </c>
      <c r="J163" s="38">
        <v>2</v>
      </c>
      <c r="K163" s="132">
        <f t="shared" si="134"/>
        <v>1.1111111111111118</v>
      </c>
      <c r="L163" s="39" t="str">
        <f>INDEX(powers!$H$2:$H$75,33+J163)</f>
        <v>hecty</v>
      </c>
      <c r="M163" s="40" t="str">
        <f t="shared" si="135"/>
        <v>1</v>
      </c>
      <c r="N163" s="24">
        <f t="shared" si="136"/>
        <v>1.3333333333333419</v>
      </c>
      <c r="O163" s="41" t="str">
        <f t="shared" si="137"/>
        <v>1</v>
      </c>
      <c r="P163" s="24">
        <f t="shared" si="138"/>
        <v>4.000000000000103</v>
      </c>
      <c r="Q163" s="41" t="str">
        <f t="shared" si="139"/>
        <v>4</v>
      </c>
      <c r="R163" s="24">
        <f t="shared" si="140"/>
        <v>1.2363443602225743E-12</v>
      </c>
      <c r="S163" s="41" t="str">
        <f t="shared" si="141"/>
        <v/>
      </c>
      <c r="T163" s="24">
        <f t="shared" si="142"/>
        <v>1.4836132322670892E-11</v>
      </c>
      <c r="U163" s="41" t="str">
        <f t="shared" si="143"/>
        <v/>
      </c>
      <c r="V163" s="24">
        <f t="shared" si="144"/>
        <v>1.780335878720507E-10</v>
      </c>
      <c r="W163" s="41" t="str">
        <f t="shared" si="145"/>
        <v/>
      </c>
      <c r="X163" s="24">
        <f t="shared" si="146"/>
        <v>2.1364030544646084E-9</v>
      </c>
      <c r="Y163" s="41" t="str">
        <f t="shared" si="147"/>
        <v/>
      </c>
      <c r="Z163" s="24">
        <f t="shared" si="148"/>
        <v>2.5636836653575301E-8</v>
      </c>
      <c r="AA163" s="41" t="str">
        <f t="shared" si="149"/>
        <v/>
      </c>
      <c r="AB163" s="24">
        <f t="shared" si="150"/>
        <v>3.0764203984290361E-7</v>
      </c>
      <c r="AC163" s="41" t="str">
        <f t="shared" si="151"/>
        <v/>
      </c>
      <c r="AD163" s="24">
        <f t="shared" si="152"/>
        <v>3.6917044781148434E-6</v>
      </c>
      <c r="AE163" s="41" t="str">
        <f t="shared" si="153"/>
        <v/>
      </c>
      <c r="AF163" s="24">
        <f t="shared" si="154"/>
        <v>4.430045373737812E-5</v>
      </c>
      <c r="AG163" s="41" t="str">
        <f t="shared" si="155"/>
        <v/>
      </c>
      <c r="AH163" s="24">
        <f t="shared" si="156"/>
        <v>5.3160544484853745E-4</v>
      </c>
      <c r="AI163" s="41" t="str">
        <f t="shared" si="157"/>
        <v/>
      </c>
      <c r="AJ163" s="24">
        <f t="shared" si="158"/>
        <v>6.3792653381824493E-3</v>
      </c>
      <c r="AK163" s="41" t="str">
        <f t="shared" si="159"/>
        <v/>
      </c>
    </row>
    <row r="164" spans="5:37">
      <c r="E164" s="539" t="s">
        <v>1573</v>
      </c>
      <c r="F164" s="95">
        <f t="shared" si="77"/>
        <v>628</v>
      </c>
      <c r="G164" s="8">
        <v>2</v>
      </c>
      <c r="H164" s="8">
        <f t="shared" si="160"/>
        <v>161.00000000000011</v>
      </c>
      <c r="I164" s="37" t="str">
        <f t="shared" si="133"/>
        <v>1;15</v>
      </c>
      <c r="J164" s="38">
        <v>2</v>
      </c>
      <c r="K164" s="132">
        <f t="shared" si="134"/>
        <v>1.1180555555555562</v>
      </c>
      <c r="L164" s="39" t="str">
        <f>INDEX(powers!$H$2:$H$75,33+J164)</f>
        <v>hecty</v>
      </c>
      <c r="M164" s="40" t="str">
        <f t="shared" si="135"/>
        <v>1</v>
      </c>
      <c r="N164" s="24">
        <f t="shared" si="136"/>
        <v>1.416666666666675</v>
      </c>
      <c r="O164" s="41" t="str">
        <f t="shared" si="137"/>
        <v>1</v>
      </c>
      <c r="P164" s="24">
        <f t="shared" si="138"/>
        <v>5.0000000000000995</v>
      </c>
      <c r="Q164" s="41" t="str">
        <f t="shared" si="139"/>
        <v>5</v>
      </c>
      <c r="R164" s="24">
        <f t="shared" si="140"/>
        <v>1.1937117960769683E-12</v>
      </c>
      <c r="S164" s="41" t="str">
        <f t="shared" si="141"/>
        <v/>
      </c>
      <c r="T164" s="24">
        <f t="shared" si="142"/>
        <v>1.432454155292362E-11</v>
      </c>
      <c r="U164" s="41" t="str">
        <f t="shared" si="143"/>
        <v/>
      </c>
      <c r="V164" s="24">
        <f t="shared" si="144"/>
        <v>1.7189449863508344E-10</v>
      </c>
      <c r="W164" s="41" t="str">
        <f t="shared" si="145"/>
        <v/>
      </c>
      <c r="X164" s="24">
        <f t="shared" si="146"/>
        <v>2.0627339836210012E-9</v>
      </c>
      <c r="Y164" s="41" t="str">
        <f t="shared" si="147"/>
        <v/>
      </c>
      <c r="Z164" s="24">
        <f t="shared" si="148"/>
        <v>2.4752807803452015E-8</v>
      </c>
      <c r="AA164" s="41" t="str">
        <f t="shared" si="149"/>
        <v/>
      </c>
      <c r="AB164" s="24">
        <f t="shared" si="150"/>
        <v>2.9703369364142418E-7</v>
      </c>
      <c r="AC164" s="41" t="str">
        <f t="shared" si="151"/>
        <v/>
      </c>
      <c r="AD164" s="24">
        <f t="shared" si="152"/>
        <v>3.5644043236970901E-6</v>
      </c>
      <c r="AE164" s="41" t="str">
        <f t="shared" si="153"/>
        <v/>
      </c>
      <c r="AF164" s="24">
        <f t="shared" si="154"/>
        <v>4.2772851884365082E-5</v>
      </c>
      <c r="AG164" s="41" t="str">
        <f t="shared" si="155"/>
        <v/>
      </c>
      <c r="AH164" s="24">
        <f t="shared" si="156"/>
        <v>5.1327422261238098E-4</v>
      </c>
      <c r="AI164" s="41" t="str">
        <f t="shared" si="157"/>
        <v/>
      </c>
      <c r="AJ164" s="24">
        <f t="shared" si="158"/>
        <v>6.1592906713485718E-3</v>
      </c>
      <c r="AK164" s="41" t="str">
        <f t="shared" si="159"/>
        <v/>
      </c>
    </row>
    <row r="165" spans="5:37">
      <c r="E165" s="539" t="s">
        <v>1574</v>
      </c>
      <c r="F165" s="95">
        <f t="shared" si="77"/>
        <v>692</v>
      </c>
      <c r="G165" s="8">
        <v>2</v>
      </c>
      <c r="H165" s="8">
        <f t="shared" si="160"/>
        <v>162.00000000000011</v>
      </c>
      <c r="I165" s="37" t="str">
        <f t="shared" si="133"/>
        <v>1;16</v>
      </c>
      <c r="J165" s="38">
        <v>2</v>
      </c>
      <c r="K165" s="132">
        <f t="shared" si="134"/>
        <v>1.1250000000000009</v>
      </c>
      <c r="L165" s="39" t="str">
        <f>INDEX(powers!$H$2:$H$75,33+J165)</f>
        <v>hecty</v>
      </c>
      <c r="M165" s="40" t="str">
        <f t="shared" si="135"/>
        <v>1</v>
      </c>
      <c r="N165" s="24">
        <f t="shared" si="136"/>
        <v>1.5000000000000107</v>
      </c>
      <c r="O165" s="41" t="str">
        <f t="shared" si="137"/>
        <v>1</v>
      </c>
      <c r="P165" s="24">
        <f t="shared" si="138"/>
        <v>6.0000000000001279</v>
      </c>
      <c r="Q165" s="41" t="str">
        <f t="shared" si="139"/>
        <v>6</v>
      </c>
      <c r="R165" s="24">
        <f t="shared" si="140"/>
        <v>1.5347723092418164E-12</v>
      </c>
      <c r="S165" s="41" t="str">
        <f t="shared" si="141"/>
        <v/>
      </c>
      <c r="T165" s="24">
        <f t="shared" si="142"/>
        <v>1.8417267710901797E-11</v>
      </c>
      <c r="U165" s="41" t="str">
        <f t="shared" si="143"/>
        <v/>
      </c>
      <c r="V165" s="24">
        <f t="shared" si="144"/>
        <v>2.2100721253082156E-10</v>
      </c>
      <c r="W165" s="41" t="str">
        <f t="shared" si="145"/>
        <v/>
      </c>
      <c r="X165" s="24">
        <f t="shared" si="146"/>
        <v>2.6520865503698587E-9</v>
      </c>
      <c r="Y165" s="41" t="str">
        <f t="shared" si="147"/>
        <v/>
      </c>
      <c r="Z165" s="24">
        <f t="shared" si="148"/>
        <v>3.1825038604438305E-8</v>
      </c>
      <c r="AA165" s="41" t="str">
        <f t="shared" si="149"/>
        <v/>
      </c>
      <c r="AB165" s="24">
        <f t="shared" si="150"/>
        <v>3.8190046325325966E-7</v>
      </c>
      <c r="AC165" s="41" t="str">
        <f t="shared" si="151"/>
        <v/>
      </c>
      <c r="AD165" s="24">
        <f t="shared" si="152"/>
        <v>4.5828055590391159E-6</v>
      </c>
      <c r="AE165" s="41" t="str">
        <f t="shared" si="153"/>
        <v/>
      </c>
      <c r="AF165" s="24">
        <f t="shared" si="154"/>
        <v>5.4993666708469391E-5</v>
      </c>
      <c r="AG165" s="41" t="str">
        <f t="shared" si="155"/>
        <v/>
      </c>
      <c r="AH165" s="24">
        <f t="shared" si="156"/>
        <v>6.5992400050163269E-4</v>
      </c>
      <c r="AI165" s="41" t="str">
        <f t="shared" si="157"/>
        <v/>
      </c>
      <c r="AJ165" s="24">
        <f t="shared" si="158"/>
        <v>7.9190880060195923E-3</v>
      </c>
      <c r="AK165" s="41" t="str">
        <f t="shared" si="159"/>
        <v/>
      </c>
    </row>
    <row r="166" spans="5:37">
      <c r="E166" s="539" t="s">
        <v>1575</v>
      </c>
      <c r="F166" s="95">
        <f t="shared" si="77"/>
        <v>756</v>
      </c>
      <c r="G166" s="8">
        <v>2</v>
      </c>
      <c r="H166" s="8">
        <f t="shared" si="160"/>
        <v>163.00000000000011</v>
      </c>
      <c r="I166" s="37" t="str">
        <f t="shared" si="133"/>
        <v>1;17</v>
      </c>
      <c r="J166" s="38">
        <v>2</v>
      </c>
      <c r="K166" s="132">
        <f t="shared" si="134"/>
        <v>1.1319444444444453</v>
      </c>
      <c r="L166" s="39" t="str">
        <f>INDEX(powers!$H$2:$H$75,33+J166)</f>
        <v>hecty</v>
      </c>
      <c r="M166" s="40" t="str">
        <f t="shared" si="135"/>
        <v>1</v>
      </c>
      <c r="N166" s="24">
        <f t="shared" si="136"/>
        <v>1.5833333333333437</v>
      </c>
      <c r="O166" s="41" t="str">
        <f t="shared" si="137"/>
        <v>1</v>
      </c>
      <c r="P166" s="24">
        <f t="shared" si="138"/>
        <v>7.0000000000001243</v>
      </c>
      <c r="Q166" s="41" t="str">
        <f t="shared" si="139"/>
        <v>7</v>
      </c>
      <c r="R166" s="24">
        <f t="shared" si="140"/>
        <v>1.4921397450962104E-12</v>
      </c>
      <c r="S166" s="41" t="str">
        <f t="shared" si="141"/>
        <v/>
      </c>
      <c r="T166" s="24">
        <f t="shared" si="142"/>
        <v>1.7905676941154525E-11</v>
      </c>
      <c r="U166" s="41" t="str">
        <f t="shared" si="143"/>
        <v/>
      </c>
      <c r="V166" s="24">
        <f t="shared" si="144"/>
        <v>2.148681232938543E-10</v>
      </c>
      <c r="W166" s="41" t="str">
        <f t="shared" si="145"/>
        <v/>
      </c>
      <c r="X166" s="24">
        <f t="shared" si="146"/>
        <v>2.5784174795262516E-9</v>
      </c>
      <c r="Y166" s="41" t="str">
        <f t="shared" si="147"/>
        <v/>
      </c>
      <c r="Z166" s="24">
        <f t="shared" si="148"/>
        <v>3.0941009754315019E-8</v>
      </c>
      <c r="AA166" s="41" t="str">
        <f t="shared" si="149"/>
        <v/>
      </c>
      <c r="AB166" s="24">
        <f t="shared" si="150"/>
        <v>3.7129211705178022E-7</v>
      </c>
      <c r="AC166" s="41" t="str">
        <f t="shared" si="151"/>
        <v/>
      </c>
      <c r="AD166" s="24">
        <f t="shared" si="152"/>
        <v>4.4555054046213627E-6</v>
      </c>
      <c r="AE166" s="41" t="str">
        <f t="shared" si="153"/>
        <v/>
      </c>
      <c r="AF166" s="24">
        <f t="shared" si="154"/>
        <v>5.3466064855456352E-5</v>
      </c>
      <c r="AG166" s="41" t="str">
        <f t="shared" si="155"/>
        <v/>
      </c>
      <c r="AH166" s="24">
        <f t="shared" si="156"/>
        <v>6.4159277826547623E-4</v>
      </c>
      <c r="AI166" s="41" t="str">
        <f t="shared" si="157"/>
        <v/>
      </c>
      <c r="AJ166" s="24">
        <f t="shared" si="158"/>
        <v>7.6991133391857147E-3</v>
      </c>
      <c r="AK166" s="41" t="str">
        <f t="shared" si="159"/>
        <v/>
      </c>
    </row>
    <row r="167" spans="5:37">
      <c r="E167" s="539" t="s">
        <v>1576</v>
      </c>
      <c r="F167" s="95">
        <f t="shared" ref="F167:F186" si="161">F$187+(H167-H$187)*H$15</f>
        <v>820</v>
      </c>
      <c r="G167" s="8">
        <v>2</v>
      </c>
      <c r="H167" s="8">
        <f t="shared" si="160"/>
        <v>164.00000000000011</v>
      </c>
      <c r="I167" s="37" t="str">
        <f t="shared" si="133"/>
        <v>1;18</v>
      </c>
      <c r="J167" s="38">
        <v>2</v>
      </c>
      <c r="K167" s="132">
        <f t="shared" si="134"/>
        <v>1.1388888888888897</v>
      </c>
      <c r="L167" s="39" t="str">
        <f>INDEX(powers!$H$2:$H$75,33+J167)</f>
        <v>hecty</v>
      </c>
      <c r="M167" s="40" t="str">
        <f t="shared" si="135"/>
        <v>1</v>
      </c>
      <c r="N167" s="24">
        <f t="shared" si="136"/>
        <v>1.6666666666666767</v>
      </c>
      <c r="O167" s="41" t="str">
        <f t="shared" si="137"/>
        <v>1</v>
      </c>
      <c r="P167" s="24">
        <f t="shared" si="138"/>
        <v>8.0000000000001208</v>
      </c>
      <c r="Q167" s="41" t="str">
        <f t="shared" si="139"/>
        <v>8</v>
      </c>
      <c r="R167" s="24">
        <f t="shared" si="140"/>
        <v>1.4495071809506044E-12</v>
      </c>
      <c r="S167" s="41" t="str">
        <f t="shared" si="141"/>
        <v/>
      </c>
      <c r="T167" s="24">
        <f t="shared" si="142"/>
        <v>1.7394086171407253E-11</v>
      </c>
      <c r="U167" s="41" t="str">
        <f t="shared" si="143"/>
        <v/>
      </c>
      <c r="V167" s="24">
        <f t="shared" si="144"/>
        <v>2.0872903405688703E-10</v>
      </c>
      <c r="W167" s="41" t="str">
        <f t="shared" si="145"/>
        <v/>
      </c>
      <c r="X167" s="24">
        <f t="shared" si="146"/>
        <v>2.5047484086826444E-9</v>
      </c>
      <c r="Y167" s="41" t="str">
        <f t="shared" si="147"/>
        <v/>
      </c>
      <c r="Z167" s="24">
        <f t="shared" si="148"/>
        <v>3.0056980904191732E-8</v>
      </c>
      <c r="AA167" s="41" t="str">
        <f t="shared" si="149"/>
        <v/>
      </c>
      <c r="AB167" s="24">
        <f t="shared" si="150"/>
        <v>3.6068377085030079E-7</v>
      </c>
      <c r="AC167" s="41" t="str">
        <f t="shared" si="151"/>
        <v/>
      </c>
      <c r="AD167" s="24">
        <f t="shared" si="152"/>
        <v>4.3282052502036095E-6</v>
      </c>
      <c r="AE167" s="41" t="str">
        <f t="shared" si="153"/>
        <v/>
      </c>
      <c r="AF167" s="24">
        <f t="shared" si="154"/>
        <v>5.1938463002443314E-5</v>
      </c>
      <c r="AG167" s="41" t="str">
        <f t="shared" si="155"/>
        <v/>
      </c>
      <c r="AH167" s="24">
        <f t="shared" si="156"/>
        <v>6.2326155602931976E-4</v>
      </c>
      <c r="AI167" s="41" t="str">
        <f t="shared" si="157"/>
        <v/>
      </c>
      <c r="AJ167" s="24">
        <f t="shared" si="158"/>
        <v>7.4791386723518372E-3</v>
      </c>
      <c r="AK167" s="41" t="str">
        <f t="shared" si="159"/>
        <v/>
      </c>
    </row>
    <row r="168" spans="5:37">
      <c r="E168" s="539" t="s">
        <v>1577</v>
      </c>
      <c r="F168" s="95">
        <f t="shared" si="161"/>
        <v>884</v>
      </c>
      <c r="G168" s="8">
        <v>2</v>
      </c>
      <c r="H168" s="8">
        <f t="shared" si="160"/>
        <v>165.00000000000011</v>
      </c>
      <c r="I168" s="37" t="str">
        <f t="shared" si="133"/>
        <v>1;19</v>
      </c>
      <c r="J168" s="38">
        <v>2</v>
      </c>
      <c r="K168" s="132">
        <f t="shared" si="134"/>
        <v>1.1458333333333341</v>
      </c>
      <c r="L168" s="39" t="str">
        <f>INDEX(powers!$H$2:$H$75,33+J168)</f>
        <v>hecty</v>
      </c>
      <c r="M168" s="40" t="str">
        <f t="shared" si="135"/>
        <v>1</v>
      </c>
      <c r="N168" s="24">
        <f t="shared" si="136"/>
        <v>1.7500000000000098</v>
      </c>
      <c r="O168" s="41" t="str">
        <f t="shared" si="137"/>
        <v>1</v>
      </c>
      <c r="P168" s="24">
        <f t="shared" si="138"/>
        <v>9.0000000000001172</v>
      </c>
      <c r="Q168" s="41" t="str">
        <f t="shared" si="139"/>
        <v>9</v>
      </c>
      <c r="R168" s="24">
        <f t="shared" si="140"/>
        <v>1.4068746168049984E-12</v>
      </c>
      <c r="S168" s="41" t="str">
        <f t="shared" si="141"/>
        <v/>
      </c>
      <c r="T168" s="24">
        <f t="shared" si="142"/>
        <v>1.688249540165998E-11</v>
      </c>
      <c r="U168" s="41" t="str">
        <f t="shared" si="143"/>
        <v/>
      </c>
      <c r="V168" s="24">
        <f t="shared" si="144"/>
        <v>2.0258994481991976E-10</v>
      </c>
      <c r="W168" s="41" t="str">
        <f t="shared" si="145"/>
        <v/>
      </c>
      <c r="X168" s="24">
        <f t="shared" si="146"/>
        <v>2.4310793378390372E-9</v>
      </c>
      <c r="Y168" s="41" t="str">
        <f t="shared" si="147"/>
        <v/>
      </c>
      <c r="Z168" s="24">
        <f t="shared" si="148"/>
        <v>2.9172952054068446E-8</v>
      </c>
      <c r="AA168" s="41" t="str">
        <f t="shared" si="149"/>
        <v/>
      </c>
      <c r="AB168" s="24">
        <f t="shared" si="150"/>
        <v>3.5007542464882135E-7</v>
      </c>
      <c r="AC168" s="41" t="str">
        <f t="shared" si="151"/>
        <v/>
      </c>
      <c r="AD168" s="24">
        <f t="shared" si="152"/>
        <v>4.2009050957858562E-6</v>
      </c>
      <c r="AE168" s="41" t="str">
        <f t="shared" si="153"/>
        <v/>
      </c>
      <c r="AF168" s="24">
        <f t="shared" si="154"/>
        <v>5.0410861149430275E-5</v>
      </c>
      <c r="AG168" s="41" t="str">
        <f t="shared" si="155"/>
        <v/>
      </c>
      <c r="AH168" s="24">
        <f t="shared" si="156"/>
        <v>6.049303337931633E-4</v>
      </c>
      <c r="AI168" s="41" t="str">
        <f t="shared" si="157"/>
        <v/>
      </c>
      <c r="AJ168" s="24">
        <f t="shared" si="158"/>
        <v>7.2591640055179596E-3</v>
      </c>
      <c r="AK168" s="41" t="str">
        <f t="shared" si="159"/>
        <v/>
      </c>
    </row>
    <row r="169" spans="5:37">
      <c r="E169" s="539" t="s">
        <v>1578</v>
      </c>
      <c r="F169" s="95">
        <f t="shared" si="161"/>
        <v>948</v>
      </c>
      <c r="G169" s="8">
        <v>2</v>
      </c>
      <c r="H169" s="8">
        <f t="shared" si="160"/>
        <v>166.00000000000011</v>
      </c>
      <c r="I169" s="37" t="str">
        <f t="shared" si="133"/>
        <v>1;1X</v>
      </c>
      <c r="J169" s="38">
        <v>2</v>
      </c>
      <c r="K169" s="132">
        <f t="shared" si="134"/>
        <v>1.1527777777777786</v>
      </c>
      <c r="L169" s="39" t="str">
        <f>INDEX(powers!$H$2:$H$75,33+J169)</f>
        <v>hecty</v>
      </c>
      <c r="M169" s="40" t="str">
        <f t="shared" si="135"/>
        <v>1</v>
      </c>
      <c r="N169" s="24">
        <f t="shared" si="136"/>
        <v>1.8333333333333428</v>
      </c>
      <c r="O169" s="41" t="str">
        <f t="shared" si="137"/>
        <v>1</v>
      </c>
      <c r="P169" s="24">
        <f t="shared" si="138"/>
        <v>10.000000000000114</v>
      </c>
      <c r="Q169" s="41" t="str">
        <f t="shared" si="139"/>
        <v>X</v>
      </c>
      <c r="R169" s="24">
        <f t="shared" si="140"/>
        <v>1.3642420526593924E-12</v>
      </c>
      <c r="S169" s="41" t="str">
        <f t="shared" si="141"/>
        <v/>
      </c>
      <c r="T169" s="24">
        <f t="shared" si="142"/>
        <v>1.6370904631912708E-11</v>
      </c>
      <c r="U169" s="41" t="str">
        <f t="shared" si="143"/>
        <v/>
      </c>
      <c r="V169" s="24">
        <f t="shared" si="144"/>
        <v>1.964508555829525E-10</v>
      </c>
      <c r="W169" s="41" t="str">
        <f t="shared" si="145"/>
        <v/>
      </c>
      <c r="X169" s="24">
        <f t="shared" si="146"/>
        <v>2.35741026699543E-9</v>
      </c>
      <c r="Y169" s="41" t="str">
        <f t="shared" si="147"/>
        <v/>
      </c>
      <c r="Z169" s="24">
        <f t="shared" si="148"/>
        <v>2.828892320394516E-8</v>
      </c>
      <c r="AA169" s="41" t="str">
        <f t="shared" si="149"/>
        <v/>
      </c>
      <c r="AB169" s="24">
        <f t="shared" si="150"/>
        <v>3.3946707844734192E-7</v>
      </c>
      <c r="AC169" s="41" t="str">
        <f t="shared" si="151"/>
        <v/>
      </c>
      <c r="AD169" s="24">
        <f t="shared" si="152"/>
        <v>4.073604941368103E-6</v>
      </c>
      <c r="AE169" s="41" t="str">
        <f t="shared" si="153"/>
        <v/>
      </c>
      <c r="AF169" s="24">
        <f t="shared" si="154"/>
        <v>4.8883259296417236E-5</v>
      </c>
      <c r="AG169" s="41" t="str">
        <f t="shared" si="155"/>
        <v/>
      </c>
      <c r="AH169" s="24">
        <f t="shared" si="156"/>
        <v>5.8659911155700684E-4</v>
      </c>
      <c r="AI169" s="41" t="str">
        <f t="shared" si="157"/>
        <v/>
      </c>
      <c r="AJ169" s="24">
        <f t="shared" si="158"/>
        <v>7.039189338684082E-3</v>
      </c>
      <c r="AK169" s="41" t="str">
        <f t="shared" si="159"/>
        <v/>
      </c>
    </row>
    <row r="170" spans="5:37">
      <c r="E170" s="539" t="s">
        <v>1579</v>
      </c>
      <c r="F170" s="95">
        <f t="shared" si="161"/>
        <v>1012</v>
      </c>
      <c r="G170" s="8">
        <v>2</v>
      </c>
      <c r="H170" s="8">
        <f t="shared" si="160"/>
        <v>167.00000000000011</v>
      </c>
      <c r="I170" s="37" t="str">
        <f t="shared" si="133"/>
        <v>1;1E</v>
      </c>
      <c r="J170" s="38">
        <v>2</v>
      </c>
      <c r="K170" s="132">
        <f t="shared" si="134"/>
        <v>1.159722222222223</v>
      </c>
      <c r="L170" s="39" t="str">
        <f>INDEX(powers!$H$2:$H$75,33+J170)</f>
        <v>hecty</v>
      </c>
      <c r="M170" s="40" t="str">
        <f t="shared" si="135"/>
        <v>1</v>
      </c>
      <c r="N170" s="24">
        <f t="shared" si="136"/>
        <v>1.9166666666666758</v>
      </c>
      <c r="O170" s="41" t="str">
        <f t="shared" si="137"/>
        <v>1</v>
      </c>
      <c r="P170" s="24">
        <f t="shared" si="138"/>
        <v>11.00000000000011</v>
      </c>
      <c r="Q170" s="41" t="str">
        <f t="shared" si="139"/>
        <v>E</v>
      </c>
      <c r="R170" s="24">
        <f t="shared" si="140"/>
        <v>1.3216094885137863E-12</v>
      </c>
      <c r="S170" s="41" t="str">
        <f t="shared" si="141"/>
        <v/>
      </c>
      <c r="T170" s="24">
        <f t="shared" si="142"/>
        <v>1.5859313862165436E-11</v>
      </c>
      <c r="U170" s="41" t="str">
        <f t="shared" si="143"/>
        <v/>
      </c>
      <c r="V170" s="24">
        <f t="shared" si="144"/>
        <v>1.9031176634598523E-10</v>
      </c>
      <c r="W170" s="41" t="str">
        <f t="shared" si="145"/>
        <v/>
      </c>
      <c r="X170" s="24">
        <f t="shared" si="146"/>
        <v>2.2837411961518228E-9</v>
      </c>
      <c r="Y170" s="41" t="str">
        <f t="shared" si="147"/>
        <v/>
      </c>
      <c r="Z170" s="24">
        <f t="shared" si="148"/>
        <v>2.7404894353821874E-8</v>
      </c>
      <c r="AA170" s="41" t="str">
        <f t="shared" si="149"/>
        <v/>
      </c>
      <c r="AB170" s="24">
        <f t="shared" si="150"/>
        <v>3.2885873224586248E-7</v>
      </c>
      <c r="AC170" s="41" t="str">
        <f t="shared" si="151"/>
        <v/>
      </c>
      <c r="AD170" s="24">
        <f t="shared" si="152"/>
        <v>3.9463047869503498E-6</v>
      </c>
      <c r="AE170" s="41" t="str">
        <f t="shared" si="153"/>
        <v/>
      </c>
      <c r="AF170" s="24">
        <f t="shared" si="154"/>
        <v>4.7355657443404198E-5</v>
      </c>
      <c r="AG170" s="41" t="str">
        <f t="shared" si="155"/>
        <v/>
      </c>
      <c r="AH170" s="24">
        <f t="shared" si="156"/>
        <v>5.6826788932085037E-4</v>
      </c>
      <c r="AI170" s="41" t="str">
        <f t="shared" si="157"/>
        <v/>
      </c>
      <c r="AJ170" s="24">
        <f t="shared" si="158"/>
        <v>6.8192146718502045E-3</v>
      </c>
      <c r="AK170" s="41" t="str">
        <f t="shared" si="159"/>
        <v/>
      </c>
    </row>
    <row r="171" spans="5:37">
      <c r="E171" s="539" t="s">
        <v>1580</v>
      </c>
      <c r="F171" s="95">
        <f t="shared" si="161"/>
        <v>1076</v>
      </c>
      <c r="G171" s="8">
        <v>2</v>
      </c>
      <c r="H171" s="8">
        <f t="shared" si="160"/>
        <v>168.00000000000011</v>
      </c>
      <c r="I171" s="37" t="str">
        <f t="shared" si="133"/>
        <v>1;20</v>
      </c>
      <c r="J171" s="38">
        <v>2</v>
      </c>
      <c r="K171" s="132">
        <f t="shared" si="134"/>
        <v>1.1666666666666674</v>
      </c>
      <c r="L171" s="39" t="str">
        <f>INDEX(powers!$H$2:$H$75,33+J171)</f>
        <v>hecty</v>
      </c>
      <c r="M171" s="40" t="str">
        <f t="shared" si="135"/>
        <v>1</v>
      </c>
      <c r="N171" s="24">
        <f t="shared" si="136"/>
        <v>2.0000000000000089</v>
      </c>
      <c r="O171" s="41" t="str">
        <f t="shared" si="137"/>
        <v>2</v>
      </c>
      <c r="P171" s="24">
        <f t="shared" si="138"/>
        <v>1.0658141036401503E-13</v>
      </c>
      <c r="Q171" s="41" t="str">
        <f t="shared" si="139"/>
        <v>0</v>
      </c>
      <c r="R171" s="24">
        <f t="shared" si="140"/>
        <v>1.2789769243681803E-12</v>
      </c>
      <c r="S171" s="41" t="str">
        <f t="shared" si="141"/>
        <v/>
      </c>
      <c r="T171" s="24">
        <f t="shared" si="142"/>
        <v>1.5347723092418164E-11</v>
      </c>
      <c r="U171" s="41" t="str">
        <f t="shared" si="143"/>
        <v/>
      </c>
      <c r="V171" s="24">
        <f t="shared" si="144"/>
        <v>1.8417267710901797E-10</v>
      </c>
      <c r="W171" s="41" t="str">
        <f t="shared" si="145"/>
        <v/>
      </c>
      <c r="X171" s="24">
        <f t="shared" si="146"/>
        <v>2.2100721253082156E-9</v>
      </c>
      <c r="Y171" s="41" t="str">
        <f t="shared" si="147"/>
        <v/>
      </c>
      <c r="Z171" s="24">
        <f t="shared" si="148"/>
        <v>2.6520865503698587E-8</v>
      </c>
      <c r="AA171" s="41" t="str">
        <f t="shared" si="149"/>
        <v/>
      </c>
      <c r="AB171" s="24">
        <f t="shared" si="150"/>
        <v>3.1825038604438305E-7</v>
      </c>
      <c r="AC171" s="41" t="str">
        <f t="shared" si="151"/>
        <v/>
      </c>
      <c r="AD171" s="24">
        <f t="shared" si="152"/>
        <v>3.8190046325325966E-6</v>
      </c>
      <c r="AE171" s="41" t="str">
        <f t="shared" si="153"/>
        <v/>
      </c>
      <c r="AF171" s="24">
        <f t="shared" si="154"/>
        <v>4.5828055590391159E-5</v>
      </c>
      <c r="AG171" s="41" t="str">
        <f t="shared" si="155"/>
        <v/>
      </c>
      <c r="AH171" s="24">
        <f t="shared" si="156"/>
        <v>5.4993666708469391E-4</v>
      </c>
      <c r="AI171" s="41" t="str">
        <f t="shared" si="157"/>
        <v/>
      </c>
      <c r="AJ171" s="24">
        <f t="shared" si="158"/>
        <v>6.5992400050163269E-3</v>
      </c>
      <c r="AK171" s="41" t="str">
        <f t="shared" si="159"/>
        <v/>
      </c>
    </row>
    <row r="172" spans="5:37">
      <c r="E172" s="539" t="s">
        <v>1581</v>
      </c>
      <c r="F172" s="95">
        <f t="shared" si="161"/>
        <v>1140</v>
      </c>
      <c r="G172" s="8">
        <v>2</v>
      </c>
      <c r="H172" s="8">
        <f t="shared" si="160"/>
        <v>169.00000000000011</v>
      </c>
      <c r="I172" s="37" t="str">
        <f t="shared" si="133"/>
        <v>1;21</v>
      </c>
      <c r="J172" s="38">
        <v>2</v>
      </c>
      <c r="K172" s="132">
        <f t="shared" si="134"/>
        <v>1.1736111111111118</v>
      </c>
      <c r="L172" s="39" t="str">
        <f>INDEX(powers!$H$2:$H$75,33+J172)</f>
        <v>hecty</v>
      </c>
      <c r="M172" s="40" t="str">
        <f t="shared" si="135"/>
        <v>1</v>
      </c>
      <c r="N172" s="24">
        <f t="shared" si="136"/>
        <v>2.0833333333333419</v>
      </c>
      <c r="O172" s="41" t="str">
        <f t="shared" si="137"/>
        <v>2</v>
      </c>
      <c r="P172" s="24">
        <f t="shared" si="138"/>
        <v>1.000000000000103</v>
      </c>
      <c r="Q172" s="41" t="str">
        <f t="shared" si="139"/>
        <v>1</v>
      </c>
      <c r="R172" s="24">
        <f t="shared" si="140"/>
        <v>1.2363443602225743E-12</v>
      </c>
      <c r="S172" s="41" t="str">
        <f t="shared" si="141"/>
        <v/>
      </c>
      <c r="T172" s="24">
        <f t="shared" si="142"/>
        <v>1.4836132322670892E-11</v>
      </c>
      <c r="U172" s="41" t="str">
        <f t="shared" si="143"/>
        <v/>
      </c>
      <c r="V172" s="24">
        <f t="shared" si="144"/>
        <v>1.780335878720507E-10</v>
      </c>
      <c r="W172" s="41" t="str">
        <f t="shared" si="145"/>
        <v/>
      </c>
      <c r="X172" s="24">
        <f t="shared" si="146"/>
        <v>2.1364030544646084E-9</v>
      </c>
      <c r="Y172" s="41" t="str">
        <f t="shared" si="147"/>
        <v/>
      </c>
      <c r="Z172" s="24">
        <f t="shared" si="148"/>
        <v>2.5636836653575301E-8</v>
      </c>
      <c r="AA172" s="41" t="str">
        <f t="shared" si="149"/>
        <v/>
      </c>
      <c r="AB172" s="24">
        <f t="shared" si="150"/>
        <v>3.0764203984290361E-7</v>
      </c>
      <c r="AC172" s="41" t="str">
        <f t="shared" si="151"/>
        <v/>
      </c>
      <c r="AD172" s="24">
        <f t="shared" si="152"/>
        <v>3.6917044781148434E-6</v>
      </c>
      <c r="AE172" s="41" t="str">
        <f t="shared" si="153"/>
        <v/>
      </c>
      <c r="AF172" s="24">
        <f t="shared" si="154"/>
        <v>4.430045373737812E-5</v>
      </c>
      <c r="AG172" s="41" t="str">
        <f t="shared" si="155"/>
        <v/>
      </c>
      <c r="AH172" s="24">
        <f t="shared" si="156"/>
        <v>5.3160544484853745E-4</v>
      </c>
      <c r="AI172" s="41" t="str">
        <f t="shared" si="157"/>
        <v/>
      </c>
      <c r="AJ172" s="24">
        <f t="shared" si="158"/>
        <v>6.3792653381824493E-3</v>
      </c>
      <c r="AK172" s="41" t="str">
        <f t="shared" si="159"/>
        <v/>
      </c>
    </row>
    <row r="173" spans="5:37">
      <c r="E173" s="539" t="s">
        <v>1582</v>
      </c>
      <c r="F173" s="95">
        <f t="shared" si="161"/>
        <v>1204</v>
      </c>
      <c r="G173" s="8">
        <v>2</v>
      </c>
      <c r="H173" s="8">
        <f t="shared" si="160"/>
        <v>170.00000000000011</v>
      </c>
      <c r="I173" s="37" t="str">
        <f t="shared" si="133"/>
        <v>1;22</v>
      </c>
      <c r="J173" s="38">
        <v>2</v>
      </c>
      <c r="K173" s="132">
        <f t="shared" si="134"/>
        <v>1.1805555555555562</v>
      </c>
      <c r="L173" s="39" t="str">
        <f>INDEX(powers!$H$2:$H$75,33+J173)</f>
        <v>hecty</v>
      </c>
      <c r="M173" s="40" t="str">
        <f t="shared" si="135"/>
        <v>1</v>
      </c>
      <c r="N173" s="24">
        <f t="shared" si="136"/>
        <v>2.166666666666675</v>
      </c>
      <c r="O173" s="41" t="str">
        <f t="shared" si="137"/>
        <v>2</v>
      </c>
      <c r="P173" s="24">
        <f t="shared" si="138"/>
        <v>2.0000000000000995</v>
      </c>
      <c r="Q173" s="41" t="str">
        <f t="shared" si="139"/>
        <v>2</v>
      </c>
      <c r="R173" s="24">
        <f t="shared" si="140"/>
        <v>1.1937117960769683E-12</v>
      </c>
      <c r="S173" s="41" t="str">
        <f t="shared" si="141"/>
        <v/>
      </c>
      <c r="T173" s="24">
        <f t="shared" si="142"/>
        <v>1.432454155292362E-11</v>
      </c>
      <c r="U173" s="41" t="str">
        <f t="shared" si="143"/>
        <v/>
      </c>
      <c r="V173" s="24">
        <f t="shared" si="144"/>
        <v>1.7189449863508344E-10</v>
      </c>
      <c r="W173" s="41" t="str">
        <f t="shared" si="145"/>
        <v/>
      </c>
      <c r="X173" s="24">
        <f t="shared" si="146"/>
        <v>2.0627339836210012E-9</v>
      </c>
      <c r="Y173" s="41" t="str">
        <f t="shared" si="147"/>
        <v/>
      </c>
      <c r="Z173" s="24">
        <f t="shared" si="148"/>
        <v>2.4752807803452015E-8</v>
      </c>
      <c r="AA173" s="41" t="str">
        <f t="shared" si="149"/>
        <v/>
      </c>
      <c r="AB173" s="24">
        <f t="shared" si="150"/>
        <v>2.9703369364142418E-7</v>
      </c>
      <c r="AC173" s="41" t="str">
        <f t="shared" si="151"/>
        <v/>
      </c>
      <c r="AD173" s="24">
        <f t="shared" si="152"/>
        <v>3.5644043236970901E-6</v>
      </c>
      <c r="AE173" s="41" t="str">
        <f t="shared" si="153"/>
        <v/>
      </c>
      <c r="AF173" s="24">
        <f t="shared" si="154"/>
        <v>4.2772851884365082E-5</v>
      </c>
      <c r="AG173" s="41" t="str">
        <f t="shared" si="155"/>
        <v/>
      </c>
      <c r="AH173" s="24">
        <f t="shared" si="156"/>
        <v>5.1327422261238098E-4</v>
      </c>
      <c r="AI173" s="41" t="str">
        <f t="shared" si="157"/>
        <v/>
      </c>
      <c r="AJ173" s="24">
        <f t="shared" si="158"/>
        <v>6.1592906713485718E-3</v>
      </c>
      <c r="AK173" s="41" t="str">
        <f t="shared" si="159"/>
        <v/>
      </c>
    </row>
    <row r="174" spans="5:37">
      <c r="E174" s="539" t="s">
        <v>1583</v>
      </c>
      <c r="F174" s="95">
        <f t="shared" si="161"/>
        <v>1268</v>
      </c>
      <c r="G174" s="8">
        <v>2</v>
      </c>
      <c r="H174" s="8">
        <f t="shared" si="160"/>
        <v>171.00000000000011</v>
      </c>
      <c r="I174" s="37" t="str">
        <f t="shared" si="133"/>
        <v>1;23</v>
      </c>
      <c r="J174" s="38">
        <v>2</v>
      </c>
      <c r="K174" s="132">
        <f t="shared" si="134"/>
        <v>1.1875000000000009</v>
      </c>
      <c r="L174" s="39" t="str">
        <f>INDEX(powers!$H$2:$H$75,33+J174)</f>
        <v>hecty</v>
      </c>
      <c r="M174" s="40" t="str">
        <f t="shared" si="135"/>
        <v>1</v>
      </c>
      <c r="N174" s="24">
        <f t="shared" si="136"/>
        <v>2.2500000000000107</v>
      </c>
      <c r="O174" s="41" t="str">
        <f t="shared" si="137"/>
        <v>2</v>
      </c>
      <c r="P174" s="24">
        <f t="shared" si="138"/>
        <v>3.0000000000001279</v>
      </c>
      <c r="Q174" s="41" t="str">
        <f t="shared" si="139"/>
        <v>3</v>
      </c>
      <c r="R174" s="24">
        <f t="shared" si="140"/>
        <v>1.5347723092418164E-12</v>
      </c>
      <c r="S174" s="41" t="str">
        <f t="shared" si="141"/>
        <v/>
      </c>
      <c r="T174" s="24">
        <f t="shared" si="142"/>
        <v>1.8417267710901797E-11</v>
      </c>
      <c r="U174" s="41" t="str">
        <f t="shared" si="143"/>
        <v/>
      </c>
      <c r="V174" s="24">
        <f t="shared" si="144"/>
        <v>2.2100721253082156E-10</v>
      </c>
      <c r="W174" s="41" t="str">
        <f t="shared" si="145"/>
        <v/>
      </c>
      <c r="X174" s="24">
        <f t="shared" si="146"/>
        <v>2.6520865503698587E-9</v>
      </c>
      <c r="Y174" s="41" t="str">
        <f t="shared" si="147"/>
        <v/>
      </c>
      <c r="Z174" s="24">
        <f t="shared" si="148"/>
        <v>3.1825038604438305E-8</v>
      </c>
      <c r="AA174" s="41" t="str">
        <f t="shared" si="149"/>
        <v/>
      </c>
      <c r="AB174" s="24">
        <f t="shared" si="150"/>
        <v>3.8190046325325966E-7</v>
      </c>
      <c r="AC174" s="41" t="str">
        <f t="shared" si="151"/>
        <v/>
      </c>
      <c r="AD174" s="24">
        <f t="shared" si="152"/>
        <v>4.5828055590391159E-6</v>
      </c>
      <c r="AE174" s="41" t="str">
        <f t="shared" si="153"/>
        <v/>
      </c>
      <c r="AF174" s="24">
        <f t="shared" si="154"/>
        <v>5.4993666708469391E-5</v>
      </c>
      <c r="AG174" s="41" t="str">
        <f t="shared" si="155"/>
        <v/>
      </c>
      <c r="AH174" s="24">
        <f t="shared" si="156"/>
        <v>6.5992400050163269E-4</v>
      </c>
      <c r="AI174" s="41" t="str">
        <f t="shared" si="157"/>
        <v/>
      </c>
      <c r="AJ174" s="24">
        <f t="shared" si="158"/>
        <v>7.9190880060195923E-3</v>
      </c>
      <c r="AK174" s="41" t="str">
        <f t="shared" si="159"/>
        <v/>
      </c>
    </row>
    <row r="175" spans="5:37">
      <c r="E175" s="539" t="s">
        <v>1584</v>
      </c>
      <c r="F175" s="95">
        <f t="shared" si="161"/>
        <v>1332</v>
      </c>
      <c r="G175" s="8">
        <v>2</v>
      </c>
      <c r="H175" s="8">
        <f t="shared" si="160"/>
        <v>172.00000000000011</v>
      </c>
      <c r="I175" s="37" t="str">
        <f t="shared" si="133"/>
        <v>1;24</v>
      </c>
      <c r="J175" s="38">
        <v>2</v>
      </c>
      <c r="K175" s="132">
        <f t="shared" si="134"/>
        <v>1.1944444444444453</v>
      </c>
      <c r="L175" s="39" t="str">
        <f>INDEX(powers!$H$2:$H$75,33+J175)</f>
        <v>hecty</v>
      </c>
      <c r="M175" s="40" t="str">
        <f t="shared" si="135"/>
        <v>1</v>
      </c>
      <c r="N175" s="24">
        <f t="shared" si="136"/>
        <v>2.3333333333333437</v>
      </c>
      <c r="O175" s="41" t="str">
        <f t="shared" si="137"/>
        <v>2</v>
      </c>
      <c r="P175" s="24">
        <f t="shared" si="138"/>
        <v>4.0000000000001243</v>
      </c>
      <c r="Q175" s="41" t="str">
        <f t="shared" si="139"/>
        <v>4</v>
      </c>
      <c r="R175" s="24">
        <f t="shared" si="140"/>
        <v>1.4921397450962104E-12</v>
      </c>
      <c r="S175" s="41" t="str">
        <f t="shared" si="141"/>
        <v/>
      </c>
      <c r="T175" s="24">
        <f t="shared" si="142"/>
        <v>1.7905676941154525E-11</v>
      </c>
      <c r="U175" s="41" t="str">
        <f t="shared" si="143"/>
        <v/>
      </c>
      <c r="V175" s="24">
        <f t="shared" si="144"/>
        <v>2.148681232938543E-10</v>
      </c>
      <c r="W175" s="41" t="str">
        <f t="shared" si="145"/>
        <v/>
      </c>
      <c r="X175" s="24">
        <f t="shared" si="146"/>
        <v>2.5784174795262516E-9</v>
      </c>
      <c r="Y175" s="41" t="str">
        <f t="shared" si="147"/>
        <v/>
      </c>
      <c r="Z175" s="24">
        <f t="shared" si="148"/>
        <v>3.0941009754315019E-8</v>
      </c>
      <c r="AA175" s="41" t="str">
        <f t="shared" si="149"/>
        <v/>
      </c>
      <c r="AB175" s="24">
        <f t="shared" si="150"/>
        <v>3.7129211705178022E-7</v>
      </c>
      <c r="AC175" s="41" t="str">
        <f t="shared" si="151"/>
        <v/>
      </c>
      <c r="AD175" s="24">
        <f t="shared" si="152"/>
        <v>4.4555054046213627E-6</v>
      </c>
      <c r="AE175" s="41" t="str">
        <f t="shared" si="153"/>
        <v/>
      </c>
      <c r="AF175" s="24">
        <f t="shared" si="154"/>
        <v>5.3466064855456352E-5</v>
      </c>
      <c r="AG175" s="41" t="str">
        <f t="shared" si="155"/>
        <v/>
      </c>
      <c r="AH175" s="24">
        <f t="shared" si="156"/>
        <v>6.4159277826547623E-4</v>
      </c>
      <c r="AI175" s="41" t="str">
        <f t="shared" si="157"/>
        <v/>
      </c>
      <c r="AJ175" s="24">
        <f t="shared" si="158"/>
        <v>7.6991133391857147E-3</v>
      </c>
      <c r="AK175" s="41" t="str">
        <f t="shared" si="159"/>
        <v/>
      </c>
    </row>
    <row r="176" spans="5:37">
      <c r="E176" s="539" t="s">
        <v>1585</v>
      </c>
      <c r="F176" s="95">
        <f t="shared" si="161"/>
        <v>1396</v>
      </c>
      <c r="G176" s="8">
        <v>2</v>
      </c>
      <c r="H176" s="8">
        <f t="shared" si="160"/>
        <v>173.00000000000011</v>
      </c>
      <c r="I176" s="37" t="str">
        <f t="shared" si="133"/>
        <v>1;25</v>
      </c>
      <c r="J176" s="38">
        <v>2</v>
      </c>
      <c r="K176" s="132">
        <f t="shared" si="134"/>
        <v>1.2013888888888897</v>
      </c>
      <c r="L176" s="39" t="str">
        <f>INDEX(powers!$H$2:$H$75,33+J176)</f>
        <v>hecty</v>
      </c>
      <c r="M176" s="40" t="str">
        <f t="shared" si="135"/>
        <v>1</v>
      </c>
      <c r="N176" s="24">
        <f t="shared" si="136"/>
        <v>2.4166666666666767</v>
      </c>
      <c r="O176" s="41" t="str">
        <f t="shared" si="137"/>
        <v>2</v>
      </c>
      <c r="P176" s="24">
        <f t="shared" si="138"/>
        <v>5.0000000000001208</v>
      </c>
      <c r="Q176" s="41" t="str">
        <f t="shared" si="139"/>
        <v>5</v>
      </c>
      <c r="R176" s="24">
        <f t="shared" si="140"/>
        <v>1.4495071809506044E-12</v>
      </c>
      <c r="S176" s="41" t="str">
        <f t="shared" si="141"/>
        <v/>
      </c>
      <c r="T176" s="24">
        <f t="shared" si="142"/>
        <v>1.7394086171407253E-11</v>
      </c>
      <c r="U176" s="41" t="str">
        <f t="shared" si="143"/>
        <v/>
      </c>
      <c r="V176" s="24">
        <f t="shared" si="144"/>
        <v>2.0872903405688703E-10</v>
      </c>
      <c r="W176" s="41" t="str">
        <f t="shared" si="145"/>
        <v/>
      </c>
      <c r="X176" s="24">
        <f t="shared" si="146"/>
        <v>2.5047484086826444E-9</v>
      </c>
      <c r="Y176" s="41" t="str">
        <f t="shared" si="147"/>
        <v/>
      </c>
      <c r="Z176" s="24">
        <f t="shared" si="148"/>
        <v>3.0056980904191732E-8</v>
      </c>
      <c r="AA176" s="41" t="str">
        <f t="shared" si="149"/>
        <v/>
      </c>
      <c r="AB176" s="24">
        <f t="shared" si="150"/>
        <v>3.6068377085030079E-7</v>
      </c>
      <c r="AC176" s="41" t="str">
        <f t="shared" si="151"/>
        <v/>
      </c>
      <c r="AD176" s="24">
        <f t="shared" si="152"/>
        <v>4.3282052502036095E-6</v>
      </c>
      <c r="AE176" s="41" t="str">
        <f t="shared" si="153"/>
        <v/>
      </c>
      <c r="AF176" s="24">
        <f t="shared" si="154"/>
        <v>5.1938463002443314E-5</v>
      </c>
      <c r="AG176" s="41" t="str">
        <f t="shared" si="155"/>
        <v/>
      </c>
      <c r="AH176" s="24">
        <f t="shared" si="156"/>
        <v>6.2326155602931976E-4</v>
      </c>
      <c r="AI176" s="41" t="str">
        <f t="shared" si="157"/>
        <v/>
      </c>
      <c r="AJ176" s="24">
        <f t="shared" si="158"/>
        <v>7.4791386723518372E-3</v>
      </c>
      <c r="AK176" s="41" t="str">
        <f t="shared" si="159"/>
        <v/>
      </c>
    </row>
    <row r="177" spans="5:37">
      <c r="E177" s="539" t="s">
        <v>1586</v>
      </c>
      <c r="F177" s="95">
        <f t="shared" si="161"/>
        <v>1460</v>
      </c>
      <c r="G177" s="8">
        <v>2</v>
      </c>
      <c r="H177" s="8">
        <f t="shared" si="160"/>
        <v>174.00000000000011</v>
      </c>
      <c r="I177" s="37" t="str">
        <f t="shared" si="133"/>
        <v>1;26</v>
      </c>
      <c r="J177" s="38">
        <v>2</v>
      </c>
      <c r="K177" s="132">
        <f t="shared" si="134"/>
        <v>1.2083333333333341</v>
      </c>
      <c r="L177" s="39" t="str">
        <f>INDEX(powers!$H$2:$H$75,33+J177)</f>
        <v>hecty</v>
      </c>
      <c r="M177" s="40" t="str">
        <f t="shared" si="135"/>
        <v>1</v>
      </c>
      <c r="N177" s="24">
        <f t="shared" si="136"/>
        <v>2.5000000000000098</v>
      </c>
      <c r="O177" s="41" t="str">
        <f t="shared" si="137"/>
        <v>2</v>
      </c>
      <c r="P177" s="24">
        <f t="shared" si="138"/>
        <v>6.0000000000001172</v>
      </c>
      <c r="Q177" s="41" t="str">
        <f t="shared" si="139"/>
        <v>6</v>
      </c>
      <c r="R177" s="24">
        <f t="shared" si="140"/>
        <v>1.4068746168049984E-12</v>
      </c>
      <c r="S177" s="41" t="str">
        <f t="shared" si="141"/>
        <v/>
      </c>
      <c r="T177" s="24">
        <f t="shared" si="142"/>
        <v>1.688249540165998E-11</v>
      </c>
      <c r="U177" s="41" t="str">
        <f t="shared" si="143"/>
        <v/>
      </c>
      <c r="V177" s="24">
        <f t="shared" si="144"/>
        <v>2.0258994481991976E-10</v>
      </c>
      <c r="W177" s="41" t="str">
        <f t="shared" si="145"/>
        <v/>
      </c>
      <c r="X177" s="24">
        <f t="shared" si="146"/>
        <v>2.4310793378390372E-9</v>
      </c>
      <c r="Y177" s="41" t="str">
        <f t="shared" si="147"/>
        <v/>
      </c>
      <c r="Z177" s="24">
        <f t="shared" si="148"/>
        <v>2.9172952054068446E-8</v>
      </c>
      <c r="AA177" s="41" t="str">
        <f t="shared" si="149"/>
        <v/>
      </c>
      <c r="AB177" s="24">
        <f t="shared" si="150"/>
        <v>3.5007542464882135E-7</v>
      </c>
      <c r="AC177" s="41" t="str">
        <f t="shared" si="151"/>
        <v/>
      </c>
      <c r="AD177" s="24">
        <f t="shared" si="152"/>
        <v>4.2009050957858562E-6</v>
      </c>
      <c r="AE177" s="41" t="str">
        <f t="shared" si="153"/>
        <v/>
      </c>
      <c r="AF177" s="24">
        <f t="shared" si="154"/>
        <v>5.0410861149430275E-5</v>
      </c>
      <c r="AG177" s="41" t="str">
        <f t="shared" si="155"/>
        <v/>
      </c>
      <c r="AH177" s="24">
        <f t="shared" si="156"/>
        <v>6.049303337931633E-4</v>
      </c>
      <c r="AI177" s="41" t="str">
        <f t="shared" si="157"/>
        <v/>
      </c>
      <c r="AJ177" s="24">
        <f t="shared" si="158"/>
        <v>7.2591640055179596E-3</v>
      </c>
      <c r="AK177" s="41" t="str">
        <f t="shared" si="159"/>
        <v/>
      </c>
    </row>
    <row r="178" spans="5:37">
      <c r="E178" s="539" t="s">
        <v>1587</v>
      </c>
      <c r="F178" s="95">
        <f t="shared" si="161"/>
        <v>1524</v>
      </c>
      <c r="G178" s="8">
        <v>2</v>
      </c>
      <c r="H178" s="8">
        <f t="shared" si="160"/>
        <v>175.00000000000011</v>
      </c>
      <c r="I178" s="37" t="str">
        <f t="shared" si="133"/>
        <v>1;27</v>
      </c>
      <c r="J178" s="38">
        <v>2</v>
      </c>
      <c r="K178" s="132">
        <f t="shared" si="134"/>
        <v>1.2152777777777786</v>
      </c>
      <c r="L178" s="39" t="str">
        <f>INDEX(powers!$H$2:$H$75,33+J178)</f>
        <v>hecty</v>
      </c>
      <c r="M178" s="40" t="str">
        <f t="shared" si="135"/>
        <v>1</v>
      </c>
      <c r="N178" s="24">
        <f t="shared" si="136"/>
        <v>2.5833333333333428</v>
      </c>
      <c r="O178" s="41" t="str">
        <f t="shared" si="137"/>
        <v>2</v>
      </c>
      <c r="P178" s="24">
        <f t="shared" si="138"/>
        <v>7.0000000000001137</v>
      </c>
      <c r="Q178" s="41" t="str">
        <f t="shared" si="139"/>
        <v>7</v>
      </c>
      <c r="R178" s="24">
        <f t="shared" si="140"/>
        <v>1.3642420526593924E-12</v>
      </c>
      <c r="S178" s="41" t="str">
        <f t="shared" si="141"/>
        <v/>
      </c>
      <c r="T178" s="24">
        <f t="shared" si="142"/>
        <v>1.6370904631912708E-11</v>
      </c>
      <c r="U178" s="41" t="str">
        <f t="shared" si="143"/>
        <v/>
      </c>
      <c r="V178" s="24">
        <f t="shared" si="144"/>
        <v>1.964508555829525E-10</v>
      </c>
      <c r="W178" s="41" t="str">
        <f t="shared" si="145"/>
        <v/>
      </c>
      <c r="X178" s="24">
        <f t="shared" si="146"/>
        <v>2.35741026699543E-9</v>
      </c>
      <c r="Y178" s="41" t="str">
        <f t="shared" si="147"/>
        <v/>
      </c>
      <c r="Z178" s="24">
        <f t="shared" si="148"/>
        <v>2.828892320394516E-8</v>
      </c>
      <c r="AA178" s="41" t="str">
        <f t="shared" si="149"/>
        <v/>
      </c>
      <c r="AB178" s="24">
        <f t="shared" si="150"/>
        <v>3.3946707844734192E-7</v>
      </c>
      <c r="AC178" s="41" t="str">
        <f t="shared" si="151"/>
        <v/>
      </c>
      <c r="AD178" s="24">
        <f t="shared" si="152"/>
        <v>4.073604941368103E-6</v>
      </c>
      <c r="AE178" s="41" t="str">
        <f t="shared" si="153"/>
        <v/>
      </c>
      <c r="AF178" s="24">
        <f t="shared" si="154"/>
        <v>4.8883259296417236E-5</v>
      </c>
      <c r="AG178" s="41" t="str">
        <f t="shared" si="155"/>
        <v/>
      </c>
      <c r="AH178" s="24">
        <f t="shared" si="156"/>
        <v>5.8659911155700684E-4</v>
      </c>
      <c r="AI178" s="41" t="str">
        <f t="shared" si="157"/>
        <v/>
      </c>
      <c r="AJ178" s="24">
        <f t="shared" si="158"/>
        <v>7.039189338684082E-3</v>
      </c>
      <c r="AK178" s="41" t="str">
        <f t="shared" si="159"/>
        <v/>
      </c>
    </row>
    <row r="179" spans="5:37">
      <c r="E179" s="539" t="s">
        <v>1588</v>
      </c>
      <c r="F179" s="95">
        <f t="shared" si="161"/>
        <v>1588</v>
      </c>
      <c r="G179" s="8">
        <v>2</v>
      </c>
      <c r="H179" s="8">
        <f t="shared" si="160"/>
        <v>176.00000000000011</v>
      </c>
      <c r="I179" s="37" t="str">
        <f t="shared" si="133"/>
        <v>1;28</v>
      </c>
      <c r="J179" s="38">
        <v>2</v>
      </c>
      <c r="K179" s="132">
        <f t="shared" si="134"/>
        <v>1.222222222222223</v>
      </c>
      <c r="L179" s="39" t="str">
        <f>INDEX(powers!$H$2:$H$75,33+J179)</f>
        <v>hecty</v>
      </c>
      <c r="M179" s="40" t="str">
        <f t="shared" si="135"/>
        <v>1</v>
      </c>
      <c r="N179" s="24">
        <f t="shared" si="136"/>
        <v>2.6666666666666758</v>
      </c>
      <c r="O179" s="41" t="str">
        <f t="shared" si="137"/>
        <v>2</v>
      </c>
      <c r="P179" s="24">
        <f t="shared" si="138"/>
        <v>8.0000000000001101</v>
      </c>
      <c r="Q179" s="41" t="str">
        <f t="shared" si="139"/>
        <v>8</v>
      </c>
      <c r="R179" s="24">
        <f t="shared" si="140"/>
        <v>1.3216094885137863E-12</v>
      </c>
      <c r="S179" s="41" t="str">
        <f t="shared" si="141"/>
        <v/>
      </c>
      <c r="T179" s="24">
        <f t="shared" si="142"/>
        <v>1.5859313862165436E-11</v>
      </c>
      <c r="U179" s="41" t="str">
        <f t="shared" si="143"/>
        <v/>
      </c>
      <c r="V179" s="24">
        <f t="shared" si="144"/>
        <v>1.9031176634598523E-10</v>
      </c>
      <c r="W179" s="41" t="str">
        <f t="shared" si="145"/>
        <v/>
      </c>
      <c r="X179" s="24">
        <f t="shared" si="146"/>
        <v>2.2837411961518228E-9</v>
      </c>
      <c r="Y179" s="41" t="str">
        <f t="shared" si="147"/>
        <v/>
      </c>
      <c r="Z179" s="24">
        <f t="shared" si="148"/>
        <v>2.7404894353821874E-8</v>
      </c>
      <c r="AA179" s="41" t="str">
        <f t="shared" si="149"/>
        <v/>
      </c>
      <c r="AB179" s="24">
        <f t="shared" si="150"/>
        <v>3.2885873224586248E-7</v>
      </c>
      <c r="AC179" s="41" t="str">
        <f t="shared" si="151"/>
        <v/>
      </c>
      <c r="AD179" s="24">
        <f t="shared" si="152"/>
        <v>3.9463047869503498E-6</v>
      </c>
      <c r="AE179" s="41" t="str">
        <f t="shared" si="153"/>
        <v/>
      </c>
      <c r="AF179" s="24">
        <f t="shared" si="154"/>
        <v>4.7355657443404198E-5</v>
      </c>
      <c r="AG179" s="41" t="str">
        <f t="shared" si="155"/>
        <v/>
      </c>
      <c r="AH179" s="24">
        <f t="shared" si="156"/>
        <v>5.6826788932085037E-4</v>
      </c>
      <c r="AI179" s="41" t="str">
        <f t="shared" si="157"/>
        <v/>
      </c>
      <c r="AJ179" s="24">
        <f t="shared" si="158"/>
        <v>6.8192146718502045E-3</v>
      </c>
      <c r="AK179" s="41" t="str">
        <f t="shared" si="159"/>
        <v/>
      </c>
    </row>
    <row r="180" spans="5:37">
      <c r="E180" s="539" t="s">
        <v>1589</v>
      </c>
      <c r="F180" s="95">
        <f t="shared" si="161"/>
        <v>1652</v>
      </c>
      <c r="G180" s="8">
        <v>2</v>
      </c>
      <c r="H180" s="8">
        <f t="shared" si="160"/>
        <v>177.00000000000011</v>
      </c>
      <c r="I180" s="37" t="str">
        <f t="shared" si="133"/>
        <v>1;29</v>
      </c>
      <c r="J180" s="38">
        <v>2</v>
      </c>
      <c r="K180" s="132">
        <f t="shared" si="134"/>
        <v>1.2291666666666674</v>
      </c>
      <c r="L180" s="39" t="str">
        <f>INDEX(powers!$H$2:$H$75,33+J180)</f>
        <v>hecty</v>
      </c>
      <c r="M180" s="40" t="str">
        <f t="shared" si="135"/>
        <v>1</v>
      </c>
      <c r="N180" s="24">
        <f t="shared" si="136"/>
        <v>2.7500000000000089</v>
      </c>
      <c r="O180" s="41" t="str">
        <f t="shared" si="137"/>
        <v>2</v>
      </c>
      <c r="P180" s="24">
        <f t="shared" si="138"/>
        <v>9.0000000000001066</v>
      </c>
      <c r="Q180" s="41" t="str">
        <f t="shared" si="139"/>
        <v>9</v>
      </c>
      <c r="R180" s="24">
        <f t="shared" si="140"/>
        <v>1.2789769243681803E-12</v>
      </c>
      <c r="S180" s="41" t="str">
        <f t="shared" si="141"/>
        <v/>
      </c>
      <c r="T180" s="24">
        <f t="shared" si="142"/>
        <v>1.5347723092418164E-11</v>
      </c>
      <c r="U180" s="41" t="str">
        <f t="shared" si="143"/>
        <v/>
      </c>
      <c r="V180" s="24">
        <f t="shared" si="144"/>
        <v>1.8417267710901797E-10</v>
      </c>
      <c r="W180" s="41" t="str">
        <f t="shared" si="145"/>
        <v/>
      </c>
      <c r="X180" s="24">
        <f t="shared" si="146"/>
        <v>2.2100721253082156E-9</v>
      </c>
      <c r="Y180" s="41" t="str">
        <f t="shared" si="147"/>
        <v/>
      </c>
      <c r="Z180" s="24">
        <f t="shared" si="148"/>
        <v>2.6520865503698587E-8</v>
      </c>
      <c r="AA180" s="41" t="str">
        <f t="shared" si="149"/>
        <v/>
      </c>
      <c r="AB180" s="24">
        <f t="shared" si="150"/>
        <v>3.1825038604438305E-7</v>
      </c>
      <c r="AC180" s="41" t="str">
        <f t="shared" si="151"/>
        <v/>
      </c>
      <c r="AD180" s="24">
        <f t="shared" si="152"/>
        <v>3.8190046325325966E-6</v>
      </c>
      <c r="AE180" s="41" t="str">
        <f t="shared" si="153"/>
        <v/>
      </c>
      <c r="AF180" s="24">
        <f t="shared" si="154"/>
        <v>4.5828055590391159E-5</v>
      </c>
      <c r="AG180" s="41" t="str">
        <f t="shared" si="155"/>
        <v/>
      </c>
      <c r="AH180" s="24">
        <f t="shared" si="156"/>
        <v>5.4993666708469391E-4</v>
      </c>
      <c r="AI180" s="41" t="str">
        <f t="shared" si="157"/>
        <v/>
      </c>
      <c r="AJ180" s="24">
        <f t="shared" si="158"/>
        <v>6.5992400050163269E-3</v>
      </c>
      <c r="AK180" s="41" t="str">
        <f t="shared" si="159"/>
        <v/>
      </c>
    </row>
    <row r="181" spans="5:37">
      <c r="E181" s="539" t="s">
        <v>1590</v>
      </c>
      <c r="F181" s="95">
        <f t="shared" si="161"/>
        <v>1716</v>
      </c>
      <c r="G181" s="8">
        <v>2</v>
      </c>
      <c r="H181" s="8">
        <f t="shared" si="160"/>
        <v>178.00000000000011</v>
      </c>
      <c r="I181" s="37" t="str">
        <f t="shared" si="133"/>
        <v>1;2X</v>
      </c>
      <c r="J181" s="38">
        <v>2</v>
      </c>
      <c r="K181" s="132">
        <f t="shared" si="134"/>
        <v>1.2361111111111118</v>
      </c>
      <c r="L181" s="39" t="str">
        <f>INDEX(powers!$H$2:$H$75,33+J181)</f>
        <v>hecty</v>
      </c>
      <c r="M181" s="40" t="str">
        <f t="shared" si="135"/>
        <v>1</v>
      </c>
      <c r="N181" s="24">
        <f t="shared" si="136"/>
        <v>2.8333333333333419</v>
      </c>
      <c r="O181" s="41" t="str">
        <f t="shared" si="137"/>
        <v>2</v>
      </c>
      <c r="P181" s="24">
        <f t="shared" si="138"/>
        <v>10.000000000000103</v>
      </c>
      <c r="Q181" s="41" t="str">
        <f t="shared" si="139"/>
        <v>X</v>
      </c>
      <c r="R181" s="24">
        <f t="shared" si="140"/>
        <v>1.2363443602225743E-12</v>
      </c>
      <c r="S181" s="41" t="str">
        <f t="shared" si="141"/>
        <v/>
      </c>
      <c r="T181" s="24">
        <f t="shared" si="142"/>
        <v>1.4836132322670892E-11</v>
      </c>
      <c r="U181" s="41" t="str">
        <f t="shared" si="143"/>
        <v/>
      </c>
      <c r="V181" s="24">
        <f t="shared" si="144"/>
        <v>1.780335878720507E-10</v>
      </c>
      <c r="W181" s="41" t="str">
        <f t="shared" si="145"/>
        <v/>
      </c>
      <c r="X181" s="24">
        <f t="shared" si="146"/>
        <v>2.1364030544646084E-9</v>
      </c>
      <c r="Y181" s="41" t="str">
        <f t="shared" si="147"/>
        <v/>
      </c>
      <c r="Z181" s="24">
        <f t="shared" si="148"/>
        <v>2.5636836653575301E-8</v>
      </c>
      <c r="AA181" s="41" t="str">
        <f t="shared" si="149"/>
        <v/>
      </c>
      <c r="AB181" s="24">
        <f t="shared" si="150"/>
        <v>3.0764203984290361E-7</v>
      </c>
      <c r="AC181" s="41" t="str">
        <f t="shared" si="151"/>
        <v/>
      </c>
      <c r="AD181" s="24">
        <f t="shared" si="152"/>
        <v>3.6917044781148434E-6</v>
      </c>
      <c r="AE181" s="41" t="str">
        <f t="shared" si="153"/>
        <v/>
      </c>
      <c r="AF181" s="24">
        <f t="shared" si="154"/>
        <v>4.430045373737812E-5</v>
      </c>
      <c r="AG181" s="41" t="str">
        <f t="shared" si="155"/>
        <v/>
      </c>
      <c r="AH181" s="24">
        <f t="shared" si="156"/>
        <v>5.3160544484853745E-4</v>
      </c>
      <c r="AI181" s="41" t="str">
        <f t="shared" si="157"/>
        <v/>
      </c>
      <c r="AJ181" s="24">
        <f t="shared" si="158"/>
        <v>6.3792653381824493E-3</v>
      </c>
      <c r="AK181" s="41" t="str">
        <f t="shared" si="159"/>
        <v/>
      </c>
    </row>
    <row r="182" spans="5:37">
      <c r="E182" s="539" t="s">
        <v>1591</v>
      </c>
      <c r="F182" s="95">
        <f t="shared" si="161"/>
        <v>1780</v>
      </c>
      <c r="G182" s="8">
        <v>2</v>
      </c>
      <c r="H182" s="8">
        <f t="shared" si="160"/>
        <v>179.00000000000011</v>
      </c>
      <c r="I182" s="37" t="str">
        <f t="shared" si="133"/>
        <v>1;2E</v>
      </c>
      <c r="J182" s="38">
        <v>2</v>
      </c>
      <c r="K182" s="132">
        <f t="shared" si="134"/>
        <v>1.2430555555555562</v>
      </c>
      <c r="L182" s="39" t="str">
        <f>INDEX(powers!$H$2:$H$75,33+J182)</f>
        <v>hecty</v>
      </c>
      <c r="M182" s="40" t="str">
        <f t="shared" si="135"/>
        <v>1</v>
      </c>
      <c r="N182" s="24">
        <f t="shared" si="136"/>
        <v>2.916666666666675</v>
      </c>
      <c r="O182" s="41" t="str">
        <f t="shared" si="137"/>
        <v>2</v>
      </c>
      <c r="P182" s="24">
        <f t="shared" si="138"/>
        <v>11.000000000000099</v>
      </c>
      <c r="Q182" s="41" t="str">
        <f t="shared" si="139"/>
        <v>E</v>
      </c>
      <c r="R182" s="24">
        <f t="shared" si="140"/>
        <v>1.1937117960769683E-12</v>
      </c>
      <c r="S182" s="41" t="str">
        <f t="shared" si="141"/>
        <v/>
      </c>
      <c r="T182" s="24">
        <f t="shared" si="142"/>
        <v>1.432454155292362E-11</v>
      </c>
      <c r="U182" s="41" t="str">
        <f t="shared" si="143"/>
        <v/>
      </c>
      <c r="V182" s="24">
        <f t="shared" si="144"/>
        <v>1.7189449863508344E-10</v>
      </c>
      <c r="W182" s="41" t="str">
        <f t="shared" si="145"/>
        <v/>
      </c>
      <c r="X182" s="24">
        <f t="shared" si="146"/>
        <v>2.0627339836210012E-9</v>
      </c>
      <c r="Y182" s="41" t="str">
        <f t="shared" si="147"/>
        <v/>
      </c>
      <c r="Z182" s="24">
        <f t="shared" si="148"/>
        <v>2.4752807803452015E-8</v>
      </c>
      <c r="AA182" s="41" t="str">
        <f t="shared" si="149"/>
        <v/>
      </c>
      <c r="AB182" s="24">
        <f t="shared" si="150"/>
        <v>2.9703369364142418E-7</v>
      </c>
      <c r="AC182" s="41" t="str">
        <f t="shared" si="151"/>
        <v/>
      </c>
      <c r="AD182" s="24">
        <f t="shared" si="152"/>
        <v>3.5644043236970901E-6</v>
      </c>
      <c r="AE182" s="41" t="str">
        <f t="shared" si="153"/>
        <v/>
      </c>
      <c r="AF182" s="24">
        <f t="shared" si="154"/>
        <v>4.2772851884365082E-5</v>
      </c>
      <c r="AG182" s="41" t="str">
        <f t="shared" si="155"/>
        <v/>
      </c>
      <c r="AH182" s="24">
        <f t="shared" si="156"/>
        <v>5.1327422261238098E-4</v>
      </c>
      <c r="AI182" s="41" t="str">
        <f t="shared" si="157"/>
        <v/>
      </c>
      <c r="AJ182" s="24">
        <f t="shared" si="158"/>
        <v>6.1592906713485718E-3</v>
      </c>
      <c r="AK182" s="41" t="str">
        <f t="shared" si="159"/>
        <v/>
      </c>
    </row>
    <row r="183" spans="5:37">
      <c r="E183" s="539" t="s">
        <v>1592</v>
      </c>
      <c r="F183" s="95">
        <f t="shared" si="161"/>
        <v>1844</v>
      </c>
      <c r="G183" s="8">
        <v>2</v>
      </c>
      <c r="H183" s="8">
        <f t="shared" si="160"/>
        <v>180.00000000000011</v>
      </c>
      <c r="I183" s="37" t="str">
        <f t="shared" si="133"/>
        <v>1;30</v>
      </c>
      <c r="J183" s="38">
        <v>2</v>
      </c>
      <c r="K183" s="132">
        <f t="shared" si="134"/>
        <v>1.2500000000000009</v>
      </c>
      <c r="L183" s="39" t="str">
        <f>INDEX(powers!$H$2:$H$75,33+J183)</f>
        <v>hecty</v>
      </c>
      <c r="M183" s="40" t="str">
        <f t="shared" si="135"/>
        <v>1</v>
      </c>
      <c r="N183" s="24">
        <f t="shared" si="136"/>
        <v>3.0000000000000107</v>
      </c>
      <c r="O183" s="41" t="str">
        <f t="shared" si="137"/>
        <v>3</v>
      </c>
      <c r="P183" s="24">
        <f t="shared" si="138"/>
        <v>1.2789769243681803E-13</v>
      </c>
      <c r="Q183" s="41" t="str">
        <f t="shared" si="139"/>
        <v>0</v>
      </c>
      <c r="R183" s="24">
        <f t="shared" si="140"/>
        <v>1.5347723092418164E-12</v>
      </c>
      <c r="S183" s="41" t="str">
        <f t="shared" si="141"/>
        <v/>
      </c>
      <c r="T183" s="24">
        <f t="shared" si="142"/>
        <v>1.8417267710901797E-11</v>
      </c>
      <c r="U183" s="41" t="str">
        <f t="shared" si="143"/>
        <v/>
      </c>
      <c r="V183" s="24">
        <f t="shared" si="144"/>
        <v>2.2100721253082156E-10</v>
      </c>
      <c r="W183" s="41" t="str">
        <f t="shared" si="145"/>
        <v/>
      </c>
      <c r="X183" s="24">
        <f t="shared" si="146"/>
        <v>2.6520865503698587E-9</v>
      </c>
      <c r="Y183" s="41" t="str">
        <f t="shared" si="147"/>
        <v/>
      </c>
      <c r="Z183" s="24">
        <f t="shared" si="148"/>
        <v>3.1825038604438305E-8</v>
      </c>
      <c r="AA183" s="41" t="str">
        <f t="shared" si="149"/>
        <v/>
      </c>
      <c r="AB183" s="24">
        <f t="shared" si="150"/>
        <v>3.8190046325325966E-7</v>
      </c>
      <c r="AC183" s="41" t="str">
        <f t="shared" si="151"/>
        <v/>
      </c>
      <c r="AD183" s="24">
        <f t="shared" si="152"/>
        <v>4.5828055590391159E-6</v>
      </c>
      <c r="AE183" s="41" t="str">
        <f t="shared" si="153"/>
        <v/>
      </c>
      <c r="AF183" s="24">
        <f t="shared" si="154"/>
        <v>5.4993666708469391E-5</v>
      </c>
      <c r="AG183" s="41" t="str">
        <f t="shared" si="155"/>
        <v/>
      </c>
      <c r="AH183" s="24">
        <f t="shared" si="156"/>
        <v>6.5992400050163269E-4</v>
      </c>
      <c r="AI183" s="41" t="str">
        <f t="shared" si="157"/>
        <v/>
      </c>
      <c r="AJ183" s="24">
        <f t="shared" si="158"/>
        <v>7.9190880060195923E-3</v>
      </c>
      <c r="AK183" s="41" t="str">
        <f t="shared" si="159"/>
        <v/>
      </c>
    </row>
    <row r="184" spans="5:37">
      <c r="E184" s="539" t="s">
        <v>1593</v>
      </c>
      <c r="F184" s="462">
        <f t="shared" si="161"/>
        <v>1908</v>
      </c>
      <c r="G184" s="8">
        <v>2</v>
      </c>
      <c r="H184" s="8">
        <f t="shared" si="160"/>
        <v>181.00000000000011</v>
      </c>
      <c r="I184" s="37" t="str">
        <f t="shared" si="133"/>
        <v>1;31</v>
      </c>
      <c r="J184" s="38">
        <v>2</v>
      </c>
      <c r="K184" s="132">
        <f t="shared" si="134"/>
        <v>1.2569444444444453</v>
      </c>
      <c r="L184" s="39" t="str">
        <f>INDEX(powers!$H$2:$H$75,33+J184)</f>
        <v>hecty</v>
      </c>
      <c r="M184" s="40" t="str">
        <f t="shared" si="135"/>
        <v>1</v>
      </c>
      <c r="N184" s="24">
        <f t="shared" si="136"/>
        <v>3.0833333333333437</v>
      </c>
      <c r="O184" s="41" t="str">
        <f t="shared" si="137"/>
        <v>3</v>
      </c>
      <c r="P184" s="24">
        <f t="shared" si="138"/>
        <v>1.0000000000001243</v>
      </c>
      <c r="Q184" s="41" t="str">
        <f t="shared" si="139"/>
        <v>1</v>
      </c>
      <c r="R184" s="24">
        <f t="shared" si="140"/>
        <v>1.4921397450962104E-12</v>
      </c>
      <c r="S184" s="41" t="str">
        <f t="shared" si="141"/>
        <v/>
      </c>
      <c r="T184" s="24">
        <f t="shared" si="142"/>
        <v>1.7905676941154525E-11</v>
      </c>
      <c r="U184" s="41" t="str">
        <f t="shared" si="143"/>
        <v/>
      </c>
      <c r="V184" s="24">
        <f t="shared" si="144"/>
        <v>2.148681232938543E-10</v>
      </c>
      <c r="W184" s="41" t="str">
        <f t="shared" si="145"/>
        <v/>
      </c>
      <c r="X184" s="24">
        <f t="shared" si="146"/>
        <v>2.5784174795262516E-9</v>
      </c>
      <c r="Y184" s="41" t="str">
        <f t="shared" si="147"/>
        <v/>
      </c>
      <c r="Z184" s="24">
        <f t="shared" si="148"/>
        <v>3.0941009754315019E-8</v>
      </c>
      <c r="AA184" s="41" t="str">
        <f t="shared" si="149"/>
        <v/>
      </c>
      <c r="AB184" s="24">
        <f t="shared" si="150"/>
        <v>3.7129211705178022E-7</v>
      </c>
      <c r="AC184" s="41" t="str">
        <f t="shared" si="151"/>
        <v/>
      </c>
      <c r="AD184" s="24">
        <f t="shared" si="152"/>
        <v>4.4555054046213627E-6</v>
      </c>
      <c r="AE184" s="41" t="str">
        <f t="shared" si="153"/>
        <v/>
      </c>
      <c r="AF184" s="24">
        <f t="shared" si="154"/>
        <v>5.3466064855456352E-5</v>
      </c>
      <c r="AG184" s="41" t="str">
        <f t="shared" si="155"/>
        <v/>
      </c>
      <c r="AH184" s="24">
        <f t="shared" si="156"/>
        <v>6.4159277826547623E-4</v>
      </c>
      <c r="AI184" s="41" t="str">
        <f t="shared" si="157"/>
        <v/>
      </c>
      <c r="AJ184" s="24">
        <f t="shared" si="158"/>
        <v>7.6991133391857147E-3</v>
      </c>
      <c r="AK184" s="41" t="str">
        <f t="shared" si="159"/>
        <v/>
      </c>
    </row>
    <row r="185" spans="5:37">
      <c r="E185" s="539" t="s">
        <v>1594</v>
      </c>
      <c r="F185" s="95">
        <f t="shared" si="161"/>
        <v>1972</v>
      </c>
      <c r="G185" s="8">
        <v>2</v>
      </c>
      <c r="H185" s="8">
        <f t="shared" si="160"/>
        <v>182.00000000000011</v>
      </c>
      <c r="I185" s="37" t="str">
        <f t="shared" si="133"/>
        <v>1;32</v>
      </c>
      <c r="J185" s="38">
        <v>2</v>
      </c>
      <c r="K185" s="132">
        <f t="shared" si="134"/>
        <v>1.2638888888888897</v>
      </c>
      <c r="L185" s="39" t="str">
        <f>INDEX(powers!$H$2:$H$75,33+J185)</f>
        <v>hecty</v>
      </c>
      <c r="M185" s="40" t="str">
        <f t="shared" si="135"/>
        <v>1</v>
      </c>
      <c r="N185" s="24">
        <f t="shared" si="136"/>
        <v>3.1666666666666767</v>
      </c>
      <c r="O185" s="41" t="str">
        <f t="shared" si="137"/>
        <v>3</v>
      </c>
      <c r="P185" s="24">
        <f t="shared" si="138"/>
        <v>2.0000000000001208</v>
      </c>
      <c r="Q185" s="41" t="str">
        <f t="shared" si="139"/>
        <v>2</v>
      </c>
      <c r="R185" s="24">
        <f t="shared" si="140"/>
        <v>1.4495071809506044E-12</v>
      </c>
      <c r="S185" s="41" t="str">
        <f t="shared" si="141"/>
        <v/>
      </c>
      <c r="T185" s="24">
        <f t="shared" si="142"/>
        <v>1.7394086171407253E-11</v>
      </c>
      <c r="U185" s="41" t="str">
        <f t="shared" si="143"/>
        <v/>
      </c>
      <c r="V185" s="24">
        <f t="shared" si="144"/>
        <v>2.0872903405688703E-10</v>
      </c>
      <c r="W185" s="41" t="str">
        <f t="shared" si="145"/>
        <v/>
      </c>
      <c r="X185" s="24">
        <f t="shared" si="146"/>
        <v>2.5047484086826444E-9</v>
      </c>
      <c r="Y185" s="41" t="str">
        <f t="shared" si="147"/>
        <v/>
      </c>
      <c r="Z185" s="24">
        <f t="shared" si="148"/>
        <v>3.0056980904191732E-8</v>
      </c>
      <c r="AA185" s="41" t="str">
        <f t="shared" si="149"/>
        <v/>
      </c>
      <c r="AB185" s="24">
        <f t="shared" si="150"/>
        <v>3.6068377085030079E-7</v>
      </c>
      <c r="AC185" s="41" t="str">
        <f t="shared" si="151"/>
        <v/>
      </c>
      <c r="AD185" s="24">
        <f t="shared" si="152"/>
        <v>4.3282052502036095E-6</v>
      </c>
      <c r="AE185" s="41" t="str">
        <f t="shared" si="153"/>
        <v/>
      </c>
      <c r="AF185" s="24">
        <f t="shared" si="154"/>
        <v>5.1938463002443314E-5</v>
      </c>
      <c r="AG185" s="41" t="str">
        <f t="shared" si="155"/>
        <v/>
      </c>
      <c r="AH185" s="24">
        <f t="shared" si="156"/>
        <v>6.2326155602931976E-4</v>
      </c>
      <c r="AI185" s="41" t="str">
        <f t="shared" si="157"/>
        <v/>
      </c>
      <c r="AJ185" s="24">
        <f t="shared" si="158"/>
        <v>7.4791386723518372E-3</v>
      </c>
      <c r="AK185" s="41" t="str">
        <f t="shared" si="159"/>
        <v/>
      </c>
    </row>
    <row r="186" spans="5:37">
      <c r="E186" s="539" t="s">
        <v>1595</v>
      </c>
      <c r="F186" s="307">
        <f t="shared" si="161"/>
        <v>2036</v>
      </c>
      <c r="G186" s="8">
        <v>2</v>
      </c>
      <c r="H186" s="8">
        <f t="shared" si="160"/>
        <v>183.00000000000011</v>
      </c>
      <c r="I186" s="37" t="str">
        <f t="shared" si="133"/>
        <v>1;33</v>
      </c>
      <c r="J186" s="38">
        <v>2</v>
      </c>
      <c r="K186" s="132">
        <f t="shared" si="134"/>
        <v>1.2708333333333341</v>
      </c>
      <c r="L186" s="39" t="str">
        <f>INDEX(powers!$H$2:$H$75,33+J186)</f>
        <v>hecty</v>
      </c>
      <c r="M186" s="40" t="str">
        <f t="shared" si="135"/>
        <v>1</v>
      </c>
      <c r="N186" s="24">
        <f t="shared" si="136"/>
        <v>3.2500000000000098</v>
      </c>
      <c r="O186" s="41" t="str">
        <f t="shared" si="137"/>
        <v>3</v>
      </c>
      <c r="P186" s="24">
        <f t="shared" si="138"/>
        <v>3.0000000000001172</v>
      </c>
      <c r="Q186" s="41" t="str">
        <f t="shared" si="139"/>
        <v>3</v>
      </c>
      <c r="R186" s="24">
        <f t="shared" si="140"/>
        <v>1.4068746168049984E-12</v>
      </c>
      <c r="S186" s="41" t="str">
        <f t="shared" si="141"/>
        <v/>
      </c>
      <c r="T186" s="24">
        <f t="shared" si="142"/>
        <v>1.688249540165998E-11</v>
      </c>
      <c r="U186" s="41" t="str">
        <f t="shared" si="143"/>
        <v/>
      </c>
      <c r="V186" s="24">
        <f t="shared" si="144"/>
        <v>2.0258994481991976E-10</v>
      </c>
      <c r="W186" s="41" t="str">
        <f t="shared" si="145"/>
        <v/>
      </c>
      <c r="X186" s="24">
        <f t="shared" si="146"/>
        <v>2.4310793378390372E-9</v>
      </c>
      <c r="Y186" s="41" t="str">
        <f t="shared" si="147"/>
        <v/>
      </c>
      <c r="Z186" s="24">
        <f t="shared" si="148"/>
        <v>2.9172952054068446E-8</v>
      </c>
      <c r="AA186" s="41" t="str">
        <f t="shared" si="149"/>
        <v/>
      </c>
      <c r="AB186" s="24">
        <f t="shared" si="150"/>
        <v>3.5007542464882135E-7</v>
      </c>
      <c r="AC186" s="41" t="str">
        <f t="shared" si="151"/>
        <v/>
      </c>
      <c r="AD186" s="24">
        <f t="shared" si="152"/>
        <v>4.2009050957858562E-6</v>
      </c>
      <c r="AE186" s="41" t="str">
        <f t="shared" si="153"/>
        <v/>
      </c>
      <c r="AF186" s="24">
        <f t="shared" si="154"/>
        <v>5.0410861149430275E-5</v>
      </c>
      <c r="AG186" s="41" t="str">
        <f t="shared" si="155"/>
        <v/>
      </c>
      <c r="AH186" s="24">
        <f t="shared" si="156"/>
        <v>6.049303337931633E-4</v>
      </c>
      <c r="AI186" s="41" t="str">
        <f t="shared" si="157"/>
        <v/>
      </c>
      <c r="AJ186" s="24">
        <f t="shared" si="158"/>
        <v>7.2591640055179596E-3</v>
      </c>
      <c r="AK186" s="41" t="str">
        <f t="shared" si="159"/>
        <v/>
      </c>
    </row>
    <row r="187" spans="5:37" ht="12.75" thickBot="1">
      <c r="E187" s="539" t="s">
        <v>1596</v>
      </c>
      <c r="F187" s="109">
        <f>2100+128*0</f>
        <v>2100</v>
      </c>
      <c r="G187" s="33">
        <v>2</v>
      </c>
      <c r="H187" s="33">
        <f t="shared" si="160"/>
        <v>184.00000000000011</v>
      </c>
      <c r="I187" s="47" t="str">
        <f t="shared" ref="I187" si="162">M187&amp;";"&amp;O187&amp;Q187&amp;S187&amp;U187&amp;W187&amp;Y187&amp;AA187&amp;AC187&amp;AE187&amp;AG187&amp;AI187&amp;AK187</f>
        <v>1;34</v>
      </c>
      <c r="J187" s="48">
        <v>2</v>
      </c>
      <c r="K187" s="110">
        <f t="shared" ref="K187" si="163">H187/POWER(12,J187)</f>
        <v>1.2777777777777786</v>
      </c>
      <c r="L187" s="49" t="str">
        <f>INDEX(powers!$H$2:$H$75,33+J187)</f>
        <v>hecty</v>
      </c>
      <c r="M187" s="40" t="str">
        <f t="shared" ref="M187" si="164">IF($G187&gt;=M$17,MID($J$17,IF($G187&gt;M$17,INT(K187),ROUND(K187,0))+1,1),"")</f>
        <v>1</v>
      </c>
      <c r="N187" s="24">
        <f t="shared" ref="N187" si="165">(K187-INT(K187))*12</f>
        <v>3.3333333333333428</v>
      </c>
      <c r="O187" s="41" t="str">
        <f t="shared" ref="O187" si="166">IF($G187&gt;=O$17,MID($J$17,IF($G187&gt;O$17,INT(N187),ROUND(N187,0))+1,1),"")</f>
        <v>3</v>
      </c>
      <c r="P187" s="24">
        <f t="shared" ref="P187" si="167">(N187-INT(N187))*12</f>
        <v>4.0000000000001137</v>
      </c>
      <c r="Q187" s="41" t="str">
        <f t="shared" ref="Q187" si="168">IF($G187&gt;=Q$17,MID($J$17,IF($G187&gt;Q$17,INT(P187),ROUND(P187,0))+1,1),"")</f>
        <v>4</v>
      </c>
      <c r="R187" s="24">
        <f t="shared" ref="R187" si="169">(P187-INT(P187))*12</f>
        <v>1.3642420526593924E-12</v>
      </c>
      <c r="S187" s="41" t="str">
        <f t="shared" ref="S187" si="170">IF($G187&gt;=S$17,MID($J$17,IF($G187&gt;S$17,INT(R187),ROUND(R187,0))+1,1),"")</f>
        <v/>
      </c>
      <c r="T187" s="24">
        <f t="shared" ref="T187" si="171">(R187-INT(R187))*12</f>
        <v>1.6370904631912708E-11</v>
      </c>
      <c r="U187" s="41" t="str">
        <f t="shared" ref="U187" si="172">IF($G187&gt;=U$17,MID($J$17,IF($G187&gt;U$17,INT(T187),ROUND(T187,0))+1,1),"")</f>
        <v/>
      </c>
      <c r="V187" s="24">
        <f t="shared" ref="V187" si="173">(T187-INT(T187))*12</f>
        <v>1.964508555829525E-10</v>
      </c>
      <c r="W187" s="41" t="str">
        <f t="shared" ref="W187" si="174">IF($G187&gt;=W$17,MID($J$17,IF($G187&gt;W$17,INT(V187),ROUND(V187,0))+1,1),"")</f>
        <v/>
      </c>
      <c r="X187" s="24">
        <f t="shared" ref="X187" si="175">(V187-INT(V187))*12</f>
        <v>2.35741026699543E-9</v>
      </c>
      <c r="Y187" s="41" t="str">
        <f t="shared" ref="Y187" si="176">IF($G187&gt;=Y$17,MID($J$17,IF($G187&gt;Y$17,INT(X187),ROUND(X187,0))+1,1),"")</f>
        <v/>
      </c>
      <c r="Z187" s="24">
        <f t="shared" ref="Z187" si="177">(X187-INT(X187))*12</f>
        <v>2.828892320394516E-8</v>
      </c>
      <c r="AA187" s="41" t="str">
        <f t="shared" ref="AA187" si="178">IF($G187&gt;=AA$17,MID($J$17,IF($G187&gt;AA$17,INT(Z187),ROUND(Z187,0))+1,1),"")</f>
        <v/>
      </c>
      <c r="AB187" s="24">
        <f t="shared" ref="AB187" si="179">(Z187-INT(Z187))*12</f>
        <v>3.3946707844734192E-7</v>
      </c>
      <c r="AC187" s="41" t="str">
        <f t="shared" ref="AC187" si="180">IF($G187&gt;=AC$17,MID($J$17,IF($G187&gt;AC$17,INT(AB187),ROUND(AB187,0))+1,1),"")</f>
        <v/>
      </c>
      <c r="AD187" s="24">
        <f t="shared" ref="AD187" si="181">(AB187-INT(AB187))*12</f>
        <v>4.073604941368103E-6</v>
      </c>
      <c r="AE187" s="41" t="str">
        <f t="shared" ref="AE187" si="182">IF($G187&gt;=AE$17,MID($J$17,IF($G187&gt;AE$17,INT(AD187),ROUND(AD187,0))+1,1),"")</f>
        <v/>
      </c>
      <c r="AF187" s="24">
        <f t="shared" ref="AF187" si="183">(AD187-INT(AD187))*12</f>
        <v>4.8883259296417236E-5</v>
      </c>
      <c r="AG187" s="41" t="str">
        <f t="shared" ref="AG187" si="184">IF($G187&gt;=AG$17,MID($J$17,IF($G187&gt;AG$17,INT(AF187),ROUND(AF187,0))+1,1),"")</f>
        <v/>
      </c>
      <c r="AH187" s="24">
        <f t="shared" ref="AH187" si="185">(AF187-INT(AF187))*12</f>
        <v>5.8659911155700684E-4</v>
      </c>
      <c r="AI187" s="41" t="str">
        <f t="shared" ref="AI187" si="186">IF($G187&gt;=AI$17,MID($J$17,IF($G187&gt;AI$17,INT(AH187),ROUND(AH187,0))+1,1),"")</f>
        <v/>
      </c>
      <c r="AJ187" s="24">
        <f t="shared" ref="AJ187" si="187">(AH187-INT(AH187))*12</f>
        <v>7.039189338684082E-3</v>
      </c>
      <c r="AK187" s="41" t="str">
        <f t="shared" ref="AK187" si="188">IF($G187&gt;=AK$17,MID($J$17,IF($G187&gt;AK$17,INT(AJ187),ROUND(AJ187,0))+1,1),"")</f>
        <v/>
      </c>
    </row>
  </sheetData>
  <mergeCells count="72">
    <mergeCell ref="C31:E31"/>
    <mergeCell ref="C32:E32"/>
    <mergeCell ref="D57:E57"/>
    <mergeCell ref="D132:E132"/>
    <mergeCell ref="C25:E25"/>
    <mergeCell ref="C26:E26"/>
    <mergeCell ref="C27:E27"/>
    <mergeCell ref="C28:E28"/>
    <mergeCell ref="C29:E29"/>
    <mergeCell ref="C30:E30"/>
    <mergeCell ref="D120:D125"/>
    <mergeCell ref="D126:D127"/>
    <mergeCell ref="D128:D131"/>
    <mergeCell ref="D111:D113"/>
    <mergeCell ref="D114:D117"/>
    <mergeCell ref="D118:D119"/>
    <mergeCell ref="A18:E18"/>
    <mergeCell ref="B19:E19"/>
    <mergeCell ref="B20:E20"/>
    <mergeCell ref="B21:E21"/>
    <mergeCell ref="B22:E22"/>
    <mergeCell ref="C23:E23"/>
    <mergeCell ref="C24:E24"/>
    <mergeCell ref="D96:D98"/>
    <mergeCell ref="D99:D104"/>
    <mergeCell ref="D105:D110"/>
    <mergeCell ref="D79:D80"/>
    <mergeCell ref="D81:D82"/>
    <mergeCell ref="D83:D84"/>
    <mergeCell ref="D85:D87"/>
    <mergeCell ref="D88:D91"/>
    <mergeCell ref="D92:D95"/>
    <mergeCell ref="D61:D62"/>
    <mergeCell ref="D63:D64"/>
    <mergeCell ref="D65:D67"/>
    <mergeCell ref="D68:D71"/>
    <mergeCell ref="D72:D75"/>
    <mergeCell ref="C88:C98"/>
    <mergeCell ref="C99:C110"/>
    <mergeCell ref="C111:C119"/>
    <mergeCell ref="C120:C127"/>
    <mergeCell ref="C128:C132"/>
    <mergeCell ref="C72:C80"/>
    <mergeCell ref="C81:C87"/>
    <mergeCell ref="D33:D34"/>
    <mergeCell ref="D35:D36"/>
    <mergeCell ref="D37:D39"/>
    <mergeCell ref="D40:D42"/>
    <mergeCell ref="D43:D44"/>
    <mergeCell ref="D76:D78"/>
    <mergeCell ref="D45:D46"/>
    <mergeCell ref="D47:D49"/>
    <mergeCell ref="D50:D52"/>
    <mergeCell ref="D53:D54"/>
    <mergeCell ref="D55:D56"/>
    <mergeCell ref="D58:D60"/>
    <mergeCell ref="G1:J1"/>
    <mergeCell ref="J17:K17"/>
    <mergeCell ref="A19:A22"/>
    <mergeCell ref="A23:A32"/>
    <mergeCell ref="A33:A132"/>
    <mergeCell ref="B23:B26"/>
    <mergeCell ref="B27:B29"/>
    <mergeCell ref="B30:B32"/>
    <mergeCell ref="B33:B80"/>
    <mergeCell ref="B81:B110"/>
    <mergeCell ref="B111:B132"/>
    <mergeCell ref="C33:C42"/>
    <mergeCell ref="C43:C49"/>
    <mergeCell ref="C50:C57"/>
    <mergeCell ref="C58:C64"/>
    <mergeCell ref="C65:C71"/>
  </mergeCells>
  <phoneticPr fontId="1"/>
  <dataValidations count="1">
    <dataValidation showInputMessage="1" showErrorMessage="1" sqref="H15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>
    <oddHeader>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J237"/>
  <sheetViews>
    <sheetView topLeftCell="A7" workbookViewId="0">
      <selection activeCell="A22" sqref="A22"/>
    </sheetView>
  </sheetViews>
  <sheetFormatPr defaultRowHeight="12"/>
  <cols>
    <col min="1" max="1" width="16" style="14" customWidth="1"/>
    <col min="2" max="4" width="11.625" style="14" customWidth="1"/>
    <col min="5" max="5" width="13.375" style="14" customWidth="1"/>
    <col min="6" max="6" width="3.5" style="14" customWidth="1"/>
    <col min="7" max="7" width="13.875" style="14" customWidth="1"/>
    <col min="8" max="8" width="13.125" style="14" customWidth="1"/>
    <col min="9" max="9" width="3.625" style="14" customWidth="1"/>
    <col min="10" max="10" width="9.125" style="14" customWidth="1"/>
    <col min="11" max="11" width="14.625" style="14" customWidth="1"/>
    <col min="12" max="12" width="3.125" style="14" customWidth="1"/>
    <col min="13" max="13" width="8.625" style="14" customWidth="1"/>
    <col min="14" max="14" width="3.125" style="14" customWidth="1"/>
    <col min="15" max="15" width="9" style="14" customWidth="1"/>
    <col min="16" max="16" width="3.125" style="14" customWidth="1"/>
    <col min="17" max="17" width="9" style="14" customWidth="1"/>
    <col min="18" max="18" width="3.125" style="14" customWidth="1"/>
    <col min="19" max="19" width="9" style="14" customWidth="1"/>
    <col min="20" max="20" width="3.125" style="14" customWidth="1"/>
    <col min="21" max="21" width="9" style="14" customWidth="1"/>
    <col min="22" max="22" width="3.125" style="14" customWidth="1"/>
    <col min="23" max="23" width="9" style="14" customWidth="1"/>
    <col min="24" max="24" width="3.125" style="14" customWidth="1"/>
    <col min="25" max="25" width="9" style="14" customWidth="1"/>
    <col min="26" max="26" width="3.125" style="14" customWidth="1"/>
    <col min="27" max="27" width="9" style="14" customWidth="1"/>
    <col min="28" max="28" width="3.125" style="14" customWidth="1"/>
    <col min="29" max="29" width="9" style="14" customWidth="1"/>
    <col min="30" max="30" width="3.125" style="14" customWidth="1"/>
    <col min="31" max="31" width="9" style="14" customWidth="1"/>
    <col min="32" max="32" width="3.125" style="14" customWidth="1"/>
    <col min="33" max="33" width="9" style="14" customWidth="1"/>
    <col min="34" max="34" width="3.125" style="14" customWidth="1"/>
    <col min="35" max="35" width="9" style="14" customWidth="1"/>
    <col min="36" max="36" width="3.125" style="14" customWidth="1"/>
    <col min="37" max="16384" width="9" style="14"/>
  </cols>
  <sheetData>
    <row r="2" spans="1:36">
      <c r="K2" s="14" t="s">
        <v>1044</v>
      </c>
      <c r="M2" s="378">
        <v>1</v>
      </c>
    </row>
    <row r="3" spans="1:36">
      <c r="K3" s="14" t="s">
        <v>1045</v>
      </c>
      <c r="M3" s="378">
        <f>Rydberg!K$39</f>
        <v>1.0004360634131053</v>
      </c>
      <c r="O3" s="14" t="s">
        <v>1057</v>
      </c>
    </row>
    <row r="4" spans="1:36">
      <c r="K4" s="14" t="s">
        <v>1053</v>
      </c>
      <c r="M4" s="378">
        <f>Bohr!K$39</f>
        <v>1.0038955801289535</v>
      </c>
    </row>
    <row r="5" spans="1:36">
      <c r="K5" s="14" t="s">
        <v>1046</v>
      </c>
      <c r="M5" s="378">
        <f>Clock!K$39</f>
        <v>1.0013524487446377</v>
      </c>
      <c r="O5" s="14" t="s">
        <v>1058</v>
      </c>
    </row>
    <row r="6" spans="1:36">
      <c r="K6" s="14" t="s">
        <v>266</v>
      </c>
      <c r="M6" s="378">
        <f>Clock_by_Rydberg!K$39</f>
        <v>1.0013527438338639</v>
      </c>
      <c r="O6" s="14" t="s">
        <v>1056</v>
      </c>
    </row>
    <row r="7" spans="1:36" ht="12.75" thickBot="1">
      <c r="A7" s="145" t="s">
        <v>1059</v>
      </c>
      <c r="B7" s="395" t="s">
        <v>1060</v>
      </c>
      <c r="D7" s="783" t="s">
        <v>1044</v>
      </c>
      <c r="E7" s="783"/>
      <c r="F7" s="396" t="s">
        <v>1061</v>
      </c>
      <c r="G7" s="394">
        <v>1.0013527423362005</v>
      </c>
      <c r="M7" s="378"/>
    </row>
    <row r="8" spans="1:36" ht="14.25" customHeight="1">
      <c r="A8" s="787" t="s">
        <v>1051</v>
      </c>
      <c r="B8" s="789" t="s">
        <v>1054</v>
      </c>
      <c r="C8" s="789" t="s">
        <v>1055</v>
      </c>
      <c r="D8" s="785" t="s">
        <v>1047</v>
      </c>
      <c r="E8" s="786"/>
      <c r="F8" s="379"/>
      <c r="G8" s="379"/>
      <c r="H8" s="379"/>
      <c r="I8" s="381"/>
      <c r="J8" s="382"/>
      <c r="K8" s="380"/>
    </row>
    <row r="9" spans="1:36">
      <c r="A9" s="788"/>
      <c r="B9" s="790"/>
      <c r="C9" s="790"/>
      <c r="D9" s="383" t="s">
        <v>1049</v>
      </c>
      <c r="E9" s="383" t="s">
        <v>1050</v>
      </c>
      <c r="F9" s="52" t="s">
        <v>54</v>
      </c>
      <c r="G9" s="34" t="s">
        <v>1048</v>
      </c>
      <c r="H9" s="34" t="s">
        <v>45</v>
      </c>
      <c r="I9" s="721" t="s">
        <v>80</v>
      </c>
      <c r="J9" s="784"/>
      <c r="K9" s="124" t="s">
        <v>213</v>
      </c>
      <c r="L9" s="294">
        <v>0</v>
      </c>
      <c r="M9" s="295"/>
      <c r="N9" s="295">
        <f>L9+1</f>
        <v>1</v>
      </c>
      <c r="O9" s="295"/>
      <c r="P9" s="295">
        <f>N9+1</f>
        <v>2</v>
      </c>
      <c r="Q9" s="295"/>
      <c r="R9" s="295">
        <f>P9+1</f>
        <v>3</v>
      </c>
      <c r="S9" s="295"/>
      <c r="T9" s="295">
        <f>R9+1</f>
        <v>4</v>
      </c>
      <c r="U9" s="295"/>
      <c r="V9" s="295">
        <f>T9+1</f>
        <v>5</v>
      </c>
      <c r="W9" s="295"/>
      <c r="X9" s="295">
        <f>V9+1</f>
        <v>6</v>
      </c>
      <c r="Y9" s="295"/>
      <c r="Z9" s="295">
        <f>X9+1</f>
        <v>7</v>
      </c>
      <c r="AA9" s="295"/>
      <c r="AB9" s="295">
        <f>Z9+1</f>
        <v>8</v>
      </c>
      <c r="AC9" s="295"/>
      <c r="AD9" s="295">
        <f>AB9+1</f>
        <v>9</v>
      </c>
      <c r="AE9" s="295"/>
      <c r="AF9" s="295">
        <f>AD9+1</f>
        <v>10</v>
      </c>
      <c r="AG9" s="295"/>
      <c r="AH9" s="295">
        <f>AF9+1</f>
        <v>11</v>
      </c>
      <c r="AI9" s="295"/>
      <c r="AJ9" s="295">
        <f>AH9+1</f>
        <v>12</v>
      </c>
    </row>
    <row r="10" spans="1:36">
      <c r="A10" s="384" t="s">
        <v>807</v>
      </c>
      <c r="B10" s="385">
        <v>1</v>
      </c>
      <c r="C10" s="386" t="s">
        <v>806</v>
      </c>
      <c r="D10" s="387">
        <v>1.0079400000000001</v>
      </c>
      <c r="E10" s="386"/>
      <c r="F10" s="8">
        <v>6</v>
      </c>
      <c r="G10" s="21">
        <f t="shared" ref="G10:G73" si="0">MAX(D10,E10)*G$7+0.0000000000001</f>
        <v>1.0093034831104499</v>
      </c>
      <c r="H10" s="37" t="str">
        <f>L10&amp;";"&amp;N10&amp;P10&amp;R10&amp;T10&amp;V10&amp;X10&amp;Z10&amp;AB10&amp;AD10&amp;AF10&amp;AH10&amp;AJ10</f>
        <v>1;0140E0</v>
      </c>
      <c r="I10" s="38">
        <v>0</v>
      </c>
      <c r="J10" s="132">
        <f t="shared" ref="J10:J73" si="1">G10/POWER(12,I10)</f>
        <v>1.0093034831104499</v>
      </c>
      <c r="K10" s="39" t="str">
        <f>INDEX(powers!$H$2:$H$75,33+I10)</f>
        <v xml:space="preserve"> </v>
      </c>
      <c r="L10" s="40" t="str">
        <f t="shared" ref="L10:L73" si="2">IF($F10&gt;=L$9,MID($I$9,IF($F10&gt;L$9,INT(J10),ROUND(J10,0))+1,1),"")</f>
        <v>1</v>
      </c>
      <c r="M10" s="24">
        <f>(J10-INT(J10))*12</f>
        <v>0.11164179732539914</v>
      </c>
      <c r="N10" s="41" t="str">
        <f t="shared" ref="N10:N73" si="3">IF($F10&gt;=N$9,MID($I$9,IF($F10&gt;N$9,INT(M10),ROUND(M10,0))+1,1),"")</f>
        <v>0</v>
      </c>
      <c r="O10" s="24">
        <f>(M10-INT(M10))*12</f>
        <v>1.3397015679047897</v>
      </c>
      <c r="P10" s="41" t="str">
        <f t="shared" ref="P10:P73" si="4">IF($F10&gt;=P$9,MID($I$9,IF($F10&gt;P$9,INT(O10),ROUND(O10,0))+1,1),"")</f>
        <v>1</v>
      </c>
      <c r="Q10" s="24">
        <f>(O10-INT(O10))*12</f>
        <v>4.076418814857476</v>
      </c>
      <c r="R10" s="41" t="str">
        <f t="shared" ref="R10:R73" si="5">IF($F10&gt;=R$9,MID($I$9,IF($F10&gt;R$9,INT(Q10),ROUND(Q10,0))+1,1),"")</f>
        <v>4</v>
      </c>
      <c r="S10" s="24">
        <f>(Q10-INT(Q10))*12</f>
        <v>0.91702577828971243</v>
      </c>
      <c r="T10" s="41" t="str">
        <f t="shared" ref="T10:T73" si="6">IF($F10&gt;=T$9,MID($I$9,IF($F10&gt;T$9,INT(S10),ROUND(S10,0))+1,1),"")</f>
        <v>0</v>
      </c>
      <c r="U10" s="24">
        <f>(S10-INT(S10))*12</f>
        <v>11.004309339476549</v>
      </c>
      <c r="V10" s="41" t="str">
        <f t="shared" ref="V10:V73" si="7">IF($F10&gt;=V$9,MID($I$9,IF($F10&gt;V$9,INT(U10),ROUND(U10,0))+1,1),"")</f>
        <v>E</v>
      </c>
      <c r="W10" s="24">
        <f>(U10-INT(U10))*12</f>
        <v>5.1712073718590545E-2</v>
      </c>
      <c r="X10" s="41" t="str">
        <f t="shared" ref="X10:X73" si="8">IF($F10&gt;=X$9,MID($I$9,IF($F10&gt;X$9,INT(W10),ROUND(W10,0))+1,1),"")</f>
        <v>0</v>
      </c>
      <c r="Y10" s="24">
        <f>(W10-INT(W10))*12</f>
        <v>0.62054488462308655</v>
      </c>
      <c r="Z10" s="41" t="str">
        <f t="shared" ref="Z10:Z73" si="9">IF($F10&gt;=Z$9,MID($I$9,IF($F10&gt;Z$9,INT(Y10),ROUND(Y10,0))+1,1),"")</f>
        <v/>
      </c>
      <c r="AA10" s="24">
        <f>(Y10-INT(Y10))*12</f>
        <v>7.4465386154770385</v>
      </c>
      <c r="AB10" s="41" t="str">
        <f t="shared" ref="AB10:AB73" si="10">IF($F10&gt;=AB$9,MID($I$9,IF($F10&gt;AB$9,INT(AA10),ROUND(AA10,0))+1,1),"")</f>
        <v/>
      </c>
      <c r="AC10" s="24">
        <f>(AA10-INT(AA10))*12</f>
        <v>5.3584633857244626</v>
      </c>
      <c r="AD10" s="41" t="str">
        <f t="shared" ref="AD10:AD73" si="11">IF($F10&gt;=AD$9,MID($I$9,IF($F10&gt;AD$9,INT(AC10),ROUND(AC10,0))+1,1),"")</f>
        <v/>
      </c>
      <c r="AE10" s="24">
        <f>(AC10-INT(AC10))*12</f>
        <v>4.3015606286935508</v>
      </c>
      <c r="AF10" s="41" t="str">
        <f t="shared" ref="AF10:AF73" si="12">IF($F10&gt;=AF$9,MID($I$9,IF($F10&gt;AF$9,INT(AE10),ROUND(AE10,0))+1,1),"")</f>
        <v/>
      </c>
      <c r="AG10" s="24">
        <f>(AE10-INT(AE10))*12</f>
        <v>3.6187275443226099</v>
      </c>
      <c r="AH10" s="41" t="str">
        <f t="shared" ref="AH10:AH73" si="13">IF($F10&gt;=AH$9,MID($I$9,IF($F10&gt;AH$9,INT(AG10),ROUND(AG10,0))+1,1),"")</f>
        <v/>
      </c>
      <c r="AI10" s="24">
        <f>(AG10-INT(AG10))*12</f>
        <v>7.4247305318713188</v>
      </c>
      <c r="AJ10" s="41" t="str">
        <f t="shared" ref="AJ10:AJ73" si="14">IF($F10&gt;=AJ$9,MID($I$9,IF($F10&gt;AJ$9,INT(AI10),ROUND(AI10,0))+1,1),"")</f>
        <v/>
      </c>
    </row>
    <row r="11" spans="1:36">
      <c r="A11" s="384"/>
      <c r="B11" s="385"/>
      <c r="C11" s="386"/>
      <c r="D11" s="387"/>
      <c r="E11" s="386">
        <v>1.0078250321</v>
      </c>
      <c r="F11" s="8">
        <v>10</v>
      </c>
      <c r="G11" s="21">
        <f t="shared" si="0"/>
        <v>1.0091883596885043</v>
      </c>
      <c r="H11" s="37" t="str">
        <f>L11&amp;";"&amp;N11&amp;P11&amp;R11&amp;T11&amp;V11&amp;X11&amp;Z11&amp;AB11&amp;AD11&amp;AF11&amp;AH11&amp;AJ11</f>
        <v>1;013X643659</v>
      </c>
      <c r="I11" s="38">
        <v>0</v>
      </c>
      <c r="J11" s="132">
        <f t="shared" si="1"/>
        <v>1.0091883596885043</v>
      </c>
      <c r="K11" s="39" t="str">
        <f>INDEX(powers!$H$2:$H$75,33+I11)</f>
        <v xml:space="preserve"> </v>
      </c>
      <c r="L11" s="40" t="str">
        <f t="shared" si="2"/>
        <v>1</v>
      </c>
      <c r="M11" s="24">
        <f>(J11-INT(J11))*12</f>
        <v>0.11026031626205146</v>
      </c>
      <c r="N11" s="41" t="str">
        <f t="shared" si="3"/>
        <v>0</v>
      </c>
      <c r="O11" s="24">
        <f>(M11-INT(M11))*12</f>
        <v>1.3231237951446175</v>
      </c>
      <c r="P11" s="41" t="str">
        <f t="shared" si="4"/>
        <v>1</v>
      </c>
      <c r="Q11" s="24">
        <f>(O11-INT(O11))*12</f>
        <v>3.8774855417354104</v>
      </c>
      <c r="R11" s="41" t="str">
        <f t="shared" si="5"/>
        <v>3</v>
      </c>
      <c r="S11" s="24">
        <f>(Q11-INT(Q11))*12</f>
        <v>10.529826500824925</v>
      </c>
      <c r="T11" s="41" t="str">
        <f t="shared" si="6"/>
        <v>X</v>
      </c>
      <c r="U11" s="24">
        <f>(S11-INT(S11))*12</f>
        <v>6.3579180098990946</v>
      </c>
      <c r="V11" s="41" t="str">
        <f t="shared" si="7"/>
        <v>6</v>
      </c>
      <c r="W11" s="24">
        <f>(U11-INT(U11))*12</f>
        <v>4.2950161187891354</v>
      </c>
      <c r="X11" s="41" t="str">
        <f t="shared" si="8"/>
        <v>4</v>
      </c>
      <c r="Y11" s="24">
        <f>(W11-INT(W11))*12</f>
        <v>3.5401934254696243</v>
      </c>
      <c r="Z11" s="41" t="str">
        <f t="shared" si="9"/>
        <v>3</v>
      </c>
      <c r="AA11" s="24">
        <f>(Y11-INT(Y11))*12</f>
        <v>6.4823211056354921</v>
      </c>
      <c r="AB11" s="41" t="str">
        <f t="shared" si="10"/>
        <v>6</v>
      </c>
      <c r="AC11" s="24">
        <f>(AA11-INT(AA11))*12</f>
        <v>5.7878532676259056</v>
      </c>
      <c r="AD11" s="41" t="str">
        <f t="shared" si="11"/>
        <v>5</v>
      </c>
      <c r="AE11" s="24">
        <f>(AC11-INT(AC11))*12</f>
        <v>9.4542392115108669</v>
      </c>
      <c r="AF11" s="41" t="str">
        <f t="shared" si="12"/>
        <v>9</v>
      </c>
      <c r="AG11" s="24">
        <f>(AE11-INT(AE11))*12</f>
        <v>5.4508705381304026</v>
      </c>
      <c r="AH11" s="41" t="str">
        <f t="shared" si="13"/>
        <v/>
      </c>
      <c r="AI11" s="24">
        <f>(AG11-INT(AG11))*12</f>
        <v>5.4104464575648308</v>
      </c>
      <c r="AJ11" s="41" t="str">
        <f t="shared" si="14"/>
        <v/>
      </c>
    </row>
    <row r="12" spans="1:36" ht="11.25" customHeight="1">
      <c r="A12" s="384" t="s">
        <v>809</v>
      </c>
      <c r="B12" s="385"/>
      <c r="C12" s="386" t="s">
        <v>808</v>
      </c>
      <c r="D12" s="387"/>
      <c r="E12" s="386">
        <v>2.0141018000000002</v>
      </c>
      <c r="F12" s="8">
        <v>8</v>
      </c>
      <c r="G12" s="21">
        <f t="shared" si="0"/>
        <v>2.0168263607743779</v>
      </c>
      <c r="H12" s="37" t="str">
        <f t="shared" ref="H12:H71" si="15">L12&amp;";"&amp;N12&amp;P12&amp;R12&amp;T12&amp;V12&amp;X12&amp;Z12&amp;AB12&amp;AD12&amp;AF12&amp;AH12&amp;AJ12</f>
        <v>2;0250XE2E</v>
      </c>
      <c r="I12" s="38">
        <v>0</v>
      </c>
      <c r="J12" s="132">
        <f t="shared" si="1"/>
        <v>2.0168263607743779</v>
      </c>
      <c r="K12" s="39" t="str">
        <f>INDEX(powers!$H$2:$H$75,33+I12)</f>
        <v xml:space="preserve"> </v>
      </c>
      <c r="L12" s="40" t="str">
        <f t="shared" si="2"/>
        <v>2</v>
      </c>
      <c r="M12" s="24">
        <f t="shared" ref="M12:M71" si="16">(J12-INT(J12))*12</f>
        <v>0.20191632929253522</v>
      </c>
      <c r="N12" s="41" t="str">
        <f t="shared" si="3"/>
        <v>0</v>
      </c>
      <c r="O12" s="24">
        <f t="shared" ref="O12:O71" si="17">(M12-INT(M12))*12</f>
        <v>2.4229959515104227</v>
      </c>
      <c r="P12" s="41" t="str">
        <f t="shared" si="4"/>
        <v>2</v>
      </c>
      <c r="Q12" s="24">
        <f t="shared" ref="Q12:Q71" si="18">(O12-INT(O12))*12</f>
        <v>5.0759514181250722</v>
      </c>
      <c r="R12" s="41" t="str">
        <f t="shared" si="5"/>
        <v>5</v>
      </c>
      <c r="S12" s="24">
        <f t="shared" ref="S12:S71" si="19">(Q12-INT(Q12))*12</f>
        <v>0.91141701750086668</v>
      </c>
      <c r="T12" s="41" t="str">
        <f t="shared" si="6"/>
        <v>0</v>
      </c>
      <c r="U12" s="24">
        <f t="shared" ref="U12:U71" si="20">(S12-INT(S12))*12</f>
        <v>10.9370042100104</v>
      </c>
      <c r="V12" s="41" t="str">
        <f t="shared" si="7"/>
        <v>X</v>
      </c>
      <c r="W12" s="24">
        <f t="shared" ref="W12:W71" si="21">(U12-INT(U12))*12</f>
        <v>11.244050520124802</v>
      </c>
      <c r="X12" s="41" t="str">
        <f t="shared" si="8"/>
        <v>E</v>
      </c>
      <c r="Y12" s="24">
        <f t="shared" ref="Y12:Y71" si="22">(W12-INT(W12))*12</f>
        <v>2.9286062414976186</v>
      </c>
      <c r="Z12" s="41" t="str">
        <f t="shared" si="9"/>
        <v>2</v>
      </c>
      <c r="AA12" s="24">
        <f t="shared" ref="AA12:AA71" si="23">(Y12-INT(Y12))*12</f>
        <v>11.143274897971423</v>
      </c>
      <c r="AB12" s="41" t="str">
        <f t="shared" si="10"/>
        <v>E</v>
      </c>
      <c r="AC12" s="24">
        <f t="shared" ref="AC12:AC71" si="24">(AA12-INT(AA12))*12</f>
        <v>1.7192987756570801</v>
      </c>
      <c r="AD12" s="41" t="str">
        <f t="shared" si="11"/>
        <v/>
      </c>
      <c r="AE12" s="24">
        <f t="shared" ref="AE12:AE71" si="25">(AC12-INT(AC12))*12</f>
        <v>8.6315853078849614</v>
      </c>
      <c r="AF12" s="41" t="str">
        <f t="shared" si="12"/>
        <v/>
      </c>
      <c r="AG12" s="24">
        <f t="shared" ref="AG12:AG71" si="26">(AE12-INT(AE12))*12</f>
        <v>7.5790236946195364</v>
      </c>
      <c r="AH12" s="41" t="str">
        <f t="shared" si="13"/>
        <v/>
      </c>
      <c r="AI12" s="24">
        <f t="shared" ref="AI12:AI71" si="27">(AG12-INT(AG12))*12</f>
        <v>6.9482843354344368</v>
      </c>
      <c r="AJ12" s="41" t="str">
        <f t="shared" si="14"/>
        <v/>
      </c>
    </row>
    <row r="13" spans="1:36">
      <c r="A13" s="384" t="s">
        <v>811</v>
      </c>
      <c r="B13" s="385">
        <v>2</v>
      </c>
      <c r="C13" s="386" t="s">
        <v>810</v>
      </c>
      <c r="D13" s="387">
        <v>4.0026020000000004</v>
      </c>
      <c r="E13" s="388"/>
      <c r="F13" s="8">
        <v>7</v>
      </c>
      <c r="G13" s="21">
        <f t="shared" si="0"/>
        <v>4.0080164891804619</v>
      </c>
      <c r="H13" s="37" t="str">
        <f t="shared" si="15"/>
        <v>4;011X291</v>
      </c>
      <c r="I13" s="38">
        <v>0</v>
      </c>
      <c r="J13" s="132">
        <f t="shared" si="1"/>
        <v>4.0080164891804619</v>
      </c>
      <c r="K13" s="39" t="str">
        <f>INDEX(powers!$H$2:$H$75,33+I13)</f>
        <v xml:space="preserve"> </v>
      </c>
      <c r="L13" s="40" t="str">
        <f t="shared" si="2"/>
        <v>4</v>
      </c>
      <c r="M13" s="24">
        <f t="shared" si="16"/>
        <v>9.6197870165543264E-2</v>
      </c>
      <c r="N13" s="41" t="str">
        <f t="shared" si="3"/>
        <v>0</v>
      </c>
      <c r="O13" s="24">
        <f t="shared" si="17"/>
        <v>1.1543744419865192</v>
      </c>
      <c r="P13" s="41" t="str">
        <f t="shared" si="4"/>
        <v>1</v>
      </c>
      <c r="Q13" s="24">
        <f t="shared" si="18"/>
        <v>1.8524933038382301</v>
      </c>
      <c r="R13" s="41" t="str">
        <f t="shared" si="5"/>
        <v>1</v>
      </c>
      <c r="S13" s="24">
        <f t="shared" si="19"/>
        <v>10.229919646058761</v>
      </c>
      <c r="T13" s="41" t="str">
        <f t="shared" si="6"/>
        <v>X</v>
      </c>
      <c r="U13" s="24">
        <f t="shared" si="20"/>
        <v>2.759035752705131</v>
      </c>
      <c r="V13" s="41" t="str">
        <f t="shared" si="7"/>
        <v>2</v>
      </c>
      <c r="W13" s="24">
        <f t="shared" si="21"/>
        <v>9.1084290324615722</v>
      </c>
      <c r="X13" s="41" t="str">
        <f t="shared" si="8"/>
        <v>9</v>
      </c>
      <c r="Y13" s="24">
        <f t="shared" si="22"/>
        <v>1.3011483895388665</v>
      </c>
      <c r="Z13" s="41" t="str">
        <f t="shared" si="9"/>
        <v>1</v>
      </c>
      <c r="AA13" s="24">
        <f t="shared" si="23"/>
        <v>3.6137806744663976</v>
      </c>
      <c r="AB13" s="41" t="str">
        <f t="shared" si="10"/>
        <v/>
      </c>
      <c r="AC13" s="24">
        <f t="shared" si="24"/>
        <v>7.3653680935967714</v>
      </c>
      <c r="AD13" s="41" t="str">
        <f t="shared" si="11"/>
        <v/>
      </c>
      <c r="AE13" s="24">
        <f t="shared" si="25"/>
        <v>4.3844171231612563</v>
      </c>
      <c r="AF13" s="41" t="str">
        <f t="shared" si="12"/>
        <v/>
      </c>
      <c r="AG13" s="24">
        <f t="shared" si="26"/>
        <v>4.6130054779350758</v>
      </c>
      <c r="AH13" s="41" t="str">
        <f t="shared" si="13"/>
        <v/>
      </c>
      <c r="AI13" s="24">
        <f t="shared" si="27"/>
        <v>7.3560657352209091</v>
      </c>
      <c r="AJ13" s="41" t="str">
        <f t="shared" si="14"/>
        <v/>
      </c>
    </row>
    <row r="14" spans="1:36">
      <c r="A14" s="384"/>
      <c r="B14" s="385"/>
      <c r="C14" s="386"/>
      <c r="D14" s="387"/>
      <c r="E14" s="386">
        <v>4.0026032496999999</v>
      </c>
      <c r="F14" s="8">
        <v>9</v>
      </c>
      <c r="G14" s="21">
        <f t="shared" si="0"/>
        <v>4.0080177405709829</v>
      </c>
      <c r="H14" s="37" t="str">
        <f t="shared" si="15"/>
        <v>4;011X30X18</v>
      </c>
      <c r="I14" s="38">
        <v>0</v>
      </c>
      <c r="J14" s="132">
        <f t="shared" si="1"/>
        <v>4.0080177405709829</v>
      </c>
      <c r="K14" s="39" t="str">
        <f>INDEX(powers!$H$2:$H$75,33+I14)</f>
        <v xml:space="preserve"> </v>
      </c>
      <c r="L14" s="40" t="str">
        <f t="shared" si="2"/>
        <v>4</v>
      </c>
      <c r="M14" s="24">
        <f t="shared" si="16"/>
        <v>9.6212886851795076E-2</v>
      </c>
      <c r="N14" s="41" t="str">
        <f t="shared" si="3"/>
        <v>0</v>
      </c>
      <c r="O14" s="24">
        <f t="shared" si="17"/>
        <v>1.1545546422215409</v>
      </c>
      <c r="P14" s="41" t="str">
        <f t="shared" si="4"/>
        <v>1</v>
      </c>
      <c r="Q14" s="24">
        <f t="shared" si="18"/>
        <v>1.854655706658491</v>
      </c>
      <c r="R14" s="41" t="str">
        <f t="shared" si="5"/>
        <v>1</v>
      </c>
      <c r="S14" s="24">
        <f t="shared" si="19"/>
        <v>10.255868479901892</v>
      </c>
      <c r="T14" s="41" t="str">
        <f t="shared" si="6"/>
        <v>X</v>
      </c>
      <c r="U14" s="24">
        <f t="shared" si="20"/>
        <v>3.0704217588227039</v>
      </c>
      <c r="V14" s="41" t="str">
        <f t="shared" si="7"/>
        <v>3</v>
      </c>
      <c r="W14" s="24">
        <f t="shared" si="21"/>
        <v>0.84506110587244621</v>
      </c>
      <c r="X14" s="41" t="str">
        <f t="shared" si="8"/>
        <v>0</v>
      </c>
      <c r="Y14" s="24">
        <f t="shared" si="22"/>
        <v>10.140733270469354</v>
      </c>
      <c r="Z14" s="41" t="str">
        <f t="shared" si="9"/>
        <v>X</v>
      </c>
      <c r="AA14" s="24">
        <f t="shared" si="23"/>
        <v>1.6887992456322536</v>
      </c>
      <c r="AB14" s="41" t="str">
        <f t="shared" si="10"/>
        <v>1</v>
      </c>
      <c r="AC14" s="24">
        <f t="shared" si="24"/>
        <v>8.265590947587043</v>
      </c>
      <c r="AD14" s="41" t="str">
        <f t="shared" si="11"/>
        <v>8</v>
      </c>
      <c r="AE14" s="24">
        <f t="shared" si="25"/>
        <v>3.1870913710445166</v>
      </c>
      <c r="AF14" s="41" t="str">
        <f t="shared" si="12"/>
        <v/>
      </c>
      <c r="AG14" s="24">
        <f t="shared" si="26"/>
        <v>2.2450964525341988</v>
      </c>
      <c r="AH14" s="41" t="str">
        <f t="shared" si="13"/>
        <v/>
      </c>
      <c r="AI14" s="24">
        <f t="shared" si="27"/>
        <v>2.9411574304103851</v>
      </c>
      <c r="AJ14" s="41" t="str">
        <f t="shared" si="14"/>
        <v/>
      </c>
    </row>
    <row r="15" spans="1:36">
      <c r="A15" s="384" t="s">
        <v>813</v>
      </c>
      <c r="B15" s="385">
        <v>3</v>
      </c>
      <c r="C15" s="386" t="s">
        <v>812</v>
      </c>
      <c r="D15" s="387">
        <v>6.9409999999999998</v>
      </c>
      <c r="E15" s="386"/>
      <c r="F15" s="8">
        <v>4</v>
      </c>
      <c r="G15" s="21">
        <f t="shared" si="0"/>
        <v>6.9503893845556677</v>
      </c>
      <c r="H15" s="37" t="str">
        <f t="shared" si="15"/>
        <v>6;E4X3</v>
      </c>
      <c r="I15" s="38">
        <v>0</v>
      </c>
      <c r="J15" s="132">
        <f t="shared" si="1"/>
        <v>6.9503893845556677</v>
      </c>
      <c r="K15" s="39" t="str">
        <f>INDEX(powers!$H$2:$H$75,33+I15)</f>
        <v xml:space="preserve"> </v>
      </c>
      <c r="L15" s="40" t="str">
        <f t="shared" si="2"/>
        <v>6</v>
      </c>
      <c r="M15" s="24">
        <f t="shared" si="16"/>
        <v>11.404672614668012</v>
      </c>
      <c r="N15" s="41" t="str">
        <f t="shared" si="3"/>
        <v>E</v>
      </c>
      <c r="O15" s="24">
        <f t="shared" si="17"/>
        <v>4.8560713760161462</v>
      </c>
      <c r="P15" s="41" t="str">
        <f t="shared" si="4"/>
        <v>4</v>
      </c>
      <c r="Q15" s="24">
        <f t="shared" si="18"/>
        <v>10.272856512193755</v>
      </c>
      <c r="R15" s="41" t="str">
        <f t="shared" si="5"/>
        <v>X</v>
      </c>
      <c r="S15" s="24">
        <f t="shared" si="19"/>
        <v>3.2742781463250594</v>
      </c>
      <c r="T15" s="41" t="str">
        <f t="shared" si="6"/>
        <v>3</v>
      </c>
      <c r="U15" s="24">
        <f t="shared" si="20"/>
        <v>3.2913377559007131</v>
      </c>
      <c r="V15" s="41" t="str">
        <f t="shared" si="7"/>
        <v/>
      </c>
      <c r="W15" s="24">
        <f t="shared" si="21"/>
        <v>3.4960530708085571</v>
      </c>
      <c r="X15" s="41" t="str">
        <f t="shared" si="8"/>
        <v/>
      </c>
      <c r="Y15" s="24">
        <f t="shared" si="22"/>
        <v>5.9526368497026851</v>
      </c>
      <c r="Z15" s="41" t="str">
        <f t="shared" si="9"/>
        <v/>
      </c>
      <c r="AA15" s="24">
        <f t="shared" si="23"/>
        <v>11.431642196432222</v>
      </c>
      <c r="AB15" s="41" t="str">
        <f t="shared" si="10"/>
        <v/>
      </c>
      <c r="AC15" s="24">
        <f t="shared" si="24"/>
        <v>5.1797063571866602</v>
      </c>
      <c r="AD15" s="41" t="str">
        <f t="shared" si="11"/>
        <v/>
      </c>
      <c r="AE15" s="24">
        <f t="shared" si="25"/>
        <v>2.156476286239922</v>
      </c>
      <c r="AF15" s="41" t="str">
        <f t="shared" si="12"/>
        <v/>
      </c>
      <c r="AG15" s="24">
        <f t="shared" si="26"/>
        <v>1.8777154348790646</v>
      </c>
      <c r="AH15" s="41" t="str">
        <f t="shared" si="13"/>
        <v/>
      </c>
      <c r="AI15" s="24">
        <f t="shared" si="27"/>
        <v>10.532585218548775</v>
      </c>
      <c r="AJ15" s="41" t="str">
        <f t="shared" si="14"/>
        <v/>
      </c>
    </row>
    <row r="16" spans="1:36">
      <c r="A16" s="384"/>
      <c r="B16" s="385"/>
      <c r="C16" s="386"/>
      <c r="D16" s="387"/>
      <c r="E16" s="386">
        <v>7.0160039999999997</v>
      </c>
      <c r="F16" s="8">
        <v>7</v>
      </c>
      <c r="G16" s="21">
        <f t="shared" si="0"/>
        <v>7.0254948456418527</v>
      </c>
      <c r="H16" s="37" t="str">
        <f t="shared" si="15"/>
        <v>7;03807E2</v>
      </c>
      <c r="I16" s="38">
        <v>0</v>
      </c>
      <c r="J16" s="132">
        <f t="shared" si="1"/>
        <v>7.0254948456418527</v>
      </c>
      <c r="K16" s="39" t="str">
        <f>INDEX(powers!$H$2:$H$75,33+I16)</f>
        <v xml:space="preserve"> </v>
      </c>
      <c r="L16" s="40" t="str">
        <f t="shared" si="2"/>
        <v>7</v>
      </c>
      <c r="M16" s="24">
        <f t="shared" si="16"/>
        <v>0.30593814770223204</v>
      </c>
      <c r="N16" s="41" t="str">
        <f t="shared" si="3"/>
        <v>0</v>
      </c>
      <c r="O16" s="24">
        <f t="shared" si="17"/>
        <v>3.6712577724267845</v>
      </c>
      <c r="P16" s="41" t="str">
        <f t="shared" si="4"/>
        <v>3</v>
      </c>
      <c r="Q16" s="24">
        <f t="shared" si="18"/>
        <v>8.0550932691214143</v>
      </c>
      <c r="R16" s="41" t="str">
        <f t="shared" si="5"/>
        <v>8</v>
      </c>
      <c r="S16" s="24">
        <f t="shared" si="19"/>
        <v>0.66111922945697188</v>
      </c>
      <c r="T16" s="41" t="str">
        <f t="shared" si="6"/>
        <v>0</v>
      </c>
      <c r="U16" s="24">
        <f t="shared" si="20"/>
        <v>7.9334307534836626</v>
      </c>
      <c r="V16" s="41" t="str">
        <f t="shared" si="7"/>
        <v>7</v>
      </c>
      <c r="W16" s="24">
        <f t="shared" si="21"/>
        <v>11.201169041803951</v>
      </c>
      <c r="X16" s="41" t="str">
        <f t="shared" si="8"/>
        <v>E</v>
      </c>
      <c r="Y16" s="24">
        <f t="shared" si="22"/>
        <v>2.4140285016474081</v>
      </c>
      <c r="Z16" s="41" t="str">
        <f t="shared" si="9"/>
        <v>2</v>
      </c>
      <c r="AA16" s="24">
        <f t="shared" si="23"/>
        <v>4.9683420197688974</v>
      </c>
      <c r="AB16" s="41" t="str">
        <f t="shared" si="10"/>
        <v/>
      </c>
      <c r="AC16" s="24">
        <f t="shared" si="24"/>
        <v>11.620104237226769</v>
      </c>
      <c r="AD16" s="41" t="str">
        <f t="shared" si="11"/>
        <v/>
      </c>
      <c r="AE16" s="24">
        <f t="shared" si="25"/>
        <v>7.4412508467212319</v>
      </c>
      <c r="AF16" s="41" t="str">
        <f t="shared" si="12"/>
        <v/>
      </c>
      <c r="AG16" s="24">
        <f t="shared" si="26"/>
        <v>5.2950101606547832</v>
      </c>
      <c r="AH16" s="41" t="str">
        <f t="shared" si="13"/>
        <v/>
      </c>
      <c r="AI16" s="24">
        <f t="shared" si="27"/>
        <v>3.540121927857399</v>
      </c>
      <c r="AJ16" s="41" t="str">
        <f t="shared" si="14"/>
        <v/>
      </c>
    </row>
    <row r="17" spans="1:36">
      <c r="A17" s="384" t="s">
        <v>815</v>
      </c>
      <c r="B17" s="385">
        <v>4</v>
      </c>
      <c r="C17" s="386" t="s">
        <v>814</v>
      </c>
      <c r="D17" s="387">
        <v>9.0121819999999992</v>
      </c>
      <c r="E17" s="386"/>
      <c r="F17" s="8">
        <v>7</v>
      </c>
      <c r="G17" s="21">
        <f t="shared" si="0"/>
        <v>9.0243731601330435</v>
      </c>
      <c r="H17" s="37" t="str">
        <f t="shared" si="15"/>
        <v>9;036149X</v>
      </c>
      <c r="I17" s="38">
        <v>0</v>
      </c>
      <c r="J17" s="132">
        <f t="shared" si="1"/>
        <v>9.0243731601330435</v>
      </c>
      <c r="K17" s="39" t="str">
        <f>INDEX(powers!$H$2:$H$75,33+I17)</f>
        <v xml:space="preserve"> </v>
      </c>
      <c r="L17" s="40" t="str">
        <f t="shared" si="2"/>
        <v>9</v>
      </c>
      <c r="M17" s="24">
        <f t="shared" si="16"/>
        <v>0.29247792159652164</v>
      </c>
      <c r="N17" s="41" t="str">
        <f t="shared" si="3"/>
        <v>0</v>
      </c>
      <c r="O17" s="24">
        <f t="shared" si="17"/>
        <v>3.5097350591582597</v>
      </c>
      <c r="P17" s="41" t="str">
        <f t="shared" si="4"/>
        <v>3</v>
      </c>
      <c r="Q17" s="24">
        <f t="shared" si="18"/>
        <v>6.1168207098991161</v>
      </c>
      <c r="R17" s="41" t="str">
        <f t="shared" si="5"/>
        <v>6</v>
      </c>
      <c r="S17" s="24">
        <f t="shared" si="19"/>
        <v>1.401848518789393</v>
      </c>
      <c r="T17" s="41" t="str">
        <f t="shared" si="6"/>
        <v>1</v>
      </c>
      <c r="U17" s="24">
        <f t="shared" si="20"/>
        <v>4.8221822254727158</v>
      </c>
      <c r="V17" s="41" t="str">
        <f t="shared" si="7"/>
        <v>4</v>
      </c>
      <c r="W17" s="24">
        <f t="shared" si="21"/>
        <v>9.8661867056725896</v>
      </c>
      <c r="X17" s="41" t="str">
        <f t="shared" si="8"/>
        <v>9</v>
      </c>
      <c r="Y17" s="24">
        <f t="shared" si="22"/>
        <v>10.394240468071075</v>
      </c>
      <c r="Z17" s="41" t="str">
        <f t="shared" si="9"/>
        <v>X</v>
      </c>
      <c r="AA17" s="24">
        <f t="shared" si="23"/>
        <v>4.7308856168529019</v>
      </c>
      <c r="AB17" s="41" t="str">
        <f t="shared" si="10"/>
        <v/>
      </c>
      <c r="AC17" s="24">
        <f t="shared" si="24"/>
        <v>8.7706274022348225</v>
      </c>
      <c r="AD17" s="41" t="str">
        <f t="shared" si="11"/>
        <v/>
      </c>
      <c r="AE17" s="24">
        <f t="shared" si="25"/>
        <v>9.2475288268178701</v>
      </c>
      <c r="AF17" s="41" t="str">
        <f t="shared" si="12"/>
        <v/>
      </c>
      <c r="AG17" s="24">
        <f t="shared" si="26"/>
        <v>2.9703459218144417</v>
      </c>
      <c r="AH17" s="41" t="str">
        <f t="shared" si="13"/>
        <v/>
      </c>
      <c r="AI17" s="24">
        <f t="shared" si="27"/>
        <v>11.6441510617733</v>
      </c>
      <c r="AJ17" s="41" t="str">
        <f t="shared" si="14"/>
        <v/>
      </c>
    </row>
    <row r="18" spans="1:36">
      <c r="A18" s="384"/>
      <c r="B18" s="385"/>
      <c r="C18" s="386"/>
      <c r="D18" s="387"/>
      <c r="E18" s="386">
        <v>9.0121821999999998</v>
      </c>
      <c r="F18" s="8">
        <v>8</v>
      </c>
      <c r="G18" s="21">
        <f t="shared" si="0"/>
        <v>9.0243733604035921</v>
      </c>
      <c r="H18" s="37" t="str">
        <f t="shared" si="15"/>
        <v>9;03614X57</v>
      </c>
      <c r="I18" s="38">
        <v>0</v>
      </c>
      <c r="J18" s="132">
        <f t="shared" si="1"/>
        <v>9.0243733604035921</v>
      </c>
      <c r="K18" s="39" t="str">
        <f>INDEX(powers!$H$2:$H$75,33+I18)</f>
        <v xml:space="preserve"> </v>
      </c>
      <c r="L18" s="40" t="str">
        <f t="shared" si="2"/>
        <v>9</v>
      </c>
      <c r="M18" s="24">
        <f t="shared" si="16"/>
        <v>0.29248032484310471</v>
      </c>
      <c r="N18" s="41" t="str">
        <f t="shared" si="3"/>
        <v>0</v>
      </c>
      <c r="O18" s="24">
        <f t="shared" si="17"/>
        <v>3.5097638981172565</v>
      </c>
      <c r="P18" s="41" t="str">
        <f t="shared" si="4"/>
        <v>3</v>
      </c>
      <c r="Q18" s="24">
        <f t="shared" si="18"/>
        <v>6.1171667774070784</v>
      </c>
      <c r="R18" s="41" t="str">
        <f t="shared" si="5"/>
        <v>6</v>
      </c>
      <c r="S18" s="24">
        <f t="shared" si="19"/>
        <v>1.4060013288849404</v>
      </c>
      <c r="T18" s="41" t="str">
        <f t="shared" si="6"/>
        <v>1</v>
      </c>
      <c r="U18" s="24">
        <f t="shared" si="20"/>
        <v>4.8720159466192854</v>
      </c>
      <c r="V18" s="41" t="str">
        <f t="shared" si="7"/>
        <v>4</v>
      </c>
      <c r="W18" s="24">
        <f t="shared" si="21"/>
        <v>10.464191359431425</v>
      </c>
      <c r="X18" s="41" t="str">
        <f t="shared" si="8"/>
        <v>X</v>
      </c>
      <c r="Y18" s="24">
        <f t="shared" si="22"/>
        <v>5.5702963131770957</v>
      </c>
      <c r="Z18" s="41" t="str">
        <f t="shared" si="9"/>
        <v>5</v>
      </c>
      <c r="AA18" s="24">
        <f t="shared" si="23"/>
        <v>6.8435557581251487</v>
      </c>
      <c r="AB18" s="41" t="str">
        <f t="shared" si="10"/>
        <v>7</v>
      </c>
      <c r="AC18" s="24">
        <f t="shared" si="24"/>
        <v>10.122669097501785</v>
      </c>
      <c r="AD18" s="41" t="str">
        <f t="shared" si="11"/>
        <v/>
      </c>
      <c r="AE18" s="24">
        <f t="shared" si="25"/>
        <v>1.4720291700214148</v>
      </c>
      <c r="AF18" s="41" t="str">
        <f t="shared" si="12"/>
        <v/>
      </c>
      <c r="AG18" s="24">
        <f t="shared" si="26"/>
        <v>5.6643500402569771</v>
      </c>
      <c r="AH18" s="41" t="str">
        <f t="shared" si="13"/>
        <v/>
      </c>
      <c r="AI18" s="24">
        <f t="shared" si="27"/>
        <v>7.972200483083725</v>
      </c>
      <c r="AJ18" s="41" t="str">
        <f t="shared" si="14"/>
        <v/>
      </c>
    </row>
    <row r="19" spans="1:36">
      <c r="A19" s="384" t="s">
        <v>817</v>
      </c>
      <c r="B19" s="385">
        <v>5</v>
      </c>
      <c r="C19" s="386" t="s">
        <v>816</v>
      </c>
      <c r="D19" s="387">
        <v>10.811</v>
      </c>
      <c r="E19" s="386"/>
      <c r="F19" s="8">
        <v>5</v>
      </c>
      <c r="G19" s="21">
        <f t="shared" si="0"/>
        <v>10.825624497396763</v>
      </c>
      <c r="H19" s="37" t="str">
        <f t="shared" si="15"/>
        <v>X;9XX82</v>
      </c>
      <c r="I19" s="38">
        <v>0</v>
      </c>
      <c r="J19" s="132">
        <f t="shared" si="1"/>
        <v>10.825624497396763</v>
      </c>
      <c r="K19" s="39" t="str">
        <f>INDEX(powers!$H$2:$H$75,33+I19)</f>
        <v xml:space="preserve"> </v>
      </c>
      <c r="L19" s="40" t="str">
        <f t="shared" si="2"/>
        <v>X</v>
      </c>
      <c r="M19" s="24">
        <f t="shared" si="16"/>
        <v>9.907493968761159</v>
      </c>
      <c r="N19" s="41" t="str">
        <f t="shared" si="3"/>
        <v>9</v>
      </c>
      <c r="O19" s="24">
        <f t="shared" si="17"/>
        <v>10.889927625133907</v>
      </c>
      <c r="P19" s="41" t="str">
        <f t="shared" si="4"/>
        <v>X</v>
      </c>
      <c r="Q19" s="24">
        <f t="shared" si="18"/>
        <v>10.679131501606889</v>
      </c>
      <c r="R19" s="41" t="str">
        <f t="shared" si="5"/>
        <v>X</v>
      </c>
      <c r="S19" s="24">
        <f t="shared" si="19"/>
        <v>8.1495780192826714</v>
      </c>
      <c r="T19" s="41" t="str">
        <f t="shared" si="6"/>
        <v>8</v>
      </c>
      <c r="U19" s="24">
        <f t="shared" si="20"/>
        <v>1.7949362313920574</v>
      </c>
      <c r="V19" s="41" t="str">
        <f t="shared" si="7"/>
        <v>2</v>
      </c>
      <c r="W19" s="24">
        <f t="shared" si="21"/>
        <v>9.5392347767046886</v>
      </c>
      <c r="X19" s="41" t="str">
        <f t="shared" si="8"/>
        <v/>
      </c>
      <c r="Y19" s="24">
        <f t="shared" si="22"/>
        <v>6.4708173204562627</v>
      </c>
      <c r="Z19" s="41" t="str">
        <f t="shared" si="9"/>
        <v/>
      </c>
      <c r="AA19" s="24">
        <f t="shared" si="23"/>
        <v>5.6498078454751521</v>
      </c>
      <c r="AB19" s="41" t="str">
        <f t="shared" si="10"/>
        <v/>
      </c>
      <c r="AC19" s="24">
        <f t="shared" si="24"/>
        <v>7.7976941457018256</v>
      </c>
      <c r="AD19" s="41" t="str">
        <f t="shared" si="11"/>
        <v/>
      </c>
      <c r="AE19" s="24">
        <f t="shared" si="25"/>
        <v>9.5723297484219074</v>
      </c>
      <c r="AF19" s="41" t="str">
        <f t="shared" si="12"/>
        <v/>
      </c>
      <c r="AG19" s="24">
        <f t="shared" si="26"/>
        <v>6.8679569810628891</v>
      </c>
      <c r="AH19" s="41" t="str">
        <f t="shared" si="13"/>
        <v/>
      </c>
      <c r="AI19" s="24">
        <f t="shared" si="27"/>
        <v>10.415483772754669</v>
      </c>
      <c r="AJ19" s="41" t="str">
        <f t="shared" si="14"/>
        <v/>
      </c>
    </row>
    <row r="20" spans="1:36">
      <c r="A20" s="384"/>
      <c r="B20" s="385"/>
      <c r="C20" s="386"/>
      <c r="D20" s="387"/>
      <c r="E20" s="386">
        <v>11.005305399999999</v>
      </c>
      <c r="F20" s="8">
        <v>9</v>
      </c>
      <c r="G20" s="21">
        <f t="shared" si="0"/>
        <v>11.020192742537494</v>
      </c>
      <c r="H20" s="37" t="str">
        <f t="shared" si="15"/>
        <v>E;02XX87258</v>
      </c>
      <c r="I20" s="38">
        <v>0</v>
      </c>
      <c r="J20" s="132">
        <f t="shared" si="1"/>
        <v>11.020192742537494</v>
      </c>
      <c r="K20" s="39" t="str">
        <f>INDEX(powers!$H$2:$H$75,33+I20)</f>
        <v xml:space="preserve"> </v>
      </c>
      <c r="L20" s="40" t="str">
        <f t="shared" si="2"/>
        <v>E</v>
      </c>
      <c r="M20" s="24">
        <f t="shared" si="16"/>
        <v>0.24231291044993242</v>
      </c>
      <c r="N20" s="41" t="str">
        <f t="shared" si="3"/>
        <v>0</v>
      </c>
      <c r="O20" s="24">
        <f t="shared" si="17"/>
        <v>2.907754925399189</v>
      </c>
      <c r="P20" s="41" t="str">
        <f t="shared" si="4"/>
        <v>2</v>
      </c>
      <c r="Q20" s="24">
        <f t="shared" si="18"/>
        <v>10.893059104790268</v>
      </c>
      <c r="R20" s="41" t="str">
        <f t="shared" si="5"/>
        <v>X</v>
      </c>
      <c r="S20" s="24">
        <f t="shared" si="19"/>
        <v>10.716709257483217</v>
      </c>
      <c r="T20" s="41" t="str">
        <f t="shared" si="6"/>
        <v>X</v>
      </c>
      <c r="U20" s="24">
        <f t="shared" si="20"/>
        <v>8.6005110897986015</v>
      </c>
      <c r="V20" s="41" t="str">
        <f t="shared" si="7"/>
        <v>8</v>
      </c>
      <c r="W20" s="24">
        <f t="shared" si="21"/>
        <v>7.2061330775832175</v>
      </c>
      <c r="X20" s="41" t="str">
        <f t="shared" si="8"/>
        <v>7</v>
      </c>
      <c r="Y20" s="24">
        <f t="shared" si="22"/>
        <v>2.4735969309986103</v>
      </c>
      <c r="Z20" s="41" t="str">
        <f t="shared" si="9"/>
        <v>2</v>
      </c>
      <c r="AA20" s="24">
        <f t="shared" si="23"/>
        <v>5.683163171983324</v>
      </c>
      <c r="AB20" s="41" t="str">
        <f t="shared" si="10"/>
        <v>5</v>
      </c>
      <c r="AC20" s="24">
        <f t="shared" si="24"/>
        <v>8.1979580637998879</v>
      </c>
      <c r="AD20" s="41" t="str">
        <f t="shared" si="11"/>
        <v>8</v>
      </c>
      <c r="AE20" s="24">
        <f t="shared" si="25"/>
        <v>2.3754967655986547</v>
      </c>
      <c r="AF20" s="41" t="str">
        <f t="shared" si="12"/>
        <v/>
      </c>
      <c r="AG20" s="24">
        <f t="shared" si="26"/>
        <v>4.505961187183857</v>
      </c>
      <c r="AH20" s="41" t="str">
        <f t="shared" si="13"/>
        <v/>
      </c>
      <c r="AI20" s="24">
        <f t="shared" si="27"/>
        <v>6.0715342462062836</v>
      </c>
      <c r="AJ20" s="41" t="str">
        <f t="shared" si="14"/>
        <v/>
      </c>
    </row>
    <row r="21" spans="1:36">
      <c r="A21" s="384" t="s">
        <v>819</v>
      </c>
      <c r="B21" s="385">
        <v>6</v>
      </c>
      <c r="C21" s="386" t="s">
        <v>818</v>
      </c>
      <c r="D21" s="387">
        <v>12.0107</v>
      </c>
      <c r="E21" s="386"/>
      <c r="F21" s="8">
        <v>6</v>
      </c>
      <c r="G21" s="21">
        <f t="shared" si="0"/>
        <v>12.026947382377504</v>
      </c>
      <c r="H21" s="37" t="str">
        <f t="shared" si="15"/>
        <v>1;003X69</v>
      </c>
      <c r="I21" s="38">
        <v>1</v>
      </c>
      <c r="J21" s="132">
        <f t="shared" si="1"/>
        <v>1.0022456151981254</v>
      </c>
      <c r="K21" s="39" t="str">
        <f>INDEX(powers!$H$2:$H$75,33+I21)</f>
        <v>dirac</v>
      </c>
      <c r="L21" s="40" t="str">
        <f t="shared" si="2"/>
        <v>1</v>
      </c>
      <c r="M21" s="24">
        <f t="shared" si="16"/>
        <v>2.6947382377504603E-2</v>
      </c>
      <c r="N21" s="41" t="str">
        <f t="shared" si="3"/>
        <v>0</v>
      </c>
      <c r="O21" s="24">
        <f t="shared" si="17"/>
        <v>0.32336858853005523</v>
      </c>
      <c r="P21" s="41" t="str">
        <f t="shared" si="4"/>
        <v>0</v>
      </c>
      <c r="Q21" s="24">
        <f t="shared" si="18"/>
        <v>3.8804230623606628</v>
      </c>
      <c r="R21" s="41" t="str">
        <f t="shared" si="5"/>
        <v>3</v>
      </c>
      <c r="S21" s="24">
        <f t="shared" si="19"/>
        <v>10.565076748327954</v>
      </c>
      <c r="T21" s="41" t="str">
        <f t="shared" si="6"/>
        <v>X</v>
      </c>
      <c r="U21" s="24">
        <f t="shared" si="20"/>
        <v>6.7809209799354448</v>
      </c>
      <c r="V21" s="41" t="str">
        <f t="shared" si="7"/>
        <v>6</v>
      </c>
      <c r="W21" s="24">
        <f t="shared" si="21"/>
        <v>9.3710517592253382</v>
      </c>
      <c r="X21" s="41" t="str">
        <f t="shared" si="8"/>
        <v>9</v>
      </c>
      <c r="Y21" s="24">
        <f t="shared" si="22"/>
        <v>4.4526211107040581</v>
      </c>
      <c r="Z21" s="41" t="str">
        <f t="shared" si="9"/>
        <v/>
      </c>
      <c r="AA21" s="24">
        <f t="shared" si="23"/>
        <v>5.431453328448697</v>
      </c>
      <c r="AB21" s="41" t="str">
        <f t="shared" si="10"/>
        <v/>
      </c>
      <c r="AC21" s="24">
        <f t="shared" si="24"/>
        <v>5.1774399413843639</v>
      </c>
      <c r="AD21" s="41" t="str">
        <f t="shared" si="11"/>
        <v/>
      </c>
      <c r="AE21" s="24">
        <f t="shared" si="25"/>
        <v>2.129279296612367</v>
      </c>
      <c r="AF21" s="41" t="str">
        <f t="shared" si="12"/>
        <v/>
      </c>
      <c r="AG21" s="24">
        <f t="shared" si="26"/>
        <v>1.5513515593484044</v>
      </c>
      <c r="AH21" s="41" t="str">
        <f t="shared" si="13"/>
        <v/>
      </c>
      <c r="AI21" s="24">
        <f t="shared" si="27"/>
        <v>6.6162187121808529</v>
      </c>
      <c r="AJ21" s="41" t="str">
        <f t="shared" si="14"/>
        <v/>
      </c>
    </row>
    <row r="22" spans="1:36">
      <c r="A22" s="384"/>
      <c r="B22" s="385"/>
      <c r="C22" s="386"/>
      <c r="D22" s="387"/>
      <c r="E22" s="386">
        <v>12</v>
      </c>
      <c r="F22" s="8">
        <v>12</v>
      </c>
      <c r="G22" s="21">
        <f t="shared" si="0"/>
        <v>12.016232908034507</v>
      </c>
      <c r="H22" s="37" t="str">
        <f t="shared" si="15"/>
        <v>1;0024073253E2</v>
      </c>
      <c r="I22" s="38">
        <v>1</v>
      </c>
      <c r="J22" s="132">
        <f t="shared" si="1"/>
        <v>1.001352742336209</v>
      </c>
      <c r="K22" s="39" t="str">
        <f>INDEX(powers!$H$2:$H$75,33+I22)</f>
        <v>dirac</v>
      </c>
      <c r="L22" s="40" t="str">
        <f t="shared" si="2"/>
        <v>1</v>
      </c>
      <c r="M22" s="24">
        <f t="shared" si="16"/>
        <v>1.6232908034507609E-2</v>
      </c>
      <c r="N22" s="41" t="str">
        <f t="shared" si="3"/>
        <v>0</v>
      </c>
      <c r="O22" s="24">
        <f t="shared" si="17"/>
        <v>0.19479489641409131</v>
      </c>
      <c r="P22" s="41" t="str">
        <f t="shared" si="4"/>
        <v>0</v>
      </c>
      <c r="Q22" s="24">
        <f t="shared" si="18"/>
        <v>2.3375387569690957</v>
      </c>
      <c r="R22" s="41" t="str">
        <f t="shared" si="5"/>
        <v>2</v>
      </c>
      <c r="S22" s="24">
        <f t="shared" si="19"/>
        <v>4.0504650836291489</v>
      </c>
      <c r="T22" s="41" t="str">
        <f t="shared" si="6"/>
        <v>4</v>
      </c>
      <c r="U22" s="24">
        <f t="shared" si="20"/>
        <v>0.60558100354978706</v>
      </c>
      <c r="V22" s="41" t="str">
        <f t="shared" si="7"/>
        <v>0</v>
      </c>
      <c r="W22" s="24">
        <f t="shared" si="21"/>
        <v>7.2669720425974447</v>
      </c>
      <c r="X22" s="41" t="str">
        <f t="shared" si="8"/>
        <v>7</v>
      </c>
      <c r="Y22" s="24">
        <f t="shared" si="22"/>
        <v>3.203664511169336</v>
      </c>
      <c r="Z22" s="41" t="str">
        <f t="shared" si="9"/>
        <v>3</v>
      </c>
      <c r="AA22" s="24">
        <f t="shared" si="23"/>
        <v>2.4439741340320325</v>
      </c>
      <c r="AB22" s="41" t="str">
        <f t="shared" si="10"/>
        <v>2</v>
      </c>
      <c r="AC22" s="24">
        <f t="shared" si="24"/>
        <v>5.3276896083843894</v>
      </c>
      <c r="AD22" s="41" t="str">
        <f t="shared" si="11"/>
        <v>5</v>
      </c>
      <c r="AE22" s="24">
        <f t="shared" si="25"/>
        <v>3.9322753006126732</v>
      </c>
      <c r="AF22" s="41" t="str">
        <f t="shared" si="12"/>
        <v>3</v>
      </c>
      <c r="AG22" s="24">
        <f t="shared" si="26"/>
        <v>11.187303607352078</v>
      </c>
      <c r="AH22" s="41" t="str">
        <f t="shared" si="13"/>
        <v>E</v>
      </c>
      <c r="AI22" s="24">
        <f t="shared" si="27"/>
        <v>2.2476432882249355</v>
      </c>
      <c r="AJ22" s="41" t="str">
        <f t="shared" si="14"/>
        <v>2</v>
      </c>
    </row>
    <row r="23" spans="1:36">
      <c r="A23" s="384" t="s">
        <v>821</v>
      </c>
      <c r="B23" s="385"/>
      <c r="C23" s="386" t="s">
        <v>820</v>
      </c>
      <c r="D23" s="387"/>
      <c r="E23" s="386">
        <v>13.0033548</v>
      </c>
      <c r="F23" s="8">
        <v>9</v>
      </c>
      <c r="G23" s="21">
        <f t="shared" si="0"/>
        <v>13.020944988550696</v>
      </c>
      <c r="H23" s="37" t="str">
        <f t="shared" si="15"/>
        <v>1;10302394X</v>
      </c>
      <c r="I23" s="38">
        <v>1</v>
      </c>
      <c r="J23" s="132">
        <f t="shared" si="1"/>
        <v>1.0850787490458913</v>
      </c>
      <c r="K23" s="39" t="str">
        <f>INDEX(powers!$H$2:$H$75,33+I23)</f>
        <v>dirac</v>
      </c>
      <c r="L23" s="40" t="str">
        <f t="shared" si="2"/>
        <v>1</v>
      </c>
      <c r="M23" s="24">
        <f t="shared" si="16"/>
        <v>1.0209449885506956</v>
      </c>
      <c r="N23" s="41" t="str">
        <f t="shared" si="3"/>
        <v>1</v>
      </c>
      <c r="O23" s="24">
        <f t="shared" si="17"/>
        <v>0.25133986260834718</v>
      </c>
      <c r="P23" s="41" t="str">
        <f t="shared" si="4"/>
        <v>0</v>
      </c>
      <c r="Q23" s="24">
        <f t="shared" si="18"/>
        <v>3.0160783513001661</v>
      </c>
      <c r="R23" s="41" t="str">
        <f t="shared" si="5"/>
        <v>3</v>
      </c>
      <c r="S23" s="24">
        <f t="shared" si="19"/>
        <v>0.19294021560199326</v>
      </c>
      <c r="T23" s="41" t="str">
        <f t="shared" si="6"/>
        <v>0</v>
      </c>
      <c r="U23" s="24">
        <f t="shared" si="20"/>
        <v>2.3152825872239191</v>
      </c>
      <c r="V23" s="41" t="str">
        <f t="shared" si="7"/>
        <v>2</v>
      </c>
      <c r="W23" s="24">
        <f t="shared" si="21"/>
        <v>3.7833910466870293</v>
      </c>
      <c r="X23" s="41" t="str">
        <f t="shared" si="8"/>
        <v>3</v>
      </c>
      <c r="Y23" s="24">
        <f t="shared" si="22"/>
        <v>9.4006925602443516</v>
      </c>
      <c r="Z23" s="41" t="str">
        <f t="shared" si="9"/>
        <v>9</v>
      </c>
      <c r="AA23" s="24">
        <f t="shared" si="23"/>
        <v>4.8083107229322195</v>
      </c>
      <c r="AB23" s="41" t="str">
        <f t="shared" si="10"/>
        <v>4</v>
      </c>
      <c r="AC23" s="24">
        <f t="shared" si="24"/>
        <v>9.6997286751866341</v>
      </c>
      <c r="AD23" s="41" t="str">
        <f t="shared" si="11"/>
        <v>X</v>
      </c>
      <c r="AE23" s="24">
        <f t="shared" si="25"/>
        <v>8.3967441022396088</v>
      </c>
      <c r="AF23" s="41" t="str">
        <f t="shared" si="12"/>
        <v/>
      </c>
      <c r="AG23" s="24">
        <f t="shared" si="26"/>
        <v>4.7609292268753052</v>
      </c>
      <c r="AH23" s="41" t="str">
        <f t="shared" si="13"/>
        <v/>
      </c>
      <c r="AI23" s="24">
        <f t="shared" si="27"/>
        <v>9.1311507225036621</v>
      </c>
      <c r="AJ23" s="41" t="str">
        <f t="shared" si="14"/>
        <v/>
      </c>
    </row>
    <row r="24" spans="1:36" ht="13.5" customHeight="1">
      <c r="A24" s="384" t="s">
        <v>823</v>
      </c>
      <c r="B24" s="385">
        <v>7</v>
      </c>
      <c r="C24" s="386" t="s">
        <v>822</v>
      </c>
      <c r="D24" s="387">
        <v>14.0067</v>
      </c>
      <c r="E24" s="388"/>
      <c r="F24" s="8">
        <v>6</v>
      </c>
      <c r="G24" s="21">
        <f t="shared" si="0"/>
        <v>14.025647456080559</v>
      </c>
      <c r="H24" s="37" t="str">
        <f t="shared" si="15"/>
        <v>1;20383X</v>
      </c>
      <c r="I24" s="38">
        <v>1</v>
      </c>
      <c r="J24" s="132">
        <f t="shared" si="1"/>
        <v>1.1688039546733799</v>
      </c>
      <c r="K24" s="39" t="str">
        <f>INDEX(powers!$H$2:$H$75,33+I24)</f>
        <v>dirac</v>
      </c>
      <c r="L24" s="40" t="str">
        <f t="shared" si="2"/>
        <v>1</v>
      </c>
      <c r="M24" s="24">
        <f t="shared" si="16"/>
        <v>2.0256474560805593</v>
      </c>
      <c r="N24" s="41" t="str">
        <f t="shared" si="3"/>
        <v>2</v>
      </c>
      <c r="O24" s="24">
        <f t="shared" si="17"/>
        <v>0.30776947296671153</v>
      </c>
      <c r="P24" s="41" t="str">
        <f t="shared" si="4"/>
        <v>0</v>
      </c>
      <c r="Q24" s="24">
        <f t="shared" si="18"/>
        <v>3.6932336756005384</v>
      </c>
      <c r="R24" s="41" t="str">
        <f t="shared" si="5"/>
        <v>3</v>
      </c>
      <c r="S24" s="24">
        <f t="shared" si="19"/>
        <v>8.3188041072064607</v>
      </c>
      <c r="T24" s="41" t="str">
        <f t="shared" si="6"/>
        <v>8</v>
      </c>
      <c r="U24" s="24">
        <f t="shared" si="20"/>
        <v>3.8256492864775282</v>
      </c>
      <c r="V24" s="41" t="str">
        <f t="shared" si="7"/>
        <v>3</v>
      </c>
      <c r="W24" s="24">
        <f t="shared" si="21"/>
        <v>9.9077914377303387</v>
      </c>
      <c r="X24" s="41" t="str">
        <f t="shared" si="8"/>
        <v>X</v>
      </c>
      <c r="Y24" s="24">
        <f t="shared" si="22"/>
        <v>10.893497252764064</v>
      </c>
      <c r="Z24" s="41" t="str">
        <f t="shared" si="9"/>
        <v/>
      </c>
      <c r="AA24" s="24">
        <f t="shared" si="23"/>
        <v>10.721967033168767</v>
      </c>
      <c r="AB24" s="41" t="str">
        <f t="shared" si="10"/>
        <v/>
      </c>
      <c r="AC24" s="24">
        <f t="shared" si="24"/>
        <v>8.6636043980251998</v>
      </c>
      <c r="AD24" s="41" t="str">
        <f t="shared" si="11"/>
        <v/>
      </c>
      <c r="AE24" s="24">
        <f t="shared" si="25"/>
        <v>7.9632527763023973</v>
      </c>
      <c r="AF24" s="41" t="str">
        <f t="shared" si="12"/>
        <v/>
      </c>
      <c r="AG24" s="24">
        <f t="shared" si="26"/>
        <v>11.559033315628767</v>
      </c>
      <c r="AH24" s="41" t="str">
        <f t="shared" si="13"/>
        <v/>
      </c>
      <c r="AI24" s="24">
        <f t="shared" si="27"/>
        <v>6.7083997875452042</v>
      </c>
      <c r="AJ24" s="41" t="str">
        <f t="shared" si="14"/>
        <v/>
      </c>
    </row>
    <row r="25" spans="1:36" ht="13.5" customHeight="1">
      <c r="A25" s="384"/>
      <c r="B25" s="385"/>
      <c r="C25" s="386"/>
      <c r="D25" s="387"/>
      <c r="E25" s="386">
        <v>14.0030740052</v>
      </c>
      <c r="F25" s="8">
        <v>10</v>
      </c>
      <c r="G25" s="21">
        <f t="shared" si="0"/>
        <v>14.022016556243884</v>
      </c>
      <c r="H25" s="37" t="str">
        <f t="shared" si="15"/>
        <v>1;2032065102</v>
      </c>
      <c r="I25" s="38">
        <v>1</v>
      </c>
      <c r="J25" s="132">
        <f t="shared" si="1"/>
        <v>1.1685013796869903</v>
      </c>
      <c r="K25" s="39" t="str">
        <f>INDEX(powers!$H$2:$H$75,33+I25)</f>
        <v>dirac</v>
      </c>
      <c r="L25" s="40" t="str">
        <f t="shared" si="2"/>
        <v>1</v>
      </c>
      <c r="M25" s="24">
        <f t="shared" si="16"/>
        <v>2.0220165562438837</v>
      </c>
      <c r="N25" s="41" t="str">
        <f t="shared" si="3"/>
        <v>2</v>
      </c>
      <c r="O25" s="24">
        <f t="shared" si="17"/>
        <v>0.26419867492660387</v>
      </c>
      <c r="P25" s="41" t="str">
        <f t="shared" si="4"/>
        <v>0</v>
      </c>
      <c r="Q25" s="24">
        <f t="shared" si="18"/>
        <v>3.1703840991192465</v>
      </c>
      <c r="R25" s="41" t="str">
        <f t="shared" si="5"/>
        <v>3</v>
      </c>
      <c r="S25" s="24">
        <f t="shared" si="19"/>
        <v>2.0446091894309575</v>
      </c>
      <c r="T25" s="41" t="str">
        <f t="shared" si="6"/>
        <v>2</v>
      </c>
      <c r="U25" s="24">
        <f t="shared" si="20"/>
        <v>0.53531027317148983</v>
      </c>
      <c r="V25" s="41" t="str">
        <f t="shared" si="7"/>
        <v>0</v>
      </c>
      <c r="W25" s="24">
        <f t="shared" si="21"/>
        <v>6.4237232780578779</v>
      </c>
      <c r="X25" s="41" t="str">
        <f t="shared" si="8"/>
        <v>6</v>
      </c>
      <c r="Y25" s="24">
        <f t="shared" si="22"/>
        <v>5.0846793366945349</v>
      </c>
      <c r="Z25" s="41" t="str">
        <f t="shared" si="9"/>
        <v>5</v>
      </c>
      <c r="AA25" s="24">
        <f t="shared" si="23"/>
        <v>1.0161520403344184</v>
      </c>
      <c r="AB25" s="41" t="str">
        <f t="shared" si="10"/>
        <v>1</v>
      </c>
      <c r="AC25" s="24">
        <f t="shared" si="24"/>
        <v>0.19382448401302099</v>
      </c>
      <c r="AD25" s="41" t="str">
        <f t="shared" si="11"/>
        <v>0</v>
      </c>
      <c r="AE25" s="24">
        <f t="shared" si="25"/>
        <v>2.3258938081562519</v>
      </c>
      <c r="AF25" s="41" t="str">
        <f t="shared" si="12"/>
        <v>2</v>
      </c>
      <c r="AG25" s="24">
        <f t="shared" si="26"/>
        <v>3.9107256978750229</v>
      </c>
      <c r="AH25" s="41" t="str">
        <f t="shared" si="13"/>
        <v/>
      </c>
      <c r="AI25" s="24">
        <f t="shared" si="27"/>
        <v>10.928708374500275</v>
      </c>
      <c r="AJ25" s="41" t="str">
        <f t="shared" si="14"/>
        <v/>
      </c>
    </row>
    <row r="26" spans="1:36" ht="13.5" customHeight="1">
      <c r="A26" s="384" t="s">
        <v>825</v>
      </c>
      <c r="B26" s="385"/>
      <c r="C26" s="386" t="s">
        <v>824</v>
      </c>
      <c r="D26" s="387"/>
      <c r="E26" s="386">
        <v>15.000109</v>
      </c>
      <c r="F26" s="8">
        <v>8</v>
      </c>
      <c r="G26" s="21">
        <f t="shared" si="0"/>
        <v>15.020400282492023</v>
      </c>
      <c r="H26" s="37" t="str">
        <f t="shared" si="15"/>
        <v>1;302E302E</v>
      </c>
      <c r="I26" s="38">
        <v>1</v>
      </c>
      <c r="J26" s="132">
        <f t="shared" si="1"/>
        <v>1.2517000235410018</v>
      </c>
      <c r="K26" s="39" t="str">
        <f>INDEX(powers!$H$2:$H$75,33+I26)</f>
        <v>dirac</v>
      </c>
      <c r="L26" s="40" t="str">
        <f t="shared" si="2"/>
        <v>1</v>
      </c>
      <c r="M26" s="24">
        <f t="shared" si="16"/>
        <v>3.0204002824920222</v>
      </c>
      <c r="N26" s="41" t="str">
        <f t="shared" si="3"/>
        <v>3</v>
      </c>
      <c r="O26" s="24">
        <f t="shared" si="17"/>
        <v>0.24480338990426631</v>
      </c>
      <c r="P26" s="41" t="str">
        <f t="shared" si="4"/>
        <v>0</v>
      </c>
      <c r="Q26" s="24">
        <f t="shared" si="18"/>
        <v>2.9376406788511957</v>
      </c>
      <c r="R26" s="41" t="str">
        <f t="shared" si="5"/>
        <v>2</v>
      </c>
      <c r="S26" s="24">
        <f t="shared" si="19"/>
        <v>11.251688146214349</v>
      </c>
      <c r="T26" s="41" t="str">
        <f t="shared" si="6"/>
        <v>E</v>
      </c>
      <c r="U26" s="24">
        <f t="shared" si="20"/>
        <v>3.0202577545721851</v>
      </c>
      <c r="V26" s="41" t="str">
        <f t="shared" si="7"/>
        <v>3</v>
      </c>
      <c r="W26" s="24">
        <f t="shared" si="21"/>
        <v>0.24309305486622179</v>
      </c>
      <c r="X26" s="41" t="str">
        <f t="shared" si="8"/>
        <v>0</v>
      </c>
      <c r="Y26" s="24">
        <f t="shared" si="22"/>
        <v>2.9171166583946615</v>
      </c>
      <c r="Z26" s="41" t="str">
        <f t="shared" si="9"/>
        <v>2</v>
      </c>
      <c r="AA26" s="24">
        <f t="shared" si="23"/>
        <v>11.005399900735938</v>
      </c>
      <c r="AB26" s="41" t="str">
        <f t="shared" si="10"/>
        <v>E</v>
      </c>
      <c r="AC26" s="24">
        <f t="shared" si="24"/>
        <v>6.4798808831255883E-2</v>
      </c>
      <c r="AD26" s="41" t="str">
        <f t="shared" si="11"/>
        <v/>
      </c>
      <c r="AE26" s="24">
        <f t="shared" si="25"/>
        <v>0.7775857059750706</v>
      </c>
      <c r="AF26" s="41" t="str">
        <f t="shared" si="12"/>
        <v/>
      </c>
      <c r="AG26" s="24">
        <f t="shared" si="26"/>
        <v>9.3310284717008471</v>
      </c>
      <c r="AH26" s="41" t="str">
        <f t="shared" si="13"/>
        <v/>
      </c>
      <c r="AI26" s="24">
        <f t="shared" si="27"/>
        <v>3.9723416604101658</v>
      </c>
      <c r="AJ26" s="41" t="str">
        <f t="shared" si="14"/>
        <v/>
      </c>
    </row>
    <row r="27" spans="1:36" ht="13.5" customHeight="1">
      <c r="A27" s="384" t="s">
        <v>827</v>
      </c>
      <c r="B27" s="385">
        <v>8</v>
      </c>
      <c r="C27" s="386" t="s">
        <v>826</v>
      </c>
      <c r="D27" s="387">
        <v>15.9994</v>
      </c>
      <c r="E27" s="388"/>
      <c r="F27" s="8">
        <v>6</v>
      </c>
      <c r="G27" s="21">
        <f t="shared" si="0"/>
        <v>16.021043065733906</v>
      </c>
      <c r="H27" s="37" t="str">
        <f t="shared" si="15"/>
        <v>1;403044</v>
      </c>
      <c r="I27" s="38">
        <v>1</v>
      </c>
      <c r="J27" s="132">
        <f t="shared" si="1"/>
        <v>1.3350869221444921</v>
      </c>
      <c r="K27" s="39" t="str">
        <f>INDEX(powers!$H$2:$H$75,33+I27)</f>
        <v>dirac</v>
      </c>
      <c r="L27" s="40" t="str">
        <f t="shared" si="2"/>
        <v>1</v>
      </c>
      <c r="M27" s="24">
        <f t="shared" si="16"/>
        <v>4.0210430657339051</v>
      </c>
      <c r="N27" s="41" t="str">
        <f t="shared" si="3"/>
        <v>4</v>
      </c>
      <c r="O27" s="24">
        <f t="shared" si="17"/>
        <v>0.25251678880686157</v>
      </c>
      <c r="P27" s="41" t="str">
        <f t="shared" si="4"/>
        <v>0</v>
      </c>
      <c r="Q27" s="24">
        <f t="shared" si="18"/>
        <v>3.0302014656823388</v>
      </c>
      <c r="R27" s="41" t="str">
        <f t="shared" si="5"/>
        <v>3</v>
      </c>
      <c r="S27" s="24">
        <f t="shared" si="19"/>
        <v>0.36241758818806602</v>
      </c>
      <c r="T27" s="41" t="str">
        <f t="shared" si="6"/>
        <v>0</v>
      </c>
      <c r="U27" s="24">
        <f t="shared" si="20"/>
        <v>4.3490110582567922</v>
      </c>
      <c r="V27" s="41" t="str">
        <f t="shared" si="7"/>
        <v>4</v>
      </c>
      <c r="W27" s="24">
        <f t="shared" si="21"/>
        <v>4.1881326990815069</v>
      </c>
      <c r="X27" s="41" t="str">
        <f t="shared" si="8"/>
        <v>4</v>
      </c>
      <c r="Y27" s="24">
        <f t="shared" si="22"/>
        <v>2.2575923889780825</v>
      </c>
      <c r="Z27" s="41" t="str">
        <f t="shared" si="9"/>
        <v/>
      </c>
      <c r="AA27" s="24">
        <f t="shared" si="23"/>
        <v>3.0911086677369894</v>
      </c>
      <c r="AB27" s="41" t="str">
        <f t="shared" si="10"/>
        <v/>
      </c>
      <c r="AC27" s="24">
        <f t="shared" si="24"/>
        <v>1.0933040128438734</v>
      </c>
      <c r="AD27" s="41" t="str">
        <f t="shared" si="11"/>
        <v/>
      </c>
      <c r="AE27" s="24">
        <f t="shared" si="25"/>
        <v>1.1196481541264802</v>
      </c>
      <c r="AF27" s="41" t="str">
        <f t="shared" si="12"/>
        <v/>
      </c>
      <c r="AG27" s="24">
        <f t="shared" si="26"/>
        <v>1.4357778495177627</v>
      </c>
      <c r="AH27" s="41" t="str">
        <f t="shared" si="13"/>
        <v/>
      </c>
      <c r="AI27" s="24">
        <f t="shared" si="27"/>
        <v>5.2293341942131519</v>
      </c>
      <c r="AJ27" s="41" t="str">
        <f t="shared" si="14"/>
        <v/>
      </c>
    </row>
    <row r="28" spans="1:36" ht="13.5" customHeight="1">
      <c r="A28" s="384"/>
      <c r="B28" s="385"/>
      <c r="C28" s="386"/>
      <c r="D28" s="387"/>
      <c r="E28" s="386">
        <v>15.9949146221</v>
      </c>
      <c r="F28" s="8">
        <v>10</v>
      </c>
      <c r="G28" s="21">
        <f t="shared" si="0"/>
        <v>16.016551620273326</v>
      </c>
      <c r="H28" s="37" t="str">
        <f t="shared" si="15"/>
        <v>1;4024726X59</v>
      </c>
      <c r="I28" s="38">
        <v>1</v>
      </c>
      <c r="J28" s="132">
        <f t="shared" si="1"/>
        <v>1.3347126350227771</v>
      </c>
      <c r="K28" s="39" t="str">
        <f>INDEX(powers!$H$2:$H$75,33+I28)</f>
        <v>dirac</v>
      </c>
      <c r="L28" s="40" t="str">
        <f t="shared" si="2"/>
        <v>1</v>
      </c>
      <c r="M28" s="24">
        <f t="shared" si="16"/>
        <v>4.0165516202733258</v>
      </c>
      <c r="N28" s="41" t="str">
        <f t="shared" si="3"/>
        <v>4</v>
      </c>
      <c r="O28" s="24">
        <f t="shared" si="17"/>
        <v>0.19861944327990955</v>
      </c>
      <c r="P28" s="41" t="str">
        <f t="shared" si="4"/>
        <v>0</v>
      </c>
      <c r="Q28" s="24">
        <f t="shared" si="18"/>
        <v>2.3834333193589146</v>
      </c>
      <c r="R28" s="41" t="str">
        <f t="shared" si="5"/>
        <v>2</v>
      </c>
      <c r="S28" s="24">
        <f t="shared" si="19"/>
        <v>4.6011998323069747</v>
      </c>
      <c r="T28" s="41" t="str">
        <f t="shared" si="6"/>
        <v>4</v>
      </c>
      <c r="U28" s="24">
        <f t="shared" si="20"/>
        <v>7.2143979876836966</v>
      </c>
      <c r="V28" s="41" t="str">
        <f t="shared" si="7"/>
        <v>7</v>
      </c>
      <c r="W28" s="24">
        <f t="shared" si="21"/>
        <v>2.5727758522043587</v>
      </c>
      <c r="X28" s="41" t="str">
        <f t="shared" si="8"/>
        <v>2</v>
      </c>
      <c r="Y28" s="24">
        <f t="shared" si="22"/>
        <v>6.8733102264523041</v>
      </c>
      <c r="Z28" s="41" t="str">
        <f t="shared" si="9"/>
        <v>6</v>
      </c>
      <c r="AA28" s="24">
        <f t="shared" si="23"/>
        <v>10.479722717427649</v>
      </c>
      <c r="AB28" s="41" t="str">
        <f t="shared" si="10"/>
        <v>X</v>
      </c>
      <c r="AC28" s="24">
        <f t="shared" si="24"/>
        <v>5.7566726091317832</v>
      </c>
      <c r="AD28" s="41" t="str">
        <f t="shared" si="11"/>
        <v>5</v>
      </c>
      <c r="AE28" s="24">
        <f t="shared" si="25"/>
        <v>9.080071309581399</v>
      </c>
      <c r="AF28" s="41" t="str">
        <f t="shared" si="12"/>
        <v>9</v>
      </c>
      <c r="AG28" s="24">
        <f t="shared" si="26"/>
        <v>0.96085571497678757</v>
      </c>
      <c r="AH28" s="41" t="str">
        <f t="shared" si="13"/>
        <v/>
      </c>
      <c r="AI28" s="24">
        <f t="shared" si="27"/>
        <v>11.530268579721451</v>
      </c>
      <c r="AJ28" s="41" t="str">
        <f t="shared" si="14"/>
        <v/>
      </c>
    </row>
    <row r="29" spans="1:36" ht="13.5" customHeight="1">
      <c r="A29" s="384" t="s">
        <v>829</v>
      </c>
      <c r="B29" s="385">
        <v>9</v>
      </c>
      <c r="C29" s="386" t="s">
        <v>828</v>
      </c>
      <c r="D29" s="387">
        <v>18.998403199999998</v>
      </c>
      <c r="E29" s="386"/>
      <c r="F29" s="8">
        <v>9</v>
      </c>
      <c r="G29" s="21">
        <f t="shared" si="0"/>
        <v>19.024103144328947</v>
      </c>
      <c r="H29" s="37" t="str">
        <f t="shared" si="15"/>
        <v>1;703579773</v>
      </c>
      <c r="I29" s="38">
        <v>1</v>
      </c>
      <c r="J29" s="132">
        <f t="shared" si="1"/>
        <v>1.5853419286940789</v>
      </c>
      <c r="K29" s="39" t="str">
        <f>INDEX(powers!$H$2:$H$75,33+I29)</f>
        <v>dirac</v>
      </c>
      <c r="L29" s="40" t="str">
        <f t="shared" si="2"/>
        <v>1</v>
      </c>
      <c r="M29" s="24">
        <f t="shared" si="16"/>
        <v>7.0241031443289463</v>
      </c>
      <c r="N29" s="41" t="str">
        <f t="shared" si="3"/>
        <v>7</v>
      </c>
      <c r="O29" s="24">
        <f t="shared" si="17"/>
        <v>0.28923773194735602</v>
      </c>
      <c r="P29" s="41" t="str">
        <f t="shared" si="4"/>
        <v>0</v>
      </c>
      <c r="Q29" s="24">
        <f t="shared" si="18"/>
        <v>3.4708527833682723</v>
      </c>
      <c r="R29" s="41" t="str">
        <f t="shared" si="5"/>
        <v>3</v>
      </c>
      <c r="S29" s="24">
        <f t="shared" si="19"/>
        <v>5.6502334004192676</v>
      </c>
      <c r="T29" s="41" t="str">
        <f t="shared" si="6"/>
        <v>5</v>
      </c>
      <c r="U29" s="24">
        <f t="shared" si="20"/>
        <v>7.802800805031211</v>
      </c>
      <c r="V29" s="41" t="str">
        <f t="shared" si="7"/>
        <v>7</v>
      </c>
      <c r="W29" s="24">
        <f t="shared" si="21"/>
        <v>9.6336096603745318</v>
      </c>
      <c r="X29" s="41" t="str">
        <f t="shared" si="8"/>
        <v>9</v>
      </c>
      <c r="Y29" s="24">
        <f t="shared" si="22"/>
        <v>7.6033159244943818</v>
      </c>
      <c r="Z29" s="41" t="str">
        <f t="shared" si="9"/>
        <v>7</v>
      </c>
      <c r="AA29" s="24">
        <f t="shared" si="23"/>
        <v>7.2397910939325811</v>
      </c>
      <c r="AB29" s="41" t="str">
        <f t="shared" si="10"/>
        <v>7</v>
      </c>
      <c r="AC29" s="24">
        <f t="shared" si="24"/>
        <v>2.8774931271909736</v>
      </c>
      <c r="AD29" s="41" t="str">
        <f t="shared" si="11"/>
        <v>3</v>
      </c>
      <c r="AE29" s="24">
        <f t="shared" si="25"/>
        <v>10.529917526291683</v>
      </c>
      <c r="AF29" s="41" t="str">
        <f t="shared" si="12"/>
        <v/>
      </c>
      <c r="AG29" s="24">
        <f t="shared" si="26"/>
        <v>6.3590103155001998</v>
      </c>
      <c r="AH29" s="41" t="str">
        <f t="shared" si="13"/>
        <v/>
      </c>
      <c r="AI29" s="24">
        <f t="shared" si="27"/>
        <v>4.3081237860023975</v>
      </c>
      <c r="AJ29" s="41" t="str">
        <f t="shared" si="14"/>
        <v/>
      </c>
    </row>
    <row r="30" spans="1:36" ht="13.5" customHeight="1">
      <c r="A30" s="384"/>
      <c r="B30" s="385"/>
      <c r="C30" s="386"/>
      <c r="D30" s="387"/>
      <c r="E30" s="386">
        <v>18.99840322</v>
      </c>
      <c r="F30" s="8">
        <v>10</v>
      </c>
      <c r="G30" s="21">
        <f t="shared" si="0"/>
        <v>19.024103164356003</v>
      </c>
      <c r="H30" s="37" t="str">
        <f t="shared" si="15"/>
        <v>1;70357977E6</v>
      </c>
      <c r="I30" s="38">
        <v>1</v>
      </c>
      <c r="J30" s="132">
        <f t="shared" si="1"/>
        <v>1.5853419303630003</v>
      </c>
      <c r="K30" s="39" t="str">
        <f>INDEX(powers!$H$2:$H$75,33+I30)</f>
        <v>dirac</v>
      </c>
      <c r="L30" s="40" t="str">
        <f t="shared" si="2"/>
        <v>1</v>
      </c>
      <c r="M30" s="24">
        <f t="shared" si="16"/>
        <v>7.0241031643560037</v>
      </c>
      <c r="N30" s="41" t="str">
        <f t="shared" si="3"/>
        <v>7</v>
      </c>
      <c r="O30" s="24">
        <f t="shared" si="17"/>
        <v>0.28923797227204417</v>
      </c>
      <c r="P30" s="41" t="str">
        <f t="shared" si="4"/>
        <v>0</v>
      </c>
      <c r="Q30" s="24">
        <f t="shared" si="18"/>
        <v>3.4708556672645301</v>
      </c>
      <c r="R30" s="41" t="str">
        <f t="shared" si="5"/>
        <v>3</v>
      </c>
      <c r="S30" s="24">
        <f t="shared" si="19"/>
        <v>5.6502680071743612</v>
      </c>
      <c r="T30" s="41" t="str">
        <f t="shared" si="6"/>
        <v>5</v>
      </c>
      <c r="U30" s="24">
        <f t="shared" si="20"/>
        <v>7.8032160860923341</v>
      </c>
      <c r="V30" s="41" t="str">
        <f t="shared" si="7"/>
        <v>7</v>
      </c>
      <c r="W30" s="24">
        <f t="shared" si="21"/>
        <v>9.638593033108009</v>
      </c>
      <c r="X30" s="41" t="str">
        <f t="shared" si="8"/>
        <v>9</v>
      </c>
      <c r="Y30" s="24">
        <f t="shared" si="22"/>
        <v>7.6631163972961076</v>
      </c>
      <c r="Z30" s="41" t="str">
        <f t="shared" si="9"/>
        <v>7</v>
      </c>
      <c r="AA30" s="24">
        <f t="shared" si="23"/>
        <v>7.9573967675532913</v>
      </c>
      <c r="AB30" s="41" t="str">
        <f t="shared" si="10"/>
        <v>7</v>
      </c>
      <c r="AC30" s="24">
        <f t="shared" si="24"/>
        <v>11.488761210639495</v>
      </c>
      <c r="AD30" s="41" t="str">
        <f t="shared" si="11"/>
        <v>E</v>
      </c>
      <c r="AE30" s="24">
        <f t="shared" si="25"/>
        <v>5.8651345276739448</v>
      </c>
      <c r="AF30" s="41" t="str">
        <f t="shared" si="12"/>
        <v>6</v>
      </c>
      <c r="AG30" s="24">
        <f t="shared" si="26"/>
        <v>10.381614332087338</v>
      </c>
      <c r="AH30" s="41" t="str">
        <f t="shared" si="13"/>
        <v/>
      </c>
      <c r="AI30" s="24">
        <f t="shared" si="27"/>
        <v>4.5793719850480556</v>
      </c>
      <c r="AJ30" s="41" t="str">
        <f t="shared" si="14"/>
        <v/>
      </c>
    </row>
    <row r="31" spans="1:36" ht="13.5" customHeight="1">
      <c r="A31" s="384" t="s">
        <v>831</v>
      </c>
      <c r="B31" s="385">
        <v>10</v>
      </c>
      <c r="C31" s="386" t="s">
        <v>830</v>
      </c>
      <c r="D31" s="387">
        <v>20.1797</v>
      </c>
      <c r="E31" s="386"/>
      <c r="F31" s="8">
        <v>6</v>
      </c>
      <c r="G31" s="21">
        <f t="shared" si="0"/>
        <v>20.206997934521926</v>
      </c>
      <c r="H31" s="37" t="str">
        <f t="shared" si="15"/>
        <v>1;825984</v>
      </c>
      <c r="I31" s="38">
        <v>1</v>
      </c>
      <c r="J31" s="132">
        <f t="shared" si="1"/>
        <v>1.6839164945434939</v>
      </c>
      <c r="K31" s="39" t="str">
        <f>INDEX(powers!$H$2:$H$75,33+I31)</f>
        <v>dirac</v>
      </c>
      <c r="L31" s="40" t="str">
        <f t="shared" si="2"/>
        <v>1</v>
      </c>
      <c r="M31" s="24">
        <f t="shared" si="16"/>
        <v>8.2069979345219259</v>
      </c>
      <c r="N31" s="41" t="str">
        <f t="shared" si="3"/>
        <v>8</v>
      </c>
      <c r="O31" s="24">
        <f t="shared" si="17"/>
        <v>2.4839752142631113</v>
      </c>
      <c r="P31" s="41" t="str">
        <f t="shared" si="4"/>
        <v>2</v>
      </c>
      <c r="Q31" s="24">
        <f t="shared" si="18"/>
        <v>5.8077025711573356</v>
      </c>
      <c r="R31" s="41" t="str">
        <f t="shared" si="5"/>
        <v>5</v>
      </c>
      <c r="S31" s="24">
        <f t="shared" si="19"/>
        <v>9.6924308538880268</v>
      </c>
      <c r="T31" s="41" t="str">
        <f t="shared" si="6"/>
        <v>9</v>
      </c>
      <c r="U31" s="24">
        <f t="shared" si="20"/>
        <v>8.309170246656322</v>
      </c>
      <c r="V31" s="41" t="str">
        <f t="shared" si="7"/>
        <v>8</v>
      </c>
      <c r="W31" s="24">
        <f t="shared" si="21"/>
        <v>3.7100429598758637</v>
      </c>
      <c r="X31" s="41" t="str">
        <f t="shared" si="8"/>
        <v>4</v>
      </c>
      <c r="Y31" s="24">
        <f t="shared" si="22"/>
        <v>8.5205155185103649</v>
      </c>
      <c r="Z31" s="41" t="str">
        <f t="shared" si="9"/>
        <v/>
      </c>
      <c r="AA31" s="24">
        <f t="shared" si="23"/>
        <v>6.2461862221243791</v>
      </c>
      <c r="AB31" s="41" t="str">
        <f t="shared" si="10"/>
        <v/>
      </c>
      <c r="AC31" s="24">
        <f t="shared" si="24"/>
        <v>2.9542346654925495</v>
      </c>
      <c r="AD31" s="41" t="str">
        <f t="shared" si="11"/>
        <v/>
      </c>
      <c r="AE31" s="24">
        <f t="shared" si="25"/>
        <v>11.450815985910594</v>
      </c>
      <c r="AF31" s="41" t="str">
        <f t="shared" si="12"/>
        <v/>
      </c>
      <c r="AG31" s="24">
        <f t="shared" si="26"/>
        <v>5.4097918309271336</v>
      </c>
      <c r="AH31" s="41" t="str">
        <f t="shared" si="13"/>
        <v/>
      </c>
      <c r="AI31" s="24">
        <f t="shared" si="27"/>
        <v>4.9175019711256027</v>
      </c>
      <c r="AJ31" s="41" t="str">
        <f t="shared" si="14"/>
        <v/>
      </c>
    </row>
    <row r="32" spans="1:36" ht="13.5" customHeight="1">
      <c r="A32" s="384"/>
      <c r="B32" s="385"/>
      <c r="C32" s="386"/>
      <c r="D32" s="387"/>
      <c r="E32" s="386">
        <v>19.9924356</v>
      </c>
      <c r="F32" s="8">
        <v>9</v>
      </c>
      <c r="G32" s="21">
        <f t="shared" si="0"/>
        <v>20.019480214039984</v>
      </c>
      <c r="H32" s="37" t="str">
        <f t="shared" si="15"/>
        <v>1;80297E373</v>
      </c>
      <c r="I32" s="38">
        <v>1</v>
      </c>
      <c r="J32" s="132">
        <f t="shared" si="1"/>
        <v>1.6682900178366653</v>
      </c>
      <c r="K32" s="39" t="str">
        <f>INDEX(powers!$H$2:$H$75,33+I32)</f>
        <v>dirac</v>
      </c>
      <c r="L32" s="40" t="str">
        <f t="shared" si="2"/>
        <v>1</v>
      </c>
      <c r="M32" s="24">
        <f t="shared" si="16"/>
        <v>8.0194802140399837</v>
      </c>
      <c r="N32" s="41" t="str">
        <f t="shared" si="3"/>
        <v>8</v>
      </c>
      <c r="O32" s="24">
        <f t="shared" si="17"/>
        <v>0.23376256847980414</v>
      </c>
      <c r="P32" s="41" t="str">
        <f t="shared" si="4"/>
        <v>0</v>
      </c>
      <c r="Q32" s="24">
        <f t="shared" si="18"/>
        <v>2.8051508217576497</v>
      </c>
      <c r="R32" s="41" t="str">
        <f t="shared" si="5"/>
        <v>2</v>
      </c>
      <c r="S32" s="24">
        <f t="shared" si="19"/>
        <v>9.6618098610917968</v>
      </c>
      <c r="T32" s="41" t="str">
        <f t="shared" si="6"/>
        <v>9</v>
      </c>
      <c r="U32" s="24">
        <f t="shared" si="20"/>
        <v>7.9417183331015622</v>
      </c>
      <c r="V32" s="41" t="str">
        <f t="shared" si="7"/>
        <v>7</v>
      </c>
      <c r="W32" s="24">
        <f t="shared" si="21"/>
        <v>11.300619997218746</v>
      </c>
      <c r="X32" s="41" t="str">
        <f t="shared" si="8"/>
        <v>E</v>
      </c>
      <c r="Y32" s="24">
        <f t="shared" si="22"/>
        <v>3.6074399666249519</v>
      </c>
      <c r="Z32" s="41" t="str">
        <f t="shared" si="9"/>
        <v>3</v>
      </c>
      <c r="AA32" s="24">
        <f t="shared" si="23"/>
        <v>7.2892795994994231</v>
      </c>
      <c r="AB32" s="41" t="str">
        <f t="shared" si="10"/>
        <v>7</v>
      </c>
      <c r="AC32" s="24">
        <f t="shared" si="24"/>
        <v>3.4713551939930767</v>
      </c>
      <c r="AD32" s="41" t="str">
        <f t="shared" si="11"/>
        <v>3</v>
      </c>
      <c r="AE32" s="24">
        <f t="shared" si="25"/>
        <v>5.6562623279169202</v>
      </c>
      <c r="AF32" s="41" t="str">
        <f t="shared" si="12"/>
        <v/>
      </c>
      <c r="AG32" s="24">
        <f t="shared" si="26"/>
        <v>7.8751479350030422</v>
      </c>
      <c r="AH32" s="41" t="str">
        <f t="shared" si="13"/>
        <v/>
      </c>
      <c r="AI32" s="24">
        <f t="shared" si="27"/>
        <v>10.501775220036507</v>
      </c>
      <c r="AJ32" s="41" t="str">
        <f t="shared" si="14"/>
        <v/>
      </c>
    </row>
    <row r="33" spans="1:36" ht="13.5" customHeight="1">
      <c r="A33" s="384" t="s">
        <v>833</v>
      </c>
      <c r="B33" s="385">
        <v>11</v>
      </c>
      <c r="C33" s="386" t="s">
        <v>832</v>
      </c>
      <c r="D33" s="387">
        <v>22.989769280000001</v>
      </c>
      <c r="E33" s="386"/>
      <c r="F33" s="8">
        <v>10</v>
      </c>
      <c r="G33" s="21">
        <f t="shared" si="0"/>
        <v>23.02086851420464</v>
      </c>
      <c r="H33" s="37" t="str">
        <f t="shared" si="15"/>
        <v>1;E030089072</v>
      </c>
      <c r="I33" s="38">
        <v>1</v>
      </c>
      <c r="J33" s="132">
        <f t="shared" si="1"/>
        <v>1.9184057095170532</v>
      </c>
      <c r="K33" s="39" t="str">
        <f>INDEX(powers!$H$2:$H$75,33+I33)</f>
        <v>dirac</v>
      </c>
      <c r="L33" s="40" t="str">
        <f t="shared" si="2"/>
        <v>1</v>
      </c>
      <c r="M33" s="24">
        <f t="shared" si="16"/>
        <v>11.02086851420464</v>
      </c>
      <c r="N33" s="41" t="str">
        <f t="shared" si="3"/>
        <v>E</v>
      </c>
      <c r="O33" s="24">
        <f t="shared" si="17"/>
        <v>0.25042217045567838</v>
      </c>
      <c r="P33" s="41" t="str">
        <f t="shared" si="4"/>
        <v>0</v>
      </c>
      <c r="Q33" s="24">
        <f t="shared" si="18"/>
        <v>3.0050660454681406</v>
      </c>
      <c r="R33" s="41" t="str">
        <f t="shared" si="5"/>
        <v>3</v>
      </c>
      <c r="S33" s="24">
        <f t="shared" si="19"/>
        <v>6.079254561768721E-2</v>
      </c>
      <c r="T33" s="41" t="str">
        <f t="shared" si="6"/>
        <v>0</v>
      </c>
      <c r="U33" s="24">
        <f t="shared" si="20"/>
        <v>0.72951054741224652</v>
      </c>
      <c r="V33" s="41" t="str">
        <f t="shared" si="7"/>
        <v>0</v>
      </c>
      <c r="W33" s="24">
        <f t="shared" si="21"/>
        <v>8.7541265689469583</v>
      </c>
      <c r="X33" s="41" t="str">
        <f t="shared" si="8"/>
        <v>8</v>
      </c>
      <c r="Y33" s="24">
        <f t="shared" si="22"/>
        <v>9.0495188273634994</v>
      </c>
      <c r="Z33" s="41" t="str">
        <f t="shared" si="9"/>
        <v>9</v>
      </c>
      <c r="AA33" s="24">
        <f t="shared" si="23"/>
        <v>0.59422592836199328</v>
      </c>
      <c r="AB33" s="41" t="str">
        <f t="shared" si="10"/>
        <v>0</v>
      </c>
      <c r="AC33" s="24">
        <f t="shared" si="24"/>
        <v>7.1307111403439194</v>
      </c>
      <c r="AD33" s="41" t="str">
        <f t="shared" si="11"/>
        <v>7</v>
      </c>
      <c r="AE33" s="24">
        <f t="shared" si="25"/>
        <v>1.5685336841270328</v>
      </c>
      <c r="AF33" s="41" t="str">
        <f t="shared" si="12"/>
        <v>2</v>
      </c>
      <c r="AG33" s="24">
        <f t="shared" si="26"/>
        <v>6.8224042095243931</v>
      </c>
      <c r="AH33" s="41" t="str">
        <f t="shared" si="13"/>
        <v/>
      </c>
      <c r="AI33" s="24">
        <f t="shared" si="27"/>
        <v>9.868850514292717</v>
      </c>
      <c r="AJ33" s="41" t="str">
        <f t="shared" si="14"/>
        <v/>
      </c>
    </row>
    <row r="34" spans="1:36" ht="13.5" customHeight="1">
      <c r="A34" s="384"/>
      <c r="B34" s="385"/>
      <c r="C34" s="386"/>
      <c r="D34" s="387"/>
      <c r="E34" s="386">
        <v>22.989767700000002</v>
      </c>
      <c r="F34" s="8">
        <v>9</v>
      </c>
      <c r="G34" s="21">
        <f t="shared" si="0"/>
        <v>23.020866932067307</v>
      </c>
      <c r="H34" s="37" t="str">
        <f t="shared" si="15"/>
        <v>1;E0300843E</v>
      </c>
      <c r="I34" s="38">
        <v>1</v>
      </c>
      <c r="J34" s="132">
        <f t="shared" si="1"/>
        <v>1.9184055776722755</v>
      </c>
      <c r="K34" s="39" t="str">
        <f>INDEX(powers!$H$2:$H$75,33+I34)</f>
        <v>dirac</v>
      </c>
      <c r="L34" s="40" t="str">
        <f t="shared" si="2"/>
        <v>1</v>
      </c>
      <c r="M34" s="24">
        <f t="shared" si="16"/>
        <v>11.020866932067307</v>
      </c>
      <c r="N34" s="41" t="str">
        <f t="shared" si="3"/>
        <v>E</v>
      </c>
      <c r="O34" s="24">
        <f t="shared" si="17"/>
        <v>0.25040318480768065</v>
      </c>
      <c r="P34" s="41" t="str">
        <f t="shared" si="4"/>
        <v>0</v>
      </c>
      <c r="Q34" s="24">
        <f t="shared" si="18"/>
        <v>3.0048382176921677</v>
      </c>
      <c r="R34" s="41" t="str">
        <f t="shared" si="5"/>
        <v>3</v>
      </c>
      <c r="S34" s="24">
        <f t="shared" si="19"/>
        <v>5.8058612306012947E-2</v>
      </c>
      <c r="T34" s="41" t="str">
        <f t="shared" si="6"/>
        <v>0</v>
      </c>
      <c r="U34" s="24">
        <f t="shared" si="20"/>
        <v>0.69670334767215536</v>
      </c>
      <c r="V34" s="41" t="str">
        <f t="shared" si="7"/>
        <v>0</v>
      </c>
      <c r="W34" s="24">
        <f t="shared" si="21"/>
        <v>8.3604401720658643</v>
      </c>
      <c r="X34" s="41" t="str">
        <f t="shared" si="8"/>
        <v>8</v>
      </c>
      <c r="Y34" s="24">
        <f t="shared" si="22"/>
        <v>4.3252820647903718</v>
      </c>
      <c r="Z34" s="41" t="str">
        <f t="shared" si="9"/>
        <v>4</v>
      </c>
      <c r="AA34" s="24">
        <f t="shared" si="23"/>
        <v>3.9033847774844617</v>
      </c>
      <c r="AB34" s="41" t="str">
        <f t="shared" si="10"/>
        <v>3</v>
      </c>
      <c r="AC34" s="24">
        <f t="shared" si="24"/>
        <v>10.84061732981354</v>
      </c>
      <c r="AD34" s="41" t="str">
        <f t="shared" si="11"/>
        <v>E</v>
      </c>
      <c r="AE34" s="24">
        <f t="shared" si="25"/>
        <v>10.08740795776248</v>
      </c>
      <c r="AF34" s="41" t="str">
        <f t="shared" si="12"/>
        <v/>
      </c>
      <c r="AG34" s="24">
        <f t="shared" si="26"/>
        <v>1.0488954931497574</v>
      </c>
      <c r="AH34" s="41" t="str">
        <f t="shared" si="13"/>
        <v/>
      </c>
      <c r="AI34" s="24">
        <f t="shared" si="27"/>
        <v>0.58674591779708862</v>
      </c>
      <c r="AJ34" s="41" t="str">
        <f t="shared" si="14"/>
        <v/>
      </c>
    </row>
    <row r="35" spans="1:36" ht="13.5" customHeight="1">
      <c r="A35" s="384" t="s">
        <v>835</v>
      </c>
      <c r="B35" s="385">
        <v>12</v>
      </c>
      <c r="C35" s="386" t="s">
        <v>834</v>
      </c>
      <c r="D35" s="387">
        <v>24.305</v>
      </c>
      <c r="E35" s="386"/>
      <c r="F35" s="8">
        <v>5</v>
      </c>
      <c r="G35" s="21">
        <f t="shared" si="0"/>
        <v>24.337878402481454</v>
      </c>
      <c r="H35" s="37" t="str">
        <f t="shared" si="15"/>
        <v>2;0407X</v>
      </c>
      <c r="I35" s="38">
        <v>1</v>
      </c>
      <c r="J35" s="132">
        <f t="shared" si="1"/>
        <v>2.028156533540121</v>
      </c>
      <c r="K35" s="39" t="str">
        <f>INDEX(powers!$H$2:$H$75,33+I35)</f>
        <v>dirac</v>
      </c>
      <c r="L35" s="40" t="str">
        <f t="shared" si="2"/>
        <v>2</v>
      </c>
      <c r="M35" s="24">
        <f t="shared" si="16"/>
        <v>0.33787840248145251</v>
      </c>
      <c r="N35" s="41" t="str">
        <f t="shared" si="3"/>
        <v>0</v>
      </c>
      <c r="O35" s="24">
        <f t="shared" si="17"/>
        <v>4.0545408297774301</v>
      </c>
      <c r="P35" s="41" t="str">
        <f t="shared" si="4"/>
        <v>4</v>
      </c>
      <c r="Q35" s="24">
        <f t="shared" si="18"/>
        <v>0.6544899573291616</v>
      </c>
      <c r="R35" s="41" t="str">
        <f t="shared" si="5"/>
        <v>0</v>
      </c>
      <c r="S35" s="24">
        <f t="shared" si="19"/>
        <v>7.8538794879499392</v>
      </c>
      <c r="T35" s="41" t="str">
        <f t="shared" si="6"/>
        <v>7</v>
      </c>
      <c r="U35" s="24">
        <f t="shared" si="20"/>
        <v>10.24655385539927</v>
      </c>
      <c r="V35" s="41" t="str">
        <f t="shared" si="7"/>
        <v>X</v>
      </c>
      <c r="W35" s="24">
        <f t="shared" si="21"/>
        <v>2.9586462647912413</v>
      </c>
      <c r="X35" s="41" t="str">
        <f t="shared" si="8"/>
        <v/>
      </c>
      <c r="Y35" s="24">
        <f t="shared" si="22"/>
        <v>11.503755177494895</v>
      </c>
      <c r="Z35" s="41" t="str">
        <f t="shared" si="9"/>
        <v/>
      </c>
      <c r="AA35" s="24">
        <f t="shared" si="23"/>
        <v>6.0450621299387421</v>
      </c>
      <c r="AB35" s="41" t="str">
        <f t="shared" si="10"/>
        <v/>
      </c>
      <c r="AC35" s="24">
        <f t="shared" si="24"/>
        <v>0.54074555926490575</v>
      </c>
      <c r="AD35" s="41" t="str">
        <f t="shared" si="11"/>
        <v/>
      </c>
      <c r="AE35" s="24">
        <f t="shared" si="25"/>
        <v>6.488946711178869</v>
      </c>
      <c r="AF35" s="41" t="str">
        <f t="shared" si="12"/>
        <v/>
      </c>
      <c r="AG35" s="24">
        <f t="shared" si="26"/>
        <v>5.8673605341464281</v>
      </c>
      <c r="AH35" s="41" t="str">
        <f t="shared" si="13"/>
        <v/>
      </c>
      <c r="AI35" s="24">
        <f t="shared" si="27"/>
        <v>10.408326409757137</v>
      </c>
      <c r="AJ35" s="41" t="str">
        <f t="shared" si="14"/>
        <v/>
      </c>
    </row>
    <row r="36" spans="1:36" ht="13.5" customHeight="1">
      <c r="A36" s="384"/>
      <c r="B36" s="385"/>
      <c r="C36" s="386"/>
      <c r="D36" s="387"/>
      <c r="E36" s="386">
        <v>23.9850423</v>
      </c>
      <c r="F36" s="8">
        <v>9</v>
      </c>
      <c r="G36" s="21">
        <f t="shared" si="0"/>
        <v>24.017487882154871</v>
      </c>
      <c r="H36" s="37" t="str">
        <f t="shared" si="15"/>
        <v>2;002627665</v>
      </c>
      <c r="I36" s="38">
        <v>1</v>
      </c>
      <c r="J36" s="132">
        <f t="shared" si="1"/>
        <v>2.0014573235129061</v>
      </c>
      <c r="K36" s="39" t="str">
        <f>INDEX(powers!$H$2:$H$75,33+I36)</f>
        <v>dirac</v>
      </c>
      <c r="L36" s="40" t="str">
        <f t="shared" si="2"/>
        <v>2</v>
      </c>
      <c r="M36" s="24">
        <f t="shared" si="16"/>
        <v>1.7487882154872736E-2</v>
      </c>
      <c r="N36" s="41" t="str">
        <f t="shared" si="3"/>
        <v>0</v>
      </c>
      <c r="O36" s="24">
        <f t="shared" si="17"/>
        <v>0.20985458585847283</v>
      </c>
      <c r="P36" s="41" t="str">
        <f t="shared" si="4"/>
        <v>0</v>
      </c>
      <c r="Q36" s="24">
        <f t="shared" si="18"/>
        <v>2.518255030301674</v>
      </c>
      <c r="R36" s="41" t="str">
        <f t="shared" si="5"/>
        <v>2</v>
      </c>
      <c r="S36" s="24">
        <f t="shared" si="19"/>
        <v>6.2190603636200876</v>
      </c>
      <c r="T36" s="41" t="str">
        <f t="shared" si="6"/>
        <v>6</v>
      </c>
      <c r="U36" s="24">
        <f t="shared" si="20"/>
        <v>2.6287243634410515</v>
      </c>
      <c r="V36" s="41" t="str">
        <f t="shared" si="7"/>
        <v>2</v>
      </c>
      <c r="W36" s="24">
        <f t="shared" si="21"/>
        <v>7.5446923612926184</v>
      </c>
      <c r="X36" s="41" t="str">
        <f t="shared" si="8"/>
        <v>7</v>
      </c>
      <c r="Y36" s="24">
        <f t="shared" si="22"/>
        <v>6.5363083355114213</v>
      </c>
      <c r="Z36" s="41" t="str">
        <f t="shared" si="9"/>
        <v>6</v>
      </c>
      <c r="AA36" s="24">
        <f t="shared" si="23"/>
        <v>6.4357000261370558</v>
      </c>
      <c r="AB36" s="41" t="str">
        <f t="shared" si="10"/>
        <v>6</v>
      </c>
      <c r="AC36" s="24">
        <f t="shared" si="24"/>
        <v>5.22840031364467</v>
      </c>
      <c r="AD36" s="41" t="str">
        <f t="shared" si="11"/>
        <v>5</v>
      </c>
      <c r="AE36" s="24">
        <f t="shared" si="25"/>
        <v>2.7408037637360394</v>
      </c>
      <c r="AF36" s="41" t="str">
        <f t="shared" si="12"/>
        <v/>
      </c>
      <c r="AG36" s="24">
        <f t="shared" si="26"/>
        <v>8.8896451648324728</v>
      </c>
      <c r="AH36" s="41" t="str">
        <f t="shared" si="13"/>
        <v/>
      </c>
      <c r="AI36" s="24">
        <f t="shared" si="27"/>
        <v>10.675741977989674</v>
      </c>
      <c r="AJ36" s="41" t="str">
        <f t="shared" si="14"/>
        <v/>
      </c>
    </row>
    <row r="37" spans="1:36" ht="13.5" customHeight="1">
      <c r="A37" s="384" t="s">
        <v>837</v>
      </c>
      <c r="B37" s="385">
        <v>13</v>
      </c>
      <c r="C37" s="386" t="s">
        <v>836</v>
      </c>
      <c r="D37" s="387">
        <v>26.9815386</v>
      </c>
      <c r="E37" s="386"/>
      <c r="F37" s="8">
        <v>9</v>
      </c>
      <c r="G37" s="21">
        <f t="shared" si="0"/>
        <v>27.018037669560147</v>
      </c>
      <c r="H37" s="37" t="str">
        <f t="shared" si="15"/>
        <v>2;302720424</v>
      </c>
      <c r="I37" s="38">
        <v>1</v>
      </c>
      <c r="J37" s="132">
        <f t="shared" si="1"/>
        <v>2.2515031391300124</v>
      </c>
      <c r="K37" s="39" t="str">
        <f>INDEX(powers!$H$2:$H$75,33+I37)</f>
        <v>dirac</v>
      </c>
      <c r="L37" s="40" t="str">
        <f t="shared" si="2"/>
        <v>2</v>
      </c>
      <c r="M37" s="24">
        <f t="shared" si="16"/>
        <v>3.0180376695601492</v>
      </c>
      <c r="N37" s="41" t="str">
        <f t="shared" si="3"/>
        <v>3</v>
      </c>
      <c r="O37" s="24">
        <f t="shared" si="17"/>
        <v>0.2164520347217902</v>
      </c>
      <c r="P37" s="41" t="str">
        <f t="shared" si="4"/>
        <v>0</v>
      </c>
      <c r="Q37" s="24">
        <f t="shared" si="18"/>
        <v>2.5974244166614824</v>
      </c>
      <c r="R37" s="41" t="str">
        <f t="shared" si="5"/>
        <v>2</v>
      </c>
      <c r="S37" s="24">
        <f t="shared" si="19"/>
        <v>7.1690929999377886</v>
      </c>
      <c r="T37" s="41" t="str">
        <f t="shared" si="6"/>
        <v>7</v>
      </c>
      <c r="U37" s="24">
        <f t="shared" si="20"/>
        <v>2.0291159992534631</v>
      </c>
      <c r="V37" s="41" t="str">
        <f t="shared" si="7"/>
        <v>2</v>
      </c>
      <c r="W37" s="24">
        <f t="shared" si="21"/>
        <v>0.34939199104155705</v>
      </c>
      <c r="X37" s="41" t="str">
        <f t="shared" si="8"/>
        <v>0</v>
      </c>
      <c r="Y37" s="24">
        <f t="shared" si="22"/>
        <v>4.1927038924986846</v>
      </c>
      <c r="Z37" s="41" t="str">
        <f t="shared" si="9"/>
        <v>4</v>
      </c>
      <c r="AA37" s="24">
        <f t="shared" si="23"/>
        <v>2.312446709984215</v>
      </c>
      <c r="AB37" s="41" t="str">
        <f t="shared" si="10"/>
        <v>2</v>
      </c>
      <c r="AC37" s="24">
        <f t="shared" si="24"/>
        <v>3.7493605198105797</v>
      </c>
      <c r="AD37" s="41" t="str">
        <f t="shared" si="11"/>
        <v>4</v>
      </c>
      <c r="AE37" s="24">
        <f t="shared" si="25"/>
        <v>8.9923262377269566</v>
      </c>
      <c r="AF37" s="41" t="str">
        <f t="shared" si="12"/>
        <v/>
      </c>
      <c r="AG37" s="24">
        <f t="shared" si="26"/>
        <v>11.907914852723479</v>
      </c>
      <c r="AH37" s="41" t="str">
        <f t="shared" si="13"/>
        <v/>
      </c>
      <c r="AI37" s="24">
        <f t="shared" si="27"/>
        <v>10.894978232681751</v>
      </c>
      <c r="AJ37" s="41" t="str">
        <f t="shared" si="14"/>
        <v/>
      </c>
    </row>
    <row r="38" spans="1:36" ht="13.5" customHeight="1">
      <c r="A38" s="384"/>
      <c r="B38" s="385"/>
      <c r="C38" s="386"/>
      <c r="D38" s="387"/>
      <c r="E38" s="386">
        <v>26.9815386</v>
      </c>
      <c r="F38" s="8">
        <v>9</v>
      </c>
      <c r="G38" s="21">
        <f t="shared" si="0"/>
        <v>27.018037669560147</v>
      </c>
      <c r="H38" s="37" t="str">
        <f t="shared" si="15"/>
        <v>2;302720424</v>
      </c>
      <c r="I38" s="38">
        <v>1</v>
      </c>
      <c r="J38" s="132">
        <f t="shared" si="1"/>
        <v>2.2515031391300124</v>
      </c>
      <c r="K38" s="39" t="str">
        <f>INDEX(powers!$H$2:$H$75,33+I38)</f>
        <v>dirac</v>
      </c>
      <c r="L38" s="40" t="str">
        <f t="shared" si="2"/>
        <v>2</v>
      </c>
      <c r="M38" s="24">
        <f t="shared" si="16"/>
        <v>3.0180376695601492</v>
      </c>
      <c r="N38" s="41" t="str">
        <f t="shared" si="3"/>
        <v>3</v>
      </c>
      <c r="O38" s="24">
        <f t="shared" si="17"/>
        <v>0.2164520347217902</v>
      </c>
      <c r="P38" s="41" t="str">
        <f t="shared" si="4"/>
        <v>0</v>
      </c>
      <c r="Q38" s="24">
        <f t="shared" si="18"/>
        <v>2.5974244166614824</v>
      </c>
      <c r="R38" s="41" t="str">
        <f t="shared" si="5"/>
        <v>2</v>
      </c>
      <c r="S38" s="24">
        <f t="shared" si="19"/>
        <v>7.1690929999377886</v>
      </c>
      <c r="T38" s="41" t="str">
        <f t="shared" si="6"/>
        <v>7</v>
      </c>
      <c r="U38" s="24">
        <f t="shared" si="20"/>
        <v>2.0291159992534631</v>
      </c>
      <c r="V38" s="41" t="str">
        <f t="shared" si="7"/>
        <v>2</v>
      </c>
      <c r="W38" s="24">
        <f t="shared" si="21"/>
        <v>0.34939199104155705</v>
      </c>
      <c r="X38" s="41" t="str">
        <f t="shared" si="8"/>
        <v>0</v>
      </c>
      <c r="Y38" s="24">
        <f t="shared" si="22"/>
        <v>4.1927038924986846</v>
      </c>
      <c r="Z38" s="41" t="str">
        <f t="shared" si="9"/>
        <v>4</v>
      </c>
      <c r="AA38" s="24">
        <f t="shared" si="23"/>
        <v>2.312446709984215</v>
      </c>
      <c r="AB38" s="41" t="str">
        <f t="shared" si="10"/>
        <v>2</v>
      </c>
      <c r="AC38" s="24">
        <f t="shared" si="24"/>
        <v>3.7493605198105797</v>
      </c>
      <c r="AD38" s="41" t="str">
        <f t="shared" si="11"/>
        <v>4</v>
      </c>
      <c r="AE38" s="24">
        <f t="shared" si="25"/>
        <v>8.9923262377269566</v>
      </c>
      <c r="AF38" s="41" t="str">
        <f t="shared" si="12"/>
        <v/>
      </c>
      <c r="AG38" s="24">
        <f t="shared" si="26"/>
        <v>11.907914852723479</v>
      </c>
      <c r="AH38" s="41" t="str">
        <f t="shared" si="13"/>
        <v/>
      </c>
      <c r="AI38" s="24">
        <f t="shared" si="27"/>
        <v>10.894978232681751</v>
      </c>
      <c r="AJ38" s="41" t="str">
        <f t="shared" si="14"/>
        <v/>
      </c>
    </row>
    <row r="39" spans="1:36" ht="13.5" customHeight="1">
      <c r="A39" s="384" t="s">
        <v>839</v>
      </c>
      <c r="B39" s="385">
        <v>14</v>
      </c>
      <c r="C39" s="386" t="s">
        <v>838</v>
      </c>
      <c r="D39" s="387">
        <v>28.0855</v>
      </c>
      <c r="E39" s="386"/>
      <c r="F39" s="8">
        <v>6</v>
      </c>
      <c r="G39" s="21">
        <f t="shared" si="0"/>
        <v>28.12349244488346</v>
      </c>
      <c r="H39" s="37" t="str">
        <f t="shared" si="15"/>
        <v>2;415949</v>
      </c>
      <c r="I39" s="38">
        <v>1</v>
      </c>
      <c r="J39" s="132">
        <f t="shared" si="1"/>
        <v>2.343624370406955</v>
      </c>
      <c r="K39" s="39" t="str">
        <f>INDEX(powers!$H$2:$H$75,33+I39)</f>
        <v>dirac</v>
      </c>
      <c r="L39" s="40" t="str">
        <f t="shared" si="2"/>
        <v>2</v>
      </c>
      <c r="M39" s="24">
        <f t="shared" si="16"/>
        <v>4.1234924448834605</v>
      </c>
      <c r="N39" s="41" t="str">
        <f t="shared" si="3"/>
        <v>4</v>
      </c>
      <c r="O39" s="24">
        <f t="shared" si="17"/>
        <v>1.4819093386015254</v>
      </c>
      <c r="P39" s="41" t="str">
        <f t="shared" si="4"/>
        <v>1</v>
      </c>
      <c r="Q39" s="24">
        <f t="shared" si="18"/>
        <v>5.7829120632183049</v>
      </c>
      <c r="R39" s="41" t="str">
        <f t="shared" si="5"/>
        <v>5</v>
      </c>
      <c r="S39" s="24">
        <f t="shared" si="19"/>
        <v>9.3949447586196584</v>
      </c>
      <c r="T39" s="41" t="str">
        <f t="shared" si="6"/>
        <v>9</v>
      </c>
      <c r="U39" s="24">
        <f t="shared" si="20"/>
        <v>4.7393371034359006</v>
      </c>
      <c r="V39" s="41" t="str">
        <f t="shared" si="7"/>
        <v>4</v>
      </c>
      <c r="W39" s="24">
        <f t="shared" si="21"/>
        <v>8.8720452412308077</v>
      </c>
      <c r="X39" s="41" t="str">
        <f t="shared" si="8"/>
        <v>9</v>
      </c>
      <c r="Y39" s="24">
        <f t="shared" si="22"/>
        <v>10.464542894769693</v>
      </c>
      <c r="Z39" s="41" t="str">
        <f t="shared" si="9"/>
        <v/>
      </c>
      <c r="AA39" s="24">
        <f t="shared" si="23"/>
        <v>5.5745147372363135</v>
      </c>
      <c r="AB39" s="41" t="str">
        <f t="shared" si="10"/>
        <v/>
      </c>
      <c r="AC39" s="24">
        <f t="shared" si="24"/>
        <v>6.8941768468357623</v>
      </c>
      <c r="AD39" s="41" t="str">
        <f t="shared" si="11"/>
        <v/>
      </c>
      <c r="AE39" s="24">
        <f t="shared" si="25"/>
        <v>10.730122162029147</v>
      </c>
      <c r="AF39" s="41" t="str">
        <f t="shared" si="12"/>
        <v/>
      </c>
      <c r="AG39" s="24">
        <f t="shared" si="26"/>
        <v>8.7614659443497658</v>
      </c>
      <c r="AH39" s="41" t="str">
        <f t="shared" si="13"/>
        <v/>
      </c>
      <c r="AI39" s="24">
        <f t="shared" si="27"/>
        <v>9.1375913321971893</v>
      </c>
      <c r="AJ39" s="41" t="str">
        <f t="shared" si="14"/>
        <v/>
      </c>
    </row>
    <row r="40" spans="1:36" ht="13.5" customHeight="1">
      <c r="A40" s="384"/>
      <c r="B40" s="385"/>
      <c r="C40" s="386"/>
      <c r="D40" s="387"/>
      <c r="E40" s="386">
        <v>27.976927100000001</v>
      </c>
      <c r="F40" s="8">
        <v>9</v>
      </c>
      <c r="G40" s="21">
        <f t="shared" si="0"/>
        <v>28.014772673725066</v>
      </c>
      <c r="H40" s="37" t="str">
        <f t="shared" si="15"/>
        <v>2;402163XE7</v>
      </c>
      <c r="I40" s="38">
        <v>1</v>
      </c>
      <c r="J40" s="132">
        <f t="shared" si="1"/>
        <v>2.3345643894770887</v>
      </c>
      <c r="K40" s="39" t="str">
        <f>INDEX(powers!$H$2:$H$75,33+I40)</f>
        <v>dirac</v>
      </c>
      <c r="L40" s="40" t="str">
        <f t="shared" si="2"/>
        <v>2</v>
      </c>
      <c r="M40" s="24">
        <f t="shared" si="16"/>
        <v>4.014772673725064</v>
      </c>
      <c r="N40" s="41" t="str">
        <f t="shared" si="3"/>
        <v>4</v>
      </c>
      <c r="O40" s="24">
        <f t="shared" si="17"/>
        <v>0.17727208470076761</v>
      </c>
      <c r="P40" s="41" t="str">
        <f t="shared" si="4"/>
        <v>0</v>
      </c>
      <c r="Q40" s="24">
        <f t="shared" si="18"/>
        <v>2.1272650164092113</v>
      </c>
      <c r="R40" s="41" t="str">
        <f t="shared" si="5"/>
        <v>2</v>
      </c>
      <c r="S40" s="24">
        <f t="shared" si="19"/>
        <v>1.5271801969105354</v>
      </c>
      <c r="T40" s="41" t="str">
        <f t="shared" si="6"/>
        <v>1</v>
      </c>
      <c r="U40" s="24">
        <f t="shared" si="20"/>
        <v>6.326162362926425</v>
      </c>
      <c r="V40" s="41" t="str">
        <f t="shared" si="7"/>
        <v>6</v>
      </c>
      <c r="W40" s="24">
        <f t="shared" si="21"/>
        <v>3.9139483551170997</v>
      </c>
      <c r="X40" s="41" t="str">
        <f t="shared" si="8"/>
        <v>3</v>
      </c>
      <c r="Y40" s="24">
        <f t="shared" si="22"/>
        <v>10.967380261405197</v>
      </c>
      <c r="Z40" s="41" t="str">
        <f t="shared" si="9"/>
        <v>X</v>
      </c>
      <c r="AA40" s="24">
        <f t="shared" si="23"/>
        <v>11.608563136862358</v>
      </c>
      <c r="AB40" s="41" t="str">
        <f t="shared" si="10"/>
        <v>E</v>
      </c>
      <c r="AC40" s="24">
        <f t="shared" si="24"/>
        <v>7.3027576423482969</v>
      </c>
      <c r="AD40" s="41" t="str">
        <f t="shared" si="11"/>
        <v>7</v>
      </c>
      <c r="AE40" s="24">
        <f t="shared" si="25"/>
        <v>3.6330917081795633</v>
      </c>
      <c r="AF40" s="41" t="str">
        <f t="shared" si="12"/>
        <v/>
      </c>
      <c r="AG40" s="24">
        <f t="shared" si="26"/>
        <v>7.5971004981547594</v>
      </c>
      <c r="AH40" s="41" t="str">
        <f t="shared" si="13"/>
        <v/>
      </c>
      <c r="AI40" s="24">
        <f t="shared" si="27"/>
        <v>7.1652059778571129</v>
      </c>
      <c r="AJ40" s="41" t="str">
        <f t="shared" si="14"/>
        <v/>
      </c>
    </row>
    <row r="41" spans="1:36" ht="13.5" customHeight="1">
      <c r="A41" s="384" t="s">
        <v>841</v>
      </c>
      <c r="B41" s="385">
        <v>15</v>
      </c>
      <c r="C41" s="386" t="s">
        <v>840</v>
      </c>
      <c r="D41" s="387">
        <v>30.973762000000001</v>
      </c>
      <c r="E41" s="386"/>
      <c r="F41" s="8">
        <v>8</v>
      </c>
      <c r="G41" s="21">
        <f t="shared" si="0"/>
        <v>31.015661519168898</v>
      </c>
      <c r="H41" s="37" t="str">
        <f t="shared" si="15"/>
        <v>2;70230911</v>
      </c>
      <c r="I41" s="38">
        <v>1</v>
      </c>
      <c r="J41" s="132">
        <f t="shared" si="1"/>
        <v>2.5846384599307415</v>
      </c>
      <c r="K41" s="39" t="str">
        <f>INDEX(powers!$H$2:$H$75,33+I41)</f>
        <v>dirac</v>
      </c>
      <c r="L41" s="40" t="str">
        <f t="shared" si="2"/>
        <v>2</v>
      </c>
      <c r="M41" s="24">
        <f t="shared" si="16"/>
        <v>7.0156615191688978</v>
      </c>
      <c r="N41" s="41" t="str">
        <f t="shared" si="3"/>
        <v>7</v>
      </c>
      <c r="O41" s="24">
        <f t="shared" si="17"/>
        <v>0.18793823002677357</v>
      </c>
      <c r="P41" s="41" t="str">
        <f t="shared" si="4"/>
        <v>0</v>
      </c>
      <c r="Q41" s="24">
        <f t="shared" si="18"/>
        <v>2.2552587603212828</v>
      </c>
      <c r="R41" s="41" t="str">
        <f t="shared" si="5"/>
        <v>2</v>
      </c>
      <c r="S41" s="24">
        <f t="shared" si="19"/>
        <v>3.0631051238553937</v>
      </c>
      <c r="T41" s="41" t="str">
        <f t="shared" si="6"/>
        <v>3</v>
      </c>
      <c r="U41" s="24">
        <f t="shared" si="20"/>
        <v>0.75726148626472423</v>
      </c>
      <c r="V41" s="41" t="str">
        <f t="shared" si="7"/>
        <v>0</v>
      </c>
      <c r="W41" s="24">
        <f t="shared" si="21"/>
        <v>9.0871378351766907</v>
      </c>
      <c r="X41" s="41" t="str">
        <f t="shared" si="8"/>
        <v>9</v>
      </c>
      <c r="Y41" s="24">
        <f t="shared" si="22"/>
        <v>1.0456540221202886</v>
      </c>
      <c r="Z41" s="41" t="str">
        <f t="shared" si="9"/>
        <v>1</v>
      </c>
      <c r="AA41" s="24">
        <f t="shared" si="23"/>
        <v>0.54784826544346288</v>
      </c>
      <c r="AB41" s="41" t="str">
        <f t="shared" si="10"/>
        <v>1</v>
      </c>
      <c r="AC41" s="24">
        <f t="shared" si="24"/>
        <v>6.5741791853215545</v>
      </c>
      <c r="AD41" s="41" t="str">
        <f t="shared" si="11"/>
        <v/>
      </c>
      <c r="AE41" s="24">
        <f t="shared" si="25"/>
        <v>6.8901502238586545</v>
      </c>
      <c r="AF41" s="41" t="str">
        <f t="shared" si="12"/>
        <v/>
      </c>
      <c r="AG41" s="24">
        <f t="shared" si="26"/>
        <v>10.681802686303854</v>
      </c>
      <c r="AH41" s="41" t="str">
        <f t="shared" si="13"/>
        <v/>
      </c>
      <c r="AI41" s="24">
        <f t="shared" si="27"/>
        <v>8.1816322356462479</v>
      </c>
      <c r="AJ41" s="41" t="str">
        <f t="shared" si="14"/>
        <v/>
      </c>
    </row>
    <row r="42" spans="1:36" ht="13.5" customHeight="1">
      <c r="A42" s="384"/>
      <c r="B42" s="385"/>
      <c r="C42" s="386"/>
      <c r="D42" s="387"/>
      <c r="E42" s="386">
        <v>30.973762000000001</v>
      </c>
      <c r="F42" s="8">
        <v>8</v>
      </c>
      <c r="G42" s="21">
        <f t="shared" si="0"/>
        <v>31.015661519168898</v>
      </c>
      <c r="H42" s="37" t="str">
        <f t="shared" si="15"/>
        <v>2;70230911</v>
      </c>
      <c r="I42" s="38">
        <v>1</v>
      </c>
      <c r="J42" s="132">
        <f t="shared" si="1"/>
        <v>2.5846384599307415</v>
      </c>
      <c r="K42" s="39" t="str">
        <f>INDEX(powers!$H$2:$H$75,33+I42)</f>
        <v>dirac</v>
      </c>
      <c r="L42" s="40" t="str">
        <f t="shared" si="2"/>
        <v>2</v>
      </c>
      <c r="M42" s="24">
        <f t="shared" si="16"/>
        <v>7.0156615191688978</v>
      </c>
      <c r="N42" s="41" t="str">
        <f t="shared" si="3"/>
        <v>7</v>
      </c>
      <c r="O42" s="24">
        <f t="shared" si="17"/>
        <v>0.18793823002677357</v>
      </c>
      <c r="P42" s="41" t="str">
        <f t="shared" si="4"/>
        <v>0</v>
      </c>
      <c r="Q42" s="24">
        <f t="shared" si="18"/>
        <v>2.2552587603212828</v>
      </c>
      <c r="R42" s="41" t="str">
        <f t="shared" si="5"/>
        <v>2</v>
      </c>
      <c r="S42" s="24">
        <f t="shared" si="19"/>
        <v>3.0631051238553937</v>
      </c>
      <c r="T42" s="41" t="str">
        <f t="shared" si="6"/>
        <v>3</v>
      </c>
      <c r="U42" s="24">
        <f t="shared" si="20"/>
        <v>0.75726148626472423</v>
      </c>
      <c r="V42" s="41" t="str">
        <f t="shared" si="7"/>
        <v>0</v>
      </c>
      <c r="W42" s="24">
        <f t="shared" si="21"/>
        <v>9.0871378351766907</v>
      </c>
      <c r="X42" s="41" t="str">
        <f t="shared" si="8"/>
        <v>9</v>
      </c>
      <c r="Y42" s="24">
        <f t="shared" si="22"/>
        <v>1.0456540221202886</v>
      </c>
      <c r="Z42" s="41" t="str">
        <f t="shared" si="9"/>
        <v>1</v>
      </c>
      <c r="AA42" s="24">
        <f t="shared" si="23"/>
        <v>0.54784826544346288</v>
      </c>
      <c r="AB42" s="41" t="str">
        <f t="shared" si="10"/>
        <v>1</v>
      </c>
      <c r="AC42" s="24">
        <f t="shared" si="24"/>
        <v>6.5741791853215545</v>
      </c>
      <c r="AD42" s="41" t="str">
        <f t="shared" si="11"/>
        <v/>
      </c>
      <c r="AE42" s="24">
        <f t="shared" si="25"/>
        <v>6.8901502238586545</v>
      </c>
      <c r="AF42" s="41" t="str">
        <f t="shared" si="12"/>
        <v/>
      </c>
      <c r="AG42" s="24">
        <f t="shared" si="26"/>
        <v>10.681802686303854</v>
      </c>
      <c r="AH42" s="41" t="str">
        <f t="shared" si="13"/>
        <v/>
      </c>
      <c r="AI42" s="24">
        <f t="shared" si="27"/>
        <v>8.1816322356462479</v>
      </c>
      <c r="AJ42" s="41" t="str">
        <f t="shared" si="14"/>
        <v/>
      </c>
    </row>
    <row r="43" spans="1:36" ht="13.5" customHeight="1">
      <c r="A43" s="384" t="s">
        <v>843</v>
      </c>
      <c r="B43" s="385">
        <v>16</v>
      </c>
      <c r="C43" s="386" t="s">
        <v>842</v>
      </c>
      <c r="D43" s="387">
        <v>32.064999999999998</v>
      </c>
      <c r="E43" s="386"/>
      <c r="F43" s="8">
        <v>5</v>
      </c>
      <c r="G43" s="21">
        <f t="shared" si="0"/>
        <v>32.108375683010365</v>
      </c>
      <c r="H43" s="37" t="str">
        <f t="shared" si="15"/>
        <v>2;81373</v>
      </c>
      <c r="I43" s="38">
        <v>1</v>
      </c>
      <c r="J43" s="132">
        <f t="shared" si="1"/>
        <v>2.6756979735841973</v>
      </c>
      <c r="K43" s="39" t="str">
        <f>INDEX(powers!$H$2:$H$75,33+I43)</f>
        <v>dirac</v>
      </c>
      <c r="L43" s="40" t="str">
        <f t="shared" si="2"/>
        <v>2</v>
      </c>
      <c r="M43" s="24">
        <f t="shared" si="16"/>
        <v>8.108375683010367</v>
      </c>
      <c r="N43" s="41" t="str">
        <f t="shared" si="3"/>
        <v>8</v>
      </c>
      <c r="O43" s="24">
        <f t="shared" si="17"/>
        <v>1.3005081961244045</v>
      </c>
      <c r="P43" s="41" t="str">
        <f t="shared" si="4"/>
        <v>1</v>
      </c>
      <c r="Q43" s="24">
        <f t="shared" si="18"/>
        <v>3.6060983534928539</v>
      </c>
      <c r="R43" s="41" t="str">
        <f t="shared" si="5"/>
        <v>3</v>
      </c>
      <c r="S43" s="24">
        <f t="shared" si="19"/>
        <v>7.2731802419142468</v>
      </c>
      <c r="T43" s="41" t="str">
        <f t="shared" si="6"/>
        <v>7</v>
      </c>
      <c r="U43" s="24">
        <f t="shared" si="20"/>
        <v>3.278162902970962</v>
      </c>
      <c r="V43" s="41" t="str">
        <f t="shared" si="7"/>
        <v>3</v>
      </c>
      <c r="W43" s="24">
        <f t="shared" si="21"/>
        <v>3.3379548356515443</v>
      </c>
      <c r="X43" s="41" t="str">
        <f t="shared" si="8"/>
        <v/>
      </c>
      <c r="Y43" s="24">
        <f t="shared" si="22"/>
        <v>4.0554580278185313</v>
      </c>
      <c r="Z43" s="41" t="str">
        <f t="shared" si="9"/>
        <v/>
      </c>
      <c r="AA43" s="24">
        <f t="shared" si="23"/>
        <v>0.66549633382237516</v>
      </c>
      <c r="AB43" s="41" t="str">
        <f t="shared" si="10"/>
        <v/>
      </c>
      <c r="AC43" s="24">
        <f t="shared" si="24"/>
        <v>7.985956005868502</v>
      </c>
      <c r="AD43" s="41" t="str">
        <f t="shared" si="11"/>
        <v/>
      </c>
      <c r="AE43" s="24">
        <f t="shared" si="25"/>
        <v>11.831472070422024</v>
      </c>
      <c r="AF43" s="41" t="str">
        <f t="shared" si="12"/>
        <v/>
      </c>
      <c r="AG43" s="24">
        <f t="shared" si="26"/>
        <v>9.9776648450642824</v>
      </c>
      <c r="AH43" s="41" t="str">
        <f t="shared" si="13"/>
        <v/>
      </c>
      <c r="AI43" s="24">
        <f t="shared" si="27"/>
        <v>11.731978140771389</v>
      </c>
      <c r="AJ43" s="41" t="str">
        <f t="shared" si="14"/>
        <v/>
      </c>
    </row>
    <row r="44" spans="1:36" ht="13.5" customHeight="1">
      <c r="A44" s="384"/>
      <c r="B44" s="385"/>
      <c r="C44" s="386"/>
      <c r="D44" s="387"/>
      <c r="E44" s="386">
        <v>31.972070689999999</v>
      </c>
      <c r="F44" s="8">
        <v>10</v>
      </c>
      <c r="G44" s="21">
        <f t="shared" si="0"/>
        <v>32.015320663598459</v>
      </c>
      <c r="H44" s="37" t="str">
        <f t="shared" si="15"/>
        <v>2;802258330E</v>
      </c>
      <c r="I44" s="38">
        <v>1</v>
      </c>
      <c r="J44" s="132">
        <f t="shared" si="1"/>
        <v>2.6679433886332049</v>
      </c>
      <c r="K44" s="39" t="str">
        <f>INDEX(powers!$H$2:$H$75,33+I44)</f>
        <v>dirac</v>
      </c>
      <c r="L44" s="40" t="str">
        <f t="shared" si="2"/>
        <v>2</v>
      </c>
      <c r="M44" s="24">
        <f t="shared" si="16"/>
        <v>8.0153206635984589</v>
      </c>
      <c r="N44" s="41" t="str">
        <f t="shared" si="3"/>
        <v>8</v>
      </c>
      <c r="O44" s="24">
        <f t="shared" si="17"/>
        <v>0.1838479631815062</v>
      </c>
      <c r="P44" s="41" t="str">
        <f t="shared" si="4"/>
        <v>0</v>
      </c>
      <c r="Q44" s="24">
        <f t="shared" si="18"/>
        <v>2.2061755581780744</v>
      </c>
      <c r="R44" s="41" t="str">
        <f t="shared" si="5"/>
        <v>2</v>
      </c>
      <c r="S44" s="24">
        <f t="shared" si="19"/>
        <v>2.4741066981368931</v>
      </c>
      <c r="T44" s="41" t="str">
        <f t="shared" si="6"/>
        <v>2</v>
      </c>
      <c r="U44" s="24">
        <f t="shared" si="20"/>
        <v>5.6892803776427172</v>
      </c>
      <c r="V44" s="41" t="str">
        <f t="shared" si="7"/>
        <v>5</v>
      </c>
      <c r="W44" s="24">
        <f t="shared" si="21"/>
        <v>8.2713645317126065</v>
      </c>
      <c r="X44" s="41" t="str">
        <f t="shared" si="8"/>
        <v>8</v>
      </c>
      <c r="Y44" s="24">
        <f t="shared" si="22"/>
        <v>3.2563743805512786</v>
      </c>
      <c r="Z44" s="41" t="str">
        <f t="shared" si="9"/>
        <v>3</v>
      </c>
      <c r="AA44" s="24">
        <f t="shared" si="23"/>
        <v>3.0764925666153431</v>
      </c>
      <c r="AB44" s="41" t="str">
        <f t="shared" si="10"/>
        <v>3</v>
      </c>
      <c r="AC44" s="24">
        <f t="shared" si="24"/>
        <v>0.91791079938411713</v>
      </c>
      <c r="AD44" s="41" t="str">
        <f t="shared" si="11"/>
        <v>0</v>
      </c>
      <c r="AE44" s="24">
        <f t="shared" si="25"/>
        <v>11.014929592609406</v>
      </c>
      <c r="AF44" s="41" t="str">
        <f t="shared" si="12"/>
        <v>E</v>
      </c>
      <c r="AG44" s="24">
        <f t="shared" si="26"/>
        <v>0.17915511131286621</v>
      </c>
      <c r="AH44" s="41" t="str">
        <f t="shared" si="13"/>
        <v/>
      </c>
      <c r="AI44" s="24">
        <f t="shared" si="27"/>
        <v>2.1498613357543945</v>
      </c>
      <c r="AJ44" s="41" t="str">
        <f t="shared" si="14"/>
        <v/>
      </c>
    </row>
    <row r="45" spans="1:36" ht="13.5" customHeight="1">
      <c r="A45" s="384" t="s">
        <v>845</v>
      </c>
      <c r="B45" s="385">
        <v>17</v>
      </c>
      <c r="C45" s="386" t="s">
        <v>844</v>
      </c>
      <c r="D45" s="387">
        <v>35.453000000000003</v>
      </c>
      <c r="E45" s="386"/>
      <c r="F45" s="8">
        <v>5</v>
      </c>
      <c r="G45" s="21">
        <f t="shared" si="0"/>
        <v>35.500958774045422</v>
      </c>
      <c r="H45" s="37" t="str">
        <f t="shared" si="15"/>
        <v>2;E6018</v>
      </c>
      <c r="I45" s="38">
        <v>1</v>
      </c>
      <c r="J45" s="132">
        <f t="shared" si="1"/>
        <v>2.9584132311704519</v>
      </c>
      <c r="K45" s="39" t="str">
        <f>INDEX(powers!$H$2:$H$75,33+I45)</f>
        <v>dirac</v>
      </c>
      <c r="L45" s="40" t="str">
        <f t="shared" si="2"/>
        <v>2</v>
      </c>
      <c r="M45" s="24">
        <f t="shared" si="16"/>
        <v>11.500958774045422</v>
      </c>
      <c r="N45" s="41" t="str">
        <f t="shared" si="3"/>
        <v>E</v>
      </c>
      <c r="O45" s="24">
        <f t="shared" si="17"/>
        <v>6.0115052885450666</v>
      </c>
      <c r="P45" s="41" t="str">
        <f t="shared" si="4"/>
        <v>6</v>
      </c>
      <c r="Q45" s="24">
        <f t="shared" si="18"/>
        <v>0.13806346254079926</v>
      </c>
      <c r="R45" s="41" t="str">
        <f t="shared" si="5"/>
        <v>0</v>
      </c>
      <c r="S45" s="24">
        <f t="shared" si="19"/>
        <v>1.6567615504895912</v>
      </c>
      <c r="T45" s="41" t="str">
        <f t="shared" si="6"/>
        <v>1</v>
      </c>
      <c r="U45" s="24">
        <f t="shared" si="20"/>
        <v>7.8811386058750941</v>
      </c>
      <c r="V45" s="41" t="str">
        <f t="shared" si="7"/>
        <v>8</v>
      </c>
      <c r="W45" s="24">
        <f t="shared" si="21"/>
        <v>10.573663270501129</v>
      </c>
      <c r="X45" s="41" t="str">
        <f t="shared" si="8"/>
        <v/>
      </c>
      <c r="Y45" s="24">
        <f t="shared" si="22"/>
        <v>6.8839592460135464</v>
      </c>
      <c r="Z45" s="41" t="str">
        <f t="shared" si="9"/>
        <v/>
      </c>
      <c r="AA45" s="24">
        <f t="shared" si="23"/>
        <v>10.607510952162556</v>
      </c>
      <c r="AB45" s="41" t="str">
        <f t="shared" si="10"/>
        <v/>
      </c>
      <c r="AC45" s="24">
        <f t="shared" si="24"/>
        <v>7.2901314259506762</v>
      </c>
      <c r="AD45" s="41" t="str">
        <f t="shared" si="11"/>
        <v/>
      </c>
      <c r="AE45" s="24">
        <f t="shared" si="25"/>
        <v>3.4815771114081144</v>
      </c>
      <c r="AF45" s="41" t="str">
        <f t="shared" si="12"/>
        <v/>
      </c>
      <c r="AG45" s="24">
        <f t="shared" si="26"/>
        <v>5.7789253368973732</v>
      </c>
      <c r="AH45" s="41" t="str">
        <f t="shared" si="13"/>
        <v/>
      </c>
      <c r="AI45" s="24">
        <f t="shared" si="27"/>
        <v>9.3471040427684784</v>
      </c>
      <c r="AJ45" s="41" t="str">
        <f t="shared" si="14"/>
        <v/>
      </c>
    </row>
    <row r="46" spans="1:36" ht="13.5" customHeight="1">
      <c r="A46" s="384"/>
      <c r="B46" s="385"/>
      <c r="C46" s="386"/>
      <c r="D46" s="387"/>
      <c r="E46" s="386">
        <v>34.96885271</v>
      </c>
      <c r="F46" s="8">
        <v>10</v>
      </c>
      <c r="G46" s="21">
        <f t="shared" si="0"/>
        <v>35.016156557509277</v>
      </c>
      <c r="H46" s="37" t="str">
        <f t="shared" si="15"/>
        <v>2;E023E0327</v>
      </c>
      <c r="I46" s="38">
        <v>1</v>
      </c>
      <c r="J46" s="132">
        <f t="shared" si="1"/>
        <v>2.9180130464591065</v>
      </c>
      <c r="K46" s="39" t="str">
        <f>INDEX(powers!$H$2:$H$75,33+I46)</f>
        <v>dirac</v>
      </c>
      <c r="L46" s="40" t="str">
        <f t="shared" si="2"/>
        <v>2</v>
      </c>
      <c r="M46" s="24">
        <f t="shared" si="16"/>
        <v>11.016156557509278</v>
      </c>
      <c r="N46" s="41" t="str">
        <f t="shared" si="3"/>
        <v>E</v>
      </c>
      <c r="O46" s="24">
        <f t="shared" si="17"/>
        <v>0.19387869011134029</v>
      </c>
      <c r="P46" s="41" t="str">
        <f t="shared" si="4"/>
        <v>0</v>
      </c>
      <c r="Q46" s="24">
        <f t="shared" si="18"/>
        <v>2.3265442813360835</v>
      </c>
      <c r="R46" s="41" t="str">
        <f t="shared" si="5"/>
        <v>2</v>
      </c>
      <c r="S46" s="24">
        <f t="shared" si="19"/>
        <v>3.9185313760330018</v>
      </c>
      <c r="T46" s="41" t="str">
        <f t="shared" si="6"/>
        <v>3</v>
      </c>
      <c r="U46" s="24">
        <f t="shared" si="20"/>
        <v>11.022376512396022</v>
      </c>
      <c r="V46" s="41" t="str">
        <f t="shared" si="7"/>
        <v>E</v>
      </c>
      <c r="W46" s="24">
        <f t="shared" si="21"/>
        <v>0.2685181487522641</v>
      </c>
      <c r="X46" s="41" t="str">
        <f t="shared" si="8"/>
        <v>0</v>
      </c>
      <c r="Y46" s="24">
        <f t="shared" si="22"/>
        <v>3.2222177850271692</v>
      </c>
      <c r="Z46" s="41" t="str">
        <f t="shared" si="9"/>
        <v>3</v>
      </c>
      <c r="AA46" s="24">
        <f t="shared" si="23"/>
        <v>2.6666134203260299</v>
      </c>
      <c r="AB46" s="41" t="str">
        <f t="shared" si="10"/>
        <v>2</v>
      </c>
      <c r="AC46" s="24">
        <f t="shared" si="24"/>
        <v>7.9993610439123586</v>
      </c>
      <c r="AD46" s="41" t="str">
        <f t="shared" si="11"/>
        <v>7</v>
      </c>
      <c r="AE46" s="24">
        <f t="shared" si="25"/>
        <v>11.992332526948303</v>
      </c>
      <c r="AF46" s="41" t="str">
        <f t="shared" si="12"/>
        <v/>
      </c>
      <c r="AG46" s="24">
        <f t="shared" si="26"/>
        <v>11.907990323379636</v>
      </c>
      <c r="AH46" s="41" t="str">
        <f t="shared" si="13"/>
        <v/>
      </c>
      <c r="AI46" s="24">
        <f t="shared" si="27"/>
        <v>10.89588388055563</v>
      </c>
      <c r="AJ46" s="41" t="str">
        <f t="shared" si="14"/>
        <v/>
      </c>
    </row>
    <row r="47" spans="1:36" ht="13.5" customHeight="1">
      <c r="A47" s="384" t="s">
        <v>847</v>
      </c>
      <c r="B47" s="385">
        <v>18</v>
      </c>
      <c r="C47" s="386" t="s">
        <v>846</v>
      </c>
      <c r="D47" s="387">
        <v>39.948</v>
      </c>
      <c r="E47" s="386"/>
      <c r="F47" s="8">
        <v>5</v>
      </c>
      <c r="G47" s="21">
        <f t="shared" si="0"/>
        <v>40.002039350846637</v>
      </c>
      <c r="H47" s="37" t="str">
        <f t="shared" si="15"/>
        <v>3;40036</v>
      </c>
      <c r="I47" s="38">
        <v>1</v>
      </c>
      <c r="J47" s="132">
        <f t="shared" si="1"/>
        <v>3.3335032792372199</v>
      </c>
      <c r="K47" s="39" t="str">
        <f>INDEX(powers!$H$2:$H$75,33+I47)</f>
        <v>dirac</v>
      </c>
      <c r="L47" s="40" t="str">
        <f t="shared" si="2"/>
        <v>3</v>
      </c>
      <c r="M47" s="24">
        <f t="shared" si="16"/>
        <v>4.0020393508466388</v>
      </c>
      <c r="N47" s="41" t="str">
        <f t="shared" si="3"/>
        <v>4</v>
      </c>
      <c r="O47" s="24">
        <f t="shared" si="17"/>
        <v>2.4472210159665053E-2</v>
      </c>
      <c r="P47" s="41" t="str">
        <f t="shared" si="4"/>
        <v>0</v>
      </c>
      <c r="Q47" s="24">
        <f t="shared" si="18"/>
        <v>0.29366652191598064</v>
      </c>
      <c r="R47" s="41" t="str">
        <f t="shared" si="5"/>
        <v>0</v>
      </c>
      <c r="S47" s="24">
        <f t="shared" si="19"/>
        <v>3.5239982629917677</v>
      </c>
      <c r="T47" s="41" t="str">
        <f t="shared" si="6"/>
        <v>3</v>
      </c>
      <c r="U47" s="24">
        <f t="shared" si="20"/>
        <v>6.2879791559012119</v>
      </c>
      <c r="V47" s="41" t="str">
        <f t="shared" si="7"/>
        <v>6</v>
      </c>
      <c r="W47" s="24">
        <f t="shared" si="21"/>
        <v>3.4557498708145431</v>
      </c>
      <c r="X47" s="41" t="str">
        <f t="shared" si="8"/>
        <v/>
      </c>
      <c r="Y47" s="24">
        <f t="shared" si="22"/>
        <v>5.4689984497745172</v>
      </c>
      <c r="Z47" s="41" t="str">
        <f t="shared" si="9"/>
        <v/>
      </c>
      <c r="AA47" s="24">
        <f t="shared" si="23"/>
        <v>5.6279813972942065</v>
      </c>
      <c r="AB47" s="41" t="str">
        <f t="shared" si="10"/>
        <v/>
      </c>
      <c r="AC47" s="24">
        <f t="shared" si="24"/>
        <v>7.5357767675304785</v>
      </c>
      <c r="AD47" s="41" t="str">
        <f t="shared" si="11"/>
        <v/>
      </c>
      <c r="AE47" s="24">
        <f t="shared" si="25"/>
        <v>6.4293212103657424</v>
      </c>
      <c r="AF47" s="41" t="str">
        <f t="shared" si="12"/>
        <v/>
      </c>
      <c r="AG47" s="24">
        <f t="shared" si="26"/>
        <v>5.1518545243889093</v>
      </c>
      <c r="AH47" s="41" t="str">
        <f t="shared" si="13"/>
        <v/>
      </c>
      <c r="AI47" s="24">
        <f t="shared" si="27"/>
        <v>1.8222542926669121</v>
      </c>
      <c r="AJ47" s="41" t="str">
        <f t="shared" si="14"/>
        <v/>
      </c>
    </row>
    <row r="48" spans="1:36" ht="13.5" customHeight="1">
      <c r="A48" s="384"/>
      <c r="B48" s="385"/>
      <c r="C48" s="386"/>
      <c r="D48" s="387"/>
      <c r="E48" s="386">
        <v>39.962383699999997</v>
      </c>
      <c r="F48" s="8">
        <v>9</v>
      </c>
      <c r="G48" s="21">
        <f t="shared" si="0"/>
        <v>40.016442508286573</v>
      </c>
      <c r="H48" s="37" t="str">
        <f t="shared" si="15"/>
        <v>3;40244E50X</v>
      </c>
      <c r="I48" s="38">
        <v>1</v>
      </c>
      <c r="J48" s="132">
        <f t="shared" si="1"/>
        <v>3.3347035423572144</v>
      </c>
      <c r="K48" s="39" t="str">
        <f>INDEX(powers!$H$2:$H$75,33+I48)</f>
        <v>dirac</v>
      </c>
      <c r="L48" s="40" t="str">
        <f t="shared" si="2"/>
        <v>3</v>
      </c>
      <c r="M48" s="24">
        <f t="shared" si="16"/>
        <v>4.0164425082865733</v>
      </c>
      <c r="N48" s="41" t="str">
        <f t="shared" si="3"/>
        <v>4</v>
      </c>
      <c r="O48" s="24">
        <f t="shared" si="17"/>
        <v>0.19731009943888012</v>
      </c>
      <c r="P48" s="41" t="str">
        <f t="shared" si="4"/>
        <v>0</v>
      </c>
      <c r="Q48" s="24">
        <f t="shared" si="18"/>
        <v>2.3677211932665614</v>
      </c>
      <c r="R48" s="41" t="str">
        <f t="shared" si="5"/>
        <v>2</v>
      </c>
      <c r="S48" s="24">
        <f t="shared" si="19"/>
        <v>4.4126543191987366</v>
      </c>
      <c r="T48" s="41" t="str">
        <f t="shared" si="6"/>
        <v>4</v>
      </c>
      <c r="U48" s="24">
        <f t="shared" si="20"/>
        <v>4.9518518303848396</v>
      </c>
      <c r="V48" s="41" t="str">
        <f t="shared" si="7"/>
        <v>4</v>
      </c>
      <c r="W48" s="24">
        <f t="shared" si="21"/>
        <v>11.422221964618075</v>
      </c>
      <c r="X48" s="41" t="str">
        <f t="shared" si="8"/>
        <v>E</v>
      </c>
      <c r="Y48" s="24">
        <f t="shared" si="22"/>
        <v>5.0666635754168965</v>
      </c>
      <c r="Z48" s="41" t="str">
        <f t="shared" si="9"/>
        <v>5</v>
      </c>
      <c r="AA48" s="24">
        <f t="shared" si="23"/>
        <v>0.79996290500275791</v>
      </c>
      <c r="AB48" s="41" t="str">
        <f t="shared" si="10"/>
        <v>0</v>
      </c>
      <c r="AC48" s="24">
        <f t="shared" si="24"/>
        <v>9.5995548600330949</v>
      </c>
      <c r="AD48" s="41" t="str">
        <f t="shared" si="11"/>
        <v>X</v>
      </c>
      <c r="AE48" s="24">
        <f t="shared" si="25"/>
        <v>7.1946583203971386</v>
      </c>
      <c r="AF48" s="41" t="str">
        <f t="shared" si="12"/>
        <v/>
      </c>
      <c r="AG48" s="24">
        <f t="shared" si="26"/>
        <v>2.3358998447656631</v>
      </c>
      <c r="AH48" s="41" t="str">
        <f t="shared" si="13"/>
        <v/>
      </c>
      <c r="AI48" s="24">
        <f t="shared" si="27"/>
        <v>4.0307981371879578</v>
      </c>
      <c r="AJ48" s="41" t="str">
        <f t="shared" si="14"/>
        <v/>
      </c>
    </row>
    <row r="49" spans="1:36" ht="13.5" customHeight="1">
      <c r="A49" s="384" t="s">
        <v>848</v>
      </c>
      <c r="B49" s="385">
        <v>19</v>
      </c>
      <c r="C49" s="386" t="s">
        <v>589</v>
      </c>
      <c r="D49" s="387">
        <v>39.098300000000002</v>
      </c>
      <c r="E49" s="386"/>
      <c r="F49" s="8">
        <v>6</v>
      </c>
      <c r="G49" s="21">
        <f t="shared" si="0"/>
        <v>39.151189925683568</v>
      </c>
      <c r="H49" s="37" t="str">
        <f t="shared" si="15"/>
        <v>3;319931</v>
      </c>
      <c r="I49" s="38">
        <v>1</v>
      </c>
      <c r="J49" s="132">
        <f t="shared" si="1"/>
        <v>3.2625991604736306</v>
      </c>
      <c r="K49" s="39" t="str">
        <f>INDEX(powers!$H$2:$H$75,33+I49)</f>
        <v>dirac</v>
      </c>
      <c r="L49" s="40" t="str">
        <f t="shared" si="2"/>
        <v>3</v>
      </c>
      <c r="M49" s="24">
        <f t="shared" si="16"/>
        <v>3.1511899256835676</v>
      </c>
      <c r="N49" s="41" t="str">
        <f t="shared" si="3"/>
        <v>3</v>
      </c>
      <c r="O49" s="24">
        <f t="shared" si="17"/>
        <v>1.8142791082028111</v>
      </c>
      <c r="P49" s="41" t="str">
        <f t="shared" si="4"/>
        <v>1</v>
      </c>
      <c r="Q49" s="24">
        <f t="shared" si="18"/>
        <v>9.7713492984337336</v>
      </c>
      <c r="R49" s="41" t="str">
        <f t="shared" si="5"/>
        <v>9</v>
      </c>
      <c r="S49" s="24">
        <f t="shared" si="19"/>
        <v>9.2561915812048028</v>
      </c>
      <c r="T49" s="41" t="str">
        <f t="shared" si="6"/>
        <v>9</v>
      </c>
      <c r="U49" s="24">
        <f t="shared" si="20"/>
        <v>3.0742989744576334</v>
      </c>
      <c r="V49" s="41" t="str">
        <f t="shared" si="7"/>
        <v>3</v>
      </c>
      <c r="W49" s="24">
        <f t="shared" si="21"/>
        <v>0.89158769349160139</v>
      </c>
      <c r="X49" s="41" t="str">
        <f t="shared" si="8"/>
        <v>1</v>
      </c>
      <c r="Y49" s="24">
        <f t="shared" si="22"/>
        <v>10.699052321899217</v>
      </c>
      <c r="Z49" s="41" t="str">
        <f t="shared" si="9"/>
        <v/>
      </c>
      <c r="AA49" s="24">
        <f t="shared" si="23"/>
        <v>8.3886278627905995</v>
      </c>
      <c r="AB49" s="41" t="str">
        <f t="shared" si="10"/>
        <v/>
      </c>
      <c r="AC49" s="24">
        <f t="shared" si="24"/>
        <v>4.6635343534871936</v>
      </c>
      <c r="AD49" s="41" t="str">
        <f t="shared" si="11"/>
        <v/>
      </c>
      <c r="AE49" s="24">
        <f t="shared" si="25"/>
        <v>7.962412241846323</v>
      </c>
      <c r="AF49" s="41" t="str">
        <f t="shared" si="12"/>
        <v/>
      </c>
      <c r="AG49" s="24">
        <f t="shared" si="26"/>
        <v>11.548946902155876</v>
      </c>
      <c r="AH49" s="41" t="str">
        <f t="shared" si="13"/>
        <v/>
      </c>
      <c r="AI49" s="24">
        <f t="shared" si="27"/>
        <v>6.5873628258705139</v>
      </c>
      <c r="AJ49" s="41" t="str">
        <f t="shared" si="14"/>
        <v/>
      </c>
    </row>
    <row r="50" spans="1:36" ht="13.5" customHeight="1">
      <c r="A50" s="384"/>
      <c r="B50" s="385"/>
      <c r="C50" s="386"/>
      <c r="D50" s="387"/>
      <c r="E50" s="386">
        <v>38.963707399999997</v>
      </c>
      <c r="F50" s="8">
        <v>9</v>
      </c>
      <c r="G50" s="21">
        <f t="shared" si="0"/>
        <v>39.016415256575407</v>
      </c>
      <c r="H50" s="37" t="str">
        <f t="shared" si="15"/>
        <v>3;302444784</v>
      </c>
      <c r="I50" s="38">
        <v>1</v>
      </c>
      <c r="J50" s="132">
        <f t="shared" si="1"/>
        <v>3.2513679380479505</v>
      </c>
      <c r="K50" s="39" t="str">
        <f>INDEX(powers!$H$2:$H$75,33+I50)</f>
        <v>dirac</v>
      </c>
      <c r="L50" s="40" t="str">
        <f t="shared" si="2"/>
        <v>3</v>
      </c>
      <c r="M50" s="24">
        <f t="shared" si="16"/>
        <v>3.0164152565754065</v>
      </c>
      <c r="N50" s="41" t="str">
        <f t="shared" si="3"/>
        <v>3</v>
      </c>
      <c r="O50" s="24">
        <f t="shared" si="17"/>
        <v>0.19698307890487854</v>
      </c>
      <c r="P50" s="41" t="str">
        <f t="shared" si="4"/>
        <v>0</v>
      </c>
      <c r="Q50" s="24">
        <f t="shared" si="18"/>
        <v>2.3637969468585425</v>
      </c>
      <c r="R50" s="41" t="str">
        <f t="shared" si="5"/>
        <v>2</v>
      </c>
      <c r="S50" s="24">
        <f t="shared" si="19"/>
        <v>4.3655633623025096</v>
      </c>
      <c r="T50" s="41" t="str">
        <f t="shared" si="6"/>
        <v>4</v>
      </c>
      <c r="U50" s="24">
        <f t="shared" si="20"/>
        <v>4.3867603476301156</v>
      </c>
      <c r="V50" s="41" t="str">
        <f t="shared" si="7"/>
        <v>4</v>
      </c>
      <c r="W50" s="24">
        <f t="shared" si="21"/>
        <v>4.6411241715613869</v>
      </c>
      <c r="X50" s="41" t="str">
        <f t="shared" si="8"/>
        <v>4</v>
      </c>
      <c r="Y50" s="24">
        <f t="shared" si="22"/>
        <v>7.6934900587366428</v>
      </c>
      <c r="Z50" s="41" t="str">
        <f t="shared" si="9"/>
        <v>7</v>
      </c>
      <c r="AA50" s="24">
        <f t="shared" si="23"/>
        <v>8.3218807048397139</v>
      </c>
      <c r="AB50" s="41" t="str">
        <f t="shared" si="10"/>
        <v>8</v>
      </c>
      <c r="AC50" s="24">
        <f t="shared" si="24"/>
        <v>3.8625684580765665</v>
      </c>
      <c r="AD50" s="41" t="str">
        <f t="shared" si="11"/>
        <v>4</v>
      </c>
      <c r="AE50" s="24">
        <f t="shared" si="25"/>
        <v>10.350821496918797</v>
      </c>
      <c r="AF50" s="41" t="str">
        <f t="shared" si="12"/>
        <v/>
      </c>
      <c r="AG50" s="24">
        <f t="shared" si="26"/>
        <v>4.2098579630255699</v>
      </c>
      <c r="AH50" s="41" t="str">
        <f t="shared" si="13"/>
        <v/>
      </c>
      <c r="AI50" s="24">
        <f t="shared" si="27"/>
        <v>2.518295556306839</v>
      </c>
      <c r="AJ50" s="41" t="str">
        <f t="shared" si="14"/>
        <v/>
      </c>
    </row>
    <row r="51" spans="1:36" ht="13.5" customHeight="1">
      <c r="A51" s="384" t="s">
        <v>850</v>
      </c>
      <c r="B51" s="385">
        <v>20</v>
      </c>
      <c r="C51" s="386" t="s">
        <v>849</v>
      </c>
      <c r="D51" s="387">
        <v>40.078000000000003</v>
      </c>
      <c r="E51" s="386"/>
      <c r="F51" s="8">
        <v>5</v>
      </c>
      <c r="G51" s="21">
        <f t="shared" si="0"/>
        <v>40.132215207350349</v>
      </c>
      <c r="H51" s="37" t="str">
        <f t="shared" si="15"/>
        <v>3;41706</v>
      </c>
      <c r="I51" s="38">
        <v>1</v>
      </c>
      <c r="J51" s="132">
        <f t="shared" si="1"/>
        <v>3.3443512672791957</v>
      </c>
      <c r="K51" s="39" t="str">
        <f>INDEX(powers!$H$2:$H$75,33+I51)</f>
        <v>dirac</v>
      </c>
      <c r="L51" s="40" t="str">
        <f t="shared" si="2"/>
        <v>3</v>
      </c>
      <c r="M51" s="24">
        <f t="shared" si="16"/>
        <v>4.1322152073503489</v>
      </c>
      <c r="N51" s="41" t="str">
        <f t="shared" si="3"/>
        <v>4</v>
      </c>
      <c r="O51" s="24">
        <f t="shared" si="17"/>
        <v>1.5865824882041863</v>
      </c>
      <c r="P51" s="41" t="str">
        <f t="shared" si="4"/>
        <v>1</v>
      </c>
      <c r="Q51" s="24">
        <f t="shared" si="18"/>
        <v>7.0389898584502362</v>
      </c>
      <c r="R51" s="41" t="str">
        <f t="shared" si="5"/>
        <v>7</v>
      </c>
      <c r="S51" s="24">
        <f t="shared" si="19"/>
        <v>0.46787830140283404</v>
      </c>
      <c r="T51" s="41" t="str">
        <f t="shared" si="6"/>
        <v>0</v>
      </c>
      <c r="U51" s="24">
        <f t="shared" si="20"/>
        <v>5.6145396168340085</v>
      </c>
      <c r="V51" s="41" t="str">
        <f t="shared" si="7"/>
        <v>6</v>
      </c>
      <c r="W51" s="24">
        <f t="shared" si="21"/>
        <v>7.3744754020081018</v>
      </c>
      <c r="X51" s="41" t="str">
        <f t="shared" si="8"/>
        <v/>
      </c>
      <c r="Y51" s="24">
        <f t="shared" si="22"/>
        <v>4.4937048240972217</v>
      </c>
      <c r="Z51" s="41" t="str">
        <f t="shared" si="9"/>
        <v/>
      </c>
      <c r="AA51" s="24">
        <f t="shared" si="23"/>
        <v>5.9244578891666606</v>
      </c>
      <c r="AB51" s="41" t="str">
        <f t="shared" si="10"/>
        <v/>
      </c>
      <c r="AC51" s="24">
        <f t="shared" si="24"/>
        <v>11.093494669999927</v>
      </c>
      <c r="AD51" s="41" t="str">
        <f t="shared" si="11"/>
        <v/>
      </c>
      <c r="AE51" s="24">
        <f t="shared" si="25"/>
        <v>1.1219360399991274</v>
      </c>
      <c r="AF51" s="41" t="str">
        <f t="shared" si="12"/>
        <v/>
      </c>
      <c r="AG51" s="24">
        <f t="shared" si="26"/>
        <v>1.4632324799895287</v>
      </c>
      <c r="AH51" s="41" t="str">
        <f t="shared" si="13"/>
        <v/>
      </c>
      <c r="AI51" s="24">
        <f t="shared" si="27"/>
        <v>5.5587897598743439</v>
      </c>
      <c r="AJ51" s="41" t="str">
        <f t="shared" si="14"/>
        <v/>
      </c>
    </row>
    <row r="52" spans="1:36" ht="13.5" customHeight="1">
      <c r="A52" s="384"/>
      <c r="B52" s="385"/>
      <c r="C52" s="386"/>
      <c r="D52" s="387"/>
      <c r="E52" s="386">
        <v>39.962590599999999</v>
      </c>
      <c r="F52" s="8">
        <v>9</v>
      </c>
      <c r="G52" s="21">
        <f t="shared" si="0"/>
        <v>40.016649688168968</v>
      </c>
      <c r="H52" s="37" t="str">
        <f t="shared" si="15"/>
        <v>3;402492E85</v>
      </c>
      <c r="I52" s="38">
        <v>1</v>
      </c>
      <c r="J52" s="132">
        <f t="shared" si="1"/>
        <v>3.3347208073474142</v>
      </c>
      <c r="K52" s="39" t="str">
        <f>INDEX(powers!$H$2:$H$75,33+I52)</f>
        <v>dirac</v>
      </c>
      <c r="L52" s="40" t="str">
        <f t="shared" si="2"/>
        <v>3</v>
      </c>
      <c r="M52" s="24">
        <f t="shared" si="16"/>
        <v>4.0166496881689699</v>
      </c>
      <c r="N52" s="41" t="str">
        <f t="shared" si="3"/>
        <v>4</v>
      </c>
      <c r="O52" s="24">
        <f t="shared" si="17"/>
        <v>0.19979625802763934</v>
      </c>
      <c r="P52" s="41" t="str">
        <f t="shared" si="4"/>
        <v>0</v>
      </c>
      <c r="Q52" s="24">
        <f t="shared" si="18"/>
        <v>2.3975550963316721</v>
      </c>
      <c r="R52" s="41" t="str">
        <f t="shared" si="5"/>
        <v>2</v>
      </c>
      <c r="S52" s="24">
        <f t="shared" si="19"/>
        <v>4.7706611559800649</v>
      </c>
      <c r="T52" s="41" t="str">
        <f t="shared" si="6"/>
        <v>4</v>
      </c>
      <c r="U52" s="24">
        <f t="shared" si="20"/>
        <v>9.2479338717607789</v>
      </c>
      <c r="V52" s="41" t="str">
        <f t="shared" si="7"/>
        <v>9</v>
      </c>
      <c r="W52" s="24">
        <f t="shared" si="21"/>
        <v>2.9752064611293463</v>
      </c>
      <c r="X52" s="41" t="str">
        <f t="shared" si="8"/>
        <v>2</v>
      </c>
      <c r="Y52" s="24">
        <f t="shared" si="22"/>
        <v>11.702477533552155</v>
      </c>
      <c r="Z52" s="41" t="str">
        <f t="shared" si="9"/>
        <v>E</v>
      </c>
      <c r="AA52" s="24">
        <f t="shared" si="23"/>
        <v>8.4297304026258644</v>
      </c>
      <c r="AB52" s="41" t="str">
        <f t="shared" si="10"/>
        <v>8</v>
      </c>
      <c r="AC52" s="24">
        <f t="shared" si="24"/>
        <v>5.1567648315103725</v>
      </c>
      <c r="AD52" s="41" t="str">
        <f t="shared" si="11"/>
        <v>5</v>
      </c>
      <c r="AE52" s="24">
        <f t="shared" si="25"/>
        <v>1.8811779781244695</v>
      </c>
      <c r="AF52" s="41" t="str">
        <f t="shared" si="12"/>
        <v/>
      </c>
      <c r="AG52" s="24">
        <f t="shared" si="26"/>
        <v>10.574135737493634</v>
      </c>
      <c r="AH52" s="41" t="str">
        <f t="shared" si="13"/>
        <v/>
      </c>
      <c r="AI52" s="24">
        <f t="shared" si="27"/>
        <v>6.8896288499236107</v>
      </c>
      <c r="AJ52" s="41" t="str">
        <f t="shared" si="14"/>
        <v/>
      </c>
    </row>
    <row r="53" spans="1:36" ht="13.5" customHeight="1">
      <c r="A53" s="384" t="s">
        <v>852</v>
      </c>
      <c r="B53" s="385">
        <v>21</v>
      </c>
      <c r="C53" s="386" t="s">
        <v>851</v>
      </c>
      <c r="D53" s="387">
        <v>44.955910000000003</v>
      </c>
      <c r="E53" s="386"/>
      <c r="F53" s="8">
        <v>7</v>
      </c>
      <c r="G53" s="21">
        <f t="shared" si="0"/>
        <v>45.016723762719522</v>
      </c>
      <c r="H53" s="37" t="str">
        <f t="shared" si="15"/>
        <v>3;9024X95</v>
      </c>
      <c r="I53" s="38">
        <v>1</v>
      </c>
      <c r="J53" s="132">
        <f t="shared" si="1"/>
        <v>3.7513936468932934</v>
      </c>
      <c r="K53" s="39" t="str">
        <f>INDEX(powers!$H$2:$H$75,33+I53)</f>
        <v>dirac</v>
      </c>
      <c r="L53" s="40" t="str">
        <f t="shared" si="2"/>
        <v>3</v>
      </c>
      <c r="M53" s="24">
        <f t="shared" si="16"/>
        <v>9.0167237627195203</v>
      </c>
      <c r="N53" s="41" t="str">
        <f t="shared" si="3"/>
        <v>9</v>
      </c>
      <c r="O53" s="24">
        <f t="shared" si="17"/>
        <v>0.20068515263424302</v>
      </c>
      <c r="P53" s="41" t="str">
        <f t="shared" si="4"/>
        <v>0</v>
      </c>
      <c r="Q53" s="24">
        <f t="shared" si="18"/>
        <v>2.4082218316109163</v>
      </c>
      <c r="R53" s="41" t="str">
        <f t="shared" si="5"/>
        <v>2</v>
      </c>
      <c r="S53" s="24">
        <f t="shared" si="19"/>
        <v>4.8986619793309956</v>
      </c>
      <c r="T53" s="41" t="str">
        <f t="shared" si="6"/>
        <v>4</v>
      </c>
      <c r="U53" s="24">
        <f t="shared" si="20"/>
        <v>10.783943751971947</v>
      </c>
      <c r="V53" s="41" t="str">
        <f t="shared" si="7"/>
        <v>X</v>
      </c>
      <c r="W53" s="24">
        <f t="shared" si="21"/>
        <v>9.4073250236633612</v>
      </c>
      <c r="X53" s="41" t="str">
        <f t="shared" si="8"/>
        <v>9</v>
      </c>
      <c r="Y53" s="24">
        <f t="shared" si="22"/>
        <v>4.8879002839603345</v>
      </c>
      <c r="Z53" s="41" t="str">
        <f t="shared" si="9"/>
        <v>5</v>
      </c>
      <c r="AA53" s="24">
        <f t="shared" si="23"/>
        <v>10.654803407524014</v>
      </c>
      <c r="AB53" s="41" t="str">
        <f t="shared" si="10"/>
        <v/>
      </c>
      <c r="AC53" s="24">
        <f t="shared" si="24"/>
        <v>7.8576408902881667</v>
      </c>
      <c r="AD53" s="41" t="str">
        <f t="shared" si="11"/>
        <v/>
      </c>
      <c r="AE53" s="24">
        <f t="shared" si="25"/>
        <v>10.291690683458</v>
      </c>
      <c r="AF53" s="41" t="str">
        <f t="shared" si="12"/>
        <v/>
      </c>
      <c r="AG53" s="24">
        <f t="shared" si="26"/>
        <v>3.5002882014960051</v>
      </c>
      <c r="AH53" s="41" t="str">
        <f t="shared" si="13"/>
        <v/>
      </c>
      <c r="AI53" s="24">
        <f t="shared" si="27"/>
        <v>6.0034584179520607</v>
      </c>
      <c r="AJ53" s="41" t="str">
        <f t="shared" si="14"/>
        <v/>
      </c>
    </row>
    <row r="54" spans="1:36" ht="13.5" customHeight="1">
      <c r="A54" s="384"/>
      <c r="B54" s="385"/>
      <c r="C54" s="386"/>
      <c r="D54" s="387"/>
      <c r="E54" s="386">
        <v>44.955910000000003</v>
      </c>
      <c r="F54" s="8">
        <v>7</v>
      </c>
      <c r="G54" s="21">
        <f t="shared" si="0"/>
        <v>45.016723762719522</v>
      </c>
      <c r="H54" s="37" t="str">
        <f t="shared" si="15"/>
        <v>3;9024X95</v>
      </c>
      <c r="I54" s="38">
        <v>1</v>
      </c>
      <c r="J54" s="132">
        <f t="shared" si="1"/>
        <v>3.7513936468932934</v>
      </c>
      <c r="K54" s="39" t="str">
        <f>INDEX(powers!$H$2:$H$75,33+I54)</f>
        <v>dirac</v>
      </c>
      <c r="L54" s="40" t="str">
        <f t="shared" si="2"/>
        <v>3</v>
      </c>
      <c r="M54" s="24">
        <f t="shared" si="16"/>
        <v>9.0167237627195203</v>
      </c>
      <c r="N54" s="41" t="str">
        <f t="shared" si="3"/>
        <v>9</v>
      </c>
      <c r="O54" s="24">
        <f t="shared" si="17"/>
        <v>0.20068515263424302</v>
      </c>
      <c r="P54" s="41" t="str">
        <f t="shared" si="4"/>
        <v>0</v>
      </c>
      <c r="Q54" s="24">
        <f t="shared" si="18"/>
        <v>2.4082218316109163</v>
      </c>
      <c r="R54" s="41" t="str">
        <f t="shared" si="5"/>
        <v>2</v>
      </c>
      <c r="S54" s="24">
        <f t="shared" si="19"/>
        <v>4.8986619793309956</v>
      </c>
      <c r="T54" s="41" t="str">
        <f t="shared" si="6"/>
        <v>4</v>
      </c>
      <c r="U54" s="24">
        <f t="shared" si="20"/>
        <v>10.783943751971947</v>
      </c>
      <c r="V54" s="41" t="str">
        <f t="shared" si="7"/>
        <v>X</v>
      </c>
      <c r="W54" s="24">
        <f t="shared" si="21"/>
        <v>9.4073250236633612</v>
      </c>
      <c r="X54" s="41" t="str">
        <f t="shared" si="8"/>
        <v>9</v>
      </c>
      <c r="Y54" s="24">
        <f t="shared" si="22"/>
        <v>4.8879002839603345</v>
      </c>
      <c r="Z54" s="41" t="str">
        <f t="shared" si="9"/>
        <v>5</v>
      </c>
      <c r="AA54" s="24">
        <f t="shared" si="23"/>
        <v>10.654803407524014</v>
      </c>
      <c r="AB54" s="41" t="str">
        <f t="shared" si="10"/>
        <v/>
      </c>
      <c r="AC54" s="24">
        <f t="shared" si="24"/>
        <v>7.8576408902881667</v>
      </c>
      <c r="AD54" s="41" t="str">
        <f t="shared" si="11"/>
        <v/>
      </c>
      <c r="AE54" s="24">
        <f t="shared" si="25"/>
        <v>10.291690683458</v>
      </c>
      <c r="AF54" s="41" t="str">
        <f t="shared" si="12"/>
        <v/>
      </c>
      <c r="AG54" s="24">
        <f t="shared" si="26"/>
        <v>3.5002882014960051</v>
      </c>
      <c r="AH54" s="41" t="str">
        <f t="shared" si="13"/>
        <v/>
      </c>
      <c r="AI54" s="24">
        <f t="shared" si="27"/>
        <v>6.0034584179520607</v>
      </c>
      <c r="AJ54" s="41" t="str">
        <f t="shared" si="14"/>
        <v/>
      </c>
    </row>
    <row r="55" spans="1:36" ht="13.5" customHeight="1">
      <c r="A55" s="384" t="s">
        <v>854</v>
      </c>
      <c r="B55" s="385">
        <v>22</v>
      </c>
      <c r="C55" s="386" t="s">
        <v>853</v>
      </c>
      <c r="D55" s="387">
        <v>47.866999999999997</v>
      </c>
      <c r="E55" s="386"/>
      <c r="F55" s="8">
        <v>5</v>
      </c>
      <c r="G55" s="21">
        <f t="shared" si="0"/>
        <v>47.93175171740701</v>
      </c>
      <c r="H55" s="37" t="str">
        <f t="shared" si="15"/>
        <v>3;EE221</v>
      </c>
      <c r="I55" s="38">
        <v>1</v>
      </c>
      <c r="J55" s="132">
        <f t="shared" si="1"/>
        <v>3.9943126431172509</v>
      </c>
      <c r="K55" s="39" t="str">
        <f>INDEX(powers!$H$2:$H$75,33+I55)</f>
        <v>dirac</v>
      </c>
      <c r="L55" s="40" t="str">
        <f t="shared" si="2"/>
        <v>3</v>
      </c>
      <c r="M55" s="24">
        <f t="shared" si="16"/>
        <v>11.93175171740701</v>
      </c>
      <c r="N55" s="41" t="str">
        <f t="shared" si="3"/>
        <v>E</v>
      </c>
      <c r="O55" s="24">
        <f t="shared" si="17"/>
        <v>11.181020608884126</v>
      </c>
      <c r="P55" s="41" t="str">
        <f t="shared" si="4"/>
        <v>E</v>
      </c>
      <c r="Q55" s="24">
        <f t="shared" si="18"/>
        <v>2.1722473066095063</v>
      </c>
      <c r="R55" s="41" t="str">
        <f t="shared" si="5"/>
        <v>2</v>
      </c>
      <c r="S55" s="24">
        <f t="shared" si="19"/>
        <v>2.0669676793140752</v>
      </c>
      <c r="T55" s="41" t="str">
        <f t="shared" si="6"/>
        <v>2</v>
      </c>
      <c r="U55" s="24">
        <f t="shared" si="20"/>
        <v>0.80361215176890255</v>
      </c>
      <c r="V55" s="41" t="str">
        <f t="shared" si="7"/>
        <v>1</v>
      </c>
      <c r="W55" s="24">
        <f t="shared" si="21"/>
        <v>9.6433458212268306</v>
      </c>
      <c r="X55" s="41" t="str">
        <f t="shared" si="8"/>
        <v/>
      </c>
      <c r="Y55" s="24">
        <f t="shared" si="22"/>
        <v>7.7201498547219671</v>
      </c>
      <c r="Z55" s="41" t="str">
        <f t="shared" si="9"/>
        <v/>
      </c>
      <c r="AA55" s="24">
        <f t="shared" si="23"/>
        <v>8.6417982566636056</v>
      </c>
      <c r="AB55" s="41" t="str">
        <f t="shared" si="10"/>
        <v/>
      </c>
      <c r="AC55" s="24">
        <f t="shared" si="24"/>
        <v>7.7015790799632668</v>
      </c>
      <c r="AD55" s="41" t="str">
        <f t="shared" si="11"/>
        <v/>
      </c>
      <c r="AE55" s="24">
        <f t="shared" si="25"/>
        <v>8.4189489595592022</v>
      </c>
      <c r="AF55" s="41" t="str">
        <f t="shared" si="12"/>
        <v/>
      </c>
      <c r="AG55" s="24">
        <f t="shared" si="26"/>
        <v>5.0273875147104263</v>
      </c>
      <c r="AH55" s="41" t="str">
        <f t="shared" si="13"/>
        <v/>
      </c>
      <c r="AI55" s="24">
        <f t="shared" si="27"/>
        <v>0.32865017652511597</v>
      </c>
      <c r="AJ55" s="41" t="str">
        <f t="shared" si="14"/>
        <v/>
      </c>
    </row>
    <row r="56" spans="1:36" ht="13.5" customHeight="1">
      <c r="A56" s="384"/>
      <c r="B56" s="385"/>
      <c r="C56" s="386"/>
      <c r="D56" s="387"/>
      <c r="E56" s="386">
        <v>47.9478711</v>
      </c>
      <c r="F56" s="8">
        <v>9</v>
      </c>
      <c r="G56" s="21">
        <f t="shared" si="0"/>
        <v>48.012732215167759</v>
      </c>
      <c r="H56" s="37" t="str">
        <f t="shared" si="15"/>
        <v>4;001X00223</v>
      </c>
      <c r="I56" s="38">
        <v>1</v>
      </c>
      <c r="J56" s="132">
        <f t="shared" si="1"/>
        <v>4.0010610179306463</v>
      </c>
      <c r="K56" s="39" t="str">
        <f>INDEX(powers!$H$2:$H$75,33+I56)</f>
        <v>dirac</v>
      </c>
      <c r="L56" s="40" t="str">
        <f t="shared" si="2"/>
        <v>4</v>
      </c>
      <c r="M56" s="24">
        <f t="shared" si="16"/>
        <v>1.2732215167755356E-2</v>
      </c>
      <c r="N56" s="41" t="str">
        <f t="shared" si="3"/>
        <v>0</v>
      </c>
      <c r="O56" s="24">
        <f t="shared" si="17"/>
        <v>0.15278658201306428</v>
      </c>
      <c r="P56" s="41" t="str">
        <f t="shared" si="4"/>
        <v>0</v>
      </c>
      <c r="Q56" s="24">
        <f t="shared" si="18"/>
        <v>1.8334389841567713</v>
      </c>
      <c r="R56" s="41" t="str">
        <f t="shared" si="5"/>
        <v>1</v>
      </c>
      <c r="S56" s="24">
        <f t="shared" si="19"/>
        <v>10.001267809881256</v>
      </c>
      <c r="T56" s="41" t="str">
        <f t="shared" si="6"/>
        <v>X</v>
      </c>
      <c r="U56" s="24">
        <f t="shared" si="20"/>
        <v>1.5213718575068924E-2</v>
      </c>
      <c r="V56" s="41" t="str">
        <f t="shared" si="7"/>
        <v>0</v>
      </c>
      <c r="W56" s="24">
        <f t="shared" si="21"/>
        <v>0.18256462290082709</v>
      </c>
      <c r="X56" s="41" t="str">
        <f t="shared" si="8"/>
        <v>0</v>
      </c>
      <c r="Y56" s="24">
        <f t="shared" si="22"/>
        <v>2.1907754748099251</v>
      </c>
      <c r="Z56" s="41" t="str">
        <f t="shared" si="9"/>
        <v>2</v>
      </c>
      <c r="AA56" s="24">
        <f t="shared" si="23"/>
        <v>2.2893056977191009</v>
      </c>
      <c r="AB56" s="41" t="str">
        <f t="shared" si="10"/>
        <v>2</v>
      </c>
      <c r="AC56" s="24">
        <f t="shared" si="24"/>
        <v>3.4716683726292104</v>
      </c>
      <c r="AD56" s="41" t="str">
        <f t="shared" si="11"/>
        <v>3</v>
      </c>
      <c r="AE56" s="24">
        <f t="shared" si="25"/>
        <v>5.6600204715505242</v>
      </c>
      <c r="AF56" s="41" t="str">
        <f t="shared" si="12"/>
        <v/>
      </c>
      <c r="AG56" s="24">
        <f t="shared" si="26"/>
        <v>7.9202456586062908</v>
      </c>
      <c r="AH56" s="41" t="str">
        <f t="shared" si="13"/>
        <v/>
      </c>
      <c r="AI56" s="24">
        <f t="shared" si="27"/>
        <v>11.04294790327549</v>
      </c>
      <c r="AJ56" s="41" t="str">
        <f t="shared" si="14"/>
        <v/>
      </c>
    </row>
    <row r="57" spans="1:36" ht="13.5" customHeight="1">
      <c r="A57" s="384" t="s">
        <v>856</v>
      </c>
      <c r="B57" s="385">
        <v>23</v>
      </c>
      <c r="C57" s="386" t="s">
        <v>855</v>
      </c>
      <c r="D57" s="387">
        <v>50.941499999999998</v>
      </c>
      <c r="E57" s="386"/>
      <c r="F57" s="8">
        <v>6</v>
      </c>
      <c r="G57" s="21">
        <f t="shared" si="0"/>
        <v>51.010410723719659</v>
      </c>
      <c r="H57" s="37" t="str">
        <f t="shared" si="15"/>
        <v>4;3015EE</v>
      </c>
      <c r="I57" s="38">
        <v>1</v>
      </c>
      <c r="J57" s="132">
        <f t="shared" si="1"/>
        <v>4.2508675603099713</v>
      </c>
      <c r="K57" s="39" t="str">
        <f>INDEX(powers!$H$2:$H$75,33+I57)</f>
        <v>dirac</v>
      </c>
      <c r="L57" s="40" t="str">
        <f t="shared" si="2"/>
        <v>4</v>
      </c>
      <c r="M57" s="24">
        <f t="shared" si="16"/>
        <v>3.0104107237196551</v>
      </c>
      <c r="N57" s="41" t="str">
        <f t="shared" si="3"/>
        <v>3</v>
      </c>
      <c r="O57" s="24">
        <f t="shared" si="17"/>
        <v>0.12492868463586149</v>
      </c>
      <c r="P57" s="41" t="str">
        <f t="shared" si="4"/>
        <v>0</v>
      </c>
      <c r="Q57" s="24">
        <f t="shared" si="18"/>
        <v>1.4991442156303378</v>
      </c>
      <c r="R57" s="41" t="str">
        <f t="shared" si="5"/>
        <v>1</v>
      </c>
      <c r="S57" s="24">
        <f t="shared" si="19"/>
        <v>5.9897305875640541</v>
      </c>
      <c r="T57" s="41" t="str">
        <f t="shared" si="6"/>
        <v>5</v>
      </c>
      <c r="U57" s="24">
        <f t="shared" si="20"/>
        <v>11.876767050768649</v>
      </c>
      <c r="V57" s="41" t="str">
        <f t="shared" si="7"/>
        <v>E</v>
      </c>
      <c r="W57" s="24">
        <f t="shared" si="21"/>
        <v>10.521204609223787</v>
      </c>
      <c r="X57" s="41" t="str">
        <f t="shared" si="8"/>
        <v>E</v>
      </c>
      <c r="Y57" s="24">
        <f t="shared" si="22"/>
        <v>6.2544553106854437</v>
      </c>
      <c r="Z57" s="41" t="str">
        <f t="shared" si="9"/>
        <v/>
      </c>
      <c r="AA57" s="24">
        <f t="shared" si="23"/>
        <v>3.0534637282253243</v>
      </c>
      <c r="AB57" s="41" t="str">
        <f t="shared" si="10"/>
        <v/>
      </c>
      <c r="AC57" s="24">
        <f t="shared" si="24"/>
        <v>0.64156473870389163</v>
      </c>
      <c r="AD57" s="41" t="str">
        <f t="shared" si="11"/>
        <v/>
      </c>
      <c r="AE57" s="24">
        <f t="shared" si="25"/>
        <v>7.6987768644466996</v>
      </c>
      <c r="AF57" s="41" t="str">
        <f t="shared" si="12"/>
        <v/>
      </c>
      <c r="AG57" s="24">
        <f t="shared" si="26"/>
        <v>8.3853223733603954</v>
      </c>
      <c r="AH57" s="41" t="str">
        <f t="shared" si="13"/>
        <v/>
      </c>
      <c r="AI57" s="24">
        <f t="shared" si="27"/>
        <v>4.6238684803247452</v>
      </c>
      <c r="AJ57" s="41" t="str">
        <f t="shared" si="14"/>
        <v/>
      </c>
    </row>
    <row r="58" spans="1:36" ht="13.5" customHeight="1">
      <c r="A58" s="384"/>
      <c r="B58" s="385"/>
      <c r="C58" s="386"/>
      <c r="D58" s="387"/>
      <c r="E58" s="386">
        <v>50.943961700000003</v>
      </c>
      <c r="F58" s="8">
        <v>9</v>
      </c>
      <c r="G58" s="21">
        <f t="shared" si="0"/>
        <v>51.012875753765471</v>
      </c>
      <c r="H58" s="37" t="str">
        <f t="shared" si="15"/>
        <v>4;301X2EX96</v>
      </c>
      <c r="I58" s="38">
        <v>1</v>
      </c>
      <c r="J58" s="132">
        <f t="shared" si="1"/>
        <v>4.2510729794804556</v>
      </c>
      <c r="K58" s="39" t="str">
        <f>INDEX(powers!$H$2:$H$75,33+I58)</f>
        <v>dirac</v>
      </c>
      <c r="L58" s="40" t="str">
        <f t="shared" si="2"/>
        <v>4</v>
      </c>
      <c r="M58" s="24">
        <f t="shared" si="16"/>
        <v>3.0128757537654671</v>
      </c>
      <c r="N58" s="41" t="str">
        <f t="shared" si="3"/>
        <v>3</v>
      </c>
      <c r="O58" s="24">
        <f t="shared" si="17"/>
        <v>0.15450904518560549</v>
      </c>
      <c r="P58" s="41" t="str">
        <f t="shared" si="4"/>
        <v>0</v>
      </c>
      <c r="Q58" s="24">
        <f t="shared" si="18"/>
        <v>1.8541085422272658</v>
      </c>
      <c r="R58" s="41" t="str">
        <f t="shared" si="5"/>
        <v>1</v>
      </c>
      <c r="S58" s="24">
        <f t="shared" si="19"/>
        <v>10.24930250672719</v>
      </c>
      <c r="T58" s="41" t="str">
        <f t="shared" si="6"/>
        <v>X</v>
      </c>
      <c r="U58" s="24">
        <f t="shared" si="20"/>
        <v>2.9916300807262814</v>
      </c>
      <c r="V58" s="41" t="str">
        <f t="shared" si="7"/>
        <v>2</v>
      </c>
      <c r="W58" s="24">
        <f t="shared" si="21"/>
        <v>11.899560968715377</v>
      </c>
      <c r="X58" s="41" t="str">
        <f t="shared" si="8"/>
        <v>E</v>
      </c>
      <c r="Y58" s="24">
        <f t="shared" si="22"/>
        <v>10.794731624584529</v>
      </c>
      <c r="Z58" s="41" t="str">
        <f t="shared" si="9"/>
        <v>X</v>
      </c>
      <c r="AA58" s="24">
        <f t="shared" si="23"/>
        <v>9.5367794950143434</v>
      </c>
      <c r="AB58" s="41" t="str">
        <f t="shared" si="10"/>
        <v>9</v>
      </c>
      <c r="AC58" s="24">
        <f t="shared" si="24"/>
        <v>6.4413539401721209</v>
      </c>
      <c r="AD58" s="41" t="str">
        <f t="shared" si="11"/>
        <v>6</v>
      </c>
      <c r="AE58" s="24">
        <f t="shared" si="25"/>
        <v>5.2962472820654511</v>
      </c>
      <c r="AF58" s="41" t="str">
        <f t="shared" si="12"/>
        <v/>
      </c>
      <c r="AG58" s="24">
        <f t="shared" si="26"/>
        <v>3.5549673847854137</v>
      </c>
      <c r="AH58" s="41" t="str">
        <f t="shared" si="13"/>
        <v/>
      </c>
      <c r="AI58" s="24">
        <f t="shared" si="27"/>
        <v>6.6596086174249649</v>
      </c>
      <c r="AJ58" s="41" t="str">
        <f t="shared" si="14"/>
        <v/>
      </c>
    </row>
    <row r="59" spans="1:36" ht="13.5" customHeight="1">
      <c r="A59" s="384" t="s">
        <v>858</v>
      </c>
      <c r="B59" s="385">
        <v>24</v>
      </c>
      <c r="C59" s="386" t="s">
        <v>857</v>
      </c>
      <c r="D59" s="387">
        <v>51.996099999999998</v>
      </c>
      <c r="E59" s="386"/>
      <c r="F59" s="8">
        <v>6</v>
      </c>
      <c r="G59" s="21">
        <f t="shared" si="0"/>
        <v>52.066437325787412</v>
      </c>
      <c r="H59" s="37" t="str">
        <f t="shared" si="15"/>
        <v>4;409698</v>
      </c>
      <c r="I59" s="38">
        <v>1</v>
      </c>
      <c r="J59" s="132">
        <f t="shared" si="1"/>
        <v>4.3388697771489513</v>
      </c>
      <c r="K59" s="39" t="str">
        <f>INDEX(powers!$H$2:$H$75,33+I59)</f>
        <v>dirac</v>
      </c>
      <c r="L59" s="40" t="str">
        <f t="shared" si="2"/>
        <v>4</v>
      </c>
      <c r="M59" s="24">
        <f t="shared" si="16"/>
        <v>4.0664373257874153</v>
      </c>
      <c r="N59" s="41" t="str">
        <f t="shared" si="3"/>
        <v>4</v>
      </c>
      <c r="O59" s="24">
        <f t="shared" si="17"/>
        <v>0.79724790944898416</v>
      </c>
      <c r="P59" s="41" t="str">
        <f t="shared" si="4"/>
        <v>0</v>
      </c>
      <c r="Q59" s="24">
        <f t="shared" si="18"/>
        <v>9.5669749133878099</v>
      </c>
      <c r="R59" s="41" t="str">
        <f t="shared" si="5"/>
        <v>9</v>
      </c>
      <c r="S59" s="24">
        <f t="shared" si="19"/>
        <v>6.803698960653719</v>
      </c>
      <c r="T59" s="41" t="str">
        <f t="shared" si="6"/>
        <v>6</v>
      </c>
      <c r="U59" s="24">
        <f t="shared" si="20"/>
        <v>9.6443875278446285</v>
      </c>
      <c r="V59" s="41" t="str">
        <f t="shared" si="7"/>
        <v>9</v>
      </c>
      <c r="W59" s="24">
        <f t="shared" si="21"/>
        <v>7.7326503341355419</v>
      </c>
      <c r="X59" s="41" t="str">
        <f t="shared" si="8"/>
        <v>8</v>
      </c>
      <c r="Y59" s="24">
        <f t="shared" si="22"/>
        <v>8.7918040096265031</v>
      </c>
      <c r="Z59" s="41" t="str">
        <f t="shared" si="9"/>
        <v/>
      </c>
      <c r="AA59" s="24">
        <f t="shared" si="23"/>
        <v>9.5016481155180372</v>
      </c>
      <c r="AB59" s="41" t="str">
        <f t="shared" si="10"/>
        <v/>
      </c>
      <c r="AC59" s="24">
        <f t="shared" si="24"/>
        <v>6.0197773862164468</v>
      </c>
      <c r="AD59" s="41" t="str">
        <f t="shared" si="11"/>
        <v/>
      </c>
      <c r="AE59" s="24">
        <f t="shared" si="25"/>
        <v>0.23732863459736109</v>
      </c>
      <c r="AF59" s="41" t="str">
        <f t="shared" si="12"/>
        <v/>
      </c>
      <c r="AG59" s="24">
        <f t="shared" si="26"/>
        <v>2.8479436151683331</v>
      </c>
      <c r="AH59" s="41" t="str">
        <f t="shared" si="13"/>
        <v/>
      </c>
      <c r="AI59" s="24">
        <f t="shared" si="27"/>
        <v>10.175323382019997</v>
      </c>
      <c r="AJ59" s="41" t="str">
        <f t="shared" si="14"/>
        <v/>
      </c>
    </row>
    <row r="60" spans="1:36" ht="13.5" customHeight="1">
      <c r="A60" s="384"/>
      <c r="B60" s="385"/>
      <c r="C60" s="386"/>
      <c r="D60" s="387"/>
      <c r="E60" s="386">
        <v>51.940511899999997</v>
      </c>
      <c r="F60" s="8">
        <v>9</v>
      </c>
      <c r="G60" s="21">
        <f t="shared" si="0"/>
        <v>52.010774029411152</v>
      </c>
      <c r="H60" s="37" t="str">
        <f t="shared" si="15"/>
        <v>4;401674E0E</v>
      </c>
      <c r="I60" s="38">
        <v>1</v>
      </c>
      <c r="J60" s="132">
        <f t="shared" si="1"/>
        <v>4.3342311691175963</v>
      </c>
      <c r="K60" s="39" t="str">
        <f>INDEX(powers!$H$2:$H$75,33+I60)</f>
        <v>dirac</v>
      </c>
      <c r="L60" s="40" t="str">
        <f t="shared" si="2"/>
        <v>4</v>
      </c>
      <c r="M60" s="24">
        <f t="shared" si="16"/>
        <v>4.0107740294111558</v>
      </c>
      <c r="N60" s="41" t="str">
        <f t="shared" si="3"/>
        <v>4</v>
      </c>
      <c r="O60" s="24">
        <f t="shared" si="17"/>
        <v>0.12928835293386953</v>
      </c>
      <c r="P60" s="41" t="str">
        <f t="shared" si="4"/>
        <v>0</v>
      </c>
      <c r="Q60" s="24">
        <f t="shared" si="18"/>
        <v>1.5514602352064344</v>
      </c>
      <c r="R60" s="41" t="str">
        <f t="shared" si="5"/>
        <v>1</v>
      </c>
      <c r="S60" s="24">
        <f t="shared" si="19"/>
        <v>6.6175228224772127</v>
      </c>
      <c r="T60" s="41" t="str">
        <f t="shared" si="6"/>
        <v>6</v>
      </c>
      <c r="U60" s="24">
        <f t="shared" si="20"/>
        <v>7.4102738697265522</v>
      </c>
      <c r="V60" s="41" t="str">
        <f t="shared" si="7"/>
        <v>7</v>
      </c>
      <c r="W60" s="24">
        <f t="shared" si="21"/>
        <v>4.9232864367186266</v>
      </c>
      <c r="X60" s="41" t="str">
        <f t="shared" si="8"/>
        <v>4</v>
      </c>
      <c r="Y60" s="24">
        <f t="shared" si="22"/>
        <v>11.07943724062352</v>
      </c>
      <c r="Z60" s="41" t="str">
        <f t="shared" si="9"/>
        <v>E</v>
      </c>
      <c r="AA60" s="24">
        <f t="shared" si="23"/>
        <v>0.95324688748223707</v>
      </c>
      <c r="AB60" s="41" t="str">
        <f t="shared" si="10"/>
        <v>0</v>
      </c>
      <c r="AC60" s="24">
        <f t="shared" si="24"/>
        <v>11.438962649786845</v>
      </c>
      <c r="AD60" s="41" t="str">
        <f t="shared" si="11"/>
        <v>E</v>
      </c>
      <c r="AE60" s="24">
        <f t="shared" si="25"/>
        <v>5.2675517974421382</v>
      </c>
      <c r="AF60" s="41" t="str">
        <f t="shared" si="12"/>
        <v/>
      </c>
      <c r="AG60" s="24">
        <f t="shared" si="26"/>
        <v>3.2106215693056583</v>
      </c>
      <c r="AH60" s="41" t="str">
        <f t="shared" si="13"/>
        <v/>
      </c>
      <c r="AI60" s="24">
        <f t="shared" si="27"/>
        <v>2.5274588316679001</v>
      </c>
      <c r="AJ60" s="41" t="str">
        <f t="shared" si="14"/>
        <v/>
      </c>
    </row>
    <row r="61" spans="1:36" ht="13.5" customHeight="1">
      <c r="A61" s="384" t="s">
        <v>860</v>
      </c>
      <c r="B61" s="385">
        <v>25</v>
      </c>
      <c r="C61" s="386" t="s">
        <v>859</v>
      </c>
      <c r="D61" s="387">
        <v>54.938045000000002</v>
      </c>
      <c r="E61" s="386"/>
      <c r="F61" s="8">
        <v>8</v>
      </c>
      <c r="G61" s="21">
        <f t="shared" si="0"/>
        <v>55.01236201933969</v>
      </c>
      <c r="H61" s="37" t="str">
        <f t="shared" si="15"/>
        <v>4;7019440X</v>
      </c>
      <c r="I61" s="38">
        <v>1</v>
      </c>
      <c r="J61" s="132">
        <f t="shared" si="1"/>
        <v>4.5843635016116409</v>
      </c>
      <c r="K61" s="39" t="str">
        <f>INDEX(powers!$H$2:$H$75,33+I61)</f>
        <v>dirac</v>
      </c>
      <c r="L61" s="40" t="str">
        <f t="shared" si="2"/>
        <v>4</v>
      </c>
      <c r="M61" s="24">
        <f t="shared" si="16"/>
        <v>7.0123620193396903</v>
      </c>
      <c r="N61" s="41" t="str">
        <f t="shared" si="3"/>
        <v>7</v>
      </c>
      <c r="O61" s="24">
        <f t="shared" si="17"/>
        <v>0.14834423207628333</v>
      </c>
      <c r="P61" s="41" t="str">
        <f t="shared" si="4"/>
        <v>0</v>
      </c>
      <c r="Q61" s="24">
        <f t="shared" si="18"/>
        <v>1.7801307849154</v>
      </c>
      <c r="R61" s="41" t="str">
        <f t="shared" si="5"/>
        <v>1</v>
      </c>
      <c r="S61" s="24">
        <f t="shared" si="19"/>
        <v>9.3615694189848</v>
      </c>
      <c r="T61" s="41" t="str">
        <f t="shared" si="6"/>
        <v>9</v>
      </c>
      <c r="U61" s="24">
        <f t="shared" si="20"/>
        <v>4.3388330278175999</v>
      </c>
      <c r="V61" s="41" t="str">
        <f t="shared" si="7"/>
        <v>4</v>
      </c>
      <c r="W61" s="24">
        <f t="shared" si="21"/>
        <v>4.0659963338111993</v>
      </c>
      <c r="X61" s="41" t="str">
        <f t="shared" si="8"/>
        <v>4</v>
      </c>
      <c r="Y61" s="24">
        <f t="shared" si="22"/>
        <v>0.79195600573439151</v>
      </c>
      <c r="Z61" s="41" t="str">
        <f t="shared" si="9"/>
        <v>0</v>
      </c>
      <c r="AA61" s="24">
        <f t="shared" si="23"/>
        <v>9.5034720688126981</v>
      </c>
      <c r="AB61" s="41" t="str">
        <f t="shared" si="10"/>
        <v>X</v>
      </c>
      <c r="AC61" s="24">
        <f t="shared" si="24"/>
        <v>6.0416648257523775</v>
      </c>
      <c r="AD61" s="41" t="str">
        <f t="shared" si="11"/>
        <v/>
      </c>
      <c r="AE61" s="24">
        <f t="shared" si="25"/>
        <v>0.49997790902853012</v>
      </c>
      <c r="AF61" s="41" t="str">
        <f t="shared" si="12"/>
        <v/>
      </c>
      <c r="AG61" s="24">
        <f t="shared" si="26"/>
        <v>5.9997349083423615</v>
      </c>
      <c r="AH61" s="41" t="str">
        <f t="shared" si="13"/>
        <v/>
      </c>
      <c r="AI61" s="24">
        <f t="shared" si="27"/>
        <v>11.996818900108337</v>
      </c>
      <c r="AJ61" s="41" t="str">
        <f t="shared" si="14"/>
        <v/>
      </c>
    </row>
    <row r="62" spans="1:36" ht="13.5" customHeight="1">
      <c r="A62" s="384"/>
      <c r="B62" s="385"/>
      <c r="C62" s="386"/>
      <c r="D62" s="387"/>
      <c r="E62" s="386">
        <v>54.938048999999999</v>
      </c>
      <c r="F62" s="8">
        <v>8</v>
      </c>
      <c r="G62" s="21">
        <f t="shared" si="0"/>
        <v>55.012366024750655</v>
      </c>
      <c r="H62" s="37" t="str">
        <f t="shared" si="15"/>
        <v>4;70194509</v>
      </c>
      <c r="I62" s="38">
        <v>1</v>
      </c>
      <c r="J62" s="132">
        <f t="shared" si="1"/>
        <v>4.5843638353958882</v>
      </c>
      <c r="K62" s="39" t="str">
        <f>INDEX(powers!$H$2:$H$75,33+I62)</f>
        <v>dirac</v>
      </c>
      <c r="L62" s="40" t="str">
        <f t="shared" si="2"/>
        <v>4</v>
      </c>
      <c r="M62" s="24">
        <f t="shared" si="16"/>
        <v>7.0123660247506585</v>
      </c>
      <c r="N62" s="41" t="str">
        <f t="shared" si="3"/>
        <v>7</v>
      </c>
      <c r="O62" s="24">
        <f t="shared" si="17"/>
        <v>0.14839229700790213</v>
      </c>
      <c r="P62" s="41" t="str">
        <f t="shared" si="4"/>
        <v>0</v>
      </c>
      <c r="Q62" s="24">
        <f t="shared" si="18"/>
        <v>1.7807075640948256</v>
      </c>
      <c r="R62" s="41" t="str">
        <f t="shared" si="5"/>
        <v>1</v>
      </c>
      <c r="S62" s="24">
        <f t="shared" si="19"/>
        <v>9.3684907691379067</v>
      </c>
      <c r="T62" s="41" t="str">
        <f t="shared" si="6"/>
        <v>9</v>
      </c>
      <c r="U62" s="24">
        <f t="shared" si="20"/>
        <v>4.4218892296548802</v>
      </c>
      <c r="V62" s="41" t="str">
        <f t="shared" si="7"/>
        <v>4</v>
      </c>
      <c r="W62" s="24">
        <f t="shared" si="21"/>
        <v>5.0626707558585622</v>
      </c>
      <c r="X62" s="41" t="str">
        <f t="shared" si="8"/>
        <v>5</v>
      </c>
      <c r="Y62" s="24">
        <f t="shared" si="22"/>
        <v>0.75204907030274626</v>
      </c>
      <c r="Z62" s="41" t="str">
        <f t="shared" si="9"/>
        <v>0</v>
      </c>
      <c r="AA62" s="24">
        <f t="shared" si="23"/>
        <v>9.0245888436329551</v>
      </c>
      <c r="AB62" s="41" t="str">
        <f t="shared" si="10"/>
        <v>9</v>
      </c>
      <c r="AC62" s="24">
        <f t="shared" si="24"/>
        <v>0.29506612359546125</v>
      </c>
      <c r="AD62" s="41" t="str">
        <f t="shared" si="11"/>
        <v/>
      </c>
      <c r="AE62" s="24">
        <f t="shared" si="25"/>
        <v>3.540793483145535</v>
      </c>
      <c r="AF62" s="41" t="str">
        <f t="shared" si="12"/>
        <v/>
      </c>
      <c r="AG62" s="24">
        <f t="shared" si="26"/>
        <v>6.4895217977464199</v>
      </c>
      <c r="AH62" s="41" t="str">
        <f t="shared" si="13"/>
        <v/>
      </c>
      <c r="AI62" s="24">
        <f t="shared" si="27"/>
        <v>5.8742615729570389</v>
      </c>
      <c r="AJ62" s="41" t="str">
        <f t="shared" si="14"/>
        <v/>
      </c>
    </row>
    <row r="63" spans="1:36" ht="13.5" customHeight="1">
      <c r="A63" s="384" t="s">
        <v>862</v>
      </c>
      <c r="B63" s="385">
        <v>26</v>
      </c>
      <c r="C63" s="386" t="s">
        <v>861</v>
      </c>
      <c r="D63" s="387">
        <v>55.844999999999999</v>
      </c>
      <c r="E63" s="386"/>
      <c r="F63" s="8">
        <v>5</v>
      </c>
      <c r="G63" s="21">
        <f t="shared" si="0"/>
        <v>55.920543895765213</v>
      </c>
      <c r="H63" s="37" t="str">
        <f t="shared" si="15"/>
        <v>4;7E068</v>
      </c>
      <c r="I63" s="38">
        <v>1</v>
      </c>
      <c r="J63" s="132">
        <f t="shared" si="1"/>
        <v>4.6600453246471014</v>
      </c>
      <c r="K63" s="39" t="str">
        <f>INDEX(powers!$H$2:$H$75,33+I63)</f>
        <v>dirac</v>
      </c>
      <c r="L63" s="40" t="str">
        <f t="shared" si="2"/>
        <v>4</v>
      </c>
      <c r="M63" s="24">
        <f t="shared" si="16"/>
        <v>7.920543895765217</v>
      </c>
      <c r="N63" s="41" t="str">
        <f t="shared" si="3"/>
        <v>7</v>
      </c>
      <c r="O63" s="24">
        <f t="shared" si="17"/>
        <v>11.046526749182604</v>
      </c>
      <c r="P63" s="41" t="str">
        <f t="shared" si="4"/>
        <v>E</v>
      </c>
      <c r="Q63" s="24">
        <f t="shared" si="18"/>
        <v>0.55832099019124826</v>
      </c>
      <c r="R63" s="41" t="str">
        <f t="shared" si="5"/>
        <v>0</v>
      </c>
      <c r="S63" s="24">
        <f t="shared" si="19"/>
        <v>6.6998518822949791</v>
      </c>
      <c r="T63" s="41" t="str">
        <f t="shared" si="6"/>
        <v>6</v>
      </c>
      <c r="U63" s="24">
        <f t="shared" si="20"/>
        <v>8.3982225875397489</v>
      </c>
      <c r="V63" s="41" t="str">
        <f t="shared" si="7"/>
        <v>8</v>
      </c>
      <c r="W63" s="24">
        <f t="shared" si="21"/>
        <v>4.7786710504769871</v>
      </c>
      <c r="X63" s="41" t="str">
        <f t="shared" si="8"/>
        <v/>
      </c>
      <c r="Y63" s="24">
        <f t="shared" si="22"/>
        <v>9.3440526057238458</v>
      </c>
      <c r="Z63" s="41" t="str">
        <f t="shared" si="9"/>
        <v/>
      </c>
      <c r="AA63" s="24">
        <f t="shared" si="23"/>
        <v>4.1286312686861493</v>
      </c>
      <c r="AB63" s="41" t="str">
        <f t="shared" si="10"/>
        <v/>
      </c>
      <c r="AC63" s="24">
        <f t="shared" si="24"/>
        <v>1.5435752242337912</v>
      </c>
      <c r="AD63" s="41" t="str">
        <f t="shared" si="11"/>
        <v/>
      </c>
      <c r="AE63" s="24">
        <f t="shared" si="25"/>
        <v>6.5229026908054948</v>
      </c>
      <c r="AF63" s="41" t="str">
        <f t="shared" si="12"/>
        <v/>
      </c>
      <c r="AG63" s="24">
        <f t="shared" si="26"/>
        <v>6.2748322896659374</v>
      </c>
      <c r="AH63" s="41" t="str">
        <f t="shared" si="13"/>
        <v/>
      </c>
      <c r="AI63" s="24">
        <f t="shared" si="27"/>
        <v>3.2979874759912491</v>
      </c>
      <c r="AJ63" s="41" t="str">
        <f t="shared" si="14"/>
        <v/>
      </c>
    </row>
    <row r="64" spans="1:36" ht="13.5" customHeight="1">
      <c r="A64" s="384"/>
      <c r="B64" s="385"/>
      <c r="C64" s="386"/>
      <c r="D64" s="387"/>
      <c r="E64" s="386">
        <v>55.934939300000003</v>
      </c>
      <c r="F64" s="8">
        <v>9</v>
      </c>
      <c r="G64" s="21">
        <f t="shared" si="0"/>
        <v>56.010604860464021</v>
      </c>
      <c r="H64" s="37" t="str">
        <f t="shared" si="15"/>
        <v>4;80163X9E4</v>
      </c>
      <c r="I64" s="38">
        <v>1</v>
      </c>
      <c r="J64" s="132">
        <f t="shared" si="1"/>
        <v>4.6675504050386687</v>
      </c>
      <c r="K64" s="39" t="str">
        <f>INDEX(powers!$H$2:$H$75,33+I64)</f>
        <v>dirac</v>
      </c>
      <c r="L64" s="40" t="str">
        <f t="shared" si="2"/>
        <v>4</v>
      </c>
      <c r="M64" s="24">
        <f t="shared" si="16"/>
        <v>8.0106048604640243</v>
      </c>
      <c r="N64" s="41" t="str">
        <f t="shared" si="3"/>
        <v>8</v>
      </c>
      <c r="O64" s="24">
        <f t="shared" si="17"/>
        <v>0.12725832556829175</v>
      </c>
      <c r="P64" s="41" t="str">
        <f t="shared" si="4"/>
        <v>0</v>
      </c>
      <c r="Q64" s="24">
        <f t="shared" si="18"/>
        <v>1.527099906819501</v>
      </c>
      <c r="R64" s="41" t="str">
        <f t="shared" si="5"/>
        <v>1</v>
      </c>
      <c r="S64" s="24">
        <f t="shared" si="19"/>
        <v>6.3251988818340124</v>
      </c>
      <c r="T64" s="41" t="str">
        <f t="shared" si="6"/>
        <v>6</v>
      </c>
      <c r="U64" s="24">
        <f t="shared" si="20"/>
        <v>3.9023865820081483</v>
      </c>
      <c r="V64" s="41" t="str">
        <f t="shared" si="7"/>
        <v>3</v>
      </c>
      <c r="W64" s="24">
        <f t="shared" si="21"/>
        <v>10.828638984097779</v>
      </c>
      <c r="X64" s="41" t="str">
        <f t="shared" si="8"/>
        <v>X</v>
      </c>
      <c r="Y64" s="24">
        <f t="shared" si="22"/>
        <v>9.9436678091733484</v>
      </c>
      <c r="Z64" s="41" t="str">
        <f t="shared" si="9"/>
        <v>9</v>
      </c>
      <c r="AA64" s="24">
        <f t="shared" si="23"/>
        <v>11.32401371008018</v>
      </c>
      <c r="AB64" s="41" t="str">
        <f t="shared" si="10"/>
        <v>E</v>
      </c>
      <c r="AC64" s="24">
        <f t="shared" si="24"/>
        <v>3.8881645209621638</v>
      </c>
      <c r="AD64" s="41" t="str">
        <f t="shared" si="11"/>
        <v>4</v>
      </c>
      <c r="AE64" s="24">
        <f t="shared" si="25"/>
        <v>10.657974251545966</v>
      </c>
      <c r="AF64" s="41" t="str">
        <f t="shared" si="12"/>
        <v/>
      </c>
      <c r="AG64" s="24">
        <f t="shared" si="26"/>
        <v>7.8956910185515881</v>
      </c>
      <c r="AH64" s="41" t="str">
        <f t="shared" si="13"/>
        <v/>
      </c>
      <c r="AI64" s="24">
        <f t="shared" si="27"/>
        <v>10.748292222619057</v>
      </c>
      <c r="AJ64" s="41" t="str">
        <f t="shared" si="14"/>
        <v/>
      </c>
    </row>
    <row r="65" spans="1:36" ht="13.5" customHeight="1">
      <c r="A65" s="384" t="s">
        <v>864</v>
      </c>
      <c r="B65" s="385">
        <v>27</v>
      </c>
      <c r="C65" s="386" t="s">
        <v>863</v>
      </c>
      <c r="D65" s="387">
        <v>58.933194999999998</v>
      </c>
      <c r="E65" s="386"/>
      <c r="F65" s="8">
        <v>8</v>
      </c>
      <c r="G65" s="21">
        <f t="shared" si="0"/>
        <v>59.012916427884157</v>
      </c>
      <c r="H65" s="37" t="str">
        <f t="shared" si="15"/>
        <v>4;E01X3X03</v>
      </c>
      <c r="I65" s="38">
        <v>1</v>
      </c>
      <c r="J65" s="132">
        <f t="shared" si="1"/>
        <v>4.9177430356570131</v>
      </c>
      <c r="K65" s="39" t="str">
        <f>INDEX(powers!$H$2:$H$75,33+I65)</f>
        <v>dirac</v>
      </c>
      <c r="L65" s="40" t="str">
        <f t="shared" si="2"/>
        <v>4</v>
      </c>
      <c r="M65" s="24">
        <f t="shared" si="16"/>
        <v>11.012916427884157</v>
      </c>
      <c r="N65" s="41" t="str">
        <f t="shared" si="3"/>
        <v>E</v>
      </c>
      <c r="O65" s="24">
        <f t="shared" si="17"/>
        <v>0.15499713460988573</v>
      </c>
      <c r="P65" s="41" t="str">
        <f t="shared" si="4"/>
        <v>0</v>
      </c>
      <c r="Q65" s="24">
        <f t="shared" si="18"/>
        <v>1.8599656153186288</v>
      </c>
      <c r="R65" s="41" t="str">
        <f t="shared" si="5"/>
        <v>1</v>
      </c>
      <c r="S65" s="24">
        <f t="shared" si="19"/>
        <v>10.319587383823546</v>
      </c>
      <c r="T65" s="41" t="str">
        <f t="shared" si="6"/>
        <v>X</v>
      </c>
      <c r="U65" s="24">
        <f t="shared" si="20"/>
        <v>3.8350486058825481</v>
      </c>
      <c r="V65" s="41" t="str">
        <f t="shared" si="7"/>
        <v>3</v>
      </c>
      <c r="W65" s="24">
        <f t="shared" si="21"/>
        <v>10.020583270590578</v>
      </c>
      <c r="X65" s="41" t="str">
        <f t="shared" si="8"/>
        <v>X</v>
      </c>
      <c r="Y65" s="24">
        <f t="shared" si="22"/>
        <v>0.24699924708693288</v>
      </c>
      <c r="Z65" s="41" t="str">
        <f t="shared" si="9"/>
        <v>0</v>
      </c>
      <c r="AA65" s="24">
        <f t="shared" si="23"/>
        <v>2.9639909650431946</v>
      </c>
      <c r="AB65" s="41" t="str">
        <f t="shared" si="10"/>
        <v>3</v>
      </c>
      <c r="AC65" s="24">
        <f t="shared" si="24"/>
        <v>11.567891580518335</v>
      </c>
      <c r="AD65" s="41" t="str">
        <f t="shared" si="11"/>
        <v/>
      </c>
      <c r="AE65" s="24">
        <f t="shared" si="25"/>
        <v>6.8146989662200212</v>
      </c>
      <c r="AF65" s="41" t="str">
        <f t="shared" si="12"/>
        <v/>
      </c>
      <c r="AG65" s="24">
        <f t="shared" si="26"/>
        <v>9.776387594640255</v>
      </c>
      <c r="AH65" s="41" t="str">
        <f t="shared" si="13"/>
        <v/>
      </c>
      <c r="AI65" s="24">
        <f t="shared" si="27"/>
        <v>9.3166511356830597</v>
      </c>
      <c r="AJ65" s="41" t="str">
        <f t="shared" si="14"/>
        <v/>
      </c>
    </row>
    <row r="66" spans="1:36" ht="13.5" customHeight="1">
      <c r="A66" s="384"/>
      <c r="B66" s="385"/>
      <c r="C66" s="386"/>
      <c r="D66" s="387"/>
      <c r="E66" s="386">
        <v>58.933199999999999</v>
      </c>
      <c r="F66" s="8">
        <v>6</v>
      </c>
      <c r="G66" s="21">
        <f t="shared" si="0"/>
        <v>59.012921434647872</v>
      </c>
      <c r="H66" s="37" t="str">
        <f t="shared" si="15"/>
        <v>4;E01X3E</v>
      </c>
      <c r="I66" s="38">
        <v>1</v>
      </c>
      <c r="J66" s="132">
        <f t="shared" si="1"/>
        <v>4.917743452887323</v>
      </c>
      <c r="K66" s="39" t="str">
        <f>INDEX(powers!$H$2:$H$75,33+I66)</f>
        <v>dirac</v>
      </c>
      <c r="L66" s="40" t="str">
        <f t="shared" si="2"/>
        <v>4</v>
      </c>
      <c r="M66" s="24">
        <f t="shared" si="16"/>
        <v>11.012921434647875</v>
      </c>
      <c r="N66" s="41" t="str">
        <f t="shared" si="3"/>
        <v>E</v>
      </c>
      <c r="O66" s="24">
        <f t="shared" si="17"/>
        <v>0.15505721577450515</v>
      </c>
      <c r="P66" s="41" t="str">
        <f t="shared" si="4"/>
        <v>0</v>
      </c>
      <c r="Q66" s="24">
        <f t="shared" si="18"/>
        <v>1.8606865892940618</v>
      </c>
      <c r="R66" s="41" t="str">
        <f t="shared" si="5"/>
        <v>1</v>
      </c>
      <c r="S66" s="24">
        <f t="shared" si="19"/>
        <v>10.328239071528742</v>
      </c>
      <c r="T66" s="41" t="str">
        <f t="shared" si="6"/>
        <v>X</v>
      </c>
      <c r="U66" s="24">
        <f t="shared" si="20"/>
        <v>3.9388688583449039</v>
      </c>
      <c r="V66" s="41" t="str">
        <f t="shared" si="7"/>
        <v>3</v>
      </c>
      <c r="W66" s="24">
        <f t="shared" si="21"/>
        <v>11.266426300138846</v>
      </c>
      <c r="X66" s="41" t="str">
        <f t="shared" si="8"/>
        <v>E</v>
      </c>
      <c r="Y66" s="24">
        <f t="shared" si="22"/>
        <v>3.1971156016661553</v>
      </c>
      <c r="Z66" s="41" t="str">
        <f t="shared" si="9"/>
        <v/>
      </c>
      <c r="AA66" s="24">
        <f t="shared" si="23"/>
        <v>2.3653872199938633</v>
      </c>
      <c r="AB66" s="41" t="str">
        <f t="shared" si="10"/>
        <v/>
      </c>
      <c r="AC66" s="24">
        <f t="shared" si="24"/>
        <v>4.3846466399263591</v>
      </c>
      <c r="AD66" s="41" t="str">
        <f t="shared" si="11"/>
        <v/>
      </c>
      <c r="AE66" s="24">
        <f t="shared" si="25"/>
        <v>4.6157596791163087</v>
      </c>
      <c r="AF66" s="41" t="str">
        <f t="shared" si="12"/>
        <v/>
      </c>
      <c r="AG66" s="24">
        <f t="shared" si="26"/>
        <v>7.3891161493957043</v>
      </c>
      <c r="AH66" s="41" t="str">
        <f t="shared" si="13"/>
        <v/>
      </c>
      <c r="AI66" s="24">
        <f t="shared" si="27"/>
        <v>4.6693937927484512</v>
      </c>
      <c r="AJ66" s="41" t="str">
        <f t="shared" si="14"/>
        <v/>
      </c>
    </row>
    <row r="67" spans="1:36" ht="13.5" customHeight="1">
      <c r="A67" s="384" t="s">
        <v>866</v>
      </c>
      <c r="B67" s="385">
        <v>28</v>
      </c>
      <c r="C67" s="386" t="s">
        <v>865</v>
      </c>
      <c r="D67" s="387">
        <v>58.693399999999997</v>
      </c>
      <c r="E67" s="386"/>
      <c r="F67" s="8">
        <v>6</v>
      </c>
      <c r="G67" s="21">
        <f t="shared" si="0"/>
        <v>58.772797047035645</v>
      </c>
      <c r="H67" s="37" t="str">
        <f t="shared" si="15"/>
        <v>4;X93349</v>
      </c>
      <c r="I67" s="38">
        <v>1</v>
      </c>
      <c r="J67" s="132">
        <f t="shared" si="1"/>
        <v>4.8977330872529707</v>
      </c>
      <c r="K67" s="39" t="str">
        <f>INDEX(powers!$H$2:$H$75,33+I67)</f>
        <v>dirac</v>
      </c>
      <c r="L67" s="40" t="str">
        <f t="shared" si="2"/>
        <v>4</v>
      </c>
      <c r="M67" s="24">
        <f t="shared" si="16"/>
        <v>10.772797047035649</v>
      </c>
      <c r="N67" s="41" t="str">
        <f t="shared" si="3"/>
        <v>X</v>
      </c>
      <c r="O67" s="24">
        <f t="shared" si="17"/>
        <v>9.2735645644277866</v>
      </c>
      <c r="P67" s="41" t="str">
        <f t="shared" si="4"/>
        <v>9</v>
      </c>
      <c r="Q67" s="24">
        <f t="shared" si="18"/>
        <v>3.2827747731334398</v>
      </c>
      <c r="R67" s="41" t="str">
        <f t="shared" si="5"/>
        <v>3</v>
      </c>
      <c r="S67" s="24">
        <f t="shared" si="19"/>
        <v>3.3932972776012775</v>
      </c>
      <c r="T67" s="41" t="str">
        <f t="shared" si="6"/>
        <v>3</v>
      </c>
      <c r="U67" s="24">
        <f t="shared" si="20"/>
        <v>4.7195673312153303</v>
      </c>
      <c r="V67" s="41" t="str">
        <f t="shared" si="7"/>
        <v>4</v>
      </c>
      <c r="W67" s="24">
        <f t="shared" si="21"/>
        <v>8.6348079745839641</v>
      </c>
      <c r="X67" s="41" t="str">
        <f t="shared" si="8"/>
        <v>9</v>
      </c>
      <c r="Y67" s="24">
        <f t="shared" si="22"/>
        <v>7.6176956950075692</v>
      </c>
      <c r="Z67" s="41" t="str">
        <f t="shared" si="9"/>
        <v/>
      </c>
      <c r="AA67" s="24">
        <f t="shared" si="23"/>
        <v>7.4123483400908299</v>
      </c>
      <c r="AB67" s="41" t="str">
        <f t="shared" si="10"/>
        <v/>
      </c>
      <c r="AC67" s="24">
        <f t="shared" si="24"/>
        <v>4.9481800810899585</v>
      </c>
      <c r="AD67" s="41" t="str">
        <f t="shared" si="11"/>
        <v/>
      </c>
      <c r="AE67" s="24">
        <f t="shared" si="25"/>
        <v>11.378160973079503</v>
      </c>
      <c r="AF67" s="41" t="str">
        <f t="shared" si="12"/>
        <v/>
      </c>
      <c r="AG67" s="24">
        <f t="shared" si="26"/>
        <v>4.537931676954031</v>
      </c>
      <c r="AH67" s="41" t="str">
        <f t="shared" si="13"/>
        <v/>
      </c>
      <c r="AI67" s="24">
        <f t="shared" si="27"/>
        <v>6.4551801234483719</v>
      </c>
      <c r="AJ67" s="41" t="str">
        <f t="shared" si="14"/>
        <v/>
      </c>
    </row>
    <row r="68" spans="1:36" ht="13.5" customHeight="1">
      <c r="A68" s="384"/>
      <c r="B68" s="385"/>
      <c r="C68" s="386"/>
      <c r="D68" s="387"/>
      <c r="E68" s="386">
        <v>57.935346199999998</v>
      </c>
      <c r="F68" s="8">
        <v>9</v>
      </c>
      <c r="G68" s="21">
        <f t="shared" si="0"/>
        <v>58.013717795567274</v>
      </c>
      <c r="H68" s="37" t="str">
        <f t="shared" si="15"/>
        <v>4;X01E85515</v>
      </c>
      <c r="I68" s="38">
        <v>1</v>
      </c>
      <c r="J68" s="132">
        <f t="shared" si="1"/>
        <v>4.8344764829639395</v>
      </c>
      <c r="K68" s="39" t="str">
        <f>INDEX(powers!$H$2:$H$75,33+I68)</f>
        <v>dirac</v>
      </c>
      <c r="L68" s="40" t="str">
        <f t="shared" si="2"/>
        <v>4</v>
      </c>
      <c r="M68" s="24">
        <f t="shared" si="16"/>
        <v>10.013717795567274</v>
      </c>
      <c r="N68" s="41" t="str">
        <f t="shared" si="3"/>
        <v>X</v>
      </c>
      <c r="O68" s="24">
        <f t="shared" si="17"/>
        <v>0.16461354680728846</v>
      </c>
      <c r="P68" s="41" t="str">
        <f t="shared" si="4"/>
        <v>0</v>
      </c>
      <c r="Q68" s="24">
        <f t="shared" si="18"/>
        <v>1.9753625616874615</v>
      </c>
      <c r="R68" s="41" t="str">
        <f t="shared" si="5"/>
        <v>1</v>
      </c>
      <c r="S68" s="24">
        <f t="shared" si="19"/>
        <v>11.704350740249538</v>
      </c>
      <c r="T68" s="41" t="str">
        <f t="shared" si="6"/>
        <v>E</v>
      </c>
      <c r="U68" s="24">
        <f t="shared" si="20"/>
        <v>8.4522088829944551</v>
      </c>
      <c r="V68" s="41" t="str">
        <f t="shared" si="7"/>
        <v>8</v>
      </c>
      <c r="W68" s="24">
        <f t="shared" si="21"/>
        <v>5.4265065959334606</v>
      </c>
      <c r="X68" s="41" t="str">
        <f t="shared" si="8"/>
        <v>5</v>
      </c>
      <c r="Y68" s="24">
        <f t="shared" si="22"/>
        <v>5.1180791512015276</v>
      </c>
      <c r="Z68" s="41" t="str">
        <f t="shared" si="9"/>
        <v>5</v>
      </c>
      <c r="AA68" s="24">
        <f t="shared" si="23"/>
        <v>1.4169498144183308</v>
      </c>
      <c r="AB68" s="41" t="str">
        <f t="shared" si="10"/>
        <v>1</v>
      </c>
      <c r="AC68" s="24">
        <f t="shared" si="24"/>
        <v>5.0033977730199695</v>
      </c>
      <c r="AD68" s="41" t="str">
        <f t="shared" si="11"/>
        <v>5</v>
      </c>
      <c r="AE68" s="24">
        <f t="shared" si="25"/>
        <v>4.077327623963356E-2</v>
      </c>
      <c r="AF68" s="41" t="str">
        <f t="shared" si="12"/>
        <v/>
      </c>
      <c r="AG68" s="24">
        <f t="shared" si="26"/>
        <v>0.48927931487560272</v>
      </c>
      <c r="AH68" s="41" t="str">
        <f t="shared" si="13"/>
        <v/>
      </c>
      <c r="AI68" s="24">
        <f t="shared" si="27"/>
        <v>5.8713517785072327</v>
      </c>
      <c r="AJ68" s="41" t="str">
        <f t="shared" si="14"/>
        <v/>
      </c>
    </row>
    <row r="69" spans="1:36" ht="13.5" customHeight="1">
      <c r="A69" s="384" t="s">
        <v>868</v>
      </c>
      <c r="B69" s="385">
        <v>29</v>
      </c>
      <c r="C69" s="386" t="s">
        <v>867</v>
      </c>
      <c r="D69" s="387">
        <v>63.545999999999999</v>
      </c>
      <c r="E69" s="386"/>
      <c r="F69" s="8">
        <v>5</v>
      </c>
      <c r="G69" s="21">
        <f t="shared" si="0"/>
        <v>63.631961364496298</v>
      </c>
      <c r="H69" s="37" t="str">
        <f t="shared" si="15"/>
        <v>5;37700</v>
      </c>
      <c r="I69" s="38">
        <v>1</v>
      </c>
      <c r="J69" s="132">
        <f t="shared" si="1"/>
        <v>5.3026634470413585</v>
      </c>
      <c r="K69" s="39" t="str">
        <f>INDEX(powers!$H$2:$H$75,33+I69)</f>
        <v>dirac</v>
      </c>
      <c r="L69" s="40" t="str">
        <f t="shared" si="2"/>
        <v>5</v>
      </c>
      <c r="M69" s="24">
        <f t="shared" si="16"/>
        <v>3.631961364496302</v>
      </c>
      <c r="N69" s="41" t="str">
        <f t="shared" si="3"/>
        <v>3</v>
      </c>
      <c r="O69" s="24">
        <f t="shared" si="17"/>
        <v>7.5835363739556243</v>
      </c>
      <c r="P69" s="41" t="str">
        <f t="shared" si="4"/>
        <v>7</v>
      </c>
      <c r="Q69" s="24">
        <f t="shared" si="18"/>
        <v>7.0024364874674916</v>
      </c>
      <c r="R69" s="41" t="str">
        <f t="shared" si="5"/>
        <v>7</v>
      </c>
      <c r="S69" s="24">
        <f t="shared" si="19"/>
        <v>2.9237849609899058E-2</v>
      </c>
      <c r="T69" s="41" t="str">
        <f t="shared" si="6"/>
        <v>0</v>
      </c>
      <c r="U69" s="24">
        <f t="shared" si="20"/>
        <v>0.3508541953187887</v>
      </c>
      <c r="V69" s="41" t="str">
        <f t="shared" si="7"/>
        <v>0</v>
      </c>
      <c r="W69" s="24">
        <f t="shared" si="21"/>
        <v>4.2102503438254644</v>
      </c>
      <c r="X69" s="41" t="str">
        <f t="shared" si="8"/>
        <v/>
      </c>
      <c r="Y69" s="24">
        <f t="shared" si="22"/>
        <v>2.5230041259055724</v>
      </c>
      <c r="Z69" s="41" t="str">
        <f t="shared" si="9"/>
        <v/>
      </c>
      <c r="AA69" s="24">
        <f t="shared" si="23"/>
        <v>6.2760495108668692</v>
      </c>
      <c r="AB69" s="41" t="str">
        <f t="shared" si="10"/>
        <v/>
      </c>
      <c r="AC69" s="24">
        <f t="shared" si="24"/>
        <v>3.3125941304024309</v>
      </c>
      <c r="AD69" s="41" t="str">
        <f t="shared" si="11"/>
        <v/>
      </c>
      <c r="AE69" s="24">
        <f t="shared" si="25"/>
        <v>3.7511295648291707</v>
      </c>
      <c r="AF69" s="41" t="str">
        <f t="shared" si="12"/>
        <v/>
      </c>
      <c r="AG69" s="24">
        <f t="shared" si="26"/>
        <v>9.0135547779500484</v>
      </c>
      <c r="AH69" s="41" t="str">
        <f t="shared" si="13"/>
        <v/>
      </c>
      <c r="AI69" s="24">
        <f t="shared" si="27"/>
        <v>0.16265733540058136</v>
      </c>
      <c r="AJ69" s="41" t="str">
        <f t="shared" si="14"/>
        <v/>
      </c>
    </row>
    <row r="70" spans="1:36" ht="13.5" customHeight="1">
      <c r="A70" s="384"/>
      <c r="B70" s="385"/>
      <c r="C70" s="386"/>
      <c r="D70" s="387"/>
      <c r="E70" s="386">
        <v>62.929598900000002</v>
      </c>
      <c r="F70" s="8">
        <v>9</v>
      </c>
      <c r="G70" s="21">
        <f t="shared" si="0"/>
        <v>63.014726432632251</v>
      </c>
      <c r="H70" s="37" t="str">
        <f t="shared" si="15"/>
        <v>5;3021544X8</v>
      </c>
      <c r="I70" s="38">
        <v>1</v>
      </c>
      <c r="J70" s="132">
        <f t="shared" si="1"/>
        <v>5.2512272027193543</v>
      </c>
      <c r="K70" s="39" t="str">
        <f>INDEX(powers!$H$2:$H$75,33+I70)</f>
        <v>dirac</v>
      </c>
      <c r="L70" s="40" t="str">
        <f t="shared" si="2"/>
        <v>5</v>
      </c>
      <c r="M70" s="24">
        <f t="shared" si="16"/>
        <v>3.0147264326322514</v>
      </c>
      <c r="N70" s="41" t="str">
        <f t="shared" si="3"/>
        <v>3</v>
      </c>
      <c r="O70" s="24">
        <f t="shared" si="17"/>
        <v>0.17671719158701649</v>
      </c>
      <c r="P70" s="41" t="str">
        <f t="shared" si="4"/>
        <v>0</v>
      </c>
      <c r="Q70" s="24">
        <f t="shared" si="18"/>
        <v>2.1206062990441978</v>
      </c>
      <c r="R70" s="41" t="str">
        <f t="shared" si="5"/>
        <v>2</v>
      </c>
      <c r="S70" s="24">
        <f t="shared" si="19"/>
        <v>1.4472755885303741</v>
      </c>
      <c r="T70" s="41" t="str">
        <f t="shared" si="6"/>
        <v>1</v>
      </c>
      <c r="U70" s="24">
        <f t="shared" si="20"/>
        <v>5.367307062364489</v>
      </c>
      <c r="V70" s="41" t="str">
        <f t="shared" si="7"/>
        <v>5</v>
      </c>
      <c r="W70" s="24">
        <f t="shared" si="21"/>
        <v>4.4076847483738675</v>
      </c>
      <c r="X70" s="41" t="str">
        <f t="shared" si="8"/>
        <v>4</v>
      </c>
      <c r="Y70" s="24">
        <f t="shared" si="22"/>
        <v>4.8922169804864097</v>
      </c>
      <c r="Z70" s="41" t="str">
        <f t="shared" si="9"/>
        <v>4</v>
      </c>
      <c r="AA70" s="24">
        <f t="shared" si="23"/>
        <v>10.706603765836917</v>
      </c>
      <c r="AB70" s="41" t="str">
        <f t="shared" si="10"/>
        <v>X</v>
      </c>
      <c r="AC70" s="24">
        <f t="shared" si="24"/>
        <v>8.4792451900430024</v>
      </c>
      <c r="AD70" s="41" t="str">
        <f t="shared" si="11"/>
        <v>8</v>
      </c>
      <c r="AE70" s="24">
        <f t="shared" si="25"/>
        <v>5.7509422805160284</v>
      </c>
      <c r="AF70" s="41" t="str">
        <f t="shared" si="12"/>
        <v/>
      </c>
      <c r="AG70" s="24">
        <f t="shared" si="26"/>
        <v>9.0113073661923409</v>
      </c>
      <c r="AH70" s="41" t="str">
        <f t="shared" si="13"/>
        <v/>
      </c>
      <c r="AI70" s="24">
        <f t="shared" si="27"/>
        <v>0.13568839430809021</v>
      </c>
      <c r="AJ70" s="41" t="str">
        <f t="shared" si="14"/>
        <v/>
      </c>
    </row>
    <row r="71" spans="1:36" ht="13.5" customHeight="1">
      <c r="A71" s="384" t="s">
        <v>870</v>
      </c>
      <c r="B71" s="385">
        <v>30</v>
      </c>
      <c r="C71" s="386" t="s">
        <v>869</v>
      </c>
      <c r="D71" s="387">
        <v>65.38</v>
      </c>
      <c r="E71" s="386"/>
      <c r="F71" s="8">
        <v>4</v>
      </c>
      <c r="G71" s="21">
        <f t="shared" si="0"/>
        <v>65.468442293940882</v>
      </c>
      <c r="H71" s="37" t="str">
        <f t="shared" si="15"/>
        <v>5;5575</v>
      </c>
      <c r="I71" s="38">
        <v>1</v>
      </c>
      <c r="J71" s="132">
        <f t="shared" si="1"/>
        <v>5.4557035244950738</v>
      </c>
      <c r="K71" s="39" t="str">
        <f>INDEX(powers!$H$2:$H$75,33+I71)</f>
        <v>dirac</v>
      </c>
      <c r="L71" s="40" t="str">
        <f t="shared" si="2"/>
        <v>5</v>
      </c>
      <c r="M71" s="24">
        <f t="shared" si="16"/>
        <v>5.4684422939408854</v>
      </c>
      <c r="N71" s="41" t="str">
        <f t="shared" si="3"/>
        <v>5</v>
      </c>
      <c r="O71" s="24">
        <f t="shared" si="17"/>
        <v>5.6213075272906252</v>
      </c>
      <c r="P71" s="41" t="str">
        <f t="shared" si="4"/>
        <v>5</v>
      </c>
      <c r="Q71" s="24">
        <f t="shared" si="18"/>
        <v>7.4556903274875026</v>
      </c>
      <c r="R71" s="41" t="str">
        <f t="shared" si="5"/>
        <v>7</v>
      </c>
      <c r="S71" s="24">
        <f t="shared" si="19"/>
        <v>5.4682839298500312</v>
      </c>
      <c r="T71" s="41" t="str">
        <f t="shared" si="6"/>
        <v>5</v>
      </c>
      <c r="U71" s="24">
        <f t="shared" si="20"/>
        <v>5.6194071582003744</v>
      </c>
      <c r="V71" s="41" t="str">
        <f t="shared" si="7"/>
        <v/>
      </c>
      <c r="W71" s="24">
        <f t="shared" si="21"/>
        <v>7.4328858984044928</v>
      </c>
      <c r="X71" s="41" t="str">
        <f t="shared" si="8"/>
        <v/>
      </c>
      <c r="Y71" s="24">
        <f t="shared" si="22"/>
        <v>5.1946307808539132</v>
      </c>
      <c r="Z71" s="41" t="str">
        <f t="shared" si="9"/>
        <v/>
      </c>
      <c r="AA71" s="24">
        <f t="shared" si="23"/>
        <v>2.335569370246958</v>
      </c>
      <c r="AB71" s="41" t="str">
        <f t="shared" si="10"/>
        <v/>
      </c>
      <c r="AC71" s="24">
        <f t="shared" si="24"/>
        <v>4.0268324429634959</v>
      </c>
      <c r="AD71" s="41" t="str">
        <f t="shared" si="11"/>
        <v/>
      </c>
      <c r="AE71" s="24">
        <f t="shared" si="25"/>
        <v>0.32198931556195021</v>
      </c>
      <c r="AF71" s="41" t="str">
        <f t="shared" si="12"/>
        <v/>
      </c>
      <c r="AG71" s="24">
        <f t="shared" si="26"/>
        <v>3.8638717867434025</v>
      </c>
      <c r="AH71" s="41" t="str">
        <f t="shared" si="13"/>
        <v/>
      </c>
      <c r="AI71" s="24">
        <f t="shared" si="27"/>
        <v>10.36646144092083</v>
      </c>
      <c r="AJ71" s="41" t="str">
        <f t="shared" si="14"/>
        <v/>
      </c>
    </row>
    <row r="72" spans="1:36" ht="13.5" customHeight="1">
      <c r="A72" s="384"/>
      <c r="B72" s="385"/>
      <c r="C72" s="386"/>
      <c r="D72" s="387"/>
      <c r="E72" s="386">
        <v>63.929144800000003</v>
      </c>
      <c r="F72" s="8">
        <v>9</v>
      </c>
      <c r="G72" s="21">
        <f t="shared" si="0"/>
        <v>64.015624460688159</v>
      </c>
      <c r="H72" s="37" t="str">
        <f t="shared" ref="H72:H121" si="28">L72&amp;";"&amp;N72&amp;P72&amp;R72&amp;T72&amp;V72&amp;X72&amp;Z72&amp;AB72&amp;AD72&amp;AF72&amp;AH72&amp;AJ72</f>
        <v>5;4022EEX48</v>
      </c>
      <c r="I72" s="38">
        <v>1</v>
      </c>
      <c r="J72" s="132">
        <f t="shared" si="1"/>
        <v>5.3346353717240129</v>
      </c>
      <c r="K72" s="39" t="str">
        <f>INDEX(powers!$H$2:$H$75,33+I72)</f>
        <v>dirac</v>
      </c>
      <c r="L72" s="40" t="str">
        <f t="shared" si="2"/>
        <v>5</v>
      </c>
      <c r="M72" s="24">
        <f t="shared" ref="M72:M121" si="29">(J72-INT(J72))*12</f>
        <v>4.015624460688155</v>
      </c>
      <c r="N72" s="41" t="str">
        <f t="shared" si="3"/>
        <v>4</v>
      </c>
      <c r="O72" s="24">
        <f t="shared" ref="O72:O121" si="30">(M72-INT(M72))*12</f>
        <v>0.18749352825786048</v>
      </c>
      <c r="P72" s="41" t="str">
        <f t="shared" si="4"/>
        <v>0</v>
      </c>
      <c r="Q72" s="24">
        <f t="shared" ref="Q72:Q121" si="31">(O72-INT(O72))*12</f>
        <v>2.2499223390943257</v>
      </c>
      <c r="R72" s="41" t="str">
        <f t="shared" si="5"/>
        <v>2</v>
      </c>
      <c r="S72" s="24">
        <f t="shared" ref="S72:S121" si="32">(Q72-INT(Q72))*12</f>
        <v>2.9990680691319085</v>
      </c>
      <c r="T72" s="41" t="str">
        <f t="shared" si="6"/>
        <v>2</v>
      </c>
      <c r="U72" s="24">
        <f t="shared" ref="U72:U121" si="33">(S72-INT(S72))*12</f>
        <v>11.988816829582902</v>
      </c>
      <c r="V72" s="41" t="str">
        <f t="shared" si="7"/>
        <v>E</v>
      </c>
      <c r="W72" s="24">
        <f t="shared" ref="W72:W121" si="34">(U72-INT(U72))*12</f>
        <v>11.865801954994822</v>
      </c>
      <c r="X72" s="41" t="str">
        <f t="shared" si="8"/>
        <v>E</v>
      </c>
      <c r="Y72" s="24">
        <f t="shared" ref="Y72:Y121" si="35">(W72-INT(W72))*12</f>
        <v>10.389623459937866</v>
      </c>
      <c r="Z72" s="41" t="str">
        <f t="shared" si="9"/>
        <v>X</v>
      </c>
      <c r="AA72" s="24">
        <f t="shared" ref="AA72:AA121" si="36">(Y72-INT(Y72))*12</f>
        <v>4.6754815192543902</v>
      </c>
      <c r="AB72" s="41" t="str">
        <f t="shared" si="10"/>
        <v>4</v>
      </c>
      <c r="AC72" s="24">
        <f t="shared" ref="AC72:AC121" si="37">(AA72-INT(AA72))*12</f>
        <v>8.1057782310526818</v>
      </c>
      <c r="AD72" s="41" t="str">
        <f t="shared" si="11"/>
        <v>8</v>
      </c>
      <c r="AE72" s="24">
        <f t="shared" ref="AE72:AE121" si="38">(AC72-INT(AC72))*12</f>
        <v>1.2693387726321816</v>
      </c>
      <c r="AF72" s="41" t="str">
        <f t="shared" si="12"/>
        <v/>
      </c>
      <c r="AG72" s="24">
        <f t="shared" ref="AG72:AG121" si="39">(AE72-INT(AE72))*12</f>
        <v>3.2320652715861797</v>
      </c>
      <c r="AH72" s="41" t="str">
        <f t="shared" si="13"/>
        <v/>
      </c>
      <c r="AI72" s="24">
        <f t="shared" ref="AI72:AI121" si="40">(AG72-INT(AG72))*12</f>
        <v>2.7847832590341568</v>
      </c>
      <c r="AJ72" s="41" t="str">
        <f t="shared" si="14"/>
        <v/>
      </c>
    </row>
    <row r="73" spans="1:36" ht="13.5" customHeight="1">
      <c r="A73" s="384" t="s">
        <v>872</v>
      </c>
      <c r="B73" s="385">
        <v>31</v>
      </c>
      <c r="C73" s="386" t="s">
        <v>871</v>
      </c>
      <c r="D73" s="387">
        <v>69.722999999999999</v>
      </c>
      <c r="E73" s="386"/>
      <c r="F73" s="8">
        <v>5</v>
      </c>
      <c r="G73" s="21">
        <f t="shared" si="0"/>
        <v>69.817317253907007</v>
      </c>
      <c r="H73" s="37" t="str">
        <f t="shared" si="28"/>
        <v>5;99984</v>
      </c>
      <c r="I73" s="38">
        <v>1</v>
      </c>
      <c r="J73" s="132">
        <f t="shared" si="1"/>
        <v>5.8181097711589169</v>
      </c>
      <c r="K73" s="39" t="str">
        <f>INDEX(powers!$H$2:$H$75,33+I73)</f>
        <v>dirac</v>
      </c>
      <c r="L73" s="40" t="str">
        <f t="shared" si="2"/>
        <v>5</v>
      </c>
      <c r="M73" s="24">
        <f t="shared" si="29"/>
        <v>9.817317253907003</v>
      </c>
      <c r="N73" s="41" t="str">
        <f t="shared" si="3"/>
        <v>9</v>
      </c>
      <c r="O73" s="24">
        <f t="shared" si="30"/>
        <v>9.8078070468840366</v>
      </c>
      <c r="P73" s="41" t="str">
        <f t="shared" si="4"/>
        <v>9</v>
      </c>
      <c r="Q73" s="24">
        <f t="shared" si="31"/>
        <v>9.6936845626084391</v>
      </c>
      <c r="R73" s="41" t="str">
        <f t="shared" si="5"/>
        <v>9</v>
      </c>
      <c r="S73" s="24">
        <f t="shared" si="32"/>
        <v>8.3242147513012696</v>
      </c>
      <c r="T73" s="41" t="str">
        <f t="shared" si="6"/>
        <v>8</v>
      </c>
      <c r="U73" s="24">
        <f t="shared" si="33"/>
        <v>3.8905770156152357</v>
      </c>
      <c r="V73" s="41" t="str">
        <f t="shared" si="7"/>
        <v>4</v>
      </c>
      <c r="W73" s="24">
        <f t="shared" si="34"/>
        <v>10.686924187382829</v>
      </c>
      <c r="X73" s="41" t="str">
        <f t="shared" si="8"/>
        <v/>
      </c>
      <c r="Y73" s="24">
        <f t="shared" si="35"/>
        <v>8.2430902485939441</v>
      </c>
      <c r="Z73" s="41" t="str">
        <f t="shared" si="9"/>
        <v/>
      </c>
      <c r="AA73" s="24">
        <f t="shared" si="36"/>
        <v>2.9170829831273295</v>
      </c>
      <c r="AB73" s="41" t="str">
        <f t="shared" si="10"/>
        <v/>
      </c>
      <c r="AC73" s="24">
        <f t="shared" si="37"/>
        <v>11.004995797527954</v>
      </c>
      <c r="AD73" s="41" t="str">
        <f t="shared" si="11"/>
        <v/>
      </c>
      <c r="AE73" s="24">
        <f t="shared" si="38"/>
        <v>5.9949570335447788E-2</v>
      </c>
      <c r="AF73" s="41" t="str">
        <f t="shared" si="12"/>
        <v/>
      </c>
      <c r="AG73" s="24">
        <f t="shared" si="39"/>
        <v>0.71939484402537346</v>
      </c>
      <c r="AH73" s="41" t="str">
        <f t="shared" si="13"/>
        <v/>
      </c>
      <c r="AI73" s="24">
        <f t="shared" si="40"/>
        <v>8.6327381283044815</v>
      </c>
      <c r="AJ73" s="41" t="str">
        <f t="shared" si="14"/>
        <v/>
      </c>
    </row>
    <row r="74" spans="1:36" ht="13.5" customHeight="1">
      <c r="A74" s="384"/>
      <c r="B74" s="385"/>
      <c r="C74" s="386"/>
      <c r="D74" s="387"/>
      <c r="E74" s="386">
        <v>68.925580999999994</v>
      </c>
      <c r="F74" s="8">
        <v>8</v>
      </c>
      <c r="G74" s="21">
        <f t="shared" ref="G74:G137" si="41">MAX(D74,E74)*G$7+0.0000000000001</f>
        <v>69.018819551466009</v>
      </c>
      <c r="H74" s="37" t="str">
        <f t="shared" si="28"/>
        <v>5;902862XE</v>
      </c>
      <c r="I74" s="38">
        <v>1</v>
      </c>
      <c r="J74" s="132">
        <f t="shared" ref="J74:J137" si="42">G74/POWER(12,I74)</f>
        <v>5.7515682959555008</v>
      </c>
      <c r="K74" s="39" t="str">
        <f>INDEX(powers!$H$2:$H$75,33+I74)</f>
        <v>dirac</v>
      </c>
      <c r="L74" s="40" t="str">
        <f t="shared" ref="L74:L137" si="43">IF($F74&gt;=L$9,MID($I$9,IF($F74&gt;L$9,INT(J74),ROUND(J74,0))+1,1),"")</f>
        <v>5</v>
      </c>
      <c r="M74" s="24">
        <f t="shared" si="29"/>
        <v>9.0188195514660094</v>
      </c>
      <c r="N74" s="41" t="str">
        <f t="shared" ref="N74:N137" si="44">IF($F74&gt;=N$9,MID($I$9,IF($F74&gt;N$9,INT(M74),ROUND(M74,0))+1,1),"")</f>
        <v>9</v>
      </c>
      <c r="O74" s="24">
        <f t="shared" si="30"/>
        <v>0.22583461759211332</v>
      </c>
      <c r="P74" s="41" t="str">
        <f t="shared" ref="P74:P137" si="45">IF($F74&gt;=P$9,MID($I$9,IF($F74&gt;P$9,INT(O74),ROUND(O74,0))+1,1),"")</f>
        <v>0</v>
      </c>
      <c r="Q74" s="24">
        <f t="shared" si="31"/>
        <v>2.7100154111053598</v>
      </c>
      <c r="R74" s="41" t="str">
        <f t="shared" ref="R74:R137" si="46">IF($F74&gt;=R$9,MID($I$9,IF($F74&gt;R$9,INT(Q74),ROUND(Q74,0))+1,1),"")</f>
        <v>2</v>
      </c>
      <c r="S74" s="24">
        <f t="shared" si="32"/>
        <v>8.5201849332643178</v>
      </c>
      <c r="T74" s="41" t="str">
        <f t="shared" ref="T74:T137" si="47">IF($F74&gt;=T$9,MID($I$9,IF($F74&gt;T$9,INT(S74),ROUND(S74,0))+1,1),"")</f>
        <v>8</v>
      </c>
      <c r="U74" s="24">
        <f t="shared" si="33"/>
        <v>6.2422191991718137</v>
      </c>
      <c r="V74" s="41" t="str">
        <f t="shared" ref="V74:V137" si="48">IF($F74&gt;=V$9,MID($I$9,IF($F74&gt;V$9,INT(U74),ROUND(U74,0))+1,1),"")</f>
        <v>6</v>
      </c>
      <c r="W74" s="24">
        <f t="shared" si="34"/>
        <v>2.906630390061764</v>
      </c>
      <c r="X74" s="41" t="str">
        <f t="shared" ref="X74:X137" si="49">IF($F74&gt;=X$9,MID($I$9,IF($F74&gt;X$9,INT(W74),ROUND(W74,0))+1,1),"")</f>
        <v>2</v>
      </c>
      <c r="Y74" s="24">
        <f t="shared" si="35"/>
        <v>10.879564680741169</v>
      </c>
      <c r="Z74" s="41" t="str">
        <f t="shared" ref="Z74:Z137" si="50">IF($F74&gt;=Z$9,MID($I$9,IF($F74&gt;Z$9,INT(Y74),ROUND(Y74,0))+1,1),"")</f>
        <v>X</v>
      </c>
      <c r="AA74" s="24">
        <f t="shared" si="36"/>
        <v>10.554776168894023</v>
      </c>
      <c r="AB74" s="41" t="str">
        <f t="shared" ref="AB74:AB137" si="51">IF($F74&gt;=AB$9,MID($I$9,IF($F74&gt;AB$9,INT(AA74),ROUND(AA74,0))+1,1),"")</f>
        <v>E</v>
      </c>
      <c r="AC74" s="24">
        <f t="shared" si="37"/>
        <v>6.6573140267282724</v>
      </c>
      <c r="AD74" s="41" t="str">
        <f t="shared" ref="AD74:AD137" si="52">IF($F74&gt;=AD$9,MID($I$9,IF($F74&gt;AD$9,INT(AC74),ROUND(AC74,0))+1,1),"")</f>
        <v/>
      </c>
      <c r="AE74" s="24">
        <f t="shared" si="38"/>
        <v>7.8877683207392693</v>
      </c>
      <c r="AF74" s="41" t="str">
        <f t="shared" ref="AF74:AF137" si="53">IF($F74&gt;=AF$9,MID($I$9,IF($F74&gt;AF$9,INT(AE74),ROUND(AE74,0))+1,1),"")</f>
        <v/>
      </c>
      <c r="AG74" s="24">
        <f t="shared" si="39"/>
        <v>10.653219848871231</v>
      </c>
      <c r="AH74" s="41" t="str">
        <f t="shared" ref="AH74:AH137" si="54">IF($F74&gt;=AH$9,MID($I$9,IF($F74&gt;AH$9,INT(AG74),ROUND(AG74,0))+1,1),"")</f>
        <v/>
      </c>
      <c r="AI74" s="24">
        <f t="shared" si="40"/>
        <v>7.8386381864547729</v>
      </c>
      <c r="AJ74" s="41" t="str">
        <f t="shared" ref="AJ74:AJ137" si="55">IF($F74&gt;=AJ$9,MID($I$9,IF($F74&gt;AJ$9,INT(AI74),ROUND(AI74,0))+1,1),"")</f>
        <v/>
      </c>
    </row>
    <row r="75" spans="1:36" ht="13.5" customHeight="1">
      <c r="A75" s="384" t="s">
        <v>874</v>
      </c>
      <c r="B75" s="385">
        <v>32</v>
      </c>
      <c r="C75" s="386" t="s">
        <v>873</v>
      </c>
      <c r="D75" s="387">
        <v>72.64</v>
      </c>
      <c r="E75" s="386"/>
      <c r="F75" s="8">
        <v>4</v>
      </c>
      <c r="G75" s="21">
        <f t="shared" si="41"/>
        <v>72.738263203301713</v>
      </c>
      <c r="H75" s="37" t="str">
        <f t="shared" si="28"/>
        <v>6;08X4</v>
      </c>
      <c r="I75" s="38">
        <v>1</v>
      </c>
      <c r="J75" s="132">
        <f t="shared" si="42"/>
        <v>6.0615219336084758</v>
      </c>
      <c r="K75" s="39" t="str">
        <f>INDEX(powers!$H$2:$H$75,33+I75)</f>
        <v>dirac</v>
      </c>
      <c r="L75" s="40" t="str">
        <f t="shared" si="43"/>
        <v>6</v>
      </c>
      <c r="M75" s="24">
        <f t="shared" si="29"/>
        <v>0.73826320330170958</v>
      </c>
      <c r="N75" s="41" t="str">
        <f t="shared" si="44"/>
        <v>0</v>
      </c>
      <c r="O75" s="24">
        <f t="shared" si="30"/>
        <v>8.859158439620515</v>
      </c>
      <c r="P75" s="41" t="str">
        <f t="shared" si="45"/>
        <v>8</v>
      </c>
      <c r="Q75" s="24">
        <f t="shared" si="31"/>
        <v>10.30990127544618</v>
      </c>
      <c r="R75" s="41" t="str">
        <f t="shared" si="46"/>
        <v>X</v>
      </c>
      <c r="S75" s="24">
        <f t="shared" si="32"/>
        <v>3.7188153053541555</v>
      </c>
      <c r="T75" s="41" t="str">
        <f t="shared" si="47"/>
        <v>4</v>
      </c>
      <c r="U75" s="24">
        <f t="shared" si="33"/>
        <v>8.625783664249866</v>
      </c>
      <c r="V75" s="41" t="str">
        <f t="shared" si="48"/>
        <v/>
      </c>
      <c r="W75" s="24">
        <f t="shared" si="34"/>
        <v>7.5094039709983917</v>
      </c>
      <c r="X75" s="41" t="str">
        <f t="shared" si="49"/>
        <v/>
      </c>
      <c r="Y75" s="24">
        <f t="shared" si="35"/>
        <v>6.1128476519807009</v>
      </c>
      <c r="Z75" s="41" t="str">
        <f t="shared" si="50"/>
        <v/>
      </c>
      <c r="AA75" s="24">
        <f t="shared" si="36"/>
        <v>1.3541718237684108</v>
      </c>
      <c r="AB75" s="41" t="str">
        <f t="shared" si="51"/>
        <v/>
      </c>
      <c r="AC75" s="24">
        <f t="shared" si="37"/>
        <v>4.25006188522093</v>
      </c>
      <c r="AD75" s="41" t="str">
        <f t="shared" si="52"/>
        <v/>
      </c>
      <c r="AE75" s="24">
        <f t="shared" si="38"/>
        <v>3.0007426226511598</v>
      </c>
      <c r="AF75" s="41" t="str">
        <f t="shared" si="53"/>
        <v/>
      </c>
      <c r="AG75" s="24">
        <f t="shared" si="39"/>
        <v>8.91147181391716E-3</v>
      </c>
      <c r="AH75" s="41" t="str">
        <f t="shared" si="54"/>
        <v/>
      </c>
      <c r="AI75" s="24">
        <f t="shared" si="40"/>
        <v>0.10693766176700592</v>
      </c>
      <c r="AJ75" s="41" t="str">
        <f t="shared" si="55"/>
        <v/>
      </c>
    </row>
    <row r="76" spans="1:36" ht="13.5" customHeight="1">
      <c r="A76" s="384"/>
      <c r="B76" s="385"/>
      <c r="C76" s="386"/>
      <c r="D76" s="387"/>
      <c r="E76" s="386">
        <v>73.921177400000005</v>
      </c>
      <c r="F76" s="8">
        <v>9</v>
      </c>
      <c r="G76" s="21">
        <f t="shared" si="41"/>
        <v>74.021173706210874</v>
      </c>
      <c r="H76" s="37" t="str">
        <f t="shared" si="28"/>
        <v>6;203070842</v>
      </c>
      <c r="I76" s="38">
        <v>1</v>
      </c>
      <c r="J76" s="132">
        <f t="shared" si="42"/>
        <v>6.1684311421842395</v>
      </c>
      <c r="K76" s="39" t="str">
        <f>INDEX(powers!$H$2:$H$75,33+I76)</f>
        <v>dirac</v>
      </c>
      <c r="L76" s="40" t="str">
        <f t="shared" si="43"/>
        <v>6</v>
      </c>
      <c r="M76" s="24">
        <f t="shared" si="29"/>
        <v>2.0211737062108739</v>
      </c>
      <c r="N76" s="41" t="str">
        <f t="shared" si="44"/>
        <v>2</v>
      </c>
      <c r="O76" s="24">
        <f t="shared" si="30"/>
        <v>0.25408447453048666</v>
      </c>
      <c r="P76" s="41" t="str">
        <f t="shared" si="45"/>
        <v>0</v>
      </c>
      <c r="Q76" s="24">
        <f t="shared" si="31"/>
        <v>3.0490136943658399</v>
      </c>
      <c r="R76" s="41" t="str">
        <f t="shared" si="46"/>
        <v>3</v>
      </c>
      <c r="S76" s="24">
        <f t="shared" si="32"/>
        <v>0.58816433239007893</v>
      </c>
      <c r="T76" s="41" t="str">
        <f t="shared" si="47"/>
        <v>0</v>
      </c>
      <c r="U76" s="24">
        <f t="shared" si="33"/>
        <v>7.0579719886809471</v>
      </c>
      <c r="V76" s="41" t="str">
        <f t="shared" si="48"/>
        <v>7</v>
      </c>
      <c r="W76" s="24">
        <f t="shared" si="34"/>
        <v>0.69566386417136528</v>
      </c>
      <c r="X76" s="41" t="str">
        <f t="shared" si="49"/>
        <v>0</v>
      </c>
      <c r="Y76" s="24">
        <f t="shared" si="35"/>
        <v>8.3479663700563833</v>
      </c>
      <c r="Z76" s="41" t="str">
        <f t="shared" si="50"/>
        <v>8</v>
      </c>
      <c r="AA76" s="24">
        <f t="shared" si="36"/>
        <v>4.1755964406765997</v>
      </c>
      <c r="AB76" s="41" t="str">
        <f t="shared" si="51"/>
        <v>4</v>
      </c>
      <c r="AC76" s="24">
        <f t="shared" si="37"/>
        <v>2.1071572881191969</v>
      </c>
      <c r="AD76" s="41" t="str">
        <f t="shared" si="52"/>
        <v>2</v>
      </c>
      <c r="AE76" s="24">
        <f t="shared" si="38"/>
        <v>1.2858874574303627</v>
      </c>
      <c r="AF76" s="41" t="str">
        <f t="shared" si="53"/>
        <v/>
      </c>
      <c r="AG76" s="24">
        <f t="shared" si="39"/>
        <v>3.4306494891643524</v>
      </c>
      <c r="AH76" s="41" t="str">
        <f t="shared" si="54"/>
        <v/>
      </c>
      <c r="AI76" s="24">
        <f t="shared" si="40"/>
        <v>5.167793869972229</v>
      </c>
      <c r="AJ76" s="41" t="str">
        <f t="shared" si="55"/>
        <v/>
      </c>
    </row>
    <row r="77" spans="1:36" ht="13.5" customHeight="1">
      <c r="A77" s="384" t="s">
        <v>876</v>
      </c>
      <c r="B77" s="385">
        <v>33</v>
      </c>
      <c r="C77" s="386" t="s">
        <v>875</v>
      </c>
      <c r="D77" s="387">
        <v>74.921599999999998</v>
      </c>
      <c r="E77" s="386"/>
      <c r="F77" s="8">
        <v>6</v>
      </c>
      <c r="G77" s="21">
        <f t="shared" si="41"/>
        <v>75.022949620215982</v>
      </c>
      <c r="H77" s="37" t="str">
        <f t="shared" si="28"/>
        <v>6;30337E</v>
      </c>
      <c r="I77" s="38">
        <v>1</v>
      </c>
      <c r="J77" s="132">
        <f t="shared" si="42"/>
        <v>6.2519124683513319</v>
      </c>
      <c r="K77" s="39" t="str">
        <f>INDEX(powers!$H$2:$H$75,33+I77)</f>
        <v>dirac</v>
      </c>
      <c r="L77" s="40" t="str">
        <f t="shared" si="43"/>
        <v>6</v>
      </c>
      <c r="M77" s="24">
        <f t="shared" si="29"/>
        <v>3.0229496202159822</v>
      </c>
      <c r="N77" s="41" t="str">
        <f t="shared" si="44"/>
        <v>3</v>
      </c>
      <c r="O77" s="24">
        <f t="shared" si="30"/>
        <v>0.27539544259178683</v>
      </c>
      <c r="P77" s="41" t="str">
        <f t="shared" si="45"/>
        <v>0</v>
      </c>
      <c r="Q77" s="24">
        <f t="shared" si="31"/>
        <v>3.304745311101442</v>
      </c>
      <c r="R77" s="41" t="str">
        <f t="shared" si="46"/>
        <v>3</v>
      </c>
      <c r="S77" s="24">
        <f t="shared" si="32"/>
        <v>3.6569437332173038</v>
      </c>
      <c r="T77" s="41" t="str">
        <f t="shared" si="47"/>
        <v>3</v>
      </c>
      <c r="U77" s="24">
        <f t="shared" si="33"/>
        <v>7.8833247986076458</v>
      </c>
      <c r="V77" s="41" t="str">
        <f t="shared" si="48"/>
        <v>7</v>
      </c>
      <c r="W77" s="24">
        <f t="shared" si="34"/>
        <v>10.599897583291749</v>
      </c>
      <c r="X77" s="41" t="str">
        <f t="shared" si="49"/>
        <v>E</v>
      </c>
      <c r="Y77" s="24">
        <f t="shared" si="35"/>
        <v>7.1987709995009936</v>
      </c>
      <c r="Z77" s="41" t="str">
        <f t="shared" si="50"/>
        <v/>
      </c>
      <c r="AA77" s="24">
        <f t="shared" si="36"/>
        <v>2.3852519940119237</v>
      </c>
      <c r="AB77" s="41" t="str">
        <f t="shared" si="51"/>
        <v/>
      </c>
      <c r="AC77" s="24">
        <f t="shared" si="37"/>
        <v>4.623023928143084</v>
      </c>
      <c r="AD77" s="41" t="str">
        <f t="shared" si="52"/>
        <v/>
      </c>
      <c r="AE77" s="24">
        <f t="shared" si="38"/>
        <v>7.4762871377170086</v>
      </c>
      <c r="AF77" s="41" t="str">
        <f t="shared" si="53"/>
        <v/>
      </c>
      <c r="AG77" s="24">
        <f t="shared" si="39"/>
        <v>5.7154456526041031</v>
      </c>
      <c r="AH77" s="41" t="str">
        <f t="shared" si="54"/>
        <v/>
      </c>
      <c r="AI77" s="24">
        <f t="shared" si="40"/>
        <v>8.5853478312492371</v>
      </c>
      <c r="AJ77" s="41" t="str">
        <f t="shared" si="55"/>
        <v/>
      </c>
    </row>
    <row r="78" spans="1:36" ht="13.5" customHeight="1">
      <c r="A78" s="384"/>
      <c r="B78" s="385"/>
      <c r="C78" s="386"/>
      <c r="D78" s="387"/>
      <c r="E78" s="386">
        <v>74.921599999999998</v>
      </c>
      <c r="F78" s="8">
        <v>6</v>
      </c>
      <c r="G78" s="21">
        <f t="shared" si="41"/>
        <v>75.022949620215982</v>
      </c>
      <c r="H78" s="37" t="str">
        <f t="shared" si="28"/>
        <v>6;30337E</v>
      </c>
      <c r="I78" s="38">
        <v>1</v>
      </c>
      <c r="J78" s="132">
        <f t="shared" si="42"/>
        <v>6.2519124683513319</v>
      </c>
      <c r="K78" s="39" t="str">
        <f>INDEX(powers!$H$2:$H$75,33+I78)</f>
        <v>dirac</v>
      </c>
      <c r="L78" s="40" t="str">
        <f t="shared" si="43"/>
        <v>6</v>
      </c>
      <c r="M78" s="24">
        <f t="shared" si="29"/>
        <v>3.0229496202159822</v>
      </c>
      <c r="N78" s="41" t="str">
        <f t="shared" si="44"/>
        <v>3</v>
      </c>
      <c r="O78" s="24">
        <f t="shared" si="30"/>
        <v>0.27539544259178683</v>
      </c>
      <c r="P78" s="41" t="str">
        <f t="shared" si="45"/>
        <v>0</v>
      </c>
      <c r="Q78" s="24">
        <f t="shared" si="31"/>
        <v>3.304745311101442</v>
      </c>
      <c r="R78" s="41" t="str">
        <f t="shared" si="46"/>
        <v>3</v>
      </c>
      <c r="S78" s="24">
        <f t="shared" si="32"/>
        <v>3.6569437332173038</v>
      </c>
      <c r="T78" s="41" t="str">
        <f t="shared" si="47"/>
        <v>3</v>
      </c>
      <c r="U78" s="24">
        <f t="shared" si="33"/>
        <v>7.8833247986076458</v>
      </c>
      <c r="V78" s="41" t="str">
        <f t="shared" si="48"/>
        <v>7</v>
      </c>
      <c r="W78" s="24">
        <f t="shared" si="34"/>
        <v>10.599897583291749</v>
      </c>
      <c r="X78" s="41" t="str">
        <f t="shared" si="49"/>
        <v>E</v>
      </c>
      <c r="Y78" s="24">
        <f t="shared" si="35"/>
        <v>7.1987709995009936</v>
      </c>
      <c r="Z78" s="41" t="str">
        <f t="shared" si="50"/>
        <v/>
      </c>
      <c r="AA78" s="24">
        <f t="shared" si="36"/>
        <v>2.3852519940119237</v>
      </c>
      <c r="AB78" s="41" t="str">
        <f t="shared" si="51"/>
        <v/>
      </c>
      <c r="AC78" s="24">
        <f t="shared" si="37"/>
        <v>4.623023928143084</v>
      </c>
      <c r="AD78" s="41" t="str">
        <f t="shared" si="52"/>
        <v/>
      </c>
      <c r="AE78" s="24">
        <f t="shared" si="38"/>
        <v>7.4762871377170086</v>
      </c>
      <c r="AF78" s="41" t="str">
        <f t="shared" si="53"/>
        <v/>
      </c>
      <c r="AG78" s="24">
        <f t="shared" si="39"/>
        <v>5.7154456526041031</v>
      </c>
      <c r="AH78" s="41" t="str">
        <f t="shared" si="54"/>
        <v/>
      </c>
      <c r="AI78" s="24">
        <f t="shared" si="40"/>
        <v>8.5853478312492371</v>
      </c>
      <c r="AJ78" s="41" t="str">
        <f t="shared" si="55"/>
        <v/>
      </c>
    </row>
    <row r="79" spans="1:36" ht="13.5" customHeight="1">
      <c r="A79" s="384" t="s">
        <v>878</v>
      </c>
      <c r="B79" s="385">
        <v>34</v>
      </c>
      <c r="C79" s="386" t="s">
        <v>877</v>
      </c>
      <c r="D79" s="387">
        <v>78.959999999999994</v>
      </c>
      <c r="E79" s="386"/>
      <c r="F79" s="8">
        <v>4</v>
      </c>
      <c r="G79" s="21">
        <f t="shared" si="41"/>
        <v>79.066812534866486</v>
      </c>
      <c r="H79" s="37" t="str">
        <f t="shared" si="28"/>
        <v>6;7097</v>
      </c>
      <c r="I79" s="38">
        <v>1</v>
      </c>
      <c r="J79" s="132">
        <f t="shared" si="42"/>
        <v>6.5889010445722072</v>
      </c>
      <c r="K79" s="39" t="str">
        <f>INDEX(powers!$H$2:$H$75,33+I79)</f>
        <v>dirac</v>
      </c>
      <c r="L79" s="40" t="str">
        <f t="shared" si="43"/>
        <v>6</v>
      </c>
      <c r="M79" s="24">
        <f t="shared" si="29"/>
        <v>7.0668125348664859</v>
      </c>
      <c r="N79" s="41" t="str">
        <f t="shared" si="44"/>
        <v>7</v>
      </c>
      <c r="O79" s="24">
        <f t="shared" si="30"/>
        <v>0.80175041839783034</v>
      </c>
      <c r="P79" s="41" t="str">
        <f t="shared" si="45"/>
        <v>0</v>
      </c>
      <c r="Q79" s="24">
        <f t="shared" si="31"/>
        <v>9.6210050207739641</v>
      </c>
      <c r="R79" s="41" t="str">
        <f t="shared" si="46"/>
        <v>9</v>
      </c>
      <c r="S79" s="24">
        <f t="shared" si="32"/>
        <v>7.4520602492875696</v>
      </c>
      <c r="T79" s="41" t="str">
        <f t="shared" si="47"/>
        <v>7</v>
      </c>
      <c r="U79" s="24">
        <f t="shared" si="33"/>
        <v>5.4247229914508353</v>
      </c>
      <c r="V79" s="41" t="str">
        <f t="shared" si="48"/>
        <v/>
      </c>
      <c r="W79" s="24">
        <f t="shared" si="34"/>
        <v>5.096675897410023</v>
      </c>
      <c r="X79" s="41" t="str">
        <f t="shared" si="49"/>
        <v/>
      </c>
      <c r="Y79" s="24">
        <f t="shared" si="35"/>
        <v>1.1601107689202763</v>
      </c>
      <c r="Z79" s="41" t="str">
        <f t="shared" si="50"/>
        <v/>
      </c>
      <c r="AA79" s="24">
        <f t="shared" si="36"/>
        <v>1.9213292270433158</v>
      </c>
      <c r="AB79" s="41" t="str">
        <f t="shared" si="51"/>
        <v/>
      </c>
      <c r="AC79" s="24">
        <f t="shared" si="37"/>
        <v>11.055950724519789</v>
      </c>
      <c r="AD79" s="41" t="str">
        <f t="shared" si="52"/>
        <v/>
      </c>
      <c r="AE79" s="24">
        <f t="shared" si="38"/>
        <v>0.67140869423747063</v>
      </c>
      <c r="AF79" s="41" t="str">
        <f t="shared" si="53"/>
        <v/>
      </c>
      <c r="AG79" s="24">
        <f t="shared" si="39"/>
        <v>8.0569043308496475</v>
      </c>
      <c r="AH79" s="41" t="str">
        <f t="shared" si="54"/>
        <v/>
      </c>
      <c r="AI79" s="24">
        <f t="shared" si="40"/>
        <v>0.68285197019577026</v>
      </c>
      <c r="AJ79" s="41" t="str">
        <f t="shared" si="55"/>
        <v/>
      </c>
    </row>
    <row r="80" spans="1:36" ht="13.5" customHeight="1">
      <c r="A80" s="384"/>
      <c r="B80" s="385"/>
      <c r="C80" s="386"/>
      <c r="D80" s="387"/>
      <c r="E80" s="386">
        <v>79.916519600000001</v>
      </c>
      <c r="F80" s="8">
        <v>9</v>
      </c>
      <c r="G80" s="21">
        <f t="shared" si="41"/>
        <v>80.024626059424818</v>
      </c>
      <c r="H80" s="37" t="str">
        <f t="shared" si="28"/>
        <v>6;803667903</v>
      </c>
      <c r="I80" s="38">
        <v>1</v>
      </c>
      <c r="J80" s="132">
        <f t="shared" si="42"/>
        <v>6.6687188382854012</v>
      </c>
      <c r="K80" s="39" t="str">
        <f>INDEX(powers!$H$2:$H$75,33+I80)</f>
        <v>dirac</v>
      </c>
      <c r="L80" s="40" t="str">
        <f t="shared" si="43"/>
        <v>6</v>
      </c>
      <c r="M80" s="24">
        <f t="shared" si="29"/>
        <v>8.0246260594248149</v>
      </c>
      <c r="N80" s="41" t="str">
        <f t="shared" si="44"/>
        <v>8</v>
      </c>
      <c r="O80" s="24">
        <f t="shared" si="30"/>
        <v>0.2955127130977786</v>
      </c>
      <c r="P80" s="41" t="str">
        <f t="shared" si="45"/>
        <v>0</v>
      </c>
      <c r="Q80" s="24">
        <f t="shared" si="31"/>
        <v>3.5461525571733432</v>
      </c>
      <c r="R80" s="41" t="str">
        <f t="shared" si="46"/>
        <v>3</v>
      </c>
      <c r="S80" s="24">
        <f t="shared" si="32"/>
        <v>6.5538306860801185</v>
      </c>
      <c r="T80" s="41" t="str">
        <f t="shared" si="47"/>
        <v>6</v>
      </c>
      <c r="U80" s="24">
        <f t="shared" si="33"/>
        <v>6.6459682329614225</v>
      </c>
      <c r="V80" s="41" t="str">
        <f t="shared" si="48"/>
        <v>6</v>
      </c>
      <c r="W80" s="24">
        <f t="shared" si="34"/>
        <v>7.7516187955370697</v>
      </c>
      <c r="X80" s="41" t="str">
        <f t="shared" si="49"/>
        <v>7</v>
      </c>
      <c r="Y80" s="24">
        <f t="shared" si="35"/>
        <v>9.0194255464448361</v>
      </c>
      <c r="Z80" s="41" t="str">
        <f t="shared" si="50"/>
        <v>9</v>
      </c>
      <c r="AA80" s="24">
        <f t="shared" si="36"/>
        <v>0.23310655733803287</v>
      </c>
      <c r="AB80" s="41" t="str">
        <f t="shared" si="51"/>
        <v>0</v>
      </c>
      <c r="AC80" s="24">
        <f t="shared" si="37"/>
        <v>2.7972786880563945</v>
      </c>
      <c r="AD80" s="41" t="str">
        <f t="shared" si="52"/>
        <v>3</v>
      </c>
      <c r="AE80" s="24">
        <f t="shared" si="38"/>
        <v>9.5673442566767335</v>
      </c>
      <c r="AF80" s="41" t="str">
        <f t="shared" si="53"/>
        <v/>
      </c>
      <c r="AG80" s="24">
        <f t="shared" si="39"/>
        <v>6.8081310801208019</v>
      </c>
      <c r="AH80" s="41" t="str">
        <f t="shared" si="54"/>
        <v/>
      </c>
      <c r="AI80" s="24">
        <f t="shared" si="40"/>
        <v>9.6975729614496231</v>
      </c>
      <c r="AJ80" s="41" t="str">
        <f t="shared" si="55"/>
        <v/>
      </c>
    </row>
    <row r="81" spans="1:36" ht="13.5" customHeight="1">
      <c r="A81" s="384" t="s">
        <v>880</v>
      </c>
      <c r="B81" s="385">
        <v>35</v>
      </c>
      <c r="C81" s="386" t="s">
        <v>879</v>
      </c>
      <c r="D81" s="387">
        <v>79.903999999999996</v>
      </c>
      <c r="E81" s="386"/>
      <c r="F81" s="8">
        <v>5</v>
      </c>
      <c r="G81" s="21">
        <f t="shared" si="41"/>
        <v>80.012089523631857</v>
      </c>
      <c r="H81" s="37" t="str">
        <f t="shared" si="28"/>
        <v>6;8018E</v>
      </c>
      <c r="I81" s="38">
        <v>1</v>
      </c>
      <c r="J81" s="132">
        <f t="shared" si="42"/>
        <v>6.6676741269693212</v>
      </c>
      <c r="K81" s="39" t="str">
        <f>INDEX(powers!$H$2:$H$75,33+I81)</f>
        <v>dirac</v>
      </c>
      <c r="L81" s="40" t="str">
        <f t="shared" si="43"/>
        <v>6</v>
      </c>
      <c r="M81" s="24">
        <f t="shared" si="29"/>
        <v>8.0120895236318539</v>
      </c>
      <c r="N81" s="41" t="str">
        <f t="shared" si="44"/>
        <v>8</v>
      </c>
      <c r="O81" s="24">
        <f t="shared" si="30"/>
        <v>0.14507428358224672</v>
      </c>
      <c r="P81" s="41" t="str">
        <f t="shared" si="45"/>
        <v>0</v>
      </c>
      <c r="Q81" s="24">
        <f t="shared" si="31"/>
        <v>1.7408914029869607</v>
      </c>
      <c r="R81" s="41" t="str">
        <f t="shared" si="46"/>
        <v>1</v>
      </c>
      <c r="S81" s="24">
        <f t="shared" si="32"/>
        <v>8.8906968358435279</v>
      </c>
      <c r="T81" s="41" t="str">
        <f t="shared" si="47"/>
        <v>8</v>
      </c>
      <c r="U81" s="24">
        <f t="shared" si="33"/>
        <v>10.688362030122335</v>
      </c>
      <c r="V81" s="41" t="str">
        <f t="shared" si="48"/>
        <v>E</v>
      </c>
      <c r="W81" s="24">
        <f t="shared" si="34"/>
        <v>8.2603443614680145</v>
      </c>
      <c r="X81" s="41" t="str">
        <f t="shared" si="49"/>
        <v/>
      </c>
      <c r="Y81" s="24">
        <f t="shared" si="35"/>
        <v>3.1241323376161745</v>
      </c>
      <c r="Z81" s="41" t="str">
        <f t="shared" si="50"/>
        <v/>
      </c>
      <c r="AA81" s="24">
        <f t="shared" si="36"/>
        <v>1.4895880513940938</v>
      </c>
      <c r="AB81" s="41" t="str">
        <f t="shared" si="51"/>
        <v/>
      </c>
      <c r="AC81" s="24">
        <f t="shared" si="37"/>
        <v>5.8750566167291254</v>
      </c>
      <c r="AD81" s="41" t="str">
        <f t="shared" si="52"/>
        <v/>
      </c>
      <c r="AE81" s="24">
        <f t="shared" si="38"/>
        <v>10.500679400749505</v>
      </c>
      <c r="AF81" s="41" t="str">
        <f t="shared" si="53"/>
        <v/>
      </c>
      <c r="AG81" s="24">
        <f t="shared" si="39"/>
        <v>6.0081528089940548</v>
      </c>
      <c r="AH81" s="41" t="str">
        <f t="shared" si="54"/>
        <v/>
      </c>
      <c r="AI81" s="24">
        <f t="shared" si="40"/>
        <v>9.7833707928657532E-2</v>
      </c>
      <c r="AJ81" s="41" t="str">
        <f t="shared" si="55"/>
        <v/>
      </c>
    </row>
    <row r="82" spans="1:36" ht="13.5" customHeight="1">
      <c r="A82" s="384"/>
      <c r="B82" s="385"/>
      <c r="C82" s="386"/>
      <c r="D82" s="387"/>
      <c r="E82" s="386">
        <v>78.918337600000001</v>
      </c>
      <c r="F82" s="8">
        <v>9</v>
      </c>
      <c r="G82" s="21">
        <f t="shared" si="41"/>
        <v>79.025093776374192</v>
      </c>
      <c r="H82" s="37" t="str">
        <f t="shared" si="28"/>
        <v>6;703744175</v>
      </c>
      <c r="I82" s="38">
        <v>1</v>
      </c>
      <c r="J82" s="132">
        <f t="shared" si="42"/>
        <v>6.585424481364516</v>
      </c>
      <c r="K82" s="39" t="str">
        <f>INDEX(powers!$H$2:$H$75,33+I82)</f>
        <v>dirac</v>
      </c>
      <c r="L82" s="40" t="str">
        <f t="shared" si="43"/>
        <v>6</v>
      </c>
      <c r="M82" s="24">
        <f t="shared" si="29"/>
        <v>7.0250937763741916</v>
      </c>
      <c r="N82" s="41" t="str">
        <f t="shared" si="44"/>
        <v>7</v>
      </c>
      <c r="O82" s="24">
        <f t="shared" si="30"/>
        <v>0.30112531649029961</v>
      </c>
      <c r="P82" s="41" t="str">
        <f t="shared" si="45"/>
        <v>0</v>
      </c>
      <c r="Q82" s="24">
        <f t="shared" si="31"/>
        <v>3.6135037978835953</v>
      </c>
      <c r="R82" s="41" t="str">
        <f t="shared" si="46"/>
        <v>3</v>
      </c>
      <c r="S82" s="24">
        <f t="shared" si="32"/>
        <v>7.3620455746031439</v>
      </c>
      <c r="T82" s="41" t="str">
        <f t="shared" si="47"/>
        <v>7</v>
      </c>
      <c r="U82" s="24">
        <f t="shared" si="33"/>
        <v>4.3445468952377269</v>
      </c>
      <c r="V82" s="41" t="str">
        <f t="shared" si="48"/>
        <v>4</v>
      </c>
      <c r="W82" s="24">
        <f t="shared" si="34"/>
        <v>4.1345627428527223</v>
      </c>
      <c r="X82" s="41" t="str">
        <f t="shared" si="49"/>
        <v>4</v>
      </c>
      <c r="Y82" s="24">
        <f t="shared" si="35"/>
        <v>1.6147529142326675</v>
      </c>
      <c r="Z82" s="41" t="str">
        <f t="shared" si="50"/>
        <v>1</v>
      </c>
      <c r="AA82" s="24">
        <f t="shared" si="36"/>
        <v>7.3770349707920104</v>
      </c>
      <c r="AB82" s="41" t="str">
        <f t="shared" si="51"/>
        <v>7</v>
      </c>
      <c r="AC82" s="24">
        <f t="shared" si="37"/>
        <v>4.5244196495041251</v>
      </c>
      <c r="AD82" s="41" t="str">
        <f t="shared" si="52"/>
        <v>5</v>
      </c>
      <c r="AE82" s="24">
        <f t="shared" si="38"/>
        <v>6.2930357940495014</v>
      </c>
      <c r="AF82" s="41" t="str">
        <f t="shared" si="53"/>
        <v/>
      </c>
      <c r="AG82" s="24">
        <f t="shared" si="39"/>
        <v>3.516429528594017</v>
      </c>
      <c r="AH82" s="41" t="str">
        <f t="shared" si="54"/>
        <v/>
      </c>
      <c r="AI82" s="24">
        <f t="shared" si="40"/>
        <v>6.1971543431282043</v>
      </c>
      <c r="AJ82" s="41" t="str">
        <f t="shared" si="55"/>
        <v/>
      </c>
    </row>
    <row r="83" spans="1:36" ht="13.5" customHeight="1">
      <c r="A83" s="384" t="s">
        <v>882</v>
      </c>
      <c r="B83" s="385">
        <v>36</v>
      </c>
      <c r="C83" s="386" t="s">
        <v>881</v>
      </c>
      <c r="D83" s="387">
        <v>83.798000000000002</v>
      </c>
      <c r="E83" s="386"/>
      <c r="F83" s="8">
        <v>5</v>
      </c>
      <c r="G83" s="21">
        <f t="shared" si="41"/>
        <v>83.911357102289031</v>
      </c>
      <c r="H83" s="37" t="str">
        <f t="shared" si="28"/>
        <v>6;EXE2X</v>
      </c>
      <c r="I83" s="38">
        <v>1</v>
      </c>
      <c r="J83" s="132">
        <f t="shared" si="42"/>
        <v>6.992613091857419</v>
      </c>
      <c r="K83" s="39" t="str">
        <f>INDEX(powers!$H$2:$H$75,33+I83)</f>
        <v>dirac</v>
      </c>
      <c r="L83" s="40" t="str">
        <f t="shared" si="43"/>
        <v>6</v>
      </c>
      <c r="M83" s="24">
        <f t="shared" si="29"/>
        <v>11.911357102289028</v>
      </c>
      <c r="N83" s="41" t="str">
        <f t="shared" si="44"/>
        <v>E</v>
      </c>
      <c r="O83" s="24">
        <f t="shared" si="30"/>
        <v>10.936285227468332</v>
      </c>
      <c r="P83" s="41" t="str">
        <f t="shared" si="45"/>
        <v>X</v>
      </c>
      <c r="Q83" s="24">
        <f t="shared" si="31"/>
        <v>11.235422729619984</v>
      </c>
      <c r="R83" s="41" t="str">
        <f t="shared" si="46"/>
        <v>E</v>
      </c>
      <c r="S83" s="24">
        <f t="shared" si="32"/>
        <v>2.8250727554398054</v>
      </c>
      <c r="T83" s="41" t="str">
        <f t="shared" si="47"/>
        <v>2</v>
      </c>
      <c r="U83" s="24">
        <f t="shared" si="33"/>
        <v>9.9008730652776649</v>
      </c>
      <c r="V83" s="41" t="str">
        <f t="shared" si="48"/>
        <v>X</v>
      </c>
      <c r="W83" s="24">
        <f t="shared" si="34"/>
        <v>10.810476783331978</v>
      </c>
      <c r="X83" s="41" t="str">
        <f t="shared" si="49"/>
        <v/>
      </c>
      <c r="Y83" s="24">
        <f t="shared" si="35"/>
        <v>9.7257213999837404</v>
      </c>
      <c r="Z83" s="41" t="str">
        <f t="shared" si="50"/>
        <v/>
      </c>
      <c r="AA83" s="24">
        <f t="shared" si="36"/>
        <v>8.7086567998048849</v>
      </c>
      <c r="AB83" s="41" t="str">
        <f t="shared" si="51"/>
        <v/>
      </c>
      <c r="AC83" s="24">
        <f t="shared" si="37"/>
        <v>8.5038815976586193</v>
      </c>
      <c r="AD83" s="41" t="str">
        <f t="shared" si="52"/>
        <v/>
      </c>
      <c r="AE83" s="24">
        <f t="shared" si="38"/>
        <v>6.0465791719034314</v>
      </c>
      <c r="AF83" s="41" t="str">
        <f t="shared" si="53"/>
        <v/>
      </c>
      <c r="AG83" s="24">
        <f t="shared" si="39"/>
        <v>0.55895006284117699</v>
      </c>
      <c r="AH83" s="41" t="str">
        <f t="shared" si="54"/>
        <v/>
      </c>
      <c r="AI83" s="24">
        <f t="shared" si="40"/>
        <v>6.7074007540941238</v>
      </c>
      <c r="AJ83" s="41" t="str">
        <f t="shared" si="55"/>
        <v/>
      </c>
    </row>
    <row r="84" spans="1:36" ht="13.5" customHeight="1">
      <c r="A84" s="384"/>
      <c r="B84" s="385"/>
      <c r="C84" s="386"/>
      <c r="D84" s="387"/>
      <c r="E84" s="386">
        <v>83.911507</v>
      </c>
      <c r="F84" s="8">
        <v>8</v>
      </c>
      <c r="G84" s="21">
        <f t="shared" si="41"/>
        <v>84.025017648013389</v>
      </c>
      <c r="H84" s="37" t="str">
        <f t="shared" si="28"/>
        <v>7;00372924</v>
      </c>
      <c r="I84" s="38">
        <v>1</v>
      </c>
      <c r="J84" s="132">
        <f t="shared" si="42"/>
        <v>7.0020848040011154</v>
      </c>
      <c r="K84" s="39" t="str">
        <f>INDEX(powers!$H$2:$H$75,33+I84)</f>
        <v>dirac</v>
      </c>
      <c r="L84" s="40" t="str">
        <f t="shared" si="43"/>
        <v>7</v>
      </c>
      <c r="M84" s="24">
        <f t="shared" si="29"/>
        <v>2.5017648013385241E-2</v>
      </c>
      <c r="N84" s="41" t="str">
        <f t="shared" si="44"/>
        <v>0</v>
      </c>
      <c r="O84" s="24">
        <f t="shared" si="30"/>
        <v>0.30021177616062289</v>
      </c>
      <c r="P84" s="41" t="str">
        <f t="shared" si="45"/>
        <v>0</v>
      </c>
      <c r="Q84" s="24">
        <f t="shared" si="31"/>
        <v>3.6025413139274747</v>
      </c>
      <c r="R84" s="41" t="str">
        <f t="shared" si="46"/>
        <v>3</v>
      </c>
      <c r="S84" s="24">
        <f t="shared" si="32"/>
        <v>7.2304957671296961</v>
      </c>
      <c r="T84" s="41" t="str">
        <f t="shared" si="47"/>
        <v>7</v>
      </c>
      <c r="U84" s="24">
        <f t="shared" si="33"/>
        <v>2.7659492055563533</v>
      </c>
      <c r="V84" s="41" t="str">
        <f t="shared" si="48"/>
        <v>2</v>
      </c>
      <c r="W84" s="24">
        <f t="shared" si="34"/>
        <v>9.1913904666762392</v>
      </c>
      <c r="X84" s="41" t="str">
        <f t="shared" si="49"/>
        <v>9</v>
      </c>
      <c r="Y84" s="24">
        <f t="shared" si="35"/>
        <v>2.2966856001148699</v>
      </c>
      <c r="Z84" s="41" t="str">
        <f t="shared" si="50"/>
        <v>2</v>
      </c>
      <c r="AA84" s="24">
        <f t="shared" si="36"/>
        <v>3.5602272013784386</v>
      </c>
      <c r="AB84" s="41" t="str">
        <f t="shared" si="51"/>
        <v>4</v>
      </c>
      <c r="AC84" s="24">
        <f t="shared" si="37"/>
        <v>6.7227264165412635</v>
      </c>
      <c r="AD84" s="41" t="str">
        <f t="shared" si="52"/>
        <v/>
      </c>
      <c r="AE84" s="24">
        <f t="shared" si="38"/>
        <v>8.6727169984951615</v>
      </c>
      <c r="AF84" s="41" t="str">
        <f t="shared" si="53"/>
        <v/>
      </c>
      <c r="AG84" s="24">
        <f t="shared" si="39"/>
        <v>8.0726039819419384</v>
      </c>
      <c r="AH84" s="41" t="str">
        <f t="shared" si="54"/>
        <v/>
      </c>
      <c r="AI84" s="24">
        <f t="shared" si="40"/>
        <v>0.8712477833032608</v>
      </c>
      <c r="AJ84" s="41" t="str">
        <f t="shared" si="55"/>
        <v/>
      </c>
    </row>
    <row r="85" spans="1:36" ht="13.5" customHeight="1">
      <c r="A85" s="384" t="s">
        <v>884</v>
      </c>
      <c r="B85" s="385">
        <v>37</v>
      </c>
      <c r="C85" s="386" t="s">
        <v>883</v>
      </c>
      <c r="D85" s="387">
        <v>85.467799999999997</v>
      </c>
      <c r="E85" s="386"/>
      <c r="F85" s="8">
        <v>6</v>
      </c>
      <c r="G85" s="21">
        <f t="shared" si="41"/>
        <v>85.583415911442017</v>
      </c>
      <c r="H85" s="37" t="str">
        <f t="shared" si="28"/>
        <v>7;170019</v>
      </c>
      <c r="I85" s="38">
        <v>1</v>
      </c>
      <c r="J85" s="132">
        <f t="shared" si="42"/>
        <v>7.1319513259535015</v>
      </c>
      <c r="K85" s="39" t="str">
        <f>INDEX(powers!$H$2:$H$75,33+I85)</f>
        <v>dirac</v>
      </c>
      <c r="L85" s="40" t="str">
        <f t="shared" si="43"/>
        <v>7</v>
      </c>
      <c r="M85" s="24">
        <f t="shared" si="29"/>
        <v>1.5834159114420174</v>
      </c>
      <c r="N85" s="41" t="str">
        <f t="shared" si="44"/>
        <v>1</v>
      </c>
      <c r="O85" s="24">
        <f t="shared" si="30"/>
        <v>7.0009909373042092</v>
      </c>
      <c r="P85" s="41" t="str">
        <f t="shared" si="45"/>
        <v>7</v>
      </c>
      <c r="Q85" s="24">
        <f t="shared" si="31"/>
        <v>1.1891247650510195E-2</v>
      </c>
      <c r="R85" s="41" t="str">
        <f t="shared" si="46"/>
        <v>0</v>
      </c>
      <c r="S85" s="24">
        <f t="shared" si="32"/>
        <v>0.14269497180612234</v>
      </c>
      <c r="T85" s="41" t="str">
        <f t="shared" si="47"/>
        <v>0</v>
      </c>
      <c r="U85" s="24">
        <f t="shared" si="33"/>
        <v>1.7123396616734681</v>
      </c>
      <c r="V85" s="41" t="str">
        <f t="shared" si="48"/>
        <v>1</v>
      </c>
      <c r="W85" s="24">
        <f t="shared" si="34"/>
        <v>8.5480759400816169</v>
      </c>
      <c r="X85" s="41" t="str">
        <f t="shared" si="49"/>
        <v>9</v>
      </c>
      <c r="Y85" s="24">
        <f t="shared" si="35"/>
        <v>6.5769112809794024</v>
      </c>
      <c r="Z85" s="41" t="str">
        <f t="shared" si="50"/>
        <v/>
      </c>
      <c r="AA85" s="24">
        <f t="shared" si="36"/>
        <v>6.9229353717528284</v>
      </c>
      <c r="AB85" s="41" t="str">
        <f t="shared" si="51"/>
        <v/>
      </c>
      <c r="AC85" s="24">
        <f t="shared" si="37"/>
        <v>11.07522446103394</v>
      </c>
      <c r="AD85" s="41" t="str">
        <f t="shared" si="52"/>
        <v/>
      </c>
      <c r="AE85" s="24">
        <f t="shared" si="38"/>
        <v>0.90269353240728378</v>
      </c>
      <c r="AF85" s="41" t="str">
        <f t="shared" si="53"/>
        <v/>
      </c>
      <c r="AG85" s="24">
        <f t="shared" si="39"/>
        <v>10.832322388887405</v>
      </c>
      <c r="AH85" s="41" t="str">
        <f t="shared" si="54"/>
        <v/>
      </c>
      <c r="AI85" s="24">
        <f t="shared" si="40"/>
        <v>9.9878686666488647</v>
      </c>
      <c r="AJ85" s="41" t="str">
        <f t="shared" si="55"/>
        <v/>
      </c>
    </row>
    <row r="86" spans="1:36" ht="13.5" customHeight="1">
      <c r="A86" s="384"/>
      <c r="B86" s="385"/>
      <c r="C86" s="386"/>
      <c r="D86" s="387"/>
      <c r="E86" s="386">
        <v>84.911789299999995</v>
      </c>
      <c r="F86" s="8">
        <v>9</v>
      </c>
      <c r="G86" s="21">
        <f t="shared" si="41"/>
        <v>85.02665307222874</v>
      </c>
      <c r="H86" s="37" t="str">
        <f t="shared" si="28"/>
        <v>7;103X08179</v>
      </c>
      <c r="I86" s="38">
        <v>1</v>
      </c>
      <c r="J86" s="132">
        <f t="shared" si="42"/>
        <v>7.0855544226857283</v>
      </c>
      <c r="K86" s="39" t="str">
        <f>INDEX(powers!$H$2:$H$75,33+I86)</f>
        <v>dirac</v>
      </c>
      <c r="L86" s="40" t="str">
        <f t="shared" si="43"/>
        <v>7</v>
      </c>
      <c r="M86" s="24">
        <f t="shared" si="29"/>
        <v>1.0266530722287399</v>
      </c>
      <c r="N86" s="41" t="str">
        <f t="shared" si="44"/>
        <v>1</v>
      </c>
      <c r="O86" s="24">
        <f t="shared" si="30"/>
        <v>0.31983686674487899</v>
      </c>
      <c r="P86" s="41" t="str">
        <f t="shared" si="45"/>
        <v>0</v>
      </c>
      <c r="Q86" s="24">
        <f t="shared" si="31"/>
        <v>3.8380424009385479</v>
      </c>
      <c r="R86" s="41" t="str">
        <f t="shared" si="46"/>
        <v>3</v>
      </c>
      <c r="S86" s="24">
        <f t="shared" si="32"/>
        <v>10.056508811262574</v>
      </c>
      <c r="T86" s="41" t="str">
        <f t="shared" si="47"/>
        <v>X</v>
      </c>
      <c r="U86" s="24">
        <f t="shared" si="33"/>
        <v>0.67810573515089345</v>
      </c>
      <c r="V86" s="41" t="str">
        <f t="shared" si="48"/>
        <v>0</v>
      </c>
      <c r="W86" s="24">
        <f t="shared" si="34"/>
        <v>8.1372688218107214</v>
      </c>
      <c r="X86" s="41" t="str">
        <f t="shared" si="49"/>
        <v>8</v>
      </c>
      <c r="Y86" s="24">
        <f t="shared" si="35"/>
        <v>1.647225861728657</v>
      </c>
      <c r="Z86" s="41" t="str">
        <f t="shared" si="50"/>
        <v>1</v>
      </c>
      <c r="AA86" s="24">
        <f t="shared" si="36"/>
        <v>7.7667103407438844</v>
      </c>
      <c r="AB86" s="41" t="str">
        <f t="shared" si="51"/>
        <v>7</v>
      </c>
      <c r="AC86" s="24">
        <f t="shared" si="37"/>
        <v>9.2005240889266133</v>
      </c>
      <c r="AD86" s="41" t="str">
        <f t="shared" si="52"/>
        <v>9</v>
      </c>
      <c r="AE86" s="24">
        <f t="shared" si="38"/>
        <v>2.40628906711936</v>
      </c>
      <c r="AF86" s="41" t="str">
        <f t="shared" si="53"/>
        <v/>
      </c>
      <c r="AG86" s="24">
        <f t="shared" si="39"/>
        <v>4.8754688054323196</v>
      </c>
      <c r="AH86" s="41" t="str">
        <f t="shared" si="54"/>
        <v/>
      </c>
      <c r="AI86" s="24">
        <f t="shared" si="40"/>
        <v>10.505625665187836</v>
      </c>
      <c r="AJ86" s="41" t="str">
        <f t="shared" si="55"/>
        <v/>
      </c>
    </row>
    <row r="87" spans="1:36" ht="13.5" customHeight="1">
      <c r="A87" s="384" t="s">
        <v>886</v>
      </c>
      <c r="B87" s="385">
        <v>38</v>
      </c>
      <c r="C87" s="386" t="s">
        <v>885</v>
      </c>
      <c r="D87" s="387">
        <v>87.62</v>
      </c>
      <c r="E87" s="386"/>
      <c r="F87" s="8">
        <v>4</v>
      </c>
      <c r="G87" s="21">
        <f t="shared" si="41"/>
        <v>87.738527283498001</v>
      </c>
      <c r="H87" s="37" t="str">
        <f t="shared" si="28"/>
        <v>7;38X4</v>
      </c>
      <c r="I87" s="38">
        <v>1</v>
      </c>
      <c r="J87" s="132">
        <f t="shared" si="42"/>
        <v>7.3115439402915001</v>
      </c>
      <c r="K87" s="39" t="str">
        <f>INDEX(powers!$H$2:$H$75,33+I87)</f>
        <v>dirac</v>
      </c>
      <c r="L87" s="40" t="str">
        <f t="shared" si="43"/>
        <v>7</v>
      </c>
      <c r="M87" s="24">
        <f t="shared" si="29"/>
        <v>3.7385272834980015</v>
      </c>
      <c r="N87" s="41" t="str">
        <f t="shared" si="44"/>
        <v>3</v>
      </c>
      <c r="O87" s="24">
        <f t="shared" si="30"/>
        <v>8.8623274019760174</v>
      </c>
      <c r="P87" s="41" t="str">
        <f t="shared" si="45"/>
        <v>8</v>
      </c>
      <c r="Q87" s="24">
        <f t="shared" si="31"/>
        <v>10.347928823712209</v>
      </c>
      <c r="R87" s="41" t="str">
        <f t="shared" si="46"/>
        <v>X</v>
      </c>
      <c r="S87" s="24">
        <f t="shared" si="32"/>
        <v>4.1751458845465095</v>
      </c>
      <c r="T87" s="41" t="str">
        <f t="shared" si="47"/>
        <v>4</v>
      </c>
      <c r="U87" s="24">
        <f t="shared" si="33"/>
        <v>2.1017506145581137</v>
      </c>
      <c r="V87" s="41" t="str">
        <f t="shared" si="48"/>
        <v/>
      </c>
      <c r="W87" s="24">
        <f t="shared" si="34"/>
        <v>1.2210073746973649</v>
      </c>
      <c r="X87" s="41" t="str">
        <f t="shared" si="49"/>
        <v/>
      </c>
      <c r="Y87" s="24">
        <f t="shared" si="35"/>
        <v>2.6520884963683784</v>
      </c>
      <c r="Z87" s="41" t="str">
        <f t="shared" si="50"/>
        <v/>
      </c>
      <c r="AA87" s="24">
        <f t="shared" si="36"/>
        <v>7.8250619564205408</v>
      </c>
      <c r="AB87" s="41" t="str">
        <f t="shared" si="51"/>
        <v/>
      </c>
      <c r="AC87" s="24">
        <f t="shared" si="37"/>
        <v>9.9007434770464897</v>
      </c>
      <c r="AD87" s="41" t="str">
        <f t="shared" si="52"/>
        <v/>
      </c>
      <c r="AE87" s="24">
        <f t="shared" si="38"/>
        <v>10.808921724557877</v>
      </c>
      <c r="AF87" s="41" t="str">
        <f t="shared" si="53"/>
        <v/>
      </c>
      <c r="AG87" s="24">
        <f t="shared" si="39"/>
        <v>9.707060694694519</v>
      </c>
      <c r="AH87" s="41" t="str">
        <f t="shared" si="54"/>
        <v/>
      </c>
      <c r="AI87" s="24">
        <f t="shared" si="40"/>
        <v>8.4847283363342285</v>
      </c>
      <c r="AJ87" s="41" t="str">
        <f t="shared" si="55"/>
        <v/>
      </c>
    </row>
    <row r="88" spans="1:36" ht="13.5" customHeight="1">
      <c r="A88" s="384"/>
      <c r="B88" s="385"/>
      <c r="C88" s="386"/>
      <c r="D88" s="387"/>
      <c r="E88" s="386">
        <v>87.905614299999996</v>
      </c>
      <c r="F88" s="8">
        <v>9</v>
      </c>
      <c r="G88" s="21">
        <f t="shared" si="41"/>
        <v>88.024527946053425</v>
      </c>
      <c r="H88" s="37" t="str">
        <f t="shared" si="28"/>
        <v>7;403647408</v>
      </c>
      <c r="I88" s="38">
        <v>1</v>
      </c>
      <c r="J88" s="132">
        <f t="shared" si="42"/>
        <v>7.3353773288377857</v>
      </c>
      <c r="K88" s="39" t="str">
        <f>INDEX(powers!$H$2:$H$75,33+I88)</f>
        <v>dirac</v>
      </c>
      <c r="L88" s="40" t="str">
        <f t="shared" si="43"/>
        <v>7</v>
      </c>
      <c r="M88" s="24">
        <f t="shared" si="29"/>
        <v>4.0245279460534285</v>
      </c>
      <c r="N88" s="41" t="str">
        <f t="shared" si="44"/>
        <v>4</v>
      </c>
      <c r="O88" s="24">
        <f t="shared" si="30"/>
        <v>0.29433535264114141</v>
      </c>
      <c r="P88" s="41" t="str">
        <f t="shared" si="45"/>
        <v>0</v>
      </c>
      <c r="Q88" s="24">
        <f t="shared" si="31"/>
        <v>3.5320242316936969</v>
      </c>
      <c r="R88" s="41" t="str">
        <f t="shared" si="46"/>
        <v>3</v>
      </c>
      <c r="S88" s="24">
        <f t="shared" si="32"/>
        <v>6.3842907803243634</v>
      </c>
      <c r="T88" s="41" t="str">
        <f t="shared" si="47"/>
        <v>6</v>
      </c>
      <c r="U88" s="24">
        <f t="shared" si="33"/>
        <v>4.6114893638923604</v>
      </c>
      <c r="V88" s="41" t="str">
        <f t="shared" si="48"/>
        <v>4</v>
      </c>
      <c r="W88" s="24">
        <f t="shared" si="34"/>
        <v>7.337872366708325</v>
      </c>
      <c r="X88" s="41" t="str">
        <f t="shared" si="49"/>
        <v>7</v>
      </c>
      <c r="Y88" s="24">
        <f t="shared" si="35"/>
        <v>4.0544684004998999</v>
      </c>
      <c r="Z88" s="41" t="str">
        <f t="shared" si="50"/>
        <v>4</v>
      </c>
      <c r="AA88" s="24">
        <f t="shared" si="36"/>
        <v>0.65362080599879846</v>
      </c>
      <c r="AB88" s="41" t="str">
        <f t="shared" si="51"/>
        <v>0</v>
      </c>
      <c r="AC88" s="24">
        <f t="shared" si="37"/>
        <v>7.8434496719855815</v>
      </c>
      <c r="AD88" s="41" t="str">
        <f t="shared" si="52"/>
        <v>8</v>
      </c>
      <c r="AE88" s="24">
        <f t="shared" si="38"/>
        <v>10.121396063826978</v>
      </c>
      <c r="AF88" s="41" t="str">
        <f t="shared" si="53"/>
        <v/>
      </c>
      <c r="AG88" s="24">
        <f t="shared" si="39"/>
        <v>1.4567527659237385</v>
      </c>
      <c r="AH88" s="41" t="str">
        <f t="shared" si="54"/>
        <v/>
      </c>
      <c r="AI88" s="24">
        <f t="shared" si="40"/>
        <v>5.4810331910848618</v>
      </c>
      <c r="AJ88" s="41" t="str">
        <f t="shared" si="55"/>
        <v/>
      </c>
    </row>
    <row r="89" spans="1:36" ht="13.5" customHeight="1">
      <c r="A89" s="384" t="s">
        <v>888</v>
      </c>
      <c r="B89" s="385">
        <v>39</v>
      </c>
      <c r="C89" s="386" t="s">
        <v>887</v>
      </c>
      <c r="D89" s="387">
        <v>88.905850000000001</v>
      </c>
      <c r="E89" s="386"/>
      <c r="F89" s="8">
        <v>7</v>
      </c>
      <c r="G89" s="21">
        <f t="shared" si="41"/>
        <v>89.026116707230997</v>
      </c>
      <c r="H89" s="37" t="str">
        <f t="shared" si="28"/>
        <v>7;5039168</v>
      </c>
      <c r="I89" s="38">
        <v>1</v>
      </c>
      <c r="J89" s="132">
        <f t="shared" si="42"/>
        <v>7.4188430589359164</v>
      </c>
      <c r="K89" s="39" t="str">
        <f>INDEX(powers!$H$2:$H$75,33+I89)</f>
        <v>dirac</v>
      </c>
      <c r="L89" s="40" t="str">
        <f t="shared" si="43"/>
        <v>7</v>
      </c>
      <c r="M89" s="24">
        <f t="shared" si="29"/>
        <v>5.0261167072309973</v>
      </c>
      <c r="N89" s="41" t="str">
        <f t="shared" si="44"/>
        <v>5</v>
      </c>
      <c r="O89" s="24">
        <f t="shared" si="30"/>
        <v>0.31340048677196819</v>
      </c>
      <c r="P89" s="41" t="str">
        <f t="shared" si="45"/>
        <v>0</v>
      </c>
      <c r="Q89" s="24">
        <f t="shared" si="31"/>
        <v>3.7608058412636183</v>
      </c>
      <c r="R89" s="41" t="str">
        <f t="shared" si="46"/>
        <v>3</v>
      </c>
      <c r="S89" s="24">
        <f t="shared" si="32"/>
        <v>9.1296700951634193</v>
      </c>
      <c r="T89" s="41" t="str">
        <f t="shared" si="47"/>
        <v>9</v>
      </c>
      <c r="U89" s="24">
        <f t="shared" si="33"/>
        <v>1.5560411419610318</v>
      </c>
      <c r="V89" s="41" t="str">
        <f t="shared" si="48"/>
        <v>1</v>
      </c>
      <c r="W89" s="24">
        <f t="shared" si="34"/>
        <v>6.6724937035323819</v>
      </c>
      <c r="X89" s="41" t="str">
        <f t="shared" si="49"/>
        <v>6</v>
      </c>
      <c r="Y89" s="24">
        <f t="shared" si="35"/>
        <v>8.069924442388583</v>
      </c>
      <c r="Z89" s="41" t="str">
        <f t="shared" si="50"/>
        <v>8</v>
      </c>
      <c r="AA89" s="24">
        <f t="shared" si="36"/>
        <v>0.8390933086629957</v>
      </c>
      <c r="AB89" s="41" t="str">
        <f t="shared" si="51"/>
        <v/>
      </c>
      <c r="AC89" s="24">
        <f t="shared" si="37"/>
        <v>10.069119703955948</v>
      </c>
      <c r="AD89" s="41" t="str">
        <f t="shared" si="52"/>
        <v/>
      </c>
      <c r="AE89" s="24">
        <f t="shared" si="38"/>
        <v>0.82943644747138023</v>
      </c>
      <c r="AF89" s="41" t="str">
        <f t="shared" si="53"/>
        <v/>
      </c>
      <c r="AG89" s="24">
        <f t="shared" si="39"/>
        <v>9.9532373696565628</v>
      </c>
      <c r="AH89" s="41" t="str">
        <f t="shared" si="54"/>
        <v/>
      </c>
      <c r="AI89" s="24">
        <f t="shared" si="40"/>
        <v>11.438848435878754</v>
      </c>
      <c r="AJ89" s="41" t="str">
        <f t="shared" si="55"/>
        <v/>
      </c>
    </row>
    <row r="90" spans="1:36" ht="13.5" customHeight="1">
      <c r="A90" s="384"/>
      <c r="B90" s="385"/>
      <c r="C90" s="386"/>
      <c r="D90" s="387"/>
      <c r="E90" s="386">
        <v>88.905850000000001</v>
      </c>
      <c r="F90" s="8">
        <v>7</v>
      </c>
      <c r="G90" s="21">
        <f t="shared" si="41"/>
        <v>89.026116707230997</v>
      </c>
      <c r="H90" s="37" t="str">
        <f t="shared" si="28"/>
        <v>7;5039168</v>
      </c>
      <c r="I90" s="38">
        <v>1</v>
      </c>
      <c r="J90" s="132">
        <f t="shared" si="42"/>
        <v>7.4188430589359164</v>
      </c>
      <c r="K90" s="39" t="str">
        <f>INDEX(powers!$H$2:$H$75,33+I90)</f>
        <v>dirac</v>
      </c>
      <c r="L90" s="40" t="str">
        <f t="shared" si="43"/>
        <v>7</v>
      </c>
      <c r="M90" s="24">
        <f t="shared" si="29"/>
        <v>5.0261167072309973</v>
      </c>
      <c r="N90" s="41" t="str">
        <f t="shared" si="44"/>
        <v>5</v>
      </c>
      <c r="O90" s="24">
        <f t="shared" si="30"/>
        <v>0.31340048677196819</v>
      </c>
      <c r="P90" s="41" t="str">
        <f t="shared" si="45"/>
        <v>0</v>
      </c>
      <c r="Q90" s="24">
        <f t="shared" si="31"/>
        <v>3.7608058412636183</v>
      </c>
      <c r="R90" s="41" t="str">
        <f t="shared" si="46"/>
        <v>3</v>
      </c>
      <c r="S90" s="24">
        <f t="shared" si="32"/>
        <v>9.1296700951634193</v>
      </c>
      <c r="T90" s="41" t="str">
        <f t="shared" si="47"/>
        <v>9</v>
      </c>
      <c r="U90" s="24">
        <f t="shared" si="33"/>
        <v>1.5560411419610318</v>
      </c>
      <c r="V90" s="41" t="str">
        <f t="shared" si="48"/>
        <v>1</v>
      </c>
      <c r="W90" s="24">
        <f t="shared" si="34"/>
        <v>6.6724937035323819</v>
      </c>
      <c r="X90" s="41" t="str">
        <f t="shared" si="49"/>
        <v>6</v>
      </c>
      <c r="Y90" s="24">
        <f t="shared" si="35"/>
        <v>8.069924442388583</v>
      </c>
      <c r="Z90" s="41" t="str">
        <f t="shared" si="50"/>
        <v>8</v>
      </c>
      <c r="AA90" s="24">
        <f t="shared" si="36"/>
        <v>0.8390933086629957</v>
      </c>
      <c r="AB90" s="41" t="str">
        <f t="shared" si="51"/>
        <v/>
      </c>
      <c r="AC90" s="24">
        <f t="shared" si="37"/>
        <v>10.069119703955948</v>
      </c>
      <c r="AD90" s="41" t="str">
        <f t="shared" si="52"/>
        <v/>
      </c>
      <c r="AE90" s="24">
        <f t="shared" si="38"/>
        <v>0.82943644747138023</v>
      </c>
      <c r="AF90" s="41" t="str">
        <f t="shared" si="53"/>
        <v/>
      </c>
      <c r="AG90" s="24">
        <f t="shared" si="39"/>
        <v>9.9532373696565628</v>
      </c>
      <c r="AH90" s="41" t="str">
        <f t="shared" si="54"/>
        <v/>
      </c>
      <c r="AI90" s="24">
        <f t="shared" si="40"/>
        <v>11.438848435878754</v>
      </c>
      <c r="AJ90" s="41" t="str">
        <f t="shared" si="55"/>
        <v/>
      </c>
    </row>
    <row r="91" spans="1:36" ht="13.5" customHeight="1">
      <c r="A91" s="384" t="s">
        <v>890</v>
      </c>
      <c r="B91" s="385">
        <v>40</v>
      </c>
      <c r="C91" s="386" t="s">
        <v>889</v>
      </c>
      <c r="D91" s="387">
        <v>91.224000000000004</v>
      </c>
      <c r="E91" s="386"/>
      <c r="F91" s="8">
        <v>5</v>
      </c>
      <c r="G91" s="21">
        <f t="shared" si="41"/>
        <v>91.347402566877662</v>
      </c>
      <c r="H91" s="37" t="str">
        <f t="shared" si="28"/>
        <v>7;74204</v>
      </c>
      <c r="I91" s="38">
        <v>1</v>
      </c>
      <c r="J91" s="132">
        <f t="shared" si="42"/>
        <v>7.6122835472398052</v>
      </c>
      <c r="K91" s="39" t="str">
        <f>INDEX(powers!$H$2:$H$75,33+I91)</f>
        <v>dirac</v>
      </c>
      <c r="L91" s="40" t="str">
        <f t="shared" si="43"/>
        <v>7</v>
      </c>
      <c r="M91" s="24">
        <f t="shared" si="29"/>
        <v>7.3474025668776619</v>
      </c>
      <c r="N91" s="41" t="str">
        <f t="shared" si="44"/>
        <v>7</v>
      </c>
      <c r="O91" s="24">
        <f t="shared" si="30"/>
        <v>4.1688308025319429</v>
      </c>
      <c r="P91" s="41" t="str">
        <f t="shared" si="45"/>
        <v>4</v>
      </c>
      <c r="Q91" s="24">
        <f t="shared" si="31"/>
        <v>2.0259696303833152</v>
      </c>
      <c r="R91" s="41" t="str">
        <f t="shared" si="46"/>
        <v>2</v>
      </c>
      <c r="S91" s="24">
        <f t="shared" si="32"/>
        <v>0.31163556459978281</v>
      </c>
      <c r="T91" s="41" t="str">
        <f t="shared" si="47"/>
        <v>0</v>
      </c>
      <c r="U91" s="24">
        <f t="shared" si="33"/>
        <v>3.7396267751973937</v>
      </c>
      <c r="V91" s="41" t="str">
        <f t="shared" si="48"/>
        <v>4</v>
      </c>
      <c r="W91" s="24">
        <f t="shared" si="34"/>
        <v>8.8755213023687247</v>
      </c>
      <c r="X91" s="41" t="str">
        <f t="shared" si="49"/>
        <v/>
      </c>
      <c r="Y91" s="24">
        <f t="shared" si="35"/>
        <v>10.506255628424697</v>
      </c>
      <c r="Z91" s="41" t="str">
        <f t="shared" si="50"/>
        <v/>
      </c>
      <c r="AA91" s="24">
        <f t="shared" si="36"/>
        <v>6.0750675410963595</v>
      </c>
      <c r="AB91" s="41" t="str">
        <f t="shared" si="51"/>
        <v/>
      </c>
      <c r="AC91" s="24">
        <f t="shared" si="37"/>
        <v>0.9008104931563139</v>
      </c>
      <c r="AD91" s="41" t="str">
        <f t="shared" si="52"/>
        <v/>
      </c>
      <c r="AE91" s="24">
        <f t="shared" si="38"/>
        <v>10.809725917875767</v>
      </c>
      <c r="AF91" s="41" t="str">
        <f t="shared" si="53"/>
        <v/>
      </c>
      <c r="AG91" s="24">
        <f t="shared" si="39"/>
        <v>9.716711014509201</v>
      </c>
      <c r="AH91" s="41" t="str">
        <f t="shared" si="54"/>
        <v/>
      </c>
      <c r="AI91" s="24">
        <f t="shared" si="40"/>
        <v>8.6005321741104126</v>
      </c>
      <c r="AJ91" s="41" t="str">
        <f t="shared" si="55"/>
        <v/>
      </c>
    </row>
    <row r="92" spans="1:36" ht="13.5" customHeight="1">
      <c r="A92" s="384"/>
      <c r="B92" s="385"/>
      <c r="C92" s="386"/>
      <c r="D92" s="387"/>
      <c r="E92" s="386">
        <v>89.904703699999999</v>
      </c>
      <c r="F92" s="8">
        <v>9</v>
      </c>
      <c r="G92" s="21">
        <f t="shared" si="41"/>
        <v>90.026321598918656</v>
      </c>
      <c r="H92" s="37" t="str">
        <f t="shared" si="28"/>
        <v>7;6039597X6</v>
      </c>
      <c r="I92" s="38">
        <v>1</v>
      </c>
      <c r="J92" s="132">
        <f t="shared" si="42"/>
        <v>7.5021934665765544</v>
      </c>
      <c r="K92" s="39" t="str">
        <f>INDEX(powers!$H$2:$H$75,33+I92)</f>
        <v>dirac</v>
      </c>
      <c r="L92" s="40" t="str">
        <f t="shared" si="43"/>
        <v>7</v>
      </c>
      <c r="M92" s="24">
        <f t="shared" si="29"/>
        <v>6.0263215989186527</v>
      </c>
      <c r="N92" s="41" t="str">
        <f t="shared" si="44"/>
        <v>6</v>
      </c>
      <c r="O92" s="24">
        <f t="shared" si="30"/>
        <v>0.31585918702383253</v>
      </c>
      <c r="P92" s="41" t="str">
        <f t="shared" si="45"/>
        <v>0</v>
      </c>
      <c r="Q92" s="24">
        <f t="shared" si="31"/>
        <v>3.7903102442859904</v>
      </c>
      <c r="R92" s="41" t="str">
        <f t="shared" si="46"/>
        <v>3</v>
      </c>
      <c r="S92" s="24">
        <f t="shared" si="32"/>
        <v>9.4837229314318847</v>
      </c>
      <c r="T92" s="41" t="str">
        <f t="shared" si="47"/>
        <v>9</v>
      </c>
      <c r="U92" s="24">
        <f t="shared" si="33"/>
        <v>5.8046751771826166</v>
      </c>
      <c r="V92" s="41" t="str">
        <f t="shared" si="48"/>
        <v>5</v>
      </c>
      <c r="W92" s="24">
        <f t="shared" si="34"/>
        <v>9.6561021261913993</v>
      </c>
      <c r="X92" s="41" t="str">
        <f t="shared" si="49"/>
        <v>9</v>
      </c>
      <c r="Y92" s="24">
        <f t="shared" si="35"/>
        <v>7.8732255142967915</v>
      </c>
      <c r="Z92" s="41" t="str">
        <f t="shared" si="50"/>
        <v>7</v>
      </c>
      <c r="AA92" s="24">
        <f t="shared" si="36"/>
        <v>10.478706171561498</v>
      </c>
      <c r="AB92" s="41" t="str">
        <f t="shared" si="51"/>
        <v>X</v>
      </c>
      <c r="AC92" s="24">
        <f t="shared" si="37"/>
        <v>5.7444740587379783</v>
      </c>
      <c r="AD92" s="41" t="str">
        <f t="shared" si="52"/>
        <v>6</v>
      </c>
      <c r="AE92" s="24">
        <f t="shared" si="38"/>
        <v>8.9336887048557401</v>
      </c>
      <c r="AF92" s="41" t="str">
        <f t="shared" si="53"/>
        <v/>
      </c>
      <c r="AG92" s="24">
        <f t="shared" si="39"/>
        <v>11.204264458268881</v>
      </c>
      <c r="AH92" s="41" t="str">
        <f t="shared" si="54"/>
        <v/>
      </c>
      <c r="AI92" s="24">
        <f t="shared" si="40"/>
        <v>2.4511734992265701</v>
      </c>
      <c r="AJ92" s="41" t="str">
        <f t="shared" si="55"/>
        <v/>
      </c>
    </row>
    <row r="93" spans="1:36" ht="13.5" customHeight="1">
      <c r="A93" s="384" t="s">
        <v>892</v>
      </c>
      <c r="B93" s="385">
        <v>41</v>
      </c>
      <c r="C93" s="386" t="s">
        <v>891</v>
      </c>
      <c r="D93" s="387">
        <v>92.906379999999999</v>
      </c>
      <c r="E93" s="386"/>
      <c r="F93" s="8">
        <v>7</v>
      </c>
      <c r="G93" s="21">
        <f t="shared" si="41"/>
        <v>93.032058393529226</v>
      </c>
      <c r="H93" s="37" t="str">
        <f t="shared" si="28"/>
        <v>7;9047492</v>
      </c>
      <c r="I93" s="38">
        <v>1</v>
      </c>
      <c r="J93" s="132">
        <f t="shared" si="42"/>
        <v>7.7526715327941025</v>
      </c>
      <c r="K93" s="39" t="str">
        <f>INDEX(powers!$H$2:$H$75,33+I93)</f>
        <v>dirac</v>
      </c>
      <c r="L93" s="40" t="str">
        <f t="shared" si="43"/>
        <v>7</v>
      </c>
      <c r="M93" s="24">
        <f t="shared" si="29"/>
        <v>9.0320583935292298</v>
      </c>
      <c r="N93" s="41" t="str">
        <f t="shared" si="44"/>
        <v>9</v>
      </c>
      <c r="O93" s="24">
        <f t="shared" si="30"/>
        <v>0.38470072235075747</v>
      </c>
      <c r="P93" s="41" t="str">
        <f t="shared" si="45"/>
        <v>0</v>
      </c>
      <c r="Q93" s="24">
        <f t="shared" si="31"/>
        <v>4.6164086682090897</v>
      </c>
      <c r="R93" s="41" t="str">
        <f t="shared" si="46"/>
        <v>4</v>
      </c>
      <c r="S93" s="24">
        <f t="shared" si="32"/>
        <v>7.3969040185090762</v>
      </c>
      <c r="T93" s="41" t="str">
        <f t="shared" si="47"/>
        <v>7</v>
      </c>
      <c r="U93" s="24">
        <f t="shared" si="33"/>
        <v>4.7628482221089143</v>
      </c>
      <c r="V93" s="41" t="str">
        <f t="shared" si="48"/>
        <v>4</v>
      </c>
      <c r="W93" s="24">
        <f t="shared" si="34"/>
        <v>9.1541786653069721</v>
      </c>
      <c r="X93" s="41" t="str">
        <f t="shared" si="49"/>
        <v>9</v>
      </c>
      <c r="Y93" s="24">
        <f t="shared" si="35"/>
        <v>1.8501439836836653</v>
      </c>
      <c r="Z93" s="41" t="str">
        <f t="shared" si="50"/>
        <v>2</v>
      </c>
      <c r="AA93" s="24">
        <f t="shared" si="36"/>
        <v>10.201727804203983</v>
      </c>
      <c r="AB93" s="41" t="str">
        <f t="shared" si="51"/>
        <v/>
      </c>
      <c r="AC93" s="24">
        <f t="shared" si="37"/>
        <v>2.4207336504478008</v>
      </c>
      <c r="AD93" s="41" t="str">
        <f t="shared" si="52"/>
        <v/>
      </c>
      <c r="AE93" s="24">
        <f t="shared" si="38"/>
        <v>5.0488038053736091</v>
      </c>
      <c r="AF93" s="41" t="str">
        <f t="shared" si="53"/>
        <v/>
      </c>
      <c r="AG93" s="24">
        <f t="shared" si="39"/>
        <v>0.58564566448330879</v>
      </c>
      <c r="AH93" s="41" t="str">
        <f t="shared" si="54"/>
        <v/>
      </c>
      <c r="AI93" s="24">
        <f t="shared" si="40"/>
        <v>7.0277479737997055</v>
      </c>
      <c r="AJ93" s="41" t="str">
        <f t="shared" si="55"/>
        <v/>
      </c>
    </row>
    <row r="94" spans="1:36" ht="13.5" customHeight="1">
      <c r="A94" s="384"/>
      <c r="B94" s="385"/>
      <c r="C94" s="386"/>
      <c r="D94" s="387"/>
      <c r="E94" s="386">
        <v>92.906379999999999</v>
      </c>
      <c r="F94" s="8">
        <v>7</v>
      </c>
      <c r="G94" s="21">
        <f t="shared" si="41"/>
        <v>93.032058393529226</v>
      </c>
      <c r="H94" s="37" t="str">
        <f t="shared" si="28"/>
        <v>7;9047492</v>
      </c>
      <c r="I94" s="38">
        <v>1</v>
      </c>
      <c r="J94" s="132">
        <f t="shared" si="42"/>
        <v>7.7526715327941025</v>
      </c>
      <c r="K94" s="39" t="str">
        <f>INDEX(powers!$H$2:$H$75,33+I94)</f>
        <v>dirac</v>
      </c>
      <c r="L94" s="40" t="str">
        <f t="shared" si="43"/>
        <v>7</v>
      </c>
      <c r="M94" s="24">
        <f t="shared" si="29"/>
        <v>9.0320583935292298</v>
      </c>
      <c r="N94" s="41" t="str">
        <f t="shared" si="44"/>
        <v>9</v>
      </c>
      <c r="O94" s="24">
        <f t="shared" si="30"/>
        <v>0.38470072235075747</v>
      </c>
      <c r="P94" s="41" t="str">
        <f t="shared" si="45"/>
        <v>0</v>
      </c>
      <c r="Q94" s="24">
        <f t="shared" si="31"/>
        <v>4.6164086682090897</v>
      </c>
      <c r="R94" s="41" t="str">
        <f t="shared" si="46"/>
        <v>4</v>
      </c>
      <c r="S94" s="24">
        <f t="shared" si="32"/>
        <v>7.3969040185090762</v>
      </c>
      <c r="T94" s="41" t="str">
        <f t="shared" si="47"/>
        <v>7</v>
      </c>
      <c r="U94" s="24">
        <f t="shared" si="33"/>
        <v>4.7628482221089143</v>
      </c>
      <c r="V94" s="41" t="str">
        <f t="shared" si="48"/>
        <v>4</v>
      </c>
      <c r="W94" s="24">
        <f t="shared" si="34"/>
        <v>9.1541786653069721</v>
      </c>
      <c r="X94" s="41" t="str">
        <f t="shared" si="49"/>
        <v>9</v>
      </c>
      <c r="Y94" s="24">
        <f t="shared" si="35"/>
        <v>1.8501439836836653</v>
      </c>
      <c r="Z94" s="41" t="str">
        <f t="shared" si="50"/>
        <v>2</v>
      </c>
      <c r="AA94" s="24">
        <f t="shared" si="36"/>
        <v>10.201727804203983</v>
      </c>
      <c r="AB94" s="41" t="str">
        <f t="shared" si="51"/>
        <v/>
      </c>
      <c r="AC94" s="24">
        <f t="shared" si="37"/>
        <v>2.4207336504478008</v>
      </c>
      <c r="AD94" s="41" t="str">
        <f t="shared" si="52"/>
        <v/>
      </c>
      <c r="AE94" s="24">
        <f t="shared" si="38"/>
        <v>5.0488038053736091</v>
      </c>
      <c r="AF94" s="41" t="str">
        <f t="shared" si="53"/>
        <v/>
      </c>
      <c r="AG94" s="24">
        <f t="shared" si="39"/>
        <v>0.58564566448330879</v>
      </c>
      <c r="AH94" s="41" t="str">
        <f t="shared" si="54"/>
        <v/>
      </c>
      <c r="AI94" s="24">
        <f t="shared" si="40"/>
        <v>7.0277479737997055</v>
      </c>
      <c r="AJ94" s="41" t="str">
        <f t="shared" si="55"/>
        <v/>
      </c>
    </row>
    <row r="95" spans="1:36" ht="13.5" customHeight="1">
      <c r="A95" s="384" t="s">
        <v>894</v>
      </c>
      <c r="B95" s="385">
        <v>42</v>
      </c>
      <c r="C95" s="386" t="s">
        <v>893</v>
      </c>
      <c r="D95" s="387">
        <v>95.96</v>
      </c>
      <c r="E95" s="386"/>
      <c r="F95" s="8">
        <v>4</v>
      </c>
      <c r="G95" s="21">
        <f t="shared" si="41"/>
        <v>96.0898091545819</v>
      </c>
      <c r="H95" s="37" t="str">
        <f t="shared" si="28"/>
        <v>8;010E</v>
      </c>
      <c r="I95" s="38">
        <v>1</v>
      </c>
      <c r="J95" s="132">
        <f t="shared" si="42"/>
        <v>8.0074840962151583</v>
      </c>
      <c r="K95" s="39" t="str">
        <f>INDEX(powers!$H$2:$H$75,33+I95)</f>
        <v>dirac</v>
      </c>
      <c r="L95" s="40" t="str">
        <f t="shared" si="43"/>
        <v>8</v>
      </c>
      <c r="M95" s="24">
        <f t="shared" si="29"/>
        <v>8.9809154581899975E-2</v>
      </c>
      <c r="N95" s="41" t="str">
        <f t="shared" si="44"/>
        <v>0</v>
      </c>
      <c r="O95" s="24">
        <f t="shared" si="30"/>
        <v>1.0777098549827997</v>
      </c>
      <c r="P95" s="41" t="str">
        <f t="shared" si="45"/>
        <v>1</v>
      </c>
      <c r="Q95" s="24">
        <f t="shared" si="31"/>
        <v>0.93251825979359637</v>
      </c>
      <c r="R95" s="41" t="str">
        <f t="shared" si="46"/>
        <v>0</v>
      </c>
      <c r="S95" s="24">
        <f t="shared" si="32"/>
        <v>11.190219117523156</v>
      </c>
      <c r="T95" s="41" t="str">
        <f t="shared" si="47"/>
        <v>E</v>
      </c>
      <c r="U95" s="24">
        <f t="shared" si="33"/>
        <v>2.2826294102778775</v>
      </c>
      <c r="V95" s="41" t="str">
        <f t="shared" si="48"/>
        <v/>
      </c>
      <c r="W95" s="24">
        <f t="shared" si="34"/>
        <v>3.3915529233345296</v>
      </c>
      <c r="X95" s="41" t="str">
        <f t="shared" si="49"/>
        <v/>
      </c>
      <c r="Y95" s="24">
        <f t="shared" si="35"/>
        <v>4.6986350800143555</v>
      </c>
      <c r="Z95" s="41" t="str">
        <f t="shared" si="50"/>
        <v/>
      </c>
      <c r="AA95" s="24">
        <f t="shared" si="36"/>
        <v>8.3836209601722658</v>
      </c>
      <c r="AB95" s="41" t="str">
        <f t="shared" si="51"/>
        <v/>
      </c>
      <c r="AC95" s="24">
        <f t="shared" si="37"/>
        <v>4.6034515220671892</v>
      </c>
      <c r="AD95" s="41" t="str">
        <f t="shared" si="52"/>
        <v/>
      </c>
      <c r="AE95" s="24">
        <f t="shared" si="38"/>
        <v>7.2414182648062706</v>
      </c>
      <c r="AF95" s="41" t="str">
        <f t="shared" si="53"/>
        <v/>
      </c>
      <c r="AG95" s="24">
        <f t="shared" si="39"/>
        <v>2.8970191776752472</v>
      </c>
      <c r="AH95" s="41" t="str">
        <f t="shared" si="54"/>
        <v/>
      </c>
      <c r="AI95" s="24">
        <f t="shared" si="40"/>
        <v>10.764230132102966</v>
      </c>
      <c r="AJ95" s="41" t="str">
        <f t="shared" si="55"/>
        <v/>
      </c>
    </row>
    <row r="96" spans="1:36" ht="13.5" customHeight="1">
      <c r="A96" s="384"/>
      <c r="B96" s="385"/>
      <c r="C96" s="386"/>
      <c r="D96" s="387"/>
      <c r="E96" s="386">
        <v>97.905407800000006</v>
      </c>
      <c r="F96" s="8">
        <v>9</v>
      </c>
      <c r="G96" s="21">
        <f t="shared" si="41"/>
        <v>98.037848590074148</v>
      </c>
      <c r="H96" s="37" t="str">
        <f t="shared" si="28"/>
        <v>8;205549E35</v>
      </c>
      <c r="I96" s="38">
        <v>1</v>
      </c>
      <c r="J96" s="132">
        <f t="shared" si="42"/>
        <v>8.1698207158395117</v>
      </c>
      <c r="K96" s="39" t="str">
        <f>INDEX(powers!$H$2:$H$75,33+I96)</f>
        <v>dirac</v>
      </c>
      <c r="L96" s="40" t="str">
        <f t="shared" si="43"/>
        <v>8</v>
      </c>
      <c r="M96" s="24">
        <f t="shared" si="29"/>
        <v>2.037848590074141</v>
      </c>
      <c r="N96" s="41" t="str">
        <f t="shared" si="44"/>
        <v>2</v>
      </c>
      <c r="O96" s="24">
        <f t="shared" si="30"/>
        <v>0.45418308088969184</v>
      </c>
      <c r="P96" s="41" t="str">
        <f t="shared" si="45"/>
        <v>0</v>
      </c>
      <c r="Q96" s="24">
        <f t="shared" si="31"/>
        <v>5.450196970676302</v>
      </c>
      <c r="R96" s="41" t="str">
        <f t="shared" si="46"/>
        <v>5</v>
      </c>
      <c r="S96" s="24">
        <f t="shared" si="32"/>
        <v>5.4023636481156245</v>
      </c>
      <c r="T96" s="41" t="str">
        <f t="shared" si="47"/>
        <v>5</v>
      </c>
      <c r="U96" s="24">
        <f t="shared" si="33"/>
        <v>4.8283637773874943</v>
      </c>
      <c r="V96" s="41" t="str">
        <f t="shared" si="48"/>
        <v>4</v>
      </c>
      <c r="W96" s="24">
        <f t="shared" si="34"/>
        <v>9.9403653286499321</v>
      </c>
      <c r="X96" s="41" t="str">
        <f t="shared" si="49"/>
        <v>9</v>
      </c>
      <c r="Y96" s="24">
        <f t="shared" si="35"/>
        <v>11.284383943799185</v>
      </c>
      <c r="Z96" s="41" t="str">
        <f t="shared" si="50"/>
        <v>E</v>
      </c>
      <c r="AA96" s="24">
        <f t="shared" si="36"/>
        <v>3.4126073255902156</v>
      </c>
      <c r="AB96" s="41" t="str">
        <f t="shared" si="51"/>
        <v>3</v>
      </c>
      <c r="AC96" s="24">
        <f t="shared" si="37"/>
        <v>4.9512879070825875</v>
      </c>
      <c r="AD96" s="41" t="str">
        <f t="shared" si="52"/>
        <v>5</v>
      </c>
      <c r="AE96" s="24">
        <f t="shared" si="38"/>
        <v>11.41545488499105</v>
      </c>
      <c r="AF96" s="41" t="str">
        <f t="shared" si="53"/>
        <v/>
      </c>
      <c r="AG96" s="24">
        <f t="shared" si="39"/>
        <v>4.9854586198925972</v>
      </c>
      <c r="AH96" s="41" t="str">
        <f t="shared" si="54"/>
        <v/>
      </c>
      <c r="AI96" s="24">
        <f t="shared" si="40"/>
        <v>11.825503438711166</v>
      </c>
      <c r="AJ96" s="41" t="str">
        <f t="shared" si="55"/>
        <v/>
      </c>
    </row>
    <row r="97" spans="1:36" ht="13.5" customHeight="1">
      <c r="A97" s="384" t="s">
        <v>896</v>
      </c>
      <c r="B97" s="385">
        <v>43</v>
      </c>
      <c r="C97" s="386" t="s">
        <v>895</v>
      </c>
      <c r="D97" s="387">
        <v>99</v>
      </c>
      <c r="E97" s="386"/>
      <c r="F97" s="8">
        <v>1</v>
      </c>
      <c r="G97" s="21">
        <f t="shared" si="41"/>
        <v>99.133921491283957</v>
      </c>
      <c r="H97" s="37" t="str">
        <f t="shared" si="28"/>
        <v>8;3</v>
      </c>
      <c r="I97" s="38">
        <v>1</v>
      </c>
      <c r="J97" s="132">
        <f t="shared" si="42"/>
        <v>8.2611601242736636</v>
      </c>
      <c r="K97" s="39" t="str">
        <f>INDEX(powers!$H$2:$H$75,33+I97)</f>
        <v>dirac</v>
      </c>
      <c r="L97" s="40" t="str">
        <f t="shared" si="43"/>
        <v>8</v>
      </c>
      <c r="M97" s="24">
        <f t="shared" si="29"/>
        <v>3.1339214912839637</v>
      </c>
      <c r="N97" s="41" t="str">
        <f t="shared" si="44"/>
        <v>3</v>
      </c>
      <c r="O97" s="24">
        <f t="shared" si="30"/>
        <v>1.6070578954075643</v>
      </c>
      <c r="P97" s="41" t="str">
        <f t="shared" si="45"/>
        <v/>
      </c>
      <c r="Q97" s="24">
        <f t="shared" si="31"/>
        <v>7.2846947448907713</v>
      </c>
      <c r="R97" s="41" t="str">
        <f t="shared" si="46"/>
        <v/>
      </c>
      <c r="S97" s="24">
        <f t="shared" si="32"/>
        <v>3.4163369386892555</v>
      </c>
      <c r="T97" s="41" t="str">
        <f t="shared" si="47"/>
        <v/>
      </c>
      <c r="U97" s="24">
        <f t="shared" si="33"/>
        <v>4.9960432642710657</v>
      </c>
      <c r="V97" s="41" t="str">
        <f t="shared" si="48"/>
        <v/>
      </c>
      <c r="W97" s="24">
        <f t="shared" si="34"/>
        <v>11.952519171252789</v>
      </c>
      <c r="X97" s="41" t="str">
        <f t="shared" si="49"/>
        <v/>
      </c>
      <c r="Y97" s="24">
        <f t="shared" si="35"/>
        <v>11.430230055033462</v>
      </c>
      <c r="Z97" s="41" t="str">
        <f t="shared" si="50"/>
        <v/>
      </c>
      <c r="AA97" s="24">
        <f t="shared" si="36"/>
        <v>5.1627606604015455</v>
      </c>
      <c r="AB97" s="41" t="str">
        <f t="shared" si="51"/>
        <v/>
      </c>
      <c r="AC97" s="24">
        <f t="shared" si="37"/>
        <v>1.9531279248185456</v>
      </c>
      <c r="AD97" s="41" t="str">
        <f t="shared" si="52"/>
        <v/>
      </c>
      <c r="AE97" s="24">
        <f t="shared" si="38"/>
        <v>11.437535097822547</v>
      </c>
      <c r="AF97" s="41" t="str">
        <f t="shared" si="53"/>
        <v/>
      </c>
      <c r="AG97" s="24">
        <f t="shared" si="39"/>
        <v>5.2504211738705635</v>
      </c>
      <c r="AH97" s="41" t="str">
        <f t="shared" si="54"/>
        <v/>
      </c>
      <c r="AI97" s="24">
        <f t="shared" si="40"/>
        <v>3.0050540864467621</v>
      </c>
      <c r="AJ97" s="41" t="str">
        <f t="shared" si="55"/>
        <v/>
      </c>
    </row>
    <row r="98" spans="1:36" ht="13.5" customHeight="1">
      <c r="A98" s="384"/>
      <c r="B98" s="385"/>
      <c r="C98" s="386"/>
      <c r="D98" s="387"/>
      <c r="E98" s="386">
        <v>98.906254599999997</v>
      </c>
      <c r="F98" s="8">
        <v>9</v>
      </c>
      <c r="G98" s="21">
        <f t="shared" si="41"/>
        <v>99.040049277912544</v>
      </c>
      <c r="H98" s="37" t="str">
        <f t="shared" si="28"/>
        <v>8;305925660</v>
      </c>
      <c r="I98" s="38">
        <v>1</v>
      </c>
      <c r="J98" s="132">
        <f t="shared" si="42"/>
        <v>8.253337439826046</v>
      </c>
      <c r="K98" s="39" t="str">
        <f>INDEX(powers!$H$2:$H$75,33+I98)</f>
        <v>dirac</v>
      </c>
      <c r="L98" s="40" t="str">
        <f t="shared" si="43"/>
        <v>8</v>
      </c>
      <c r="M98" s="24">
        <f t="shared" si="29"/>
        <v>3.0400492779125514</v>
      </c>
      <c r="N98" s="41" t="str">
        <f t="shared" si="44"/>
        <v>3</v>
      </c>
      <c r="O98" s="24">
        <f t="shared" si="30"/>
        <v>0.48059133495061701</v>
      </c>
      <c r="P98" s="41" t="str">
        <f t="shared" si="45"/>
        <v>0</v>
      </c>
      <c r="Q98" s="24">
        <f t="shared" si="31"/>
        <v>5.7670960194074041</v>
      </c>
      <c r="R98" s="41" t="str">
        <f t="shared" si="46"/>
        <v>5</v>
      </c>
      <c r="S98" s="24">
        <f t="shared" si="32"/>
        <v>9.2051522328888495</v>
      </c>
      <c r="T98" s="41" t="str">
        <f t="shared" si="47"/>
        <v>9</v>
      </c>
      <c r="U98" s="24">
        <f t="shared" si="33"/>
        <v>2.4618267946661945</v>
      </c>
      <c r="V98" s="41" t="str">
        <f t="shared" si="48"/>
        <v>2</v>
      </c>
      <c r="W98" s="24">
        <f t="shared" si="34"/>
        <v>5.5419215359943337</v>
      </c>
      <c r="X98" s="41" t="str">
        <f t="shared" si="49"/>
        <v>5</v>
      </c>
      <c r="Y98" s="24">
        <f t="shared" si="35"/>
        <v>6.5030584319320042</v>
      </c>
      <c r="Z98" s="41" t="str">
        <f t="shared" si="50"/>
        <v>6</v>
      </c>
      <c r="AA98" s="24">
        <f t="shared" si="36"/>
        <v>6.03670118318405</v>
      </c>
      <c r="AB98" s="41" t="str">
        <f t="shared" si="51"/>
        <v>6</v>
      </c>
      <c r="AC98" s="24">
        <f t="shared" si="37"/>
        <v>0.44041419820860028</v>
      </c>
      <c r="AD98" s="41" t="str">
        <f t="shared" si="52"/>
        <v>0</v>
      </c>
      <c r="AE98" s="24">
        <f t="shared" si="38"/>
        <v>5.2849703785032034</v>
      </c>
      <c r="AF98" s="41" t="str">
        <f t="shared" si="53"/>
        <v/>
      </c>
      <c r="AG98" s="24">
        <f t="shared" si="39"/>
        <v>3.4196445420384407</v>
      </c>
      <c r="AH98" s="41" t="str">
        <f t="shared" si="54"/>
        <v/>
      </c>
      <c r="AI98" s="24">
        <f t="shared" si="40"/>
        <v>5.0357345044612885</v>
      </c>
      <c r="AJ98" s="41" t="str">
        <f t="shared" si="55"/>
        <v/>
      </c>
    </row>
    <row r="99" spans="1:36" ht="13.5" customHeight="1">
      <c r="A99" s="384" t="s">
        <v>898</v>
      </c>
      <c r="B99" s="385">
        <v>44</v>
      </c>
      <c r="C99" s="386" t="s">
        <v>897</v>
      </c>
      <c r="D99" s="387">
        <v>101.07</v>
      </c>
      <c r="E99" s="386"/>
      <c r="F99" s="8">
        <v>5</v>
      </c>
      <c r="G99" s="21">
        <f t="shared" si="41"/>
        <v>101.20672166791988</v>
      </c>
      <c r="H99" s="37" t="str">
        <f t="shared" si="28"/>
        <v>8;52593</v>
      </c>
      <c r="I99" s="38">
        <v>1</v>
      </c>
      <c r="J99" s="132">
        <f t="shared" si="42"/>
        <v>8.4338934723266572</v>
      </c>
      <c r="K99" s="39" t="str">
        <f>INDEX(powers!$H$2:$H$75,33+I99)</f>
        <v>dirac</v>
      </c>
      <c r="L99" s="40" t="str">
        <f t="shared" si="43"/>
        <v>8</v>
      </c>
      <c r="M99" s="24">
        <f t="shared" si="29"/>
        <v>5.2067216679198864</v>
      </c>
      <c r="N99" s="41" t="str">
        <f t="shared" si="44"/>
        <v>5</v>
      </c>
      <c r="O99" s="24">
        <f t="shared" si="30"/>
        <v>2.4806600150386373</v>
      </c>
      <c r="P99" s="41" t="str">
        <f t="shared" si="45"/>
        <v>2</v>
      </c>
      <c r="Q99" s="24">
        <f t="shared" si="31"/>
        <v>5.7679201804636477</v>
      </c>
      <c r="R99" s="41" t="str">
        <f t="shared" si="46"/>
        <v>5</v>
      </c>
      <c r="S99" s="24">
        <f t="shared" si="32"/>
        <v>9.2150421655637729</v>
      </c>
      <c r="T99" s="41" t="str">
        <f t="shared" si="47"/>
        <v>9</v>
      </c>
      <c r="U99" s="24">
        <f t="shared" si="33"/>
        <v>2.5805059867652744</v>
      </c>
      <c r="V99" s="41" t="str">
        <f t="shared" si="48"/>
        <v>3</v>
      </c>
      <c r="W99" s="24">
        <f t="shared" si="34"/>
        <v>6.9660718411832931</v>
      </c>
      <c r="X99" s="41" t="str">
        <f t="shared" si="49"/>
        <v/>
      </c>
      <c r="Y99" s="24">
        <f t="shared" si="35"/>
        <v>11.592862094199518</v>
      </c>
      <c r="Z99" s="41" t="str">
        <f t="shared" si="50"/>
        <v/>
      </c>
      <c r="AA99" s="24">
        <f t="shared" si="36"/>
        <v>7.1143451303942129</v>
      </c>
      <c r="AB99" s="41" t="str">
        <f t="shared" si="51"/>
        <v/>
      </c>
      <c r="AC99" s="24">
        <f t="shared" si="37"/>
        <v>1.3721415647305548</v>
      </c>
      <c r="AD99" s="41" t="str">
        <f t="shared" si="52"/>
        <v/>
      </c>
      <c r="AE99" s="24">
        <f t="shared" si="38"/>
        <v>4.4656987767666578</v>
      </c>
      <c r="AF99" s="41" t="str">
        <f t="shared" si="53"/>
        <v/>
      </c>
      <c r="AG99" s="24">
        <f t="shared" si="39"/>
        <v>5.588385321199894</v>
      </c>
      <c r="AH99" s="41" t="str">
        <f t="shared" si="54"/>
        <v/>
      </c>
      <c r="AI99" s="24">
        <f t="shared" si="40"/>
        <v>7.0606238543987274</v>
      </c>
      <c r="AJ99" s="41" t="str">
        <f t="shared" si="55"/>
        <v/>
      </c>
    </row>
    <row r="100" spans="1:36" ht="13.5" customHeight="1">
      <c r="A100" s="384"/>
      <c r="B100" s="385"/>
      <c r="C100" s="386"/>
      <c r="D100" s="387"/>
      <c r="E100" s="386">
        <v>101.9043495</v>
      </c>
      <c r="F100" s="8">
        <v>10</v>
      </c>
      <c r="G100" s="21">
        <f t="shared" si="41"/>
        <v>102.04219982781171</v>
      </c>
      <c r="H100" s="37" t="str">
        <f t="shared" si="28"/>
        <v>8;6060E08016</v>
      </c>
      <c r="I100" s="38">
        <v>1</v>
      </c>
      <c r="J100" s="132">
        <f t="shared" si="42"/>
        <v>8.5035166523176429</v>
      </c>
      <c r="K100" s="39" t="str">
        <f>INDEX(powers!$H$2:$H$75,33+I100)</f>
        <v>dirac</v>
      </c>
      <c r="L100" s="40" t="str">
        <f t="shared" si="43"/>
        <v>8</v>
      </c>
      <c r="M100" s="24">
        <f t="shared" si="29"/>
        <v>6.0421998278117144</v>
      </c>
      <c r="N100" s="41" t="str">
        <f t="shared" si="44"/>
        <v>6</v>
      </c>
      <c r="O100" s="24">
        <f t="shared" si="30"/>
        <v>0.50639793374057263</v>
      </c>
      <c r="P100" s="41" t="str">
        <f t="shared" si="45"/>
        <v>0</v>
      </c>
      <c r="Q100" s="24">
        <f t="shared" si="31"/>
        <v>6.0767752048868715</v>
      </c>
      <c r="R100" s="41" t="str">
        <f t="shared" si="46"/>
        <v>6</v>
      </c>
      <c r="S100" s="24">
        <f t="shared" si="32"/>
        <v>0.92130245864245808</v>
      </c>
      <c r="T100" s="41" t="str">
        <f t="shared" si="47"/>
        <v>0</v>
      </c>
      <c r="U100" s="24">
        <f t="shared" si="33"/>
        <v>11.055629503709497</v>
      </c>
      <c r="V100" s="41" t="str">
        <f t="shared" si="48"/>
        <v>E</v>
      </c>
      <c r="W100" s="24">
        <f t="shared" si="34"/>
        <v>0.66755404451396316</v>
      </c>
      <c r="X100" s="41" t="str">
        <f t="shared" si="49"/>
        <v>0</v>
      </c>
      <c r="Y100" s="24">
        <f t="shared" si="35"/>
        <v>8.010648534167558</v>
      </c>
      <c r="Z100" s="41" t="str">
        <f t="shared" si="50"/>
        <v>8</v>
      </c>
      <c r="AA100" s="24">
        <f t="shared" si="36"/>
        <v>0.12778241001069546</v>
      </c>
      <c r="AB100" s="41" t="str">
        <f t="shared" si="51"/>
        <v>0</v>
      </c>
      <c r="AC100" s="24">
        <f t="shared" si="37"/>
        <v>1.5333889201283455</v>
      </c>
      <c r="AD100" s="41" t="str">
        <f t="shared" si="52"/>
        <v>1</v>
      </c>
      <c r="AE100" s="24">
        <f t="shared" si="38"/>
        <v>6.4006670415401459</v>
      </c>
      <c r="AF100" s="41" t="str">
        <f t="shared" si="53"/>
        <v>6</v>
      </c>
      <c r="AG100" s="24">
        <f t="shared" si="39"/>
        <v>4.8080044984817505</v>
      </c>
      <c r="AH100" s="41" t="str">
        <f t="shared" si="54"/>
        <v/>
      </c>
      <c r="AI100" s="24">
        <f t="shared" si="40"/>
        <v>9.6960539817810059</v>
      </c>
      <c r="AJ100" s="41" t="str">
        <f t="shared" si="55"/>
        <v/>
      </c>
    </row>
    <row r="101" spans="1:36" ht="13.5" customHeight="1">
      <c r="A101" s="384" t="s">
        <v>900</v>
      </c>
      <c r="B101" s="385">
        <v>45</v>
      </c>
      <c r="C101" s="386" t="s">
        <v>899</v>
      </c>
      <c r="D101" s="387">
        <v>102.9055</v>
      </c>
      <c r="E101" s="386"/>
      <c r="F101" s="8">
        <v>7</v>
      </c>
      <c r="G101" s="21">
        <f t="shared" si="41"/>
        <v>103.04470462647798</v>
      </c>
      <c r="H101" s="37" t="str">
        <f t="shared" si="28"/>
        <v>8;70652EE</v>
      </c>
      <c r="I101" s="38">
        <v>1</v>
      </c>
      <c r="J101" s="132">
        <f t="shared" si="42"/>
        <v>8.5870587188731644</v>
      </c>
      <c r="K101" s="39" t="str">
        <f>INDEX(powers!$H$2:$H$75,33+I101)</f>
        <v>dirac</v>
      </c>
      <c r="L101" s="40" t="str">
        <f t="shared" si="43"/>
        <v>8</v>
      </c>
      <c r="M101" s="24">
        <f t="shared" si="29"/>
        <v>7.0447046264779729</v>
      </c>
      <c r="N101" s="41" t="str">
        <f t="shared" si="44"/>
        <v>7</v>
      </c>
      <c r="O101" s="24">
        <f t="shared" si="30"/>
        <v>0.5364555177356749</v>
      </c>
      <c r="P101" s="41" t="str">
        <f t="shared" si="45"/>
        <v>0</v>
      </c>
      <c r="Q101" s="24">
        <f t="shared" si="31"/>
        <v>6.4374662128280988</v>
      </c>
      <c r="R101" s="41" t="str">
        <f t="shared" si="46"/>
        <v>6</v>
      </c>
      <c r="S101" s="24">
        <f t="shared" si="32"/>
        <v>5.249594553937186</v>
      </c>
      <c r="T101" s="41" t="str">
        <f t="shared" si="47"/>
        <v>5</v>
      </c>
      <c r="U101" s="24">
        <f t="shared" si="33"/>
        <v>2.9951346472462319</v>
      </c>
      <c r="V101" s="41" t="str">
        <f t="shared" si="48"/>
        <v>2</v>
      </c>
      <c r="W101" s="24">
        <f t="shared" si="34"/>
        <v>11.941615766954783</v>
      </c>
      <c r="X101" s="41" t="str">
        <f t="shared" si="49"/>
        <v>E</v>
      </c>
      <c r="Y101" s="24">
        <f t="shared" si="35"/>
        <v>11.299389203457395</v>
      </c>
      <c r="Z101" s="41" t="str">
        <f t="shared" si="50"/>
        <v>E</v>
      </c>
      <c r="AA101" s="24">
        <f t="shared" si="36"/>
        <v>3.5926704414887354</v>
      </c>
      <c r="AB101" s="41" t="str">
        <f t="shared" si="51"/>
        <v/>
      </c>
      <c r="AC101" s="24">
        <f t="shared" si="37"/>
        <v>7.1120452978648245</v>
      </c>
      <c r="AD101" s="41" t="str">
        <f t="shared" si="52"/>
        <v/>
      </c>
      <c r="AE101" s="24">
        <f t="shared" si="38"/>
        <v>1.3445435743778944</v>
      </c>
      <c r="AF101" s="41" t="str">
        <f t="shared" si="53"/>
        <v/>
      </c>
      <c r="AG101" s="24">
        <f t="shared" si="39"/>
        <v>4.1345228925347328</v>
      </c>
      <c r="AH101" s="41" t="str">
        <f t="shared" si="54"/>
        <v/>
      </c>
      <c r="AI101" s="24">
        <f t="shared" si="40"/>
        <v>1.6142747104167938</v>
      </c>
      <c r="AJ101" s="41" t="str">
        <f t="shared" si="55"/>
        <v/>
      </c>
    </row>
    <row r="102" spans="1:36" ht="13.5" customHeight="1">
      <c r="A102" s="384"/>
      <c r="B102" s="385"/>
      <c r="C102" s="386"/>
      <c r="D102" s="387"/>
      <c r="E102" s="386">
        <v>102.9055</v>
      </c>
      <c r="F102" s="8">
        <v>7</v>
      </c>
      <c r="G102" s="21">
        <f t="shared" si="41"/>
        <v>103.04470462647798</v>
      </c>
      <c r="H102" s="37" t="str">
        <f t="shared" si="28"/>
        <v>8;70652EE</v>
      </c>
      <c r="I102" s="38">
        <v>1</v>
      </c>
      <c r="J102" s="132">
        <f t="shared" si="42"/>
        <v>8.5870587188731644</v>
      </c>
      <c r="K102" s="39" t="str">
        <f>INDEX(powers!$H$2:$H$75,33+I102)</f>
        <v>dirac</v>
      </c>
      <c r="L102" s="40" t="str">
        <f t="shared" si="43"/>
        <v>8</v>
      </c>
      <c r="M102" s="24">
        <f t="shared" si="29"/>
        <v>7.0447046264779729</v>
      </c>
      <c r="N102" s="41" t="str">
        <f t="shared" si="44"/>
        <v>7</v>
      </c>
      <c r="O102" s="24">
        <f t="shared" si="30"/>
        <v>0.5364555177356749</v>
      </c>
      <c r="P102" s="41" t="str">
        <f t="shared" si="45"/>
        <v>0</v>
      </c>
      <c r="Q102" s="24">
        <f t="shared" si="31"/>
        <v>6.4374662128280988</v>
      </c>
      <c r="R102" s="41" t="str">
        <f t="shared" si="46"/>
        <v>6</v>
      </c>
      <c r="S102" s="24">
        <f t="shared" si="32"/>
        <v>5.249594553937186</v>
      </c>
      <c r="T102" s="41" t="str">
        <f t="shared" si="47"/>
        <v>5</v>
      </c>
      <c r="U102" s="24">
        <f t="shared" si="33"/>
        <v>2.9951346472462319</v>
      </c>
      <c r="V102" s="41" t="str">
        <f t="shared" si="48"/>
        <v>2</v>
      </c>
      <c r="W102" s="24">
        <f t="shared" si="34"/>
        <v>11.941615766954783</v>
      </c>
      <c r="X102" s="41" t="str">
        <f t="shared" si="49"/>
        <v>E</v>
      </c>
      <c r="Y102" s="24">
        <f t="shared" si="35"/>
        <v>11.299389203457395</v>
      </c>
      <c r="Z102" s="41" t="str">
        <f t="shared" si="50"/>
        <v>E</v>
      </c>
      <c r="AA102" s="24">
        <f t="shared" si="36"/>
        <v>3.5926704414887354</v>
      </c>
      <c r="AB102" s="41" t="str">
        <f t="shared" si="51"/>
        <v/>
      </c>
      <c r="AC102" s="24">
        <f t="shared" si="37"/>
        <v>7.1120452978648245</v>
      </c>
      <c r="AD102" s="41" t="str">
        <f t="shared" si="52"/>
        <v/>
      </c>
      <c r="AE102" s="24">
        <f t="shared" si="38"/>
        <v>1.3445435743778944</v>
      </c>
      <c r="AF102" s="41" t="str">
        <f t="shared" si="53"/>
        <v/>
      </c>
      <c r="AG102" s="24">
        <f t="shared" si="39"/>
        <v>4.1345228925347328</v>
      </c>
      <c r="AH102" s="41" t="str">
        <f t="shared" si="54"/>
        <v/>
      </c>
      <c r="AI102" s="24">
        <f t="shared" si="40"/>
        <v>1.6142747104167938</v>
      </c>
      <c r="AJ102" s="41" t="str">
        <f t="shared" si="55"/>
        <v/>
      </c>
    </row>
    <row r="103" spans="1:36" ht="13.5" customHeight="1">
      <c r="A103" s="384" t="s">
        <v>902</v>
      </c>
      <c r="B103" s="385">
        <v>46</v>
      </c>
      <c r="C103" s="386" t="s">
        <v>901</v>
      </c>
      <c r="D103" s="387">
        <v>106.42</v>
      </c>
      <c r="E103" s="386"/>
      <c r="F103" s="8">
        <v>5</v>
      </c>
      <c r="G103" s="21">
        <f t="shared" si="41"/>
        <v>106.56395883941856</v>
      </c>
      <c r="H103" s="37" t="str">
        <f t="shared" si="28"/>
        <v>8;X6926</v>
      </c>
      <c r="I103" s="38">
        <v>1</v>
      </c>
      <c r="J103" s="132">
        <f t="shared" si="42"/>
        <v>8.8803299032848795</v>
      </c>
      <c r="K103" s="39" t="str">
        <f>INDEX(powers!$H$2:$H$75,33+I103)</f>
        <v>dirac</v>
      </c>
      <c r="L103" s="40" t="str">
        <f t="shared" si="43"/>
        <v>8</v>
      </c>
      <c r="M103" s="24">
        <f t="shared" si="29"/>
        <v>10.563958839418554</v>
      </c>
      <c r="N103" s="41" t="str">
        <f t="shared" si="44"/>
        <v>X</v>
      </c>
      <c r="O103" s="24">
        <f t="shared" si="30"/>
        <v>6.7675060730226448</v>
      </c>
      <c r="P103" s="41" t="str">
        <f t="shared" si="45"/>
        <v>6</v>
      </c>
      <c r="Q103" s="24">
        <f t="shared" si="31"/>
        <v>9.2100728762717381</v>
      </c>
      <c r="R103" s="41" t="str">
        <f t="shared" si="46"/>
        <v>9</v>
      </c>
      <c r="S103" s="24">
        <f t="shared" si="32"/>
        <v>2.5208745152608572</v>
      </c>
      <c r="T103" s="41" t="str">
        <f t="shared" si="47"/>
        <v>2</v>
      </c>
      <c r="U103" s="24">
        <f t="shared" si="33"/>
        <v>6.2504941831302858</v>
      </c>
      <c r="V103" s="41" t="str">
        <f t="shared" si="48"/>
        <v>6</v>
      </c>
      <c r="W103" s="24">
        <f t="shared" si="34"/>
        <v>3.0059301975634298</v>
      </c>
      <c r="X103" s="41" t="str">
        <f t="shared" si="49"/>
        <v/>
      </c>
      <c r="Y103" s="24">
        <f t="shared" si="35"/>
        <v>7.1162370761157945E-2</v>
      </c>
      <c r="Z103" s="41" t="str">
        <f t="shared" si="50"/>
        <v/>
      </c>
      <c r="AA103" s="24">
        <f t="shared" si="36"/>
        <v>0.85394844913389534</v>
      </c>
      <c r="AB103" s="41" t="str">
        <f t="shared" si="51"/>
        <v/>
      </c>
      <c r="AC103" s="24">
        <f t="shared" si="37"/>
        <v>10.247381389606744</v>
      </c>
      <c r="AD103" s="41" t="str">
        <f t="shared" si="52"/>
        <v/>
      </c>
      <c r="AE103" s="24">
        <f t="shared" si="38"/>
        <v>2.9685766752809286</v>
      </c>
      <c r="AF103" s="41" t="str">
        <f t="shared" si="53"/>
        <v/>
      </c>
      <c r="AG103" s="24">
        <f t="shared" si="39"/>
        <v>11.622920103371143</v>
      </c>
      <c r="AH103" s="41" t="str">
        <f t="shared" si="54"/>
        <v/>
      </c>
      <c r="AI103" s="24">
        <f t="shared" si="40"/>
        <v>7.4750412404537201</v>
      </c>
      <c r="AJ103" s="41" t="str">
        <f t="shared" si="55"/>
        <v/>
      </c>
    </row>
    <row r="104" spans="1:36" ht="13.5" customHeight="1">
      <c r="A104" s="384"/>
      <c r="B104" s="385"/>
      <c r="C104" s="386"/>
      <c r="D104" s="387"/>
      <c r="E104" s="386">
        <v>105.90348299999999</v>
      </c>
      <c r="F104" s="8">
        <v>9</v>
      </c>
      <c r="G104" s="21">
        <f t="shared" si="41"/>
        <v>106.04674312500529</v>
      </c>
      <c r="H104" s="37" t="str">
        <f t="shared" si="28"/>
        <v>8;X06893228</v>
      </c>
      <c r="I104" s="38">
        <v>1</v>
      </c>
      <c r="J104" s="132">
        <f t="shared" si="42"/>
        <v>8.8372285937504405</v>
      </c>
      <c r="K104" s="39" t="str">
        <f>INDEX(powers!$H$2:$H$75,33+I104)</f>
        <v>dirac</v>
      </c>
      <c r="L104" s="40" t="str">
        <f t="shared" si="43"/>
        <v>8</v>
      </c>
      <c r="M104" s="24">
        <f t="shared" si="29"/>
        <v>10.046743125005285</v>
      </c>
      <c r="N104" s="41" t="str">
        <f t="shared" si="44"/>
        <v>X</v>
      </c>
      <c r="O104" s="24">
        <f t="shared" si="30"/>
        <v>0.56091750006342522</v>
      </c>
      <c r="P104" s="41" t="str">
        <f t="shared" si="45"/>
        <v>0</v>
      </c>
      <c r="Q104" s="24">
        <f t="shared" si="31"/>
        <v>6.7310100007611027</v>
      </c>
      <c r="R104" s="41" t="str">
        <f t="shared" si="46"/>
        <v>6</v>
      </c>
      <c r="S104" s="24">
        <f t="shared" si="32"/>
        <v>8.7721200091332321</v>
      </c>
      <c r="T104" s="41" t="str">
        <f t="shared" si="47"/>
        <v>8</v>
      </c>
      <c r="U104" s="24">
        <f t="shared" si="33"/>
        <v>9.2654401095987851</v>
      </c>
      <c r="V104" s="41" t="str">
        <f t="shared" si="48"/>
        <v>9</v>
      </c>
      <c r="W104" s="24">
        <f t="shared" si="34"/>
        <v>3.1852813151854207</v>
      </c>
      <c r="X104" s="41" t="str">
        <f t="shared" si="49"/>
        <v>3</v>
      </c>
      <c r="Y104" s="24">
        <f t="shared" si="35"/>
        <v>2.2233757822250482</v>
      </c>
      <c r="Z104" s="41" t="str">
        <f t="shared" si="50"/>
        <v>2</v>
      </c>
      <c r="AA104" s="24">
        <f t="shared" si="36"/>
        <v>2.680509386700578</v>
      </c>
      <c r="AB104" s="41" t="str">
        <f t="shared" si="51"/>
        <v>2</v>
      </c>
      <c r="AC104" s="24">
        <f t="shared" si="37"/>
        <v>8.1661126404069364</v>
      </c>
      <c r="AD104" s="41" t="str">
        <f t="shared" si="52"/>
        <v>8</v>
      </c>
      <c r="AE104" s="24">
        <f t="shared" si="38"/>
        <v>1.9933516848832369</v>
      </c>
      <c r="AF104" s="41" t="str">
        <f t="shared" si="53"/>
        <v/>
      </c>
      <c r="AG104" s="24">
        <f t="shared" si="39"/>
        <v>11.920220218598843</v>
      </c>
      <c r="AH104" s="41" t="str">
        <f t="shared" si="54"/>
        <v/>
      </c>
      <c r="AI104" s="24">
        <f t="shared" si="40"/>
        <v>11.042642623186111</v>
      </c>
      <c r="AJ104" s="41" t="str">
        <f t="shared" si="55"/>
        <v/>
      </c>
    </row>
    <row r="105" spans="1:36" ht="13.5" customHeight="1">
      <c r="A105" s="384" t="s">
        <v>904</v>
      </c>
      <c r="B105" s="385">
        <v>47</v>
      </c>
      <c r="C105" s="386" t="s">
        <v>903</v>
      </c>
      <c r="D105" s="387">
        <v>107.8682</v>
      </c>
      <c r="E105" s="386"/>
      <c r="F105" s="8">
        <v>7</v>
      </c>
      <c r="G105" s="21">
        <f t="shared" si="41"/>
        <v>108.01411788086985</v>
      </c>
      <c r="H105" s="37" t="str">
        <f t="shared" si="28"/>
        <v>9;002048</v>
      </c>
      <c r="I105" s="38">
        <v>1</v>
      </c>
      <c r="J105" s="132">
        <f t="shared" si="42"/>
        <v>9.0011764900724867</v>
      </c>
      <c r="K105" s="39" t="str">
        <f>INDEX(powers!$H$2:$H$75,33+I105)</f>
        <v>dirac</v>
      </c>
      <c r="L105" s="40" t="str">
        <f t="shared" si="43"/>
        <v>9</v>
      </c>
      <c r="M105" s="24">
        <f t="shared" si="29"/>
        <v>1.4117880869839894E-2</v>
      </c>
      <c r="N105" s="41" t="str">
        <f t="shared" si="44"/>
        <v>0</v>
      </c>
      <c r="O105" s="24">
        <f t="shared" si="30"/>
        <v>0.16941457043807873</v>
      </c>
      <c r="P105" s="41" t="str">
        <f t="shared" si="45"/>
        <v>0</v>
      </c>
      <c r="Q105" s="24">
        <f t="shared" si="31"/>
        <v>2.0329748452569447</v>
      </c>
      <c r="R105" s="41" t="str">
        <f t="shared" si="46"/>
        <v>2</v>
      </c>
      <c r="S105" s="24">
        <f t="shared" si="32"/>
        <v>0.39569814308333662</v>
      </c>
      <c r="T105" s="41" t="str">
        <f t="shared" si="47"/>
        <v>0</v>
      </c>
      <c r="U105" s="24">
        <f t="shared" si="33"/>
        <v>4.7483777170000394</v>
      </c>
      <c r="V105" s="41" t="str">
        <f t="shared" si="48"/>
        <v>4</v>
      </c>
      <c r="W105" s="24">
        <f t="shared" si="34"/>
        <v>8.9805326040004729</v>
      </c>
      <c r="X105" s="41" t="str">
        <f t="shared" si="49"/>
        <v>8</v>
      </c>
      <c r="Y105" s="24">
        <f t="shared" si="35"/>
        <v>11.766391248005675</v>
      </c>
      <c r="Z105" s="41" t="str">
        <f t="shared" si="50"/>
        <v/>
      </c>
      <c r="AA105" s="24">
        <f t="shared" si="36"/>
        <v>9.1966949760681018</v>
      </c>
      <c r="AB105" s="41" t="str">
        <f t="shared" si="51"/>
        <v/>
      </c>
      <c r="AC105" s="24">
        <f t="shared" si="37"/>
        <v>2.3603397128172219</v>
      </c>
      <c r="AD105" s="41" t="str">
        <f t="shared" si="52"/>
        <v/>
      </c>
      <c r="AE105" s="24">
        <f t="shared" si="38"/>
        <v>4.3240765538066626</v>
      </c>
      <c r="AF105" s="41" t="str">
        <f t="shared" si="53"/>
        <v/>
      </c>
      <c r="AG105" s="24">
        <f t="shared" si="39"/>
        <v>3.8889186456799507</v>
      </c>
      <c r="AH105" s="41" t="str">
        <f t="shared" si="54"/>
        <v/>
      </c>
      <c r="AI105" s="24">
        <f t="shared" si="40"/>
        <v>10.667023748159409</v>
      </c>
      <c r="AJ105" s="41" t="str">
        <f t="shared" si="55"/>
        <v/>
      </c>
    </row>
    <row r="106" spans="1:36" ht="13.5" customHeight="1">
      <c r="A106" s="384"/>
      <c r="B106" s="385"/>
      <c r="C106" s="386"/>
      <c r="D106" s="387"/>
      <c r="E106" s="386">
        <v>106.90509299999999</v>
      </c>
      <c r="F106" s="8">
        <v>9</v>
      </c>
      <c r="G106" s="21">
        <f t="shared" si="41"/>
        <v>107.04970804525665</v>
      </c>
      <c r="H106" s="37" t="str">
        <f t="shared" si="28"/>
        <v>8;E071X8E52</v>
      </c>
      <c r="I106" s="38">
        <v>1</v>
      </c>
      <c r="J106" s="132">
        <f t="shared" si="42"/>
        <v>8.920809003771387</v>
      </c>
      <c r="K106" s="39" t="str">
        <f>INDEX(powers!$H$2:$H$75,33+I106)</f>
        <v>dirac</v>
      </c>
      <c r="L106" s="40" t="str">
        <f t="shared" si="43"/>
        <v>8</v>
      </c>
      <c r="M106" s="24">
        <f t="shared" si="29"/>
        <v>11.049708045256644</v>
      </c>
      <c r="N106" s="41" t="str">
        <f t="shared" si="44"/>
        <v>E</v>
      </c>
      <c r="O106" s="24">
        <f t="shared" si="30"/>
        <v>0.59649654307972355</v>
      </c>
      <c r="P106" s="41" t="str">
        <f t="shared" si="45"/>
        <v>0</v>
      </c>
      <c r="Q106" s="24">
        <f t="shared" si="31"/>
        <v>7.1579585169566826</v>
      </c>
      <c r="R106" s="41" t="str">
        <f t="shared" si="46"/>
        <v>7</v>
      </c>
      <c r="S106" s="24">
        <f t="shared" si="32"/>
        <v>1.8955022034801914</v>
      </c>
      <c r="T106" s="41" t="str">
        <f t="shared" si="47"/>
        <v>1</v>
      </c>
      <c r="U106" s="24">
        <f t="shared" si="33"/>
        <v>10.746026441762297</v>
      </c>
      <c r="V106" s="41" t="str">
        <f t="shared" si="48"/>
        <v>X</v>
      </c>
      <c r="W106" s="24">
        <f t="shared" si="34"/>
        <v>8.9523173011475592</v>
      </c>
      <c r="X106" s="41" t="str">
        <f t="shared" si="49"/>
        <v>8</v>
      </c>
      <c r="Y106" s="24">
        <f t="shared" si="35"/>
        <v>11.42780761377071</v>
      </c>
      <c r="Z106" s="41" t="str">
        <f t="shared" si="50"/>
        <v>E</v>
      </c>
      <c r="AA106" s="24">
        <f t="shared" si="36"/>
        <v>5.1336913652485237</v>
      </c>
      <c r="AB106" s="41" t="str">
        <f t="shared" si="51"/>
        <v>5</v>
      </c>
      <c r="AC106" s="24">
        <f t="shared" si="37"/>
        <v>1.6042963829822838</v>
      </c>
      <c r="AD106" s="41" t="str">
        <f t="shared" si="52"/>
        <v>2</v>
      </c>
      <c r="AE106" s="24">
        <f t="shared" si="38"/>
        <v>7.251556595787406</v>
      </c>
      <c r="AF106" s="41" t="str">
        <f t="shared" si="53"/>
        <v/>
      </c>
      <c r="AG106" s="24">
        <f t="shared" si="39"/>
        <v>3.0186791494488716</v>
      </c>
      <c r="AH106" s="41" t="str">
        <f t="shared" si="54"/>
        <v/>
      </c>
      <c r="AI106" s="24">
        <f t="shared" si="40"/>
        <v>0.22414979338645935</v>
      </c>
      <c r="AJ106" s="41" t="str">
        <f t="shared" si="55"/>
        <v/>
      </c>
    </row>
    <row r="107" spans="1:36" ht="13.5" customHeight="1">
      <c r="A107" s="384" t="s">
        <v>906</v>
      </c>
      <c r="B107" s="385">
        <v>48</v>
      </c>
      <c r="C107" s="386" t="s">
        <v>905</v>
      </c>
      <c r="D107" s="387">
        <v>112.411</v>
      </c>
      <c r="E107" s="386"/>
      <c r="F107" s="8">
        <v>6</v>
      </c>
      <c r="G107" s="21">
        <f t="shared" si="41"/>
        <v>112.56306311875474</v>
      </c>
      <c r="H107" s="37" t="str">
        <f t="shared" si="28"/>
        <v>9;4690E8</v>
      </c>
      <c r="I107" s="38">
        <v>1</v>
      </c>
      <c r="J107" s="132">
        <f t="shared" si="42"/>
        <v>9.380255259896229</v>
      </c>
      <c r="K107" s="39" t="str">
        <f>INDEX(powers!$H$2:$H$75,33+I107)</f>
        <v>dirac</v>
      </c>
      <c r="L107" s="40" t="str">
        <f t="shared" si="43"/>
        <v>9</v>
      </c>
      <c r="M107" s="24">
        <f t="shared" si="29"/>
        <v>4.5630631187547479</v>
      </c>
      <c r="N107" s="41" t="str">
        <f t="shared" si="44"/>
        <v>4</v>
      </c>
      <c r="O107" s="24">
        <f t="shared" si="30"/>
        <v>6.7567574250569749</v>
      </c>
      <c r="P107" s="41" t="str">
        <f t="shared" si="45"/>
        <v>6</v>
      </c>
      <c r="Q107" s="24">
        <f t="shared" si="31"/>
        <v>9.0810891006836982</v>
      </c>
      <c r="R107" s="41" t="str">
        <f t="shared" si="46"/>
        <v>9</v>
      </c>
      <c r="S107" s="24">
        <f t="shared" si="32"/>
        <v>0.97306920820437881</v>
      </c>
      <c r="T107" s="41" t="str">
        <f t="shared" si="47"/>
        <v>0</v>
      </c>
      <c r="U107" s="24">
        <f t="shared" si="33"/>
        <v>11.676830498452546</v>
      </c>
      <c r="V107" s="41" t="str">
        <f t="shared" si="48"/>
        <v>E</v>
      </c>
      <c r="W107" s="24">
        <f t="shared" si="34"/>
        <v>8.1219659814305487</v>
      </c>
      <c r="X107" s="41" t="str">
        <f t="shared" si="49"/>
        <v>8</v>
      </c>
      <c r="Y107" s="24">
        <f t="shared" si="35"/>
        <v>1.4635917771665845</v>
      </c>
      <c r="Z107" s="41" t="str">
        <f t="shared" si="50"/>
        <v/>
      </c>
      <c r="AA107" s="24">
        <f t="shared" si="36"/>
        <v>5.5631013259990141</v>
      </c>
      <c r="AB107" s="41" t="str">
        <f t="shared" si="51"/>
        <v/>
      </c>
      <c r="AC107" s="24">
        <f t="shared" si="37"/>
        <v>6.757215911988169</v>
      </c>
      <c r="AD107" s="41" t="str">
        <f t="shared" si="52"/>
        <v/>
      </c>
      <c r="AE107" s="24">
        <f t="shared" si="38"/>
        <v>9.0865909438580275</v>
      </c>
      <c r="AF107" s="41" t="str">
        <f t="shared" si="53"/>
        <v/>
      </c>
      <c r="AG107" s="24">
        <f t="shared" si="39"/>
        <v>1.0390913262963295</v>
      </c>
      <c r="AH107" s="41" t="str">
        <f t="shared" si="54"/>
        <v/>
      </c>
      <c r="AI107" s="24">
        <f t="shared" si="40"/>
        <v>0.46909591555595398</v>
      </c>
      <c r="AJ107" s="41" t="str">
        <f t="shared" si="55"/>
        <v/>
      </c>
    </row>
    <row r="108" spans="1:36" ht="13.5" customHeight="1">
      <c r="A108" s="384"/>
      <c r="B108" s="385"/>
      <c r="C108" s="386"/>
      <c r="D108" s="387"/>
      <c r="E108" s="386">
        <v>113.90335810000001</v>
      </c>
      <c r="F108" s="8">
        <v>10</v>
      </c>
      <c r="G108" s="21">
        <f t="shared" si="41"/>
        <v>114.05743999473738</v>
      </c>
      <c r="H108" s="37" t="str">
        <f t="shared" si="28"/>
        <v>9;608330XXX4</v>
      </c>
      <c r="I108" s="38">
        <v>1</v>
      </c>
      <c r="J108" s="132">
        <f t="shared" si="42"/>
        <v>9.5047866662281155</v>
      </c>
      <c r="K108" s="39" t="str">
        <f>INDEX(powers!$H$2:$H$75,33+I108)</f>
        <v>dirac</v>
      </c>
      <c r="L108" s="40" t="str">
        <f t="shared" si="43"/>
        <v>9</v>
      </c>
      <c r="M108" s="24">
        <f t="shared" si="29"/>
        <v>6.0574399947373863</v>
      </c>
      <c r="N108" s="41" t="str">
        <f t="shared" si="44"/>
        <v>6</v>
      </c>
      <c r="O108" s="24">
        <f t="shared" si="30"/>
        <v>0.68927993684863509</v>
      </c>
      <c r="P108" s="41" t="str">
        <f t="shared" si="45"/>
        <v>0</v>
      </c>
      <c r="Q108" s="24">
        <f t="shared" si="31"/>
        <v>8.2713592421836211</v>
      </c>
      <c r="R108" s="41" t="str">
        <f t="shared" si="46"/>
        <v>8</v>
      </c>
      <c r="S108" s="24">
        <f t="shared" si="32"/>
        <v>3.2563109062034528</v>
      </c>
      <c r="T108" s="41" t="str">
        <f t="shared" si="47"/>
        <v>3</v>
      </c>
      <c r="U108" s="24">
        <f t="shared" si="33"/>
        <v>3.0757308744414331</v>
      </c>
      <c r="V108" s="41" t="str">
        <f t="shared" si="48"/>
        <v>3</v>
      </c>
      <c r="W108" s="24">
        <f t="shared" si="34"/>
        <v>0.90877049329719739</v>
      </c>
      <c r="X108" s="41" t="str">
        <f t="shared" si="49"/>
        <v>0</v>
      </c>
      <c r="Y108" s="24">
        <f t="shared" si="35"/>
        <v>10.905245919566369</v>
      </c>
      <c r="Z108" s="41" t="str">
        <f t="shared" si="50"/>
        <v>X</v>
      </c>
      <c r="AA108" s="24">
        <f t="shared" si="36"/>
        <v>10.862951034796424</v>
      </c>
      <c r="AB108" s="41" t="str">
        <f t="shared" si="51"/>
        <v>X</v>
      </c>
      <c r="AC108" s="24">
        <f t="shared" si="37"/>
        <v>10.355412417557091</v>
      </c>
      <c r="AD108" s="41" t="str">
        <f t="shared" si="52"/>
        <v>X</v>
      </c>
      <c r="AE108" s="24">
        <f t="shared" si="38"/>
        <v>4.2649490106850863</v>
      </c>
      <c r="AF108" s="41" t="str">
        <f t="shared" si="53"/>
        <v>4</v>
      </c>
      <c r="AG108" s="24">
        <f t="shared" si="39"/>
        <v>3.179388128221035</v>
      </c>
      <c r="AH108" s="41" t="str">
        <f t="shared" si="54"/>
        <v/>
      </c>
      <c r="AI108" s="24">
        <f t="shared" si="40"/>
        <v>2.15265753865242</v>
      </c>
      <c r="AJ108" s="41" t="str">
        <f t="shared" si="55"/>
        <v/>
      </c>
    </row>
    <row r="109" spans="1:36" ht="13.5" customHeight="1">
      <c r="A109" s="384" t="s">
        <v>908</v>
      </c>
      <c r="B109" s="385">
        <v>49</v>
      </c>
      <c r="C109" s="386" t="s">
        <v>907</v>
      </c>
      <c r="D109" s="387">
        <v>114.818</v>
      </c>
      <c r="E109" s="386"/>
      <c r="F109" s="8">
        <v>6</v>
      </c>
      <c r="G109" s="21">
        <f t="shared" si="41"/>
        <v>114.97331916955797</v>
      </c>
      <c r="H109" s="37" t="str">
        <f t="shared" si="28"/>
        <v>9;6E81X9</v>
      </c>
      <c r="I109" s="38">
        <v>1</v>
      </c>
      <c r="J109" s="132">
        <f t="shared" si="42"/>
        <v>9.5811099307964973</v>
      </c>
      <c r="K109" s="39" t="str">
        <f>INDEX(powers!$H$2:$H$75,33+I109)</f>
        <v>dirac</v>
      </c>
      <c r="L109" s="40" t="str">
        <f t="shared" si="43"/>
        <v>9</v>
      </c>
      <c r="M109" s="24">
        <f t="shared" si="29"/>
        <v>6.9733191695579677</v>
      </c>
      <c r="N109" s="41" t="str">
        <f t="shared" si="44"/>
        <v>6</v>
      </c>
      <c r="O109" s="24">
        <f t="shared" si="30"/>
        <v>11.679830034695613</v>
      </c>
      <c r="P109" s="41" t="str">
        <f t="shared" si="45"/>
        <v>E</v>
      </c>
      <c r="Q109" s="24">
        <f t="shared" si="31"/>
        <v>8.1579604163473505</v>
      </c>
      <c r="R109" s="41" t="str">
        <f t="shared" si="46"/>
        <v>8</v>
      </c>
      <c r="S109" s="24">
        <f t="shared" si="32"/>
        <v>1.8955249961682057</v>
      </c>
      <c r="T109" s="41" t="str">
        <f t="shared" si="47"/>
        <v>1</v>
      </c>
      <c r="U109" s="24">
        <f t="shared" si="33"/>
        <v>10.746299954018468</v>
      </c>
      <c r="V109" s="41" t="str">
        <f t="shared" si="48"/>
        <v>X</v>
      </c>
      <c r="W109" s="24">
        <f t="shared" si="34"/>
        <v>8.9555994482216192</v>
      </c>
      <c r="X109" s="41" t="str">
        <f t="shared" si="49"/>
        <v>9</v>
      </c>
      <c r="Y109" s="24">
        <f t="shared" si="35"/>
        <v>11.467193378659431</v>
      </c>
      <c r="Z109" s="41" t="str">
        <f t="shared" si="50"/>
        <v/>
      </c>
      <c r="AA109" s="24">
        <f t="shared" si="36"/>
        <v>5.6063205439131707</v>
      </c>
      <c r="AB109" s="41" t="str">
        <f t="shared" si="51"/>
        <v/>
      </c>
      <c r="AC109" s="24">
        <f t="shared" si="37"/>
        <v>7.2758465269580483</v>
      </c>
      <c r="AD109" s="41" t="str">
        <f t="shared" si="52"/>
        <v/>
      </c>
      <c r="AE109" s="24">
        <f t="shared" si="38"/>
        <v>3.3101583234965801</v>
      </c>
      <c r="AF109" s="41" t="str">
        <f t="shared" si="53"/>
        <v/>
      </c>
      <c r="AG109" s="24">
        <f t="shared" si="39"/>
        <v>3.7218998819589615</v>
      </c>
      <c r="AH109" s="41" t="str">
        <f t="shared" si="54"/>
        <v/>
      </c>
      <c r="AI109" s="24">
        <f t="shared" si="40"/>
        <v>8.6627985835075378</v>
      </c>
      <c r="AJ109" s="41" t="str">
        <f t="shared" si="55"/>
        <v/>
      </c>
    </row>
    <row r="110" spans="1:36" ht="13.5" customHeight="1">
      <c r="A110" s="384"/>
      <c r="B110" s="385"/>
      <c r="C110" s="386"/>
      <c r="D110" s="387"/>
      <c r="E110" s="386">
        <v>114.90387800000001</v>
      </c>
      <c r="F110" s="8">
        <v>9</v>
      </c>
      <c r="G110" s="21">
        <f t="shared" si="41"/>
        <v>115.05931334036433</v>
      </c>
      <c r="H110" s="37" t="str">
        <f t="shared" si="28"/>
        <v>9;70865E083</v>
      </c>
      <c r="I110" s="38">
        <v>1</v>
      </c>
      <c r="J110" s="132">
        <f t="shared" si="42"/>
        <v>9.5882761116970272</v>
      </c>
      <c r="K110" s="39" t="str">
        <f>INDEX(powers!$H$2:$H$75,33+I110)</f>
        <v>dirac</v>
      </c>
      <c r="L110" s="40" t="str">
        <f t="shared" si="43"/>
        <v>9</v>
      </c>
      <c r="M110" s="24">
        <f t="shared" si="29"/>
        <v>7.0593133403643265</v>
      </c>
      <c r="N110" s="41" t="str">
        <f t="shared" si="44"/>
        <v>7</v>
      </c>
      <c r="O110" s="24">
        <f t="shared" si="30"/>
        <v>0.7117600843719174</v>
      </c>
      <c r="P110" s="41" t="str">
        <f t="shared" si="45"/>
        <v>0</v>
      </c>
      <c r="Q110" s="24">
        <f t="shared" si="31"/>
        <v>8.5411210124630088</v>
      </c>
      <c r="R110" s="41" t="str">
        <f t="shared" si="46"/>
        <v>8</v>
      </c>
      <c r="S110" s="24">
        <f t="shared" si="32"/>
        <v>6.4934521495561057</v>
      </c>
      <c r="T110" s="41" t="str">
        <f t="shared" si="47"/>
        <v>6</v>
      </c>
      <c r="U110" s="24">
        <f t="shared" si="33"/>
        <v>5.9214257946732687</v>
      </c>
      <c r="V110" s="41" t="str">
        <f t="shared" si="48"/>
        <v>5</v>
      </c>
      <c r="W110" s="24">
        <f t="shared" si="34"/>
        <v>11.057109536079224</v>
      </c>
      <c r="X110" s="41" t="str">
        <f t="shared" si="49"/>
        <v>E</v>
      </c>
      <c r="Y110" s="24">
        <f t="shared" si="35"/>
        <v>0.68531443295069039</v>
      </c>
      <c r="Z110" s="41" t="str">
        <f t="shared" si="50"/>
        <v>0</v>
      </c>
      <c r="AA110" s="24">
        <f t="shared" si="36"/>
        <v>8.2237731954082847</v>
      </c>
      <c r="AB110" s="41" t="str">
        <f t="shared" si="51"/>
        <v>8</v>
      </c>
      <c r="AC110" s="24">
        <f t="shared" si="37"/>
        <v>2.685278344899416</v>
      </c>
      <c r="AD110" s="41" t="str">
        <f t="shared" si="52"/>
        <v>3</v>
      </c>
      <c r="AE110" s="24">
        <f t="shared" si="38"/>
        <v>8.2233401387929916</v>
      </c>
      <c r="AF110" s="41" t="str">
        <f t="shared" si="53"/>
        <v/>
      </c>
      <c r="AG110" s="24">
        <f t="shared" si="39"/>
        <v>2.6800816655158997</v>
      </c>
      <c r="AH110" s="41" t="str">
        <f t="shared" si="54"/>
        <v/>
      </c>
      <c r="AI110" s="24">
        <f t="shared" si="40"/>
        <v>8.1609799861907959</v>
      </c>
      <c r="AJ110" s="41" t="str">
        <f t="shared" si="55"/>
        <v/>
      </c>
    </row>
    <row r="111" spans="1:36" ht="13.5" customHeight="1">
      <c r="A111" s="384" t="s">
        <v>910</v>
      </c>
      <c r="B111" s="385">
        <v>50</v>
      </c>
      <c r="C111" s="386" t="s">
        <v>909</v>
      </c>
      <c r="D111" s="387">
        <v>118.71</v>
      </c>
      <c r="E111" s="386"/>
      <c r="F111" s="8">
        <v>5</v>
      </c>
      <c r="G111" s="21">
        <f t="shared" si="41"/>
        <v>118.87058404273046</v>
      </c>
      <c r="H111" s="37" t="str">
        <f t="shared" si="28"/>
        <v>9;XX544</v>
      </c>
      <c r="I111" s="38">
        <v>1</v>
      </c>
      <c r="J111" s="132">
        <f t="shared" si="42"/>
        <v>9.9058820035608708</v>
      </c>
      <c r="K111" s="39" t="str">
        <f>INDEX(powers!$H$2:$H$75,33+I111)</f>
        <v>dirac</v>
      </c>
      <c r="L111" s="40" t="str">
        <f t="shared" si="43"/>
        <v>9</v>
      </c>
      <c r="M111" s="24">
        <f t="shared" si="29"/>
        <v>10.870584042730449</v>
      </c>
      <c r="N111" s="41" t="str">
        <f t="shared" si="44"/>
        <v>X</v>
      </c>
      <c r="O111" s="24">
        <f t="shared" si="30"/>
        <v>10.447008512765393</v>
      </c>
      <c r="P111" s="41" t="str">
        <f t="shared" si="45"/>
        <v>X</v>
      </c>
      <c r="Q111" s="24">
        <f t="shared" si="31"/>
        <v>5.3641021531847173</v>
      </c>
      <c r="R111" s="41" t="str">
        <f t="shared" si="46"/>
        <v>5</v>
      </c>
      <c r="S111" s="24">
        <f t="shared" si="32"/>
        <v>4.3692258382166074</v>
      </c>
      <c r="T111" s="41" t="str">
        <f t="shared" si="47"/>
        <v>4</v>
      </c>
      <c r="U111" s="24">
        <f t="shared" si="33"/>
        <v>4.4307100585992885</v>
      </c>
      <c r="V111" s="41" t="str">
        <f t="shared" si="48"/>
        <v>4</v>
      </c>
      <c r="W111" s="24">
        <f t="shared" si="34"/>
        <v>5.1685207031914615</v>
      </c>
      <c r="X111" s="41" t="str">
        <f t="shared" si="49"/>
        <v/>
      </c>
      <c r="Y111" s="24">
        <f t="shared" si="35"/>
        <v>2.0222484382975381</v>
      </c>
      <c r="Z111" s="41" t="str">
        <f t="shared" si="50"/>
        <v/>
      </c>
      <c r="AA111" s="24">
        <f t="shared" si="36"/>
        <v>0.26698125957045704</v>
      </c>
      <c r="AB111" s="41" t="str">
        <f t="shared" si="51"/>
        <v/>
      </c>
      <c r="AC111" s="24">
        <f t="shared" si="37"/>
        <v>3.2037751148454845</v>
      </c>
      <c r="AD111" s="41" t="str">
        <f t="shared" si="52"/>
        <v/>
      </c>
      <c r="AE111" s="24">
        <f t="shared" si="38"/>
        <v>2.4453013781458139</v>
      </c>
      <c r="AF111" s="41" t="str">
        <f t="shared" si="53"/>
        <v/>
      </c>
      <c r="AG111" s="24">
        <f t="shared" si="39"/>
        <v>5.3436165377497673</v>
      </c>
      <c r="AH111" s="41" t="str">
        <f t="shared" si="54"/>
        <v/>
      </c>
      <c r="AI111" s="24">
        <f t="shared" si="40"/>
        <v>4.1233984529972076</v>
      </c>
      <c r="AJ111" s="41" t="str">
        <f t="shared" si="55"/>
        <v/>
      </c>
    </row>
    <row r="112" spans="1:36" ht="13.5" customHeight="1">
      <c r="A112" s="384"/>
      <c r="B112" s="385"/>
      <c r="C112" s="386"/>
      <c r="D112" s="387"/>
      <c r="E112" s="386">
        <v>119.9021966</v>
      </c>
      <c r="F112" s="8">
        <v>10</v>
      </c>
      <c r="G112" s="21">
        <f t="shared" si="41"/>
        <v>120.06439337754435</v>
      </c>
      <c r="H112" s="37" t="str">
        <f t="shared" si="28"/>
        <v>X;0093331718</v>
      </c>
      <c r="I112" s="38">
        <v>1</v>
      </c>
      <c r="J112" s="132">
        <f t="shared" si="42"/>
        <v>10.005366114795363</v>
      </c>
      <c r="K112" s="39" t="str">
        <f>INDEX(powers!$H$2:$H$75,33+I112)</f>
        <v>dirac</v>
      </c>
      <c r="L112" s="40" t="str">
        <f t="shared" si="43"/>
        <v>X</v>
      </c>
      <c r="M112" s="24">
        <f t="shared" si="29"/>
        <v>6.4393377544355701E-2</v>
      </c>
      <c r="N112" s="41" t="str">
        <f t="shared" si="44"/>
        <v>0</v>
      </c>
      <c r="O112" s="24">
        <f t="shared" si="30"/>
        <v>0.77272053053226841</v>
      </c>
      <c r="P112" s="41" t="str">
        <f t="shared" si="45"/>
        <v>0</v>
      </c>
      <c r="Q112" s="24">
        <f t="shared" si="31"/>
        <v>9.272646366387221</v>
      </c>
      <c r="R112" s="41" t="str">
        <f t="shared" si="46"/>
        <v>9</v>
      </c>
      <c r="S112" s="24">
        <f t="shared" si="32"/>
        <v>3.2717563966466514</v>
      </c>
      <c r="T112" s="41" t="str">
        <f t="shared" si="47"/>
        <v>3</v>
      </c>
      <c r="U112" s="24">
        <f t="shared" si="33"/>
        <v>3.2610767597598169</v>
      </c>
      <c r="V112" s="41" t="str">
        <f t="shared" si="48"/>
        <v>3</v>
      </c>
      <c r="W112" s="24">
        <f t="shared" si="34"/>
        <v>3.1329211171178031</v>
      </c>
      <c r="X112" s="41" t="str">
        <f t="shared" si="49"/>
        <v>3</v>
      </c>
      <c r="Y112" s="24">
        <f t="shared" si="35"/>
        <v>1.5950534054136369</v>
      </c>
      <c r="Z112" s="41" t="str">
        <f t="shared" si="50"/>
        <v>1</v>
      </c>
      <c r="AA112" s="24">
        <f t="shared" si="36"/>
        <v>7.1406408649636433</v>
      </c>
      <c r="AB112" s="41" t="str">
        <f t="shared" si="51"/>
        <v>7</v>
      </c>
      <c r="AC112" s="24">
        <f t="shared" si="37"/>
        <v>1.687690379563719</v>
      </c>
      <c r="AD112" s="41" t="str">
        <f t="shared" si="52"/>
        <v>1</v>
      </c>
      <c r="AE112" s="24">
        <f t="shared" si="38"/>
        <v>8.2522845547646284</v>
      </c>
      <c r="AF112" s="41" t="str">
        <f t="shared" si="53"/>
        <v>8</v>
      </c>
      <c r="AG112" s="24">
        <f t="shared" si="39"/>
        <v>3.0274146571755409</v>
      </c>
      <c r="AH112" s="41" t="str">
        <f t="shared" si="54"/>
        <v/>
      </c>
      <c r="AI112" s="24">
        <f t="shared" si="40"/>
        <v>0.32897588610649109</v>
      </c>
      <c r="AJ112" s="41" t="str">
        <f t="shared" si="55"/>
        <v/>
      </c>
    </row>
    <row r="113" spans="1:36" ht="13.5" customHeight="1">
      <c r="A113" s="384" t="s">
        <v>912</v>
      </c>
      <c r="B113" s="385">
        <v>51</v>
      </c>
      <c r="C113" s="386" t="s">
        <v>911</v>
      </c>
      <c r="D113" s="387">
        <v>121.76</v>
      </c>
      <c r="E113" s="386"/>
      <c r="F113" s="8">
        <v>5</v>
      </c>
      <c r="G113" s="21">
        <f t="shared" si="41"/>
        <v>121.92470990685588</v>
      </c>
      <c r="H113" s="37" t="str">
        <f t="shared" si="28"/>
        <v>X;1E11E</v>
      </c>
      <c r="I113" s="38">
        <v>1</v>
      </c>
      <c r="J113" s="132">
        <f t="shared" si="42"/>
        <v>10.160392492237991</v>
      </c>
      <c r="K113" s="39" t="str">
        <f>INDEX(powers!$H$2:$H$75,33+I113)</f>
        <v>dirac</v>
      </c>
      <c r="L113" s="40" t="str">
        <f t="shared" si="43"/>
        <v>X</v>
      </c>
      <c r="M113" s="24">
        <f t="shared" si="29"/>
        <v>1.9247099068558882</v>
      </c>
      <c r="N113" s="41" t="str">
        <f t="shared" si="44"/>
        <v>1</v>
      </c>
      <c r="O113" s="24">
        <f t="shared" si="30"/>
        <v>11.096518882270658</v>
      </c>
      <c r="P113" s="41" t="str">
        <f t="shared" si="45"/>
        <v>E</v>
      </c>
      <c r="Q113" s="24">
        <f t="shared" si="31"/>
        <v>1.1582265872478956</v>
      </c>
      <c r="R113" s="41" t="str">
        <f t="shared" si="46"/>
        <v>1</v>
      </c>
      <c r="S113" s="24">
        <f t="shared" si="32"/>
        <v>1.8987190469747475</v>
      </c>
      <c r="T113" s="41" t="str">
        <f t="shared" si="47"/>
        <v>1</v>
      </c>
      <c r="U113" s="24">
        <f t="shared" si="33"/>
        <v>10.78462856369697</v>
      </c>
      <c r="V113" s="41" t="str">
        <f t="shared" si="48"/>
        <v>E</v>
      </c>
      <c r="W113" s="24">
        <f t="shared" si="34"/>
        <v>9.4155427643636358</v>
      </c>
      <c r="X113" s="41" t="str">
        <f t="shared" si="49"/>
        <v/>
      </c>
      <c r="Y113" s="24">
        <f t="shared" si="35"/>
        <v>4.9865131723636296</v>
      </c>
      <c r="Z113" s="41" t="str">
        <f t="shared" si="50"/>
        <v/>
      </c>
      <c r="AA113" s="24">
        <f t="shared" si="36"/>
        <v>11.838158068363555</v>
      </c>
      <c r="AB113" s="41" t="str">
        <f t="shared" si="51"/>
        <v/>
      </c>
      <c r="AC113" s="24">
        <f t="shared" si="37"/>
        <v>10.057896820362657</v>
      </c>
      <c r="AD113" s="41" t="str">
        <f t="shared" si="52"/>
        <v/>
      </c>
      <c r="AE113" s="24">
        <f t="shared" si="38"/>
        <v>0.6947618443518877</v>
      </c>
      <c r="AF113" s="41" t="str">
        <f t="shared" si="53"/>
        <v/>
      </c>
      <c r="AG113" s="24">
        <f t="shared" si="39"/>
        <v>8.3371421322226524</v>
      </c>
      <c r="AH113" s="41" t="str">
        <f t="shared" si="54"/>
        <v/>
      </c>
      <c r="AI113" s="24">
        <f t="shared" si="40"/>
        <v>4.0457055866718292</v>
      </c>
      <c r="AJ113" s="41" t="str">
        <f t="shared" si="55"/>
        <v/>
      </c>
    </row>
    <row r="114" spans="1:36" ht="13.5" customHeight="1">
      <c r="A114" s="384"/>
      <c r="B114" s="385"/>
      <c r="C114" s="386"/>
      <c r="D114" s="387"/>
      <c r="E114" s="386">
        <v>120.903818</v>
      </c>
      <c r="F114" s="8">
        <v>9</v>
      </c>
      <c r="G114" s="21">
        <f t="shared" si="41"/>
        <v>121.06736971321699</v>
      </c>
      <c r="H114" s="37" t="str">
        <f t="shared" si="28"/>
        <v>X;10984E8X8</v>
      </c>
      <c r="I114" s="38">
        <v>1</v>
      </c>
      <c r="J114" s="132">
        <f t="shared" si="42"/>
        <v>10.088947476101415</v>
      </c>
      <c r="K114" s="39" t="str">
        <f>INDEX(powers!$H$2:$H$75,33+I114)</f>
        <v>dirac</v>
      </c>
      <c r="L114" s="40" t="str">
        <f t="shared" si="43"/>
        <v>X</v>
      </c>
      <c r="M114" s="24">
        <f t="shared" si="29"/>
        <v>1.0673697132169835</v>
      </c>
      <c r="N114" s="41" t="str">
        <f t="shared" si="44"/>
        <v>1</v>
      </c>
      <c r="O114" s="24">
        <f t="shared" si="30"/>
        <v>0.80843655860380181</v>
      </c>
      <c r="P114" s="41" t="str">
        <f t="shared" si="45"/>
        <v>0</v>
      </c>
      <c r="Q114" s="24">
        <f t="shared" si="31"/>
        <v>9.7012387032456218</v>
      </c>
      <c r="R114" s="41" t="str">
        <f t="shared" si="46"/>
        <v>9</v>
      </c>
      <c r="S114" s="24">
        <f t="shared" si="32"/>
        <v>8.4148644389474612</v>
      </c>
      <c r="T114" s="41" t="str">
        <f t="shared" si="47"/>
        <v>8</v>
      </c>
      <c r="U114" s="24">
        <f t="shared" si="33"/>
        <v>4.978373267369534</v>
      </c>
      <c r="V114" s="41" t="str">
        <f t="shared" si="48"/>
        <v>4</v>
      </c>
      <c r="W114" s="24">
        <f t="shared" si="34"/>
        <v>11.740479208434408</v>
      </c>
      <c r="X114" s="41" t="str">
        <f t="shared" si="49"/>
        <v>E</v>
      </c>
      <c r="Y114" s="24">
        <f t="shared" si="35"/>
        <v>8.8857505012128968</v>
      </c>
      <c r="Z114" s="41" t="str">
        <f t="shared" si="50"/>
        <v>8</v>
      </c>
      <c r="AA114" s="24">
        <f t="shared" si="36"/>
        <v>10.629006014554761</v>
      </c>
      <c r="AB114" s="41" t="str">
        <f t="shared" si="51"/>
        <v>X</v>
      </c>
      <c r="AC114" s="24">
        <f t="shared" si="37"/>
        <v>7.5480721746571362</v>
      </c>
      <c r="AD114" s="41" t="str">
        <f t="shared" si="52"/>
        <v>8</v>
      </c>
      <c r="AE114" s="24">
        <f t="shared" si="38"/>
        <v>6.5768660958856344</v>
      </c>
      <c r="AF114" s="41" t="str">
        <f t="shared" si="53"/>
        <v/>
      </c>
      <c r="AG114" s="24">
        <f t="shared" si="39"/>
        <v>6.9223931506276131</v>
      </c>
      <c r="AH114" s="41" t="str">
        <f t="shared" si="54"/>
        <v/>
      </c>
      <c r="AI114" s="24">
        <f t="shared" si="40"/>
        <v>11.068717807531357</v>
      </c>
      <c r="AJ114" s="41" t="str">
        <f t="shared" si="55"/>
        <v/>
      </c>
    </row>
    <row r="115" spans="1:36" ht="13.5" customHeight="1">
      <c r="A115" s="384" t="s">
        <v>914</v>
      </c>
      <c r="B115" s="385">
        <v>52</v>
      </c>
      <c r="C115" s="386" t="s">
        <v>913</v>
      </c>
      <c r="D115" s="387">
        <v>127.6</v>
      </c>
      <c r="E115" s="386"/>
      <c r="F115" s="8">
        <v>4</v>
      </c>
      <c r="G115" s="21">
        <f t="shared" si="41"/>
        <v>127.77260992209928</v>
      </c>
      <c r="H115" s="37" t="str">
        <f t="shared" si="28"/>
        <v>X;7933</v>
      </c>
      <c r="I115" s="38">
        <v>1</v>
      </c>
      <c r="J115" s="132">
        <f t="shared" si="42"/>
        <v>10.647717493508273</v>
      </c>
      <c r="K115" s="39" t="str">
        <f>INDEX(powers!$H$2:$H$75,33+I115)</f>
        <v>dirac</v>
      </c>
      <c r="L115" s="40" t="str">
        <f t="shared" si="43"/>
        <v>X</v>
      </c>
      <c r="M115" s="24">
        <f t="shared" si="29"/>
        <v>7.7726099220992708</v>
      </c>
      <c r="N115" s="41" t="str">
        <f t="shared" si="44"/>
        <v>7</v>
      </c>
      <c r="O115" s="24">
        <f t="shared" si="30"/>
        <v>9.2713190651912498</v>
      </c>
      <c r="P115" s="41" t="str">
        <f t="shared" si="45"/>
        <v>9</v>
      </c>
      <c r="Q115" s="24">
        <f t="shared" si="31"/>
        <v>3.2558287822949978</v>
      </c>
      <c r="R115" s="41" t="str">
        <f t="shared" si="46"/>
        <v>3</v>
      </c>
      <c r="S115" s="24">
        <f t="shared" si="32"/>
        <v>3.069945387539974</v>
      </c>
      <c r="T115" s="41" t="str">
        <f t="shared" si="47"/>
        <v>3</v>
      </c>
      <c r="U115" s="24">
        <f t="shared" si="33"/>
        <v>0.83934465047968843</v>
      </c>
      <c r="V115" s="41" t="str">
        <f t="shared" si="48"/>
        <v/>
      </c>
      <c r="W115" s="24">
        <f t="shared" si="34"/>
        <v>10.072135805756261</v>
      </c>
      <c r="X115" s="41" t="str">
        <f t="shared" si="49"/>
        <v/>
      </c>
      <c r="Y115" s="24">
        <f t="shared" si="35"/>
        <v>0.86562966907513328</v>
      </c>
      <c r="Z115" s="41" t="str">
        <f t="shared" si="50"/>
        <v/>
      </c>
      <c r="AA115" s="24">
        <f t="shared" si="36"/>
        <v>10.387556028901599</v>
      </c>
      <c r="AB115" s="41" t="str">
        <f t="shared" si="51"/>
        <v/>
      </c>
      <c r="AC115" s="24">
        <f t="shared" si="37"/>
        <v>4.6506723468191922</v>
      </c>
      <c r="AD115" s="41" t="str">
        <f t="shared" si="52"/>
        <v/>
      </c>
      <c r="AE115" s="24">
        <f t="shared" si="38"/>
        <v>7.8080681618303061</v>
      </c>
      <c r="AF115" s="41" t="str">
        <f t="shared" si="53"/>
        <v/>
      </c>
      <c r="AG115" s="24">
        <f t="shared" si="39"/>
        <v>9.6968179419636726</v>
      </c>
      <c r="AH115" s="41" t="str">
        <f t="shared" si="54"/>
        <v/>
      </c>
      <c r="AI115" s="24">
        <f t="shared" si="40"/>
        <v>8.3618153035640717</v>
      </c>
      <c r="AJ115" s="41" t="str">
        <f t="shared" si="55"/>
        <v/>
      </c>
    </row>
    <row r="116" spans="1:36" ht="13.5" customHeight="1">
      <c r="A116" s="384"/>
      <c r="B116" s="385"/>
      <c r="C116" s="386"/>
      <c r="D116" s="387"/>
      <c r="E116" s="386">
        <v>129.90622279999999</v>
      </c>
      <c r="F116" s="8">
        <v>10</v>
      </c>
      <c r="G116" s="21">
        <f t="shared" si="41"/>
        <v>130.08195244731758</v>
      </c>
      <c r="H116" s="37" t="str">
        <f t="shared" si="28"/>
        <v>X;X0E9744843</v>
      </c>
      <c r="I116" s="38">
        <v>1</v>
      </c>
      <c r="J116" s="132">
        <f t="shared" si="42"/>
        <v>10.840162703943131</v>
      </c>
      <c r="K116" s="39" t="str">
        <f>INDEX(powers!$H$2:$H$75,33+I116)</f>
        <v>dirac</v>
      </c>
      <c r="L116" s="40" t="str">
        <f t="shared" si="43"/>
        <v>X</v>
      </c>
      <c r="M116" s="24">
        <f t="shared" si="29"/>
        <v>10.081952447317569</v>
      </c>
      <c r="N116" s="41" t="str">
        <f t="shared" si="44"/>
        <v>X</v>
      </c>
      <c r="O116" s="24">
        <f t="shared" si="30"/>
        <v>0.98342936781082813</v>
      </c>
      <c r="P116" s="41" t="str">
        <f t="shared" si="45"/>
        <v>0</v>
      </c>
      <c r="Q116" s="24">
        <f t="shared" si="31"/>
        <v>11.801152413729938</v>
      </c>
      <c r="R116" s="41" t="str">
        <f t="shared" si="46"/>
        <v>E</v>
      </c>
      <c r="S116" s="24">
        <f t="shared" si="32"/>
        <v>9.6138289647592501</v>
      </c>
      <c r="T116" s="41" t="str">
        <f t="shared" si="47"/>
        <v>9</v>
      </c>
      <c r="U116" s="24">
        <f t="shared" si="33"/>
        <v>7.365947577111001</v>
      </c>
      <c r="V116" s="41" t="str">
        <f t="shared" si="48"/>
        <v>7</v>
      </c>
      <c r="W116" s="24">
        <f t="shared" si="34"/>
        <v>4.3913709253320121</v>
      </c>
      <c r="X116" s="41" t="str">
        <f t="shared" si="49"/>
        <v>4</v>
      </c>
      <c r="Y116" s="24">
        <f t="shared" si="35"/>
        <v>4.6964511039841454</v>
      </c>
      <c r="Z116" s="41" t="str">
        <f t="shared" si="50"/>
        <v>4</v>
      </c>
      <c r="AA116" s="24">
        <f t="shared" si="36"/>
        <v>8.3574132478097454</v>
      </c>
      <c r="AB116" s="41" t="str">
        <f t="shared" si="51"/>
        <v>8</v>
      </c>
      <c r="AC116" s="24">
        <f t="shared" si="37"/>
        <v>4.2889589737169445</v>
      </c>
      <c r="AD116" s="41" t="str">
        <f t="shared" si="52"/>
        <v>4</v>
      </c>
      <c r="AE116" s="24">
        <f t="shared" si="38"/>
        <v>3.4675076846033335</v>
      </c>
      <c r="AF116" s="41" t="str">
        <f t="shared" si="53"/>
        <v>3</v>
      </c>
      <c r="AG116" s="24">
        <f t="shared" si="39"/>
        <v>5.6100922152400017</v>
      </c>
      <c r="AH116" s="41" t="str">
        <f t="shared" si="54"/>
        <v/>
      </c>
      <c r="AI116" s="24">
        <f t="shared" si="40"/>
        <v>7.3211065828800201</v>
      </c>
      <c r="AJ116" s="41" t="str">
        <f t="shared" si="55"/>
        <v/>
      </c>
    </row>
    <row r="117" spans="1:36" ht="13.5" customHeight="1">
      <c r="A117" s="384" t="s">
        <v>916</v>
      </c>
      <c r="B117" s="385">
        <v>53</v>
      </c>
      <c r="C117" s="386" t="s">
        <v>915</v>
      </c>
      <c r="D117" s="387">
        <v>126.90447</v>
      </c>
      <c r="E117" s="386"/>
      <c r="F117" s="8">
        <v>8</v>
      </c>
      <c r="G117" s="21">
        <f t="shared" si="41"/>
        <v>127.07613904922219</v>
      </c>
      <c r="H117" s="37" t="str">
        <f t="shared" si="28"/>
        <v>X;70XE699</v>
      </c>
      <c r="I117" s="38">
        <v>1</v>
      </c>
      <c r="J117" s="132">
        <f t="shared" si="42"/>
        <v>10.58967825410185</v>
      </c>
      <c r="K117" s="39" t="str">
        <f>INDEX(powers!$H$2:$H$75,33+I117)</f>
        <v>dirac</v>
      </c>
      <c r="L117" s="40" t="str">
        <f t="shared" si="43"/>
        <v>X</v>
      </c>
      <c r="M117" s="24">
        <f t="shared" si="29"/>
        <v>7.0761390492221992</v>
      </c>
      <c r="N117" s="41" t="str">
        <f t="shared" si="44"/>
        <v>7</v>
      </c>
      <c r="O117" s="24">
        <f t="shared" si="30"/>
        <v>0.91366859066638995</v>
      </c>
      <c r="P117" s="41" t="str">
        <f t="shared" si="45"/>
        <v>0</v>
      </c>
      <c r="Q117" s="24">
        <f t="shared" si="31"/>
        <v>10.964023087996679</v>
      </c>
      <c r="R117" s="41" t="str">
        <f t="shared" si="46"/>
        <v>X</v>
      </c>
      <c r="S117" s="24">
        <f t="shared" si="32"/>
        <v>11.568277055960152</v>
      </c>
      <c r="T117" s="41" t="str">
        <f t="shared" si="47"/>
        <v>E</v>
      </c>
      <c r="U117" s="24">
        <f t="shared" si="33"/>
        <v>6.8193246715218265</v>
      </c>
      <c r="V117" s="41" t="str">
        <f t="shared" si="48"/>
        <v>6</v>
      </c>
      <c r="W117" s="24">
        <f t="shared" si="34"/>
        <v>9.8318960582619184</v>
      </c>
      <c r="X117" s="41" t="str">
        <f t="shared" si="49"/>
        <v>9</v>
      </c>
      <c r="Y117" s="24">
        <f t="shared" si="35"/>
        <v>9.9827526991430204</v>
      </c>
      <c r="Z117" s="41" t="str">
        <f t="shared" si="50"/>
        <v>9</v>
      </c>
      <c r="AA117" s="24">
        <f t="shared" si="36"/>
        <v>11.793032389716245</v>
      </c>
      <c r="AB117" s="41" t="str">
        <f t="shared" si="51"/>
        <v/>
      </c>
      <c r="AC117" s="24">
        <f t="shared" si="37"/>
        <v>9.5163886765949428</v>
      </c>
      <c r="AD117" s="41" t="str">
        <f t="shared" si="52"/>
        <v/>
      </c>
      <c r="AE117" s="24">
        <f t="shared" si="38"/>
        <v>6.1966641191393137</v>
      </c>
      <c r="AF117" s="41" t="str">
        <f t="shared" si="53"/>
        <v/>
      </c>
      <c r="AG117" s="24">
        <f t="shared" si="39"/>
        <v>2.3599694296717644</v>
      </c>
      <c r="AH117" s="41" t="str">
        <f t="shared" si="54"/>
        <v/>
      </c>
      <c r="AI117" s="24">
        <f t="shared" si="40"/>
        <v>4.3196331560611725</v>
      </c>
      <c r="AJ117" s="41" t="str">
        <f t="shared" si="55"/>
        <v/>
      </c>
    </row>
    <row r="118" spans="1:36" ht="13.5" customHeight="1">
      <c r="A118" s="384"/>
      <c r="B118" s="385"/>
      <c r="C118" s="386"/>
      <c r="D118" s="387"/>
      <c r="E118" s="386">
        <v>126.90447</v>
      </c>
      <c r="F118" s="8">
        <v>8</v>
      </c>
      <c r="G118" s="21">
        <f t="shared" si="41"/>
        <v>127.07613904922219</v>
      </c>
      <c r="H118" s="37" t="str">
        <f t="shared" si="28"/>
        <v>X;70XE699</v>
      </c>
      <c r="I118" s="38">
        <v>1</v>
      </c>
      <c r="J118" s="132">
        <f t="shared" si="42"/>
        <v>10.58967825410185</v>
      </c>
      <c r="K118" s="39" t="str">
        <f>INDEX(powers!$H$2:$H$75,33+I118)</f>
        <v>dirac</v>
      </c>
      <c r="L118" s="40" t="str">
        <f t="shared" si="43"/>
        <v>X</v>
      </c>
      <c r="M118" s="24">
        <f t="shared" si="29"/>
        <v>7.0761390492221992</v>
      </c>
      <c r="N118" s="41" t="str">
        <f t="shared" si="44"/>
        <v>7</v>
      </c>
      <c r="O118" s="24">
        <f t="shared" si="30"/>
        <v>0.91366859066638995</v>
      </c>
      <c r="P118" s="41" t="str">
        <f t="shared" si="45"/>
        <v>0</v>
      </c>
      <c r="Q118" s="24">
        <f t="shared" si="31"/>
        <v>10.964023087996679</v>
      </c>
      <c r="R118" s="41" t="str">
        <f t="shared" si="46"/>
        <v>X</v>
      </c>
      <c r="S118" s="24">
        <f t="shared" si="32"/>
        <v>11.568277055960152</v>
      </c>
      <c r="T118" s="41" t="str">
        <f t="shared" si="47"/>
        <v>E</v>
      </c>
      <c r="U118" s="24">
        <f t="shared" si="33"/>
        <v>6.8193246715218265</v>
      </c>
      <c r="V118" s="41" t="str">
        <f t="shared" si="48"/>
        <v>6</v>
      </c>
      <c r="W118" s="24">
        <f t="shared" si="34"/>
        <v>9.8318960582619184</v>
      </c>
      <c r="X118" s="41" t="str">
        <f t="shared" si="49"/>
        <v>9</v>
      </c>
      <c r="Y118" s="24">
        <f t="shared" si="35"/>
        <v>9.9827526991430204</v>
      </c>
      <c r="Z118" s="41" t="str">
        <f t="shared" si="50"/>
        <v>9</v>
      </c>
      <c r="AA118" s="24">
        <f t="shared" si="36"/>
        <v>11.793032389716245</v>
      </c>
      <c r="AB118" s="41" t="str">
        <f t="shared" si="51"/>
        <v/>
      </c>
      <c r="AC118" s="24">
        <f t="shared" si="37"/>
        <v>9.5163886765949428</v>
      </c>
      <c r="AD118" s="41" t="str">
        <f t="shared" si="52"/>
        <v/>
      </c>
      <c r="AE118" s="24">
        <f t="shared" si="38"/>
        <v>6.1966641191393137</v>
      </c>
      <c r="AF118" s="41" t="str">
        <f t="shared" si="53"/>
        <v/>
      </c>
      <c r="AG118" s="24">
        <f t="shared" si="39"/>
        <v>2.3599694296717644</v>
      </c>
      <c r="AH118" s="41" t="str">
        <f t="shared" si="54"/>
        <v/>
      </c>
      <c r="AI118" s="24">
        <f t="shared" si="40"/>
        <v>4.3196331560611725</v>
      </c>
      <c r="AJ118" s="41" t="str">
        <f t="shared" si="55"/>
        <v/>
      </c>
    </row>
    <row r="119" spans="1:36" ht="13.5" customHeight="1">
      <c r="A119" s="384" t="s">
        <v>918</v>
      </c>
      <c r="B119" s="385">
        <v>54</v>
      </c>
      <c r="C119" s="386" t="s">
        <v>917</v>
      </c>
      <c r="D119" s="387">
        <v>131.29300000000001</v>
      </c>
      <c r="E119" s="386"/>
      <c r="F119" s="8">
        <v>6</v>
      </c>
      <c r="G119" s="21">
        <f t="shared" si="41"/>
        <v>131.4706055995469</v>
      </c>
      <c r="H119" s="37" t="str">
        <f t="shared" si="28"/>
        <v>X;E57926</v>
      </c>
      <c r="I119" s="38">
        <v>1</v>
      </c>
      <c r="J119" s="132">
        <f t="shared" si="42"/>
        <v>10.955883799962242</v>
      </c>
      <c r="K119" s="39" t="str">
        <f>INDEX(powers!$H$2:$H$75,33+I119)</f>
        <v>dirac</v>
      </c>
      <c r="L119" s="40" t="str">
        <f t="shared" si="43"/>
        <v>X</v>
      </c>
      <c r="M119" s="24">
        <f t="shared" si="29"/>
        <v>11.470605599546907</v>
      </c>
      <c r="N119" s="41" t="str">
        <f t="shared" si="44"/>
        <v>E</v>
      </c>
      <c r="O119" s="24">
        <f t="shared" si="30"/>
        <v>5.6472671945628861</v>
      </c>
      <c r="P119" s="41" t="str">
        <f t="shared" si="45"/>
        <v>5</v>
      </c>
      <c r="Q119" s="24">
        <f t="shared" si="31"/>
        <v>7.7672063347546327</v>
      </c>
      <c r="R119" s="41" t="str">
        <f t="shared" si="46"/>
        <v>7</v>
      </c>
      <c r="S119" s="24">
        <f t="shared" si="32"/>
        <v>9.2064760170555928</v>
      </c>
      <c r="T119" s="41" t="str">
        <f t="shared" si="47"/>
        <v>9</v>
      </c>
      <c r="U119" s="24">
        <f t="shared" si="33"/>
        <v>2.4777122046671138</v>
      </c>
      <c r="V119" s="41" t="str">
        <f t="shared" si="48"/>
        <v>2</v>
      </c>
      <c r="W119" s="24">
        <f t="shared" si="34"/>
        <v>5.7325464560053661</v>
      </c>
      <c r="X119" s="41" t="str">
        <f t="shared" si="49"/>
        <v>6</v>
      </c>
      <c r="Y119" s="24">
        <f t="shared" si="35"/>
        <v>8.7905574720643926</v>
      </c>
      <c r="Z119" s="41" t="str">
        <f t="shared" si="50"/>
        <v/>
      </c>
      <c r="AA119" s="24">
        <f t="shared" si="36"/>
        <v>9.4866896647727117</v>
      </c>
      <c r="AB119" s="41" t="str">
        <f t="shared" si="51"/>
        <v/>
      </c>
      <c r="AC119" s="24">
        <f t="shared" si="37"/>
        <v>5.8402759772725403</v>
      </c>
      <c r="AD119" s="41" t="str">
        <f t="shared" si="52"/>
        <v/>
      </c>
      <c r="AE119" s="24">
        <f t="shared" si="38"/>
        <v>10.083311727270484</v>
      </c>
      <c r="AF119" s="41" t="str">
        <f t="shared" si="53"/>
        <v/>
      </c>
      <c r="AG119" s="24">
        <f t="shared" si="39"/>
        <v>0.99974072724580765</v>
      </c>
      <c r="AH119" s="41" t="str">
        <f t="shared" si="54"/>
        <v/>
      </c>
      <c r="AI119" s="24">
        <f t="shared" si="40"/>
        <v>11.996888726949692</v>
      </c>
      <c r="AJ119" s="41" t="str">
        <f t="shared" si="55"/>
        <v/>
      </c>
    </row>
    <row r="120" spans="1:36" ht="13.5" customHeight="1">
      <c r="A120" s="384"/>
      <c r="B120" s="385"/>
      <c r="C120" s="386"/>
      <c r="D120" s="387"/>
      <c r="E120" s="386">
        <v>131.9041545</v>
      </c>
      <c r="F120" s="8">
        <v>10</v>
      </c>
      <c r="G120" s="21">
        <f t="shared" si="41"/>
        <v>132.08258683411302</v>
      </c>
      <c r="H120" s="37" t="str">
        <f t="shared" si="28"/>
        <v>E;00EX862E6</v>
      </c>
      <c r="I120" s="38">
        <v>1</v>
      </c>
      <c r="J120" s="132">
        <f t="shared" si="42"/>
        <v>11.006882236176084</v>
      </c>
      <c r="K120" s="39" t="str">
        <f>INDEX(powers!$H$2:$H$75,33+I120)</f>
        <v>dirac</v>
      </c>
      <c r="L120" s="40" t="str">
        <f t="shared" si="43"/>
        <v>E</v>
      </c>
      <c r="M120" s="24">
        <f t="shared" si="29"/>
        <v>8.2586834113008933E-2</v>
      </c>
      <c r="N120" s="41" t="str">
        <f t="shared" si="44"/>
        <v>0</v>
      </c>
      <c r="O120" s="24">
        <f t="shared" si="30"/>
        <v>0.9910420093561072</v>
      </c>
      <c r="P120" s="41" t="str">
        <f t="shared" si="45"/>
        <v>0</v>
      </c>
      <c r="Q120" s="24">
        <f t="shared" si="31"/>
        <v>11.892504112273286</v>
      </c>
      <c r="R120" s="41" t="str">
        <f t="shared" si="46"/>
        <v>E</v>
      </c>
      <c r="S120" s="24">
        <f t="shared" si="32"/>
        <v>10.710049347279437</v>
      </c>
      <c r="T120" s="41" t="str">
        <f t="shared" si="47"/>
        <v>X</v>
      </c>
      <c r="U120" s="24">
        <f t="shared" si="33"/>
        <v>8.520592167353243</v>
      </c>
      <c r="V120" s="41" t="str">
        <f t="shared" si="48"/>
        <v>8</v>
      </c>
      <c r="W120" s="24">
        <f t="shared" si="34"/>
        <v>6.2471060082389158</v>
      </c>
      <c r="X120" s="41" t="str">
        <f t="shared" si="49"/>
        <v>6</v>
      </c>
      <c r="Y120" s="24">
        <f t="shared" si="35"/>
        <v>2.9652720988669898</v>
      </c>
      <c r="Z120" s="41" t="str">
        <f t="shared" si="50"/>
        <v>2</v>
      </c>
      <c r="AA120" s="24">
        <f t="shared" si="36"/>
        <v>11.583265186403878</v>
      </c>
      <c r="AB120" s="41" t="str">
        <f t="shared" si="51"/>
        <v>E</v>
      </c>
      <c r="AC120" s="24">
        <f t="shared" si="37"/>
        <v>6.9991822368465364</v>
      </c>
      <c r="AD120" s="41" t="str">
        <f t="shared" si="52"/>
        <v>6</v>
      </c>
      <c r="AE120" s="24">
        <f t="shared" si="38"/>
        <v>11.990186842158437</v>
      </c>
      <c r="AF120" s="41" t="str">
        <f t="shared" si="53"/>
        <v/>
      </c>
      <c r="AG120" s="24">
        <f t="shared" si="39"/>
        <v>11.882242105901241</v>
      </c>
      <c r="AH120" s="41" t="str">
        <f t="shared" si="54"/>
        <v/>
      </c>
      <c r="AI120" s="24">
        <f t="shared" si="40"/>
        <v>10.586905270814896</v>
      </c>
      <c r="AJ120" s="41" t="str">
        <f t="shared" si="55"/>
        <v/>
      </c>
    </row>
    <row r="121" spans="1:36" ht="14.25" customHeight="1">
      <c r="A121" s="384" t="s">
        <v>920</v>
      </c>
      <c r="B121" s="385">
        <v>55</v>
      </c>
      <c r="C121" s="386" t="s">
        <v>919</v>
      </c>
      <c r="D121" s="387">
        <v>132.9054519</v>
      </c>
      <c r="E121" s="386"/>
      <c r="F121" s="8">
        <v>10</v>
      </c>
      <c r="G121" s="21">
        <f t="shared" si="41"/>
        <v>133.0852387314971</v>
      </c>
      <c r="H121" s="37" t="str">
        <f t="shared" si="28"/>
        <v>E;11033615X4</v>
      </c>
      <c r="I121" s="38">
        <v>1</v>
      </c>
      <c r="J121" s="132">
        <f t="shared" si="42"/>
        <v>11.090436560958091</v>
      </c>
      <c r="K121" s="39" t="str">
        <f>INDEX(powers!$H$2:$H$75,33+I121)</f>
        <v>dirac</v>
      </c>
      <c r="L121" s="40" t="str">
        <f t="shared" si="43"/>
        <v>E</v>
      </c>
      <c r="M121" s="24">
        <f t="shared" si="29"/>
        <v>1.0852387314970926</v>
      </c>
      <c r="N121" s="41" t="str">
        <f t="shared" si="44"/>
        <v>1</v>
      </c>
      <c r="O121" s="24">
        <f t="shared" si="30"/>
        <v>1.0228647779651112</v>
      </c>
      <c r="P121" s="41" t="str">
        <f t="shared" si="45"/>
        <v>1</v>
      </c>
      <c r="Q121" s="24">
        <f t="shared" si="31"/>
        <v>0.27437733558133459</v>
      </c>
      <c r="R121" s="41" t="str">
        <f t="shared" si="46"/>
        <v>0</v>
      </c>
      <c r="S121" s="24">
        <f t="shared" si="32"/>
        <v>3.2925280269760151</v>
      </c>
      <c r="T121" s="41" t="str">
        <f t="shared" si="47"/>
        <v>3</v>
      </c>
      <c r="U121" s="24">
        <f t="shared" si="33"/>
        <v>3.5103363237121812</v>
      </c>
      <c r="V121" s="41" t="str">
        <f t="shared" si="48"/>
        <v>3</v>
      </c>
      <c r="W121" s="24">
        <f t="shared" si="34"/>
        <v>6.1240358845461742</v>
      </c>
      <c r="X121" s="41" t="str">
        <f t="shared" si="49"/>
        <v>6</v>
      </c>
      <c r="Y121" s="24">
        <f t="shared" si="35"/>
        <v>1.4884306145540904</v>
      </c>
      <c r="Z121" s="41" t="str">
        <f t="shared" si="50"/>
        <v>1</v>
      </c>
      <c r="AA121" s="24">
        <f t="shared" si="36"/>
        <v>5.8611673746490851</v>
      </c>
      <c r="AB121" s="41" t="str">
        <f t="shared" si="51"/>
        <v>5</v>
      </c>
      <c r="AC121" s="24">
        <f t="shared" si="37"/>
        <v>10.334008495789021</v>
      </c>
      <c r="AD121" s="41" t="str">
        <f t="shared" si="52"/>
        <v>X</v>
      </c>
      <c r="AE121" s="24">
        <f t="shared" si="38"/>
        <v>4.008101949468255</v>
      </c>
      <c r="AF121" s="41" t="str">
        <f t="shared" si="53"/>
        <v>4</v>
      </c>
      <c r="AG121" s="24">
        <f t="shared" si="39"/>
        <v>9.7223393619060516E-2</v>
      </c>
      <c r="AH121" s="41" t="str">
        <f t="shared" si="54"/>
        <v/>
      </c>
      <c r="AI121" s="24">
        <f t="shared" si="40"/>
        <v>1.1666807234287262</v>
      </c>
      <c r="AJ121" s="41" t="str">
        <f t="shared" si="55"/>
        <v/>
      </c>
    </row>
    <row r="122" spans="1:36" ht="14.25" customHeight="1">
      <c r="A122" s="384"/>
      <c r="B122" s="385"/>
      <c r="C122" s="386"/>
      <c r="D122" s="387"/>
      <c r="E122" s="386">
        <v>132.90545</v>
      </c>
      <c r="F122" s="8">
        <v>8</v>
      </c>
      <c r="G122" s="21">
        <f t="shared" si="41"/>
        <v>133.0852368289269</v>
      </c>
      <c r="H122" s="37" t="str">
        <f t="shared" ref="H122:H184" si="56">L122&amp;";"&amp;N122&amp;P122&amp;R122&amp;T122&amp;V122&amp;X122&amp;Z122&amp;AB122&amp;AD122&amp;AF122&amp;AH122&amp;AJ122</f>
        <v>E;1103357X</v>
      </c>
      <c r="I122" s="38">
        <v>1</v>
      </c>
      <c r="J122" s="132">
        <f t="shared" si="42"/>
        <v>11.090436402410575</v>
      </c>
      <c r="K122" s="39" t="str">
        <f>INDEX(powers!$H$2:$H$75,33+I122)</f>
        <v>dirac</v>
      </c>
      <c r="L122" s="40" t="str">
        <f t="shared" si="43"/>
        <v>E</v>
      </c>
      <c r="M122" s="24">
        <f t="shared" ref="M122:M184" si="57">(J122-INT(J122))*12</f>
        <v>1.0852368289268952</v>
      </c>
      <c r="N122" s="41" t="str">
        <f t="shared" si="44"/>
        <v>1</v>
      </c>
      <c r="O122" s="24">
        <f t="shared" ref="O122:O184" si="58">(M122-INT(M122))*12</f>
        <v>1.0228419471227426</v>
      </c>
      <c r="P122" s="41" t="str">
        <f t="shared" si="45"/>
        <v>1</v>
      </c>
      <c r="Q122" s="24">
        <f t="shared" ref="Q122:Q184" si="59">(O122-INT(O122))*12</f>
        <v>0.27410336547291081</v>
      </c>
      <c r="R122" s="41" t="str">
        <f t="shared" si="46"/>
        <v>0</v>
      </c>
      <c r="S122" s="24">
        <f t="shared" ref="S122:S184" si="60">(Q122-INT(Q122))*12</f>
        <v>3.2892403856749297</v>
      </c>
      <c r="T122" s="41" t="str">
        <f t="shared" si="47"/>
        <v>3</v>
      </c>
      <c r="U122" s="24">
        <f t="shared" ref="U122:U184" si="61">(S122-INT(S122))*12</f>
        <v>3.4708846280991565</v>
      </c>
      <c r="V122" s="41" t="str">
        <f t="shared" si="48"/>
        <v>3</v>
      </c>
      <c r="W122" s="24">
        <f t="shared" ref="W122:W184" si="62">(U122-INT(U122))*12</f>
        <v>5.6506155371898785</v>
      </c>
      <c r="X122" s="41" t="str">
        <f t="shared" si="49"/>
        <v>5</v>
      </c>
      <c r="Y122" s="24">
        <f t="shared" ref="Y122:Y184" si="63">(W122-INT(W122))*12</f>
        <v>7.8073864462785423</v>
      </c>
      <c r="Z122" s="41" t="str">
        <f t="shared" si="50"/>
        <v>7</v>
      </c>
      <c r="AA122" s="24">
        <f t="shared" ref="AA122:AA184" si="64">(Y122-INT(Y122))*12</f>
        <v>9.6886373553425074</v>
      </c>
      <c r="AB122" s="41" t="str">
        <f t="shared" si="51"/>
        <v>X</v>
      </c>
      <c r="AC122" s="24">
        <f t="shared" ref="AC122:AC184" si="65">(AA122-INT(AA122))*12</f>
        <v>8.2636482641100883</v>
      </c>
      <c r="AD122" s="41" t="str">
        <f t="shared" si="52"/>
        <v/>
      </c>
      <c r="AE122" s="24">
        <f t="shared" ref="AE122:AE184" si="66">(AC122-INT(AC122))*12</f>
        <v>3.1637791693210602</v>
      </c>
      <c r="AF122" s="41" t="str">
        <f t="shared" si="53"/>
        <v/>
      </c>
      <c r="AG122" s="24">
        <f t="shared" ref="AG122:AG184" si="67">(AE122-INT(AE122))*12</f>
        <v>1.9653500318527222</v>
      </c>
      <c r="AH122" s="41" t="str">
        <f t="shared" si="54"/>
        <v/>
      </c>
      <c r="AI122" s="24">
        <f t="shared" ref="AI122:AI184" si="68">(AG122-INT(AG122))*12</f>
        <v>11.584200382232666</v>
      </c>
      <c r="AJ122" s="41" t="str">
        <f t="shared" si="55"/>
        <v/>
      </c>
    </row>
    <row r="123" spans="1:36">
      <c r="A123" s="384" t="s">
        <v>922</v>
      </c>
      <c r="B123" s="385">
        <v>56</v>
      </c>
      <c r="C123" s="386" t="s">
        <v>921</v>
      </c>
      <c r="D123" s="387">
        <v>137.327</v>
      </c>
      <c r="E123" s="386"/>
      <c r="F123" s="8">
        <v>6</v>
      </c>
      <c r="G123" s="21">
        <f t="shared" si="41"/>
        <v>137.51276804680353</v>
      </c>
      <c r="H123" s="37" t="str">
        <f t="shared" si="56"/>
        <v>E;561X09</v>
      </c>
      <c r="I123" s="38">
        <v>1</v>
      </c>
      <c r="J123" s="132">
        <f t="shared" si="42"/>
        <v>11.459397337233627</v>
      </c>
      <c r="K123" s="39" t="str">
        <f>INDEX(powers!$H$2:$H$75,33+I123)</f>
        <v>dirac</v>
      </c>
      <c r="L123" s="40" t="str">
        <f t="shared" si="43"/>
        <v>E</v>
      </c>
      <c r="M123" s="24">
        <f t="shared" si="57"/>
        <v>5.5127680468035223</v>
      </c>
      <c r="N123" s="41" t="str">
        <f t="shared" si="44"/>
        <v>5</v>
      </c>
      <c r="O123" s="24">
        <f t="shared" si="58"/>
        <v>6.1532165616422674</v>
      </c>
      <c r="P123" s="41" t="str">
        <f t="shared" si="45"/>
        <v>6</v>
      </c>
      <c r="Q123" s="24">
        <f t="shared" si="59"/>
        <v>1.8385987397072086</v>
      </c>
      <c r="R123" s="41" t="str">
        <f t="shared" si="46"/>
        <v>1</v>
      </c>
      <c r="S123" s="24">
        <f t="shared" si="60"/>
        <v>10.063184876486503</v>
      </c>
      <c r="T123" s="41" t="str">
        <f t="shared" si="47"/>
        <v>X</v>
      </c>
      <c r="U123" s="24">
        <f t="shared" si="61"/>
        <v>0.7582185178380314</v>
      </c>
      <c r="V123" s="41" t="str">
        <f t="shared" si="48"/>
        <v>0</v>
      </c>
      <c r="W123" s="24">
        <f t="shared" si="62"/>
        <v>9.0986222140563768</v>
      </c>
      <c r="X123" s="41" t="str">
        <f t="shared" si="49"/>
        <v>9</v>
      </c>
      <c r="Y123" s="24">
        <f t="shared" si="63"/>
        <v>1.183466568676522</v>
      </c>
      <c r="Z123" s="41" t="str">
        <f t="shared" si="50"/>
        <v/>
      </c>
      <c r="AA123" s="24">
        <f t="shared" si="64"/>
        <v>2.201598824118264</v>
      </c>
      <c r="AB123" s="41" t="str">
        <f t="shared" si="51"/>
        <v/>
      </c>
      <c r="AC123" s="24">
        <f t="shared" si="65"/>
        <v>2.4191858894191682</v>
      </c>
      <c r="AD123" s="41" t="str">
        <f t="shared" si="52"/>
        <v/>
      </c>
      <c r="AE123" s="24">
        <f t="shared" si="66"/>
        <v>5.0302306730300188</v>
      </c>
      <c r="AF123" s="41" t="str">
        <f t="shared" si="53"/>
        <v/>
      </c>
      <c r="AG123" s="24">
        <f t="shared" si="67"/>
        <v>0.36276807636022568</v>
      </c>
      <c r="AH123" s="41" t="str">
        <f t="shared" si="54"/>
        <v/>
      </c>
      <c r="AI123" s="24">
        <f t="shared" si="68"/>
        <v>4.3532169163227081</v>
      </c>
      <c r="AJ123" s="41" t="str">
        <f t="shared" si="55"/>
        <v/>
      </c>
    </row>
    <row r="124" spans="1:36">
      <c r="A124" s="384"/>
      <c r="B124" s="385"/>
      <c r="C124" s="386"/>
      <c r="D124" s="387"/>
      <c r="E124" s="386">
        <v>137.90524099999999</v>
      </c>
      <c r="F124" s="8">
        <v>9</v>
      </c>
      <c r="G124" s="21">
        <f t="shared" si="41"/>
        <v>138.09179125788475</v>
      </c>
      <c r="H124" s="37" t="str">
        <f t="shared" si="56"/>
        <v>E;611274729</v>
      </c>
      <c r="I124" s="38">
        <v>1</v>
      </c>
      <c r="J124" s="132">
        <f t="shared" si="42"/>
        <v>11.507649271490395</v>
      </c>
      <c r="K124" s="39" t="str">
        <f>INDEX(powers!$H$2:$H$75,33+I124)</f>
        <v>dirac</v>
      </c>
      <c r="L124" s="40" t="str">
        <f t="shared" si="43"/>
        <v>E</v>
      </c>
      <c r="M124" s="24">
        <f t="shared" si="57"/>
        <v>6.0917912578847435</v>
      </c>
      <c r="N124" s="41" t="str">
        <f t="shared" si="44"/>
        <v>6</v>
      </c>
      <c r="O124" s="24">
        <f t="shared" si="58"/>
        <v>1.1014950946169222</v>
      </c>
      <c r="P124" s="41" t="str">
        <f t="shared" si="45"/>
        <v>1</v>
      </c>
      <c r="Q124" s="24">
        <f t="shared" si="59"/>
        <v>1.2179411354030663</v>
      </c>
      <c r="R124" s="41" t="str">
        <f t="shared" si="46"/>
        <v>1</v>
      </c>
      <c r="S124" s="24">
        <f t="shared" si="60"/>
        <v>2.6152936248367951</v>
      </c>
      <c r="T124" s="41" t="str">
        <f t="shared" si="47"/>
        <v>2</v>
      </c>
      <c r="U124" s="24">
        <f t="shared" si="61"/>
        <v>7.3835234980415407</v>
      </c>
      <c r="V124" s="41" t="str">
        <f t="shared" si="48"/>
        <v>7</v>
      </c>
      <c r="W124" s="24">
        <f t="shared" si="62"/>
        <v>4.6022819764984888</v>
      </c>
      <c r="X124" s="41" t="str">
        <f t="shared" si="49"/>
        <v>4</v>
      </c>
      <c r="Y124" s="24">
        <f t="shared" si="63"/>
        <v>7.2273837179818656</v>
      </c>
      <c r="Z124" s="41" t="str">
        <f t="shared" si="50"/>
        <v>7</v>
      </c>
      <c r="AA124" s="24">
        <f t="shared" si="64"/>
        <v>2.7286046157823876</v>
      </c>
      <c r="AB124" s="41" t="str">
        <f t="shared" si="51"/>
        <v>2</v>
      </c>
      <c r="AC124" s="24">
        <f t="shared" si="65"/>
        <v>8.7432553893886507</v>
      </c>
      <c r="AD124" s="41" t="str">
        <f t="shared" si="52"/>
        <v>9</v>
      </c>
      <c r="AE124" s="24">
        <f t="shared" si="66"/>
        <v>8.9190646726638079</v>
      </c>
      <c r="AF124" s="41" t="str">
        <f t="shared" si="53"/>
        <v/>
      </c>
      <c r="AG124" s="24">
        <f t="shared" si="67"/>
        <v>11.028776071965694</v>
      </c>
      <c r="AH124" s="41" t="str">
        <f t="shared" si="54"/>
        <v/>
      </c>
      <c r="AI124" s="24">
        <f t="shared" si="68"/>
        <v>0.34531286358833313</v>
      </c>
      <c r="AJ124" s="41" t="str">
        <f t="shared" si="55"/>
        <v/>
      </c>
    </row>
    <row r="125" spans="1:36">
      <c r="A125" s="384" t="s">
        <v>924</v>
      </c>
      <c r="B125" s="385">
        <v>57</v>
      </c>
      <c r="C125" s="386" t="s">
        <v>923</v>
      </c>
      <c r="D125" s="387">
        <v>138.90547000000001</v>
      </c>
      <c r="E125" s="386"/>
      <c r="F125" s="8">
        <v>7</v>
      </c>
      <c r="G125" s="21">
        <f t="shared" si="41"/>
        <v>139.09337330999895</v>
      </c>
      <c r="H125" s="37" t="str">
        <f t="shared" si="56"/>
        <v>E;7115423</v>
      </c>
      <c r="I125" s="38">
        <v>1</v>
      </c>
      <c r="J125" s="132">
        <f t="shared" si="42"/>
        <v>11.591114442499913</v>
      </c>
      <c r="K125" s="39" t="str">
        <f>INDEX(powers!$H$2:$H$75,33+I125)</f>
        <v>dirac</v>
      </c>
      <c r="L125" s="40" t="str">
        <f t="shared" si="43"/>
        <v>E</v>
      </c>
      <c r="M125" s="24">
        <f t="shared" si="57"/>
        <v>7.0933733099989595</v>
      </c>
      <c r="N125" s="41" t="str">
        <f t="shared" si="44"/>
        <v>7</v>
      </c>
      <c r="O125" s="24">
        <f t="shared" si="58"/>
        <v>1.1204797199875145</v>
      </c>
      <c r="P125" s="41" t="str">
        <f t="shared" si="45"/>
        <v>1</v>
      </c>
      <c r="Q125" s="24">
        <f t="shared" si="59"/>
        <v>1.445756639850174</v>
      </c>
      <c r="R125" s="41" t="str">
        <f t="shared" si="46"/>
        <v>1</v>
      </c>
      <c r="S125" s="24">
        <f t="shared" si="60"/>
        <v>5.349079678202088</v>
      </c>
      <c r="T125" s="41" t="str">
        <f t="shared" si="47"/>
        <v>5</v>
      </c>
      <c r="U125" s="24">
        <f t="shared" si="61"/>
        <v>4.1889561384250555</v>
      </c>
      <c r="V125" s="41" t="str">
        <f t="shared" si="48"/>
        <v>4</v>
      </c>
      <c r="W125" s="24">
        <f t="shared" si="62"/>
        <v>2.2674736611006665</v>
      </c>
      <c r="X125" s="41" t="str">
        <f t="shared" si="49"/>
        <v>2</v>
      </c>
      <c r="Y125" s="24">
        <f t="shared" si="63"/>
        <v>3.2096839332079981</v>
      </c>
      <c r="Z125" s="41" t="str">
        <f t="shared" si="50"/>
        <v>3</v>
      </c>
      <c r="AA125" s="24">
        <f t="shared" si="64"/>
        <v>2.5162071984959766</v>
      </c>
      <c r="AB125" s="41" t="str">
        <f t="shared" si="51"/>
        <v/>
      </c>
      <c r="AC125" s="24">
        <f t="shared" si="65"/>
        <v>6.1944863819517195</v>
      </c>
      <c r="AD125" s="41" t="str">
        <f t="shared" si="52"/>
        <v/>
      </c>
      <c r="AE125" s="24">
        <f t="shared" si="66"/>
        <v>2.3338365834206343</v>
      </c>
      <c r="AF125" s="41" t="str">
        <f t="shared" si="53"/>
        <v/>
      </c>
      <c r="AG125" s="24">
        <f t="shared" si="67"/>
        <v>4.0060390010476112</v>
      </c>
      <c r="AH125" s="41" t="str">
        <f t="shared" si="54"/>
        <v/>
      </c>
      <c r="AI125" s="24">
        <f t="shared" si="68"/>
        <v>7.2468012571334839E-2</v>
      </c>
      <c r="AJ125" s="41" t="str">
        <f t="shared" si="55"/>
        <v/>
      </c>
    </row>
    <row r="126" spans="1:36">
      <c r="A126" s="384"/>
      <c r="B126" s="385"/>
      <c r="C126" s="386"/>
      <c r="D126" s="387"/>
      <c r="E126" s="386">
        <v>138.90634800000001</v>
      </c>
      <c r="F126" s="8">
        <v>9</v>
      </c>
      <c r="G126" s="21">
        <f t="shared" si="41"/>
        <v>139.09425249770672</v>
      </c>
      <c r="H126" s="37" t="str">
        <f t="shared" si="56"/>
        <v>E;7116X5055</v>
      </c>
      <c r="I126" s="38">
        <v>1</v>
      </c>
      <c r="J126" s="132">
        <f t="shared" si="42"/>
        <v>11.591187708142227</v>
      </c>
      <c r="K126" s="39" t="str">
        <f>INDEX(powers!$H$2:$H$75,33+I126)</f>
        <v>dirac</v>
      </c>
      <c r="L126" s="40" t="str">
        <f t="shared" si="43"/>
        <v>E</v>
      </c>
      <c r="M126" s="24">
        <f t="shared" si="57"/>
        <v>7.0942524977067265</v>
      </c>
      <c r="N126" s="41" t="str">
        <f t="shared" si="44"/>
        <v>7</v>
      </c>
      <c r="O126" s="24">
        <f t="shared" si="58"/>
        <v>1.131029972480718</v>
      </c>
      <c r="P126" s="41" t="str">
        <f t="shared" si="45"/>
        <v>1</v>
      </c>
      <c r="Q126" s="24">
        <f t="shared" si="59"/>
        <v>1.5723596697686162</v>
      </c>
      <c r="R126" s="41" t="str">
        <f t="shared" si="46"/>
        <v>1</v>
      </c>
      <c r="S126" s="24">
        <f t="shared" si="60"/>
        <v>6.8683160372233942</v>
      </c>
      <c r="T126" s="41" t="str">
        <f t="shared" si="47"/>
        <v>6</v>
      </c>
      <c r="U126" s="24">
        <f t="shared" si="61"/>
        <v>10.419792446680731</v>
      </c>
      <c r="V126" s="41" t="str">
        <f t="shared" si="48"/>
        <v>X</v>
      </c>
      <c r="W126" s="24">
        <f t="shared" si="62"/>
        <v>5.0375093601687695</v>
      </c>
      <c r="X126" s="41" t="str">
        <f t="shared" si="49"/>
        <v>5</v>
      </c>
      <c r="Y126" s="24">
        <f t="shared" si="63"/>
        <v>0.45011232202523388</v>
      </c>
      <c r="Z126" s="41" t="str">
        <f t="shared" si="50"/>
        <v>0</v>
      </c>
      <c r="AA126" s="24">
        <f t="shared" si="64"/>
        <v>5.4013478643028066</v>
      </c>
      <c r="AB126" s="41" t="str">
        <f t="shared" si="51"/>
        <v>5</v>
      </c>
      <c r="AC126" s="24">
        <f t="shared" si="65"/>
        <v>4.8161743716336787</v>
      </c>
      <c r="AD126" s="41" t="str">
        <f t="shared" si="52"/>
        <v>5</v>
      </c>
      <c r="AE126" s="24">
        <f t="shared" si="66"/>
        <v>9.7940924596041441</v>
      </c>
      <c r="AF126" s="41" t="str">
        <f t="shared" si="53"/>
        <v/>
      </c>
      <c r="AG126" s="24">
        <f t="shared" si="67"/>
        <v>9.5291095152497292</v>
      </c>
      <c r="AH126" s="41" t="str">
        <f t="shared" si="54"/>
        <v/>
      </c>
      <c r="AI126" s="24">
        <f t="shared" si="68"/>
        <v>6.3493141829967499</v>
      </c>
      <c r="AJ126" s="41" t="str">
        <f t="shared" si="55"/>
        <v/>
      </c>
    </row>
    <row r="127" spans="1:36">
      <c r="A127" s="384" t="s">
        <v>926</v>
      </c>
      <c r="B127" s="385">
        <v>58</v>
      </c>
      <c r="C127" s="386" t="s">
        <v>925</v>
      </c>
      <c r="D127" s="387">
        <v>140.11600000000001</v>
      </c>
      <c r="E127" s="386"/>
      <c r="F127" s="8">
        <v>6</v>
      </c>
      <c r="G127" s="21">
        <f t="shared" si="41"/>
        <v>140.30554084517919</v>
      </c>
      <c r="H127" s="37" t="str">
        <f t="shared" si="56"/>
        <v>E;837EE8</v>
      </c>
      <c r="I127" s="38">
        <v>1</v>
      </c>
      <c r="J127" s="132">
        <f t="shared" si="42"/>
        <v>11.692128403764933</v>
      </c>
      <c r="K127" s="39" t="str">
        <f>INDEX(powers!$H$2:$H$75,33+I127)</f>
        <v>dirac</v>
      </c>
      <c r="L127" s="40" t="str">
        <f t="shared" si="43"/>
        <v>E</v>
      </c>
      <c r="M127" s="24">
        <f t="shared" si="57"/>
        <v>8.3055408451791948</v>
      </c>
      <c r="N127" s="41" t="str">
        <f t="shared" si="44"/>
        <v>8</v>
      </c>
      <c r="O127" s="24">
        <f t="shared" si="58"/>
        <v>3.6664901421503373</v>
      </c>
      <c r="P127" s="41" t="str">
        <f t="shared" si="45"/>
        <v>3</v>
      </c>
      <c r="Q127" s="24">
        <f t="shared" si="59"/>
        <v>7.9978817058040477</v>
      </c>
      <c r="R127" s="41" t="str">
        <f t="shared" si="46"/>
        <v>7</v>
      </c>
      <c r="S127" s="24">
        <f t="shared" si="60"/>
        <v>11.974580469648572</v>
      </c>
      <c r="T127" s="41" t="str">
        <f t="shared" si="47"/>
        <v>E</v>
      </c>
      <c r="U127" s="24">
        <f t="shared" si="61"/>
        <v>11.694965635782864</v>
      </c>
      <c r="V127" s="41" t="str">
        <f t="shared" si="48"/>
        <v>E</v>
      </c>
      <c r="W127" s="24">
        <f t="shared" si="62"/>
        <v>8.3395876293943729</v>
      </c>
      <c r="X127" s="41" t="str">
        <f t="shared" si="49"/>
        <v>8</v>
      </c>
      <c r="Y127" s="24">
        <f t="shared" si="63"/>
        <v>4.0750515527324751</v>
      </c>
      <c r="Z127" s="41" t="str">
        <f t="shared" si="50"/>
        <v/>
      </c>
      <c r="AA127" s="24">
        <f t="shared" si="64"/>
        <v>0.90061863278970122</v>
      </c>
      <c r="AB127" s="41" t="str">
        <f t="shared" si="51"/>
        <v/>
      </c>
      <c r="AC127" s="24">
        <f t="shared" si="65"/>
        <v>10.807423593476415</v>
      </c>
      <c r="AD127" s="41" t="str">
        <f t="shared" si="52"/>
        <v/>
      </c>
      <c r="AE127" s="24">
        <f t="shared" si="66"/>
        <v>9.6890831217169762</v>
      </c>
      <c r="AF127" s="41" t="str">
        <f t="shared" si="53"/>
        <v/>
      </c>
      <c r="AG127" s="24">
        <f t="shared" si="67"/>
        <v>8.268997460603714</v>
      </c>
      <c r="AH127" s="41" t="str">
        <f t="shared" si="54"/>
        <v/>
      </c>
      <c r="AI127" s="24">
        <f t="shared" si="68"/>
        <v>3.2279695272445679</v>
      </c>
      <c r="AJ127" s="41" t="str">
        <f t="shared" si="55"/>
        <v/>
      </c>
    </row>
    <row r="128" spans="1:36">
      <c r="A128" s="384"/>
      <c r="B128" s="385"/>
      <c r="C128" s="386"/>
      <c r="D128" s="387"/>
      <c r="E128" s="386">
        <v>139.90543400000001</v>
      </c>
      <c r="F128" s="8">
        <v>9</v>
      </c>
      <c r="G128" s="21">
        <f t="shared" si="41"/>
        <v>140.09469000363643</v>
      </c>
      <c r="H128" s="37" t="str">
        <f t="shared" si="56"/>
        <v>E;811775XX0</v>
      </c>
      <c r="I128" s="38">
        <v>1</v>
      </c>
      <c r="J128" s="132">
        <f t="shared" si="42"/>
        <v>11.674557500303036</v>
      </c>
      <c r="K128" s="39" t="str">
        <f>INDEX(powers!$H$2:$H$75,33+I128)</f>
        <v>dirac</v>
      </c>
      <c r="L128" s="40" t="str">
        <f t="shared" si="43"/>
        <v>E</v>
      </c>
      <c r="M128" s="24">
        <f t="shared" si="57"/>
        <v>8.0946900036364369</v>
      </c>
      <c r="N128" s="41" t="str">
        <f t="shared" si="44"/>
        <v>8</v>
      </c>
      <c r="O128" s="24">
        <f t="shared" si="58"/>
        <v>1.1362800436372424</v>
      </c>
      <c r="P128" s="41" t="str">
        <f t="shared" si="45"/>
        <v>1</v>
      </c>
      <c r="Q128" s="24">
        <f t="shared" si="59"/>
        <v>1.6353605236469093</v>
      </c>
      <c r="R128" s="41" t="str">
        <f t="shared" si="46"/>
        <v>1</v>
      </c>
      <c r="S128" s="24">
        <f t="shared" si="60"/>
        <v>7.6243262837629118</v>
      </c>
      <c r="T128" s="41" t="str">
        <f t="shared" si="47"/>
        <v>7</v>
      </c>
      <c r="U128" s="24">
        <f t="shared" si="61"/>
        <v>7.4919154051549413</v>
      </c>
      <c r="V128" s="41" t="str">
        <f t="shared" si="48"/>
        <v>7</v>
      </c>
      <c r="W128" s="24">
        <f t="shared" si="62"/>
        <v>5.9029848618592951</v>
      </c>
      <c r="X128" s="41" t="str">
        <f t="shared" si="49"/>
        <v>5</v>
      </c>
      <c r="Y128" s="24">
        <f t="shared" si="63"/>
        <v>10.835818342311541</v>
      </c>
      <c r="Z128" s="41" t="str">
        <f t="shared" si="50"/>
        <v>X</v>
      </c>
      <c r="AA128" s="24">
        <f t="shared" si="64"/>
        <v>10.029820107738487</v>
      </c>
      <c r="AB128" s="41" t="str">
        <f t="shared" si="51"/>
        <v>X</v>
      </c>
      <c r="AC128" s="24">
        <f t="shared" si="65"/>
        <v>0.35784129286184907</v>
      </c>
      <c r="AD128" s="41" t="str">
        <f t="shared" si="52"/>
        <v>0</v>
      </c>
      <c r="AE128" s="24">
        <f t="shared" si="66"/>
        <v>4.2940955143421888</v>
      </c>
      <c r="AF128" s="41" t="str">
        <f t="shared" si="53"/>
        <v/>
      </c>
      <c r="AG128" s="24">
        <f t="shared" si="67"/>
        <v>3.529146172106266</v>
      </c>
      <c r="AH128" s="41" t="str">
        <f t="shared" si="54"/>
        <v/>
      </c>
      <c r="AI128" s="24">
        <f t="shared" si="68"/>
        <v>6.3497540652751923</v>
      </c>
      <c r="AJ128" s="41" t="str">
        <f t="shared" si="55"/>
        <v/>
      </c>
    </row>
    <row r="129" spans="1:36">
      <c r="A129" s="384" t="s">
        <v>928</v>
      </c>
      <c r="B129" s="385">
        <v>59</v>
      </c>
      <c r="C129" s="386" t="s">
        <v>927</v>
      </c>
      <c r="D129" s="387">
        <v>140.90764999999999</v>
      </c>
      <c r="E129" s="386"/>
      <c r="F129" s="8">
        <v>8</v>
      </c>
      <c r="G129" s="21">
        <f t="shared" si="41"/>
        <v>141.09826174364963</v>
      </c>
      <c r="H129" s="37" t="str">
        <f t="shared" si="56"/>
        <v>E;9121967</v>
      </c>
      <c r="I129" s="38">
        <v>1</v>
      </c>
      <c r="J129" s="132">
        <f t="shared" si="42"/>
        <v>11.75818847863747</v>
      </c>
      <c r="K129" s="39" t="str">
        <f>INDEX(powers!$H$2:$H$75,33+I129)</f>
        <v>dirac</v>
      </c>
      <c r="L129" s="40" t="str">
        <f t="shared" si="43"/>
        <v>E</v>
      </c>
      <c r="M129" s="24">
        <f t="shared" si="57"/>
        <v>9.0982617436496369</v>
      </c>
      <c r="N129" s="41" t="str">
        <f t="shared" si="44"/>
        <v>9</v>
      </c>
      <c r="O129" s="24">
        <f t="shared" si="58"/>
        <v>1.1791409237956429</v>
      </c>
      <c r="P129" s="41" t="str">
        <f t="shared" si="45"/>
        <v>1</v>
      </c>
      <c r="Q129" s="24">
        <f t="shared" si="59"/>
        <v>2.1496910855477154</v>
      </c>
      <c r="R129" s="41" t="str">
        <f t="shared" si="46"/>
        <v>2</v>
      </c>
      <c r="S129" s="24">
        <f t="shared" si="60"/>
        <v>1.7962930265725845</v>
      </c>
      <c r="T129" s="41" t="str">
        <f t="shared" si="47"/>
        <v>1</v>
      </c>
      <c r="U129" s="24">
        <f t="shared" si="61"/>
        <v>9.5555163188710139</v>
      </c>
      <c r="V129" s="41" t="str">
        <f t="shared" si="48"/>
        <v>9</v>
      </c>
      <c r="W129" s="24">
        <f t="shared" si="62"/>
        <v>6.6661958264521672</v>
      </c>
      <c r="X129" s="41" t="str">
        <f t="shared" si="49"/>
        <v>6</v>
      </c>
      <c r="Y129" s="24">
        <f t="shared" si="63"/>
        <v>7.9943499174260069</v>
      </c>
      <c r="Z129" s="41" t="str">
        <f t="shared" si="50"/>
        <v>7</v>
      </c>
      <c r="AA129" s="24">
        <f t="shared" si="64"/>
        <v>11.932199009112082</v>
      </c>
      <c r="AB129" s="41" t="str">
        <f t="shared" si="51"/>
        <v/>
      </c>
      <c r="AC129" s="24">
        <f t="shared" si="65"/>
        <v>11.186388109344989</v>
      </c>
      <c r="AD129" s="41" t="str">
        <f t="shared" si="52"/>
        <v/>
      </c>
      <c r="AE129" s="24">
        <f t="shared" si="66"/>
        <v>2.2366573121398687</v>
      </c>
      <c r="AF129" s="41" t="str">
        <f t="shared" si="53"/>
        <v/>
      </c>
      <c r="AG129" s="24">
        <f t="shared" si="67"/>
        <v>2.8398877456784248</v>
      </c>
      <c r="AH129" s="41" t="str">
        <f t="shared" si="54"/>
        <v/>
      </c>
      <c r="AI129" s="24">
        <f t="shared" si="68"/>
        <v>10.078652948141098</v>
      </c>
      <c r="AJ129" s="41" t="str">
        <f t="shared" si="55"/>
        <v/>
      </c>
    </row>
    <row r="130" spans="1:36">
      <c r="A130" s="384"/>
      <c r="B130" s="385"/>
      <c r="C130" s="386"/>
      <c r="D130" s="387"/>
      <c r="E130" s="386">
        <v>140.90764999999999</v>
      </c>
      <c r="F130" s="8">
        <v>8</v>
      </c>
      <c r="G130" s="21">
        <f t="shared" si="41"/>
        <v>141.09826174364963</v>
      </c>
      <c r="H130" s="37" t="str">
        <f t="shared" si="56"/>
        <v>E;9121967</v>
      </c>
      <c r="I130" s="38">
        <v>1</v>
      </c>
      <c r="J130" s="132">
        <f t="shared" si="42"/>
        <v>11.75818847863747</v>
      </c>
      <c r="K130" s="39" t="str">
        <f>INDEX(powers!$H$2:$H$75,33+I130)</f>
        <v>dirac</v>
      </c>
      <c r="L130" s="40" t="str">
        <f t="shared" si="43"/>
        <v>E</v>
      </c>
      <c r="M130" s="24">
        <f t="shared" si="57"/>
        <v>9.0982617436496369</v>
      </c>
      <c r="N130" s="41" t="str">
        <f t="shared" si="44"/>
        <v>9</v>
      </c>
      <c r="O130" s="24">
        <f t="shared" si="58"/>
        <v>1.1791409237956429</v>
      </c>
      <c r="P130" s="41" t="str">
        <f t="shared" si="45"/>
        <v>1</v>
      </c>
      <c r="Q130" s="24">
        <f t="shared" si="59"/>
        <v>2.1496910855477154</v>
      </c>
      <c r="R130" s="41" t="str">
        <f t="shared" si="46"/>
        <v>2</v>
      </c>
      <c r="S130" s="24">
        <f t="shared" si="60"/>
        <v>1.7962930265725845</v>
      </c>
      <c r="T130" s="41" t="str">
        <f t="shared" si="47"/>
        <v>1</v>
      </c>
      <c r="U130" s="24">
        <f t="shared" si="61"/>
        <v>9.5555163188710139</v>
      </c>
      <c r="V130" s="41" t="str">
        <f t="shared" si="48"/>
        <v>9</v>
      </c>
      <c r="W130" s="24">
        <f t="shared" si="62"/>
        <v>6.6661958264521672</v>
      </c>
      <c r="X130" s="41" t="str">
        <f t="shared" si="49"/>
        <v>6</v>
      </c>
      <c r="Y130" s="24">
        <f t="shared" si="63"/>
        <v>7.9943499174260069</v>
      </c>
      <c r="Z130" s="41" t="str">
        <f t="shared" si="50"/>
        <v>7</v>
      </c>
      <c r="AA130" s="24">
        <f t="shared" si="64"/>
        <v>11.932199009112082</v>
      </c>
      <c r="AB130" s="41" t="str">
        <f t="shared" si="51"/>
        <v/>
      </c>
      <c r="AC130" s="24">
        <f t="shared" si="65"/>
        <v>11.186388109344989</v>
      </c>
      <c r="AD130" s="41" t="str">
        <f t="shared" si="52"/>
        <v/>
      </c>
      <c r="AE130" s="24">
        <f t="shared" si="66"/>
        <v>2.2366573121398687</v>
      </c>
      <c r="AF130" s="41" t="str">
        <f t="shared" si="53"/>
        <v/>
      </c>
      <c r="AG130" s="24">
        <f t="shared" si="67"/>
        <v>2.8398877456784248</v>
      </c>
      <c r="AH130" s="41" t="str">
        <f t="shared" si="54"/>
        <v/>
      </c>
      <c r="AI130" s="24">
        <f t="shared" si="68"/>
        <v>10.078652948141098</v>
      </c>
      <c r="AJ130" s="41" t="str">
        <f t="shared" si="55"/>
        <v/>
      </c>
    </row>
    <row r="131" spans="1:36">
      <c r="A131" s="384" t="s">
        <v>930</v>
      </c>
      <c r="B131" s="385">
        <v>60</v>
      </c>
      <c r="C131" s="386" t="s">
        <v>929</v>
      </c>
      <c r="D131" s="387">
        <v>144.24199999999999</v>
      </c>
      <c r="E131" s="386"/>
      <c r="F131" s="8">
        <v>6</v>
      </c>
      <c r="G131" s="21">
        <f t="shared" si="41"/>
        <v>144.43712226005835</v>
      </c>
      <c r="H131" s="37" t="str">
        <f t="shared" si="56"/>
        <v>1;0052E4</v>
      </c>
      <c r="I131" s="38">
        <v>2</v>
      </c>
      <c r="J131" s="132">
        <f t="shared" si="42"/>
        <v>1.0030355712504051</v>
      </c>
      <c r="K131" s="39" t="str">
        <f>INDEX(powers!$H$2:$H$75,33+I131)</f>
        <v>hecty</v>
      </c>
      <c r="L131" s="40" t="str">
        <f t="shared" si="43"/>
        <v>1</v>
      </c>
      <c r="M131" s="24">
        <f t="shared" si="57"/>
        <v>3.6426855004861203E-2</v>
      </c>
      <c r="N131" s="41" t="str">
        <f t="shared" si="44"/>
        <v>0</v>
      </c>
      <c r="O131" s="24">
        <f t="shared" si="58"/>
        <v>0.43712226005833443</v>
      </c>
      <c r="P131" s="41" t="str">
        <f t="shared" si="45"/>
        <v>0</v>
      </c>
      <c r="Q131" s="24">
        <f t="shared" si="59"/>
        <v>5.2454671207000132</v>
      </c>
      <c r="R131" s="41" t="str">
        <f t="shared" si="46"/>
        <v>5</v>
      </c>
      <c r="S131" s="24">
        <f t="shared" si="60"/>
        <v>2.9456054484001584</v>
      </c>
      <c r="T131" s="41" t="str">
        <f t="shared" si="47"/>
        <v>2</v>
      </c>
      <c r="U131" s="24">
        <f t="shared" si="61"/>
        <v>11.3472653808019</v>
      </c>
      <c r="V131" s="41" t="str">
        <f t="shared" si="48"/>
        <v>E</v>
      </c>
      <c r="W131" s="24">
        <f t="shared" si="62"/>
        <v>4.1671845696228047</v>
      </c>
      <c r="X131" s="41" t="str">
        <f t="shared" si="49"/>
        <v>4</v>
      </c>
      <c r="Y131" s="24">
        <f t="shared" si="63"/>
        <v>2.0062148354736564</v>
      </c>
      <c r="Z131" s="41" t="str">
        <f t="shared" si="50"/>
        <v/>
      </c>
      <c r="AA131" s="24">
        <f t="shared" si="64"/>
        <v>7.4578025683877058E-2</v>
      </c>
      <c r="AB131" s="41" t="str">
        <f t="shared" si="51"/>
        <v/>
      </c>
      <c r="AC131" s="24">
        <f t="shared" si="65"/>
        <v>0.8949363082065247</v>
      </c>
      <c r="AD131" s="41" t="str">
        <f t="shared" si="52"/>
        <v/>
      </c>
      <c r="AE131" s="24">
        <f t="shared" si="66"/>
        <v>10.739235698478296</v>
      </c>
      <c r="AF131" s="41" t="str">
        <f t="shared" si="53"/>
        <v/>
      </c>
      <c r="AG131" s="24">
        <f t="shared" si="67"/>
        <v>8.8708283817395568</v>
      </c>
      <c r="AH131" s="41" t="str">
        <f t="shared" si="54"/>
        <v/>
      </c>
      <c r="AI131" s="24">
        <f t="shared" si="68"/>
        <v>10.449940580874681</v>
      </c>
      <c r="AJ131" s="41" t="str">
        <f t="shared" si="55"/>
        <v/>
      </c>
    </row>
    <row r="132" spans="1:36">
      <c r="A132" s="384"/>
      <c r="B132" s="385"/>
      <c r="C132" s="386"/>
      <c r="D132" s="387"/>
      <c r="E132" s="386">
        <v>143.91008299999999</v>
      </c>
      <c r="F132" s="8">
        <v>9</v>
      </c>
      <c r="G132" s="21">
        <f t="shared" si="41"/>
        <v>144.10475626188034</v>
      </c>
      <c r="H132" s="37" t="str">
        <f t="shared" si="56"/>
        <v>;013102863</v>
      </c>
      <c r="I132" s="38">
        <v>1</v>
      </c>
      <c r="J132" s="132">
        <f t="shared" si="42"/>
        <v>12.008729688490028</v>
      </c>
      <c r="K132" s="39" t="str">
        <f>INDEX(powers!$H$2:$H$75,33+I132)</f>
        <v>dirac</v>
      </c>
      <c r="L132" s="40" t="str">
        <f t="shared" si="43"/>
        <v/>
      </c>
      <c r="M132" s="24">
        <f t="shared" si="57"/>
        <v>0.10475626188033971</v>
      </c>
      <c r="N132" s="41" t="str">
        <f t="shared" si="44"/>
        <v>0</v>
      </c>
      <c r="O132" s="24">
        <f t="shared" si="58"/>
        <v>1.2570751425640765</v>
      </c>
      <c r="P132" s="41" t="str">
        <f t="shared" si="45"/>
        <v>1</v>
      </c>
      <c r="Q132" s="24">
        <f t="shared" si="59"/>
        <v>3.0849017107689178</v>
      </c>
      <c r="R132" s="41" t="str">
        <f t="shared" si="46"/>
        <v>3</v>
      </c>
      <c r="S132" s="24">
        <f t="shared" si="60"/>
        <v>1.018820529227014</v>
      </c>
      <c r="T132" s="41" t="str">
        <f t="shared" si="47"/>
        <v>1</v>
      </c>
      <c r="U132" s="24">
        <f t="shared" si="61"/>
        <v>0.22584635072416859</v>
      </c>
      <c r="V132" s="41" t="str">
        <f t="shared" si="48"/>
        <v>0</v>
      </c>
      <c r="W132" s="24">
        <f t="shared" si="62"/>
        <v>2.710156208690023</v>
      </c>
      <c r="X132" s="41" t="str">
        <f t="shared" si="49"/>
        <v>2</v>
      </c>
      <c r="Y132" s="24">
        <f t="shared" si="63"/>
        <v>8.5218745042802766</v>
      </c>
      <c r="Z132" s="41" t="str">
        <f t="shared" si="50"/>
        <v>8</v>
      </c>
      <c r="AA132" s="24">
        <f t="shared" si="64"/>
        <v>6.2624940513633192</v>
      </c>
      <c r="AB132" s="41" t="str">
        <f t="shared" si="51"/>
        <v>6</v>
      </c>
      <c r="AC132" s="24">
        <f t="shared" si="65"/>
        <v>3.1499286163598299</v>
      </c>
      <c r="AD132" s="41" t="str">
        <f t="shared" si="52"/>
        <v>3</v>
      </c>
      <c r="AE132" s="24">
        <f t="shared" si="66"/>
        <v>1.7991433963179588</v>
      </c>
      <c r="AF132" s="41" t="str">
        <f t="shared" si="53"/>
        <v/>
      </c>
      <c r="AG132" s="24">
        <f t="shared" si="67"/>
        <v>9.589720755815506</v>
      </c>
      <c r="AH132" s="41" t="str">
        <f t="shared" si="54"/>
        <v/>
      </c>
      <c r="AI132" s="24">
        <f t="shared" si="68"/>
        <v>7.0766490697860718</v>
      </c>
      <c r="AJ132" s="41" t="str">
        <f t="shared" si="55"/>
        <v/>
      </c>
    </row>
    <row r="133" spans="1:36">
      <c r="A133" s="384" t="s">
        <v>932</v>
      </c>
      <c r="B133" s="385">
        <v>61</v>
      </c>
      <c r="C133" s="386" t="s">
        <v>931</v>
      </c>
      <c r="D133" s="387">
        <v>145</v>
      </c>
      <c r="E133" s="386"/>
      <c r="F133" s="8">
        <v>2</v>
      </c>
      <c r="G133" s="21">
        <f t="shared" si="41"/>
        <v>145.19614763874918</v>
      </c>
      <c r="H133" s="37" t="str">
        <f t="shared" si="56"/>
        <v>1;01</v>
      </c>
      <c r="I133" s="38">
        <v>2</v>
      </c>
      <c r="J133" s="132">
        <f t="shared" si="42"/>
        <v>1.0083065808246472</v>
      </c>
      <c r="K133" s="39" t="str">
        <f>INDEX(powers!$H$2:$H$75,33+I133)</f>
        <v>hecty</v>
      </c>
      <c r="L133" s="40" t="str">
        <f t="shared" si="43"/>
        <v>1</v>
      </c>
      <c r="M133" s="24">
        <f t="shared" si="57"/>
        <v>9.9678969895766301E-2</v>
      </c>
      <c r="N133" s="41" t="str">
        <f t="shared" si="44"/>
        <v>0</v>
      </c>
      <c r="O133" s="24">
        <f t="shared" si="58"/>
        <v>1.1961476387491956</v>
      </c>
      <c r="P133" s="41" t="str">
        <f t="shared" si="45"/>
        <v>1</v>
      </c>
      <c r="Q133" s="24">
        <f t="shared" si="59"/>
        <v>2.3537716649903473</v>
      </c>
      <c r="R133" s="41" t="str">
        <f t="shared" si="46"/>
        <v/>
      </c>
      <c r="S133" s="24">
        <f t="shared" si="60"/>
        <v>4.2452599798841675</v>
      </c>
      <c r="T133" s="41" t="str">
        <f t="shared" si="47"/>
        <v/>
      </c>
      <c r="U133" s="24">
        <f t="shared" si="61"/>
        <v>2.9431197586100097</v>
      </c>
      <c r="V133" s="41" t="str">
        <f t="shared" si="48"/>
        <v/>
      </c>
      <c r="W133" s="24">
        <f t="shared" si="62"/>
        <v>11.317437103320117</v>
      </c>
      <c r="X133" s="41" t="str">
        <f t="shared" si="49"/>
        <v/>
      </c>
      <c r="Y133" s="24">
        <f t="shared" si="63"/>
        <v>3.8092452398414025</v>
      </c>
      <c r="Z133" s="41" t="str">
        <f t="shared" si="50"/>
        <v/>
      </c>
      <c r="AA133" s="24">
        <f t="shared" si="64"/>
        <v>9.7109428780968301</v>
      </c>
      <c r="AB133" s="41" t="str">
        <f t="shared" si="51"/>
        <v/>
      </c>
      <c r="AC133" s="24">
        <f t="shared" si="65"/>
        <v>8.5313145371619612</v>
      </c>
      <c r="AD133" s="41" t="str">
        <f t="shared" si="52"/>
        <v/>
      </c>
      <c r="AE133" s="24">
        <f t="shared" si="66"/>
        <v>6.3757744459435344</v>
      </c>
      <c r="AF133" s="41" t="str">
        <f t="shared" si="53"/>
        <v/>
      </c>
      <c r="AG133" s="24">
        <f t="shared" si="67"/>
        <v>4.5092933513224125</v>
      </c>
      <c r="AH133" s="41" t="str">
        <f t="shared" si="54"/>
        <v/>
      </c>
      <c r="AI133" s="24">
        <f t="shared" si="68"/>
        <v>6.1115202158689499</v>
      </c>
      <c r="AJ133" s="41" t="str">
        <f t="shared" si="55"/>
        <v/>
      </c>
    </row>
    <row r="134" spans="1:36">
      <c r="A134" s="384"/>
      <c r="B134" s="385"/>
      <c r="C134" s="386"/>
      <c r="D134" s="387"/>
      <c r="E134" s="386">
        <v>144.912744</v>
      </c>
      <c r="F134" s="8">
        <v>9</v>
      </c>
      <c r="G134" s="21">
        <f t="shared" si="41"/>
        <v>145.10877360386391</v>
      </c>
      <c r="H134" s="37" t="str">
        <f t="shared" si="56"/>
        <v>1;01137E643</v>
      </c>
      <c r="I134" s="38">
        <v>2</v>
      </c>
      <c r="J134" s="132">
        <f t="shared" si="42"/>
        <v>1.0076998166934994</v>
      </c>
      <c r="K134" s="39" t="str">
        <f>INDEX(powers!$H$2:$H$75,33+I134)</f>
        <v>hecty</v>
      </c>
      <c r="L134" s="40" t="str">
        <f t="shared" si="43"/>
        <v>1</v>
      </c>
      <c r="M134" s="24">
        <f t="shared" si="57"/>
        <v>9.239780032199274E-2</v>
      </c>
      <c r="N134" s="41" t="str">
        <f t="shared" si="44"/>
        <v>0</v>
      </c>
      <c r="O134" s="24">
        <f t="shared" si="58"/>
        <v>1.1087736038639129</v>
      </c>
      <c r="P134" s="41" t="str">
        <f t="shared" si="45"/>
        <v>1</v>
      </c>
      <c r="Q134" s="24">
        <f t="shared" si="59"/>
        <v>1.3052832463669546</v>
      </c>
      <c r="R134" s="41" t="str">
        <f t="shared" si="46"/>
        <v>1</v>
      </c>
      <c r="S134" s="24">
        <f t="shared" si="60"/>
        <v>3.663398956403455</v>
      </c>
      <c r="T134" s="41" t="str">
        <f t="shared" si="47"/>
        <v>3</v>
      </c>
      <c r="U134" s="24">
        <f t="shared" si="61"/>
        <v>7.9607874768414604</v>
      </c>
      <c r="V134" s="41" t="str">
        <f t="shared" si="48"/>
        <v>7</v>
      </c>
      <c r="W134" s="24">
        <f t="shared" si="62"/>
        <v>11.529449722097524</v>
      </c>
      <c r="X134" s="41" t="str">
        <f t="shared" si="49"/>
        <v>E</v>
      </c>
      <c r="Y134" s="24">
        <f t="shared" si="63"/>
        <v>6.353396665170294</v>
      </c>
      <c r="Z134" s="41" t="str">
        <f t="shared" si="50"/>
        <v>6</v>
      </c>
      <c r="AA134" s="24">
        <f t="shared" si="64"/>
        <v>4.240759982043528</v>
      </c>
      <c r="AB134" s="41" t="str">
        <f t="shared" si="51"/>
        <v>4</v>
      </c>
      <c r="AC134" s="24">
        <f t="shared" si="65"/>
        <v>2.889119784522336</v>
      </c>
      <c r="AD134" s="41" t="str">
        <f t="shared" si="52"/>
        <v>3</v>
      </c>
      <c r="AE134" s="24">
        <f t="shared" si="66"/>
        <v>10.669437414268032</v>
      </c>
      <c r="AF134" s="41" t="str">
        <f t="shared" si="53"/>
        <v/>
      </c>
      <c r="AG134" s="24">
        <f t="shared" si="67"/>
        <v>8.0332489712163806</v>
      </c>
      <c r="AH134" s="41" t="str">
        <f t="shared" si="54"/>
        <v/>
      </c>
      <c r="AI134" s="24">
        <f t="shared" si="68"/>
        <v>0.39898765459656715</v>
      </c>
      <c r="AJ134" s="41" t="str">
        <f t="shared" si="55"/>
        <v/>
      </c>
    </row>
    <row r="135" spans="1:36">
      <c r="A135" s="384" t="s">
        <v>934</v>
      </c>
      <c r="B135" s="385">
        <v>62</v>
      </c>
      <c r="C135" s="386" t="s">
        <v>933</v>
      </c>
      <c r="D135" s="387">
        <v>150.36000000000001</v>
      </c>
      <c r="E135" s="386"/>
      <c r="F135" s="8">
        <v>5</v>
      </c>
      <c r="G135" s="21">
        <f t="shared" si="41"/>
        <v>150.56339833767123</v>
      </c>
      <c r="H135" s="37" t="str">
        <f t="shared" si="56"/>
        <v>1;06692</v>
      </c>
      <c r="I135" s="38">
        <v>2</v>
      </c>
      <c r="J135" s="132">
        <f t="shared" si="42"/>
        <v>1.0455791551227169</v>
      </c>
      <c r="K135" s="39" t="str">
        <f>INDEX(powers!$H$2:$H$75,33+I135)</f>
        <v>hecty</v>
      </c>
      <c r="L135" s="40" t="str">
        <f t="shared" si="43"/>
        <v>1</v>
      </c>
      <c r="M135" s="24">
        <f t="shared" si="57"/>
        <v>0.54694986147260316</v>
      </c>
      <c r="N135" s="41" t="str">
        <f t="shared" si="44"/>
        <v>0</v>
      </c>
      <c r="O135" s="24">
        <f t="shared" si="58"/>
        <v>6.5633983376712379</v>
      </c>
      <c r="P135" s="41" t="str">
        <f t="shared" si="45"/>
        <v>6</v>
      </c>
      <c r="Q135" s="24">
        <f t="shared" si="59"/>
        <v>6.7607800520548551</v>
      </c>
      <c r="R135" s="41" t="str">
        <f t="shared" si="46"/>
        <v>6</v>
      </c>
      <c r="S135" s="24">
        <f t="shared" si="60"/>
        <v>9.1293606246582613</v>
      </c>
      <c r="T135" s="41" t="str">
        <f t="shared" si="47"/>
        <v>9</v>
      </c>
      <c r="U135" s="24">
        <f t="shared" si="61"/>
        <v>1.5523274958991351</v>
      </c>
      <c r="V135" s="41" t="str">
        <f t="shared" si="48"/>
        <v>2</v>
      </c>
      <c r="W135" s="24">
        <f t="shared" si="62"/>
        <v>6.6279299507896212</v>
      </c>
      <c r="X135" s="41" t="str">
        <f t="shared" si="49"/>
        <v/>
      </c>
      <c r="Y135" s="24">
        <f t="shared" si="63"/>
        <v>7.5351594094754546</v>
      </c>
      <c r="Z135" s="41" t="str">
        <f t="shared" si="50"/>
        <v/>
      </c>
      <c r="AA135" s="24">
        <f t="shared" si="64"/>
        <v>6.4219129137054551</v>
      </c>
      <c r="AB135" s="41" t="str">
        <f t="shared" si="51"/>
        <v/>
      </c>
      <c r="AC135" s="24">
        <f t="shared" si="65"/>
        <v>5.0629549644654617</v>
      </c>
      <c r="AD135" s="41" t="str">
        <f t="shared" si="52"/>
        <v/>
      </c>
      <c r="AE135" s="24">
        <f t="shared" si="66"/>
        <v>0.75545957358554006</v>
      </c>
      <c r="AF135" s="41" t="str">
        <f t="shared" si="53"/>
        <v/>
      </c>
      <c r="AG135" s="24">
        <f t="shared" si="67"/>
        <v>9.0655148830264807</v>
      </c>
      <c r="AH135" s="41" t="str">
        <f t="shared" si="54"/>
        <v/>
      </c>
      <c r="AI135" s="24">
        <f t="shared" si="68"/>
        <v>0.7861785963177681</v>
      </c>
      <c r="AJ135" s="41" t="str">
        <f t="shared" si="55"/>
        <v/>
      </c>
    </row>
    <row r="136" spans="1:36">
      <c r="A136" s="384"/>
      <c r="B136" s="385"/>
      <c r="C136" s="386"/>
      <c r="D136" s="387"/>
      <c r="E136" s="386">
        <v>151.91972799999999</v>
      </c>
      <c r="F136" s="8">
        <v>9</v>
      </c>
      <c r="G136" s="21">
        <f t="shared" si="41"/>
        <v>152.12523624776978</v>
      </c>
      <c r="H136" s="37" t="str">
        <f t="shared" si="56"/>
        <v>1;081604X95</v>
      </c>
      <c r="I136" s="38">
        <v>2</v>
      </c>
      <c r="J136" s="132">
        <f t="shared" si="42"/>
        <v>1.0564252517206234</v>
      </c>
      <c r="K136" s="39" t="str">
        <f>INDEX(powers!$H$2:$H$75,33+I136)</f>
        <v>hecty</v>
      </c>
      <c r="L136" s="40" t="str">
        <f t="shared" si="43"/>
        <v>1</v>
      </c>
      <c r="M136" s="24">
        <f t="shared" si="57"/>
        <v>0.67710302064748085</v>
      </c>
      <c r="N136" s="41" t="str">
        <f t="shared" si="44"/>
        <v>0</v>
      </c>
      <c r="O136" s="24">
        <f t="shared" si="58"/>
        <v>8.1252362477697702</v>
      </c>
      <c r="P136" s="41" t="str">
        <f t="shared" si="45"/>
        <v>8</v>
      </c>
      <c r="Q136" s="24">
        <f t="shared" si="59"/>
        <v>1.5028349732372419</v>
      </c>
      <c r="R136" s="41" t="str">
        <f t="shared" si="46"/>
        <v>1</v>
      </c>
      <c r="S136" s="24">
        <f t="shared" si="60"/>
        <v>6.0340196788469029</v>
      </c>
      <c r="T136" s="41" t="str">
        <f t="shared" si="47"/>
        <v>6</v>
      </c>
      <c r="U136" s="24">
        <f t="shared" si="61"/>
        <v>0.40823614616283521</v>
      </c>
      <c r="V136" s="41" t="str">
        <f t="shared" si="48"/>
        <v>0</v>
      </c>
      <c r="W136" s="24">
        <f t="shared" si="62"/>
        <v>4.8988337539540225</v>
      </c>
      <c r="X136" s="41" t="str">
        <f t="shared" si="49"/>
        <v>4</v>
      </c>
      <c r="Y136" s="24">
        <f t="shared" si="63"/>
        <v>10.78600504744827</v>
      </c>
      <c r="Z136" s="41" t="str">
        <f t="shared" si="50"/>
        <v>X</v>
      </c>
      <c r="AA136" s="24">
        <f t="shared" si="64"/>
        <v>9.4320605693792459</v>
      </c>
      <c r="AB136" s="41" t="str">
        <f t="shared" si="51"/>
        <v>9</v>
      </c>
      <c r="AC136" s="24">
        <f t="shared" si="65"/>
        <v>5.1847268325509503</v>
      </c>
      <c r="AD136" s="41" t="str">
        <f t="shared" si="52"/>
        <v>5</v>
      </c>
      <c r="AE136" s="24">
        <f t="shared" si="66"/>
        <v>2.2167219906114042</v>
      </c>
      <c r="AF136" s="41" t="str">
        <f t="shared" si="53"/>
        <v/>
      </c>
      <c r="AG136" s="24">
        <f t="shared" si="67"/>
        <v>2.6006638873368502</v>
      </c>
      <c r="AH136" s="41" t="str">
        <f t="shared" si="54"/>
        <v/>
      </c>
      <c r="AI136" s="24">
        <f t="shared" si="68"/>
        <v>7.207966648042202</v>
      </c>
      <c r="AJ136" s="41" t="str">
        <f t="shared" si="55"/>
        <v/>
      </c>
    </row>
    <row r="137" spans="1:36">
      <c r="A137" s="384" t="s">
        <v>936</v>
      </c>
      <c r="B137" s="385">
        <v>63</v>
      </c>
      <c r="C137" s="386" t="s">
        <v>935</v>
      </c>
      <c r="D137" s="387">
        <v>151.964</v>
      </c>
      <c r="E137" s="386"/>
      <c r="F137" s="8">
        <v>6</v>
      </c>
      <c r="G137" s="21">
        <f t="shared" si="41"/>
        <v>152.1695681363785</v>
      </c>
      <c r="H137" s="37" t="str">
        <f t="shared" si="56"/>
        <v>1;082050</v>
      </c>
      <c r="I137" s="38">
        <v>2</v>
      </c>
      <c r="J137" s="132">
        <f t="shared" si="42"/>
        <v>1.056733112058184</v>
      </c>
      <c r="K137" s="39" t="str">
        <f>INDEX(powers!$H$2:$H$75,33+I137)</f>
        <v>hecty</v>
      </c>
      <c r="L137" s="40" t="str">
        <f t="shared" si="43"/>
        <v>1</v>
      </c>
      <c r="M137" s="24">
        <f t="shared" si="57"/>
        <v>0.68079734469820785</v>
      </c>
      <c r="N137" s="41" t="str">
        <f t="shared" si="44"/>
        <v>0</v>
      </c>
      <c r="O137" s="24">
        <f t="shared" si="58"/>
        <v>8.1695681363784942</v>
      </c>
      <c r="P137" s="41" t="str">
        <f t="shared" si="45"/>
        <v>8</v>
      </c>
      <c r="Q137" s="24">
        <f t="shared" si="59"/>
        <v>2.0348176365419306</v>
      </c>
      <c r="R137" s="41" t="str">
        <f t="shared" si="46"/>
        <v>2</v>
      </c>
      <c r="S137" s="24">
        <f t="shared" si="60"/>
        <v>0.41781163850316716</v>
      </c>
      <c r="T137" s="41" t="str">
        <f t="shared" si="47"/>
        <v>0</v>
      </c>
      <c r="U137" s="24">
        <f t="shared" si="61"/>
        <v>5.0137396620380059</v>
      </c>
      <c r="V137" s="41" t="str">
        <f t="shared" si="48"/>
        <v>5</v>
      </c>
      <c r="W137" s="24">
        <f t="shared" si="62"/>
        <v>0.16487594445607101</v>
      </c>
      <c r="X137" s="41" t="str">
        <f t="shared" si="49"/>
        <v>0</v>
      </c>
      <c r="Y137" s="24">
        <f t="shared" si="63"/>
        <v>1.9785113334728521</v>
      </c>
      <c r="Z137" s="41" t="str">
        <f t="shared" si="50"/>
        <v/>
      </c>
      <c r="AA137" s="24">
        <f t="shared" si="64"/>
        <v>11.742136001674226</v>
      </c>
      <c r="AB137" s="41" t="str">
        <f t="shared" si="51"/>
        <v/>
      </c>
      <c r="AC137" s="24">
        <f t="shared" si="65"/>
        <v>8.9056320200907066</v>
      </c>
      <c r="AD137" s="41" t="str">
        <f t="shared" si="52"/>
        <v/>
      </c>
      <c r="AE137" s="24">
        <f t="shared" si="66"/>
        <v>10.86758424108848</v>
      </c>
      <c r="AF137" s="41" t="str">
        <f t="shared" si="53"/>
        <v/>
      </c>
      <c r="AG137" s="24">
        <f t="shared" si="67"/>
        <v>10.411010893061757</v>
      </c>
      <c r="AH137" s="41" t="str">
        <f t="shared" si="54"/>
        <v/>
      </c>
      <c r="AI137" s="24">
        <f t="shared" si="68"/>
        <v>4.9321307167410851</v>
      </c>
      <c r="AJ137" s="41" t="str">
        <f t="shared" si="55"/>
        <v/>
      </c>
    </row>
    <row r="138" spans="1:36">
      <c r="A138" s="384"/>
      <c r="B138" s="385"/>
      <c r="C138" s="386"/>
      <c r="D138" s="387"/>
      <c r="E138" s="386">
        <v>152.92122599999999</v>
      </c>
      <c r="F138" s="8">
        <v>9</v>
      </c>
      <c r="G138" s="21">
        <f t="shared" ref="G138:G201" si="69">MAX(D138,E138)*G$7+0.0000000000001</f>
        <v>153.128089016514</v>
      </c>
      <c r="H138" s="37" t="str">
        <f t="shared" si="56"/>
        <v>1;091654079</v>
      </c>
      <c r="I138" s="38">
        <v>2</v>
      </c>
      <c r="J138" s="132">
        <f t="shared" ref="J138:J201" si="70">G138/POWER(12,I138)</f>
        <v>1.063389507059125</v>
      </c>
      <c r="K138" s="39" t="str">
        <f>INDEX(powers!$H$2:$H$75,33+I138)</f>
        <v>hecty</v>
      </c>
      <c r="L138" s="40" t="str">
        <f t="shared" ref="L138:L201" si="71">IF($F138&gt;=L$9,MID($I$9,IF($F138&gt;L$9,INT(J138),ROUND(J138,0))+1,1),"")</f>
        <v>1</v>
      </c>
      <c r="M138" s="24">
        <f t="shared" si="57"/>
        <v>0.7606740847095006</v>
      </c>
      <c r="N138" s="41" t="str">
        <f t="shared" ref="N138:N201" si="72">IF($F138&gt;=N$9,MID($I$9,IF($F138&gt;N$9,INT(M138),ROUND(M138,0))+1,1),"")</f>
        <v>0</v>
      </c>
      <c r="O138" s="24">
        <f t="shared" si="58"/>
        <v>9.1280890165140072</v>
      </c>
      <c r="P138" s="41" t="str">
        <f t="shared" ref="P138:P201" si="73">IF($F138&gt;=P$9,MID($I$9,IF($F138&gt;P$9,INT(O138),ROUND(O138,0))+1,1),"")</f>
        <v>9</v>
      </c>
      <c r="Q138" s="24">
        <f t="shared" si="59"/>
        <v>1.537068198168086</v>
      </c>
      <c r="R138" s="41" t="str">
        <f t="shared" ref="R138:R201" si="74">IF($F138&gt;=R$9,MID($I$9,IF($F138&gt;R$9,INT(Q138),ROUND(Q138,0))+1,1),"")</f>
        <v>1</v>
      </c>
      <c r="S138" s="24">
        <f t="shared" si="60"/>
        <v>6.4448183780170325</v>
      </c>
      <c r="T138" s="41" t="str">
        <f t="shared" ref="T138:T201" si="75">IF($F138&gt;=T$9,MID($I$9,IF($F138&gt;T$9,INT(S138),ROUND(S138,0))+1,1),"")</f>
        <v>6</v>
      </c>
      <c r="U138" s="24">
        <f t="shared" si="61"/>
        <v>5.33782053620439</v>
      </c>
      <c r="V138" s="41" t="str">
        <f t="shared" ref="V138:V201" si="76">IF($F138&gt;=V$9,MID($I$9,IF($F138&gt;V$9,INT(U138),ROUND(U138,0))+1,1),"")</f>
        <v>5</v>
      </c>
      <c r="W138" s="24">
        <f t="shared" si="62"/>
        <v>4.0538464344526801</v>
      </c>
      <c r="X138" s="41" t="str">
        <f t="shared" ref="X138:X201" si="77">IF($F138&gt;=X$9,MID($I$9,IF($F138&gt;X$9,INT(W138),ROUND(W138,0))+1,1),"")</f>
        <v>4</v>
      </c>
      <c r="Y138" s="24">
        <f t="shared" si="63"/>
        <v>0.64615721343216137</v>
      </c>
      <c r="Z138" s="41" t="str">
        <f t="shared" ref="Z138:Z201" si="78">IF($F138&gt;=Z$9,MID($I$9,IF($F138&gt;Z$9,INT(Y138),ROUND(Y138,0))+1,1),"")</f>
        <v>0</v>
      </c>
      <c r="AA138" s="24">
        <f t="shared" si="64"/>
        <v>7.7538865611859364</v>
      </c>
      <c r="AB138" s="41" t="str">
        <f t="shared" ref="AB138:AB201" si="79">IF($F138&gt;=AB$9,MID($I$9,IF($F138&gt;AB$9,INT(AA138),ROUND(AA138,0))+1,1),"")</f>
        <v>7</v>
      </c>
      <c r="AC138" s="24">
        <f t="shared" si="65"/>
        <v>9.0466387342312373</v>
      </c>
      <c r="AD138" s="41" t="str">
        <f t="shared" ref="AD138:AD201" si="80">IF($F138&gt;=AD$9,MID($I$9,IF($F138&gt;AD$9,INT(AC138),ROUND(AC138,0))+1,1),"")</f>
        <v>9</v>
      </c>
      <c r="AE138" s="24">
        <f t="shared" si="66"/>
        <v>0.55966481077484787</v>
      </c>
      <c r="AF138" s="41" t="str">
        <f t="shared" ref="AF138:AF201" si="81">IF($F138&gt;=AF$9,MID($I$9,IF($F138&gt;AF$9,INT(AE138),ROUND(AE138,0))+1,1),"")</f>
        <v/>
      </c>
      <c r="AG138" s="24">
        <f t="shared" si="67"/>
        <v>6.7159777292981744</v>
      </c>
      <c r="AH138" s="41" t="str">
        <f t="shared" ref="AH138:AH201" si="82">IF($F138&gt;=AH$9,MID($I$9,IF($F138&gt;AH$9,INT(AG138),ROUND(AG138,0))+1,1),"")</f>
        <v/>
      </c>
      <c r="AI138" s="24">
        <f t="shared" si="68"/>
        <v>8.5917327515780926</v>
      </c>
      <c r="AJ138" s="41" t="str">
        <f t="shared" ref="AJ138:AJ201" si="83">IF($F138&gt;=AJ$9,MID($I$9,IF($F138&gt;AJ$9,INT(AI138),ROUND(AI138,0))+1,1),"")</f>
        <v/>
      </c>
    </row>
    <row r="139" spans="1:36">
      <c r="A139" s="384" t="s">
        <v>938</v>
      </c>
      <c r="B139" s="385">
        <v>64</v>
      </c>
      <c r="C139" s="386" t="s">
        <v>937</v>
      </c>
      <c r="D139" s="387">
        <v>157.25</v>
      </c>
      <c r="E139" s="386"/>
      <c r="F139" s="8">
        <v>5</v>
      </c>
      <c r="G139" s="21">
        <f t="shared" si="69"/>
        <v>157.46271873236765</v>
      </c>
      <c r="H139" s="37" t="str">
        <f t="shared" si="56"/>
        <v>1;11568</v>
      </c>
      <c r="I139" s="38">
        <v>2</v>
      </c>
      <c r="J139" s="132">
        <f t="shared" si="70"/>
        <v>1.0934911023081086</v>
      </c>
      <c r="K139" s="39" t="str">
        <f>INDEX(powers!$H$2:$H$75,33+I139)</f>
        <v>hecty</v>
      </c>
      <c r="L139" s="40" t="str">
        <f t="shared" si="71"/>
        <v>1</v>
      </c>
      <c r="M139" s="24">
        <f t="shared" si="57"/>
        <v>1.1218932276973037</v>
      </c>
      <c r="N139" s="41" t="str">
        <f t="shared" si="72"/>
        <v>1</v>
      </c>
      <c r="O139" s="24">
        <f t="shared" si="58"/>
        <v>1.4627187323676445</v>
      </c>
      <c r="P139" s="41" t="str">
        <f t="shared" si="73"/>
        <v>1</v>
      </c>
      <c r="Q139" s="24">
        <f t="shared" si="59"/>
        <v>5.5526247884117339</v>
      </c>
      <c r="R139" s="41" t="str">
        <f t="shared" si="74"/>
        <v>5</v>
      </c>
      <c r="S139" s="24">
        <f t="shared" si="60"/>
        <v>6.6314974609408068</v>
      </c>
      <c r="T139" s="41" t="str">
        <f t="shared" si="75"/>
        <v>6</v>
      </c>
      <c r="U139" s="24">
        <f t="shared" si="61"/>
        <v>7.577969531289682</v>
      </c>
      <c r="V139" s="41" t="str">
        <f t="shared" si="76"/>
        <v>8</v>
      </c>
      <c r="W139" s="24">
        <f t="shared" si="62"/>
        <v>6.9356343754761838</v>
      </c>
      <c r="X139" s="41" t="str">
        <f t="shared" si="77"/>
        <v/>
      </c>
      <c r="Y139" s="24">
        <f t="shared" si="63"/>
        <v>11.227612505714205</v>
      </c>
      <c r="Z139" s="41" t="str">
        <f t="shared" si="78"/>
        <v/>
      </c>
      <c r="AA139" s="24">
        <f t="shared" si="64"/>
        <v>2.7313500685704639</v>
      </c>
      <c r="AB139" s="41" t="str">
        <f t="shared" si="79"/>
        <v/>
      </c>
      <c r="AC139" s="24">
        <f t="shared" si="65"/>
        <v>8.776200822845567</v>
      </c>
      <c r="AD139" s="41" t="str">
        <f t="shared" si="80"/>
        <v/>
      </c>
      <c r="AE139" s="24">
        <f t="shared" si="66"/>
        <v>9.3144098741468042</v>
      </c>
      <c r="AF139" s="41" t="str">
        <f t="shared" si="81"/>
        <v/>
      </c>
      <c r="AG139" s="24">
        <f t="shared" si="67"/>
        <v>3.7729184897616506</v>
      </c>
      <c r="AH139" s="41" t="str">
        <f t="shared" si="82"/>
        <v/>
      </c>
      <c r="AI139" s="24">
        <f t="shared" si="68"/>
        <v>9.2750218771398067</v>
      </c>
      <c r="AJ139" s="41" t="str">
        <f t="shared" si="83"/>
        <v/>
      </c>
    </row>
    <row r="140" spans="1:36">
      <c r="A140" s="384"/>
      <c r="B140" s="385"/>
      <c r="C140" s="386"/>
      <c r="D140" s="387"/>
      <c r="E140" s="386">
        <v>157.92410100000001</v>
      </c>
      <c r="F140" s="8">
        <v>9</v>
      </c>
      <c r="G140" s="21">
        <f t="shared" si="69"/>
        <v>158.13773161732922</v>
      </c>
      <c r="H140" s="37" t="str">
        <f t="shared" si="56"/>
        <v>1;1217X0005</v>
      </c>
      <c r="I140" s="38">
        <v>2</v>
      </c>
      <c r="J140" s="132">
        <f t="shared" si="70"/>
        <v>1.0981786917870084</v>
      </c>
      <c r="K140" s="39" t="str">
        <f>INDEX(powers!$H$2:$H$75,33+I140)</f>
        <v>hecty</v>
      </c>
      <c r="L140" s="40" t="str">
        <f t="shared" si="71"/>
        <v>1</v>
      </c>
      <c r="M140" s="24">
        <f t="shared" si="57"/>
        <v>1.1781443014441013</v>
      </c>
      <c r="N140" s="41" t="str">
        <f t="shared" si="72"/>
        <v>1</v>
      </c>
      <c r="O140" s="24">
        <f t="shared" si="58"/>
        <v>2.1377316173292158</v>
      </c>
      <c r="P140" s="41" t="str">
        <f t="shared" si="73"/>
        <v>2</v>
      </c>
      <c r="Q140" s="24">
        <f t="shared" si="59"/>
        <v>1.6527794079505895</v>
      </c>
      <c r="R140" s="41" t="str">
        <f t="shared" si="74"/>
        <v>1</v>
      </c>
      <c r="S140" s="24">
        <f t="shared" si="60"/>
        <v>7.8333528954070744</v>
      </c>
      <c r="T140" s="41" t="str">
        <f t="shared" si="75"/>
        <v>7</v>
      </c>
      <c r="U140" s="24">
        <f t="shared" si="61"/>
        <v>10.000234744884892</v>
      </c>
      <c r="V140" s="41" t="str">
        <f t="shared" si="76"/>
        <v>X</v>
      </c>
      <c r="W140" s="24">
        <f t="shared" si="62"/>
        <v>2.8169386187073542E-3</v>
      </c>
      <c r="X140" s="41" t="str">
        <f t="shared" si="77"/>
        <v>0</v>
      </c>
      <c r="Y140" s="24">
        <f t="shared" si="63"/>
        <v>3.380326342448825E-2</v>
      </c>
      <c r="Z140" s="41" t="str">
        <f t="shared" si="78"/>
        <v>0</v>
      </c>
      <c r="AA140" s="24">
        <f t="shared" si="64"/>
        <v>0.405639161093859</v>
      </c>
      <c r="AB140" s="41" t="str">
        <f t="shared" si="79"/>
        <v>0</v>
      </c>
      <c r="AC140" s="24">
        <f t="shared" si="65"/>
        <v>4.867669933126308</v>
      </c>
      <c r="AD140" s="41" t="str">
        <f t="shared" si="80"/>
        <v>5</v>
      </c>
      <c r="AE140" s="24">
        <f t="shared" si="66"/>
        <v>10.412039197515696</v>
      </c>
      <c r="AF140" s="41" t="str">
        <f t="shared" si="81"/>
        <v/>
      </c>
      <c r="AG140" s="24">
        <f t="shared" si="67"/>
        <v>4.9444703701883554</v>
      </c>
      <c r="AH140" s="41" t="str">
        <f t="shared" si="82"/>
        <v/>
      </c>
      <c r="AI140" s="24">
        <f t="shared" si="68"/>
        <v>11.333644442260265</v>
      </c>
      <c r="AJ140" s="41" t="str">
        <f t="shared" si="83"/>
        <v/>
      </c>
    </row>
    <row r="141" spans="1:36">
      <c r="A141" s="384" t="s">
        <v>940</v>
      </c>
      <c r="B141" s="385">
        <v>65</v>
      </c>
      <c r="C141" s="386" t="s">
        <v>939</v>
      </c>
      <c r="D141" s="387">
        <v>158.92535000000001</v>
      </c>
      <c r="E141" s="386"/>
      <c r="F141" s="8">
        <v>8</v>
      </c>
      <c r="G141" s="21">
        <f t="shared" si="69"/>
        <v>159.1403350492406</v>
      </c>
      <c r="H141" s="37" t="str">
        <f t="shared" si="56"/>
        <v>1;131825EX</v>
      </c>
      <c r="I141" s="38">
        <v>2</v>
      </c>
      <c r="J141" s="132">
        <f t="shared" si="70"/>
        <v>1.1051412156197264</v>
      </c>
      <c r="K141" s="39" t="str">
        <f>INDEX(powers!$H$2:$H$75,33+I141)</f>
        <v>hecty</v>
      </c>
      <c r="L141" s="40" t="str">
        <f t="shared" si="71"/>
        <v>1</v>
      </c>
      <c r="M141" s="24">
        <f t="shared" si="57"/>
        <v>1.2616945874367174</v>
      </c>
      <c r="N141" s="41" t="str">
        <f t="shared" si="72"/>
        <v>1</v>
      </c>
      <c r="O141" s="24">
        <f t="shared" si="58"/>
        <v>3.1403350492406084</v>
      </c>
      <c r="P141" s="41" t="str">
        <f t="shared" si="73"/>
        <v>3</v>
      </c>
      <c r="Q141" s="24">
        <f t="shared" si="59"/>
        <v>1.6840205908873003</v>
      </c>
      <c r="R141" s="41" t="str">
        <f t="shared" si="74"/>
        <v>1</v>
      </c>
      <c r="S141" s="24">
        <f t="shared" si="60"/>
        <v>8.2082470906476033</v>
      </c>
      <c r="T141" s="41" t="str">
        <f t="shared" si="75"/>
        <v>8</v>
      </c>
      <c r="U141" s="24">
        <f t="shared" si="61"/>
        <v>2.4989650877712393</v>
      </c>
      <c r="V141" s="41" t="str">
        <f t="shared" si="76"/>
        <v>2</v>
      </c>
      <c r="W141" s="24">
        <f t="shared" si="62"/>
        <v>5.9875810532548712</v>
      </c>
      <c r="X141" s="41" t="str">
        <f t="shared" si="77"/>
        <v>5</v>
      </c>
      <c r="Y141" s="24">
        <f t="shared" si="63"/>
        <v>11.850972639058455</v>
      </c>
      <c r="Z141" s="41" t="str">
        <f t="shared" si="78"/>
        <v>E</v>
      </c>
      <c r="AA141" s="24">
        <f t="shared" si="64"/>
        <v>10.211671668701456</v>
      </c>
      <c r="AB141" s="41" t="str">
        <f t="shared" si="79"/>
        <v>X</v>
      </c>
      <c r="AC141" s="24">
        <f t="shared" si="65"/>
        <v>2.5400600244174711</v>
      </c>
      <c r="AD141" s="41" t="str">
        <f t="shared" si="80"/>
        <v/>
      </c>
      <c r="AE141" s="24">
        <f t="shared" si="66"/>
        <v>6.4807202930096537</v>
      </c>
      <c r="AF141" s="41" t="str">
        <f t="shared" si="81"/>
        <v/>
      </c>
      <c r="AG141" s="24">
        <f t="shared" si="67"/>
        <v>5.7686435161158442</v>
      </c>
      <c r="AH141" s="41" t="str">
        <f t="shared" si="82"/>
        <v/>
      </c>
      <c r="AI141" s="24">
        <f t="shared" si="68"/>
        <v>9.223722193390131</v>
      </c>
      <c r="AJ141" s="41" t="str">
        <f t="shared" si="83"/>
        <v/>
      </c>
    </row>
    <row r="142" spans="1:36">
      <c r="A142" s="384"/>
      <c r="B142" s="385"/>
      <c r="C142" s="386"/>
      <c r="D142" s="387"/>
      <c r="E142" s="386">
        <v>158.92534000000001</v>
      </c>
      <c r="F142" s="8">
        <v>8</v>
      </c>
      <c r="G142" s="21">
        <f t="shared" si="69"/>
        <v>159.14032503571318</v>
      </c>
      <c r="H142" s="37" t="str">
        <f t="shared" si="56"/>
        <v>1;13182594</v>
      </c>
      <c r="I142" s="38">
        <v>2</v>
      </c>
      <c r="J142" s="132">
        <f t="shared" si="70"/>
        <v>1.1051411460813414</v>
      </c>
      <c r="K142" s="39" t="str">
        <f>INDEX(powers!$H$2:$H$75,33+I142)</f>
        <v>hecty</v>
      </c>
      <c r="L142" s="40" t="str">
        <f t="shared" si="71"/>
        <v>1</v>
      </c>
      <c r="M142" s="24">
        <f t="shared" si="57"/>
        <v>1.2616937529760968</v>
      </c>
      <c r="N142" s="41" t="str">
        <f t="shared" si="72"/>
        <v>1</v>
      </c>
      <c r="O142" s="24">
        <f t="shared" si="58"/>
        <v>3.1403250357131611</v>
      </c>
      <c r="P142" s="41" t="str">
        <f t="shared" si="73"/>
        <v>3</v>
      </c>
      <c r="Q142" s="24">
        <f t="shared" si="59"/>
        <v>1.6839004285579335</v>
      </c>
      <c r="R142" s="41" t="str">
        <f t="shared" si="74"/>
        <v>1</v>
      </c>
      <c r="S142" s="24">
        <f t="shared" si="60"/>
        <v>8.2068051426952024</v>
      </c>
      <c r="T142" s="41" t="str">
        <f t="shared" si="75"/>
        <v>8</v>
      </c>
      <c r="U142" s="24">
        <f t="shared" si="61"/>
        <v>2.4816617123424294</v>
      </c>
      <c r="V142" s="41" t="str">
        <f t="shared" si="76"/>
        <v>2</v>
      </c>
      <c r="W142" s="24">
        <f t="shared" si="62"/>
        <v>5.7799405481091526</v>
      </c>
      <c r="X142" s="41" t="str">
        <f t="shared" si="77"/>
        <v>5</v>
      </c>
      <c r="Y142" s="24">
        <f t="shared" si="63"/>
        <v>9.359286577309831</v>
      </c>
      <c r="Z142" s="41" t="str">
        <f t="shared" si="78"/>
        <v>9</v>
      </c>
      <c r="AA142" s="24">
        <f t="shared" si="64"/>
        <v>4.3114389277179725</v>
      </c>
      <c r="AB142" s="41" t="str">
        <f t="shared" si="79"/>
        <v>4</v>
      </c>
      <c r="AC142" s="24">
        <f t="shared" si="65"/>
        <v>3.7372671326156706</v>
      </c>
      <c r="AD142" s="41" t="str">
        <f t="shared" si="80"/>
        <v/>
      </c>
      <c r="AE142" s="24">
        <f t="shared" si="66"/>
        <v>8.8472055913880467</v>
      </c>
      <c r="AF142" s="41" t="str">
        <f t="shared" si="81"/>
        <v/>
      </c>
      <c r="AG142" s="24">
        <f t="shared" si="67"/>
        <v>10.166467096656561</v>
      </c>
      <c r="AH142" s="41" t="str">
        <f t="shared" si="82"/>
        <v/>
      </c>
      <c r="AI142" s="24">
        <f t="shared" si="68"/>
        <v>1.9976051598787308</v>
      </c>
      <c r="AJ142" s="41" t="str">
        <f t="shared" si="83"/>
        <v/>
      </c>
    </row>
    <row r="143" spans="1:36">
      <c r="A143" s="384" t="s">
        <v>942</v>
      </c>
      <c r="B143" s="385">
        <v>66</v>
      </c>
      <c r="C143" s="386" t="s">
        <v>941</v>
      </c>
      <c r="D143" s="387">
        <v>162.5</v>
      </c>
      <c r="E143" s="386"/>
      <c r="F143" s="8">
        <v>4</v>
      </c>
      <c r="G143" s="21">
        <f t="shared" si="69"/>
        <v>162.71982062963269</v>
      </c>
      <c r="H143" s="37" t="str">
        <f t="shared" si="56"/>
        <v>1;1688</v>
      </c>
      <c r="I143" s="38">
        <v>2</v>
      </c>
      <c r="J143" s="132">
        <f t="shared" si="70"/>
        <v>1.1299987543724492</v>
      </c>
      <c r="K143" s="39" t="str">
        <f>INDEX(powers!$H$2:$H$75,33+I143)</f>
        <v>hecty</v>
      </c>
      <c r="L143" s="40" t="str">
        <f t="shared" si="71"/>
        <v>1</v>
      </c>
      <c r="M143" s="24">
        <f t="shared" si="57"/>
        <v>1.5599850524693908</v>
      </c>
      <c r="N143" s="41" t="str">
        <f t="shared" si="72"/>
        <v>1</v>
      </c>
      <c r="O143" s="24">
        <f t="shared" si="58"/>
        <v>6.7198206296326894</v>
      </c>
      <c r="P143" s="41" t="str">
        <f t="shared" si="73"/>
        <v>6</v>
      </c>
      <c r="Q143" s="24">
        <f t="shared" si="59"/>
        <v>8.6378475555922734</v>
      </c>
      <c r="R143" s="41" t="str">
        <f t="shared" si="74"/>
        <v>8</v>
      </c>
      <c r="S143" s="24">
        <f t="shared" si="60"/>
        <v>7.6541706671072802</v>
      </c>
      <c r="T143" s="41" t="str">
        <f t="shared" si="75"/>
        <v>8</v>
      </c>
      <c r="U143" s="24">
        <f t="shared" si="61"/>
        <v>7.8500480052873627</v>
      </c>
      <c r="V143" s="41" t="str">
        <f t="shared" si="76"/>
        <v/>
      </c>
      <c r="W143" s="24">
        <f t="shared" si="62"/>
        <v>10.200576063448352</v>
      </c>
      <c r="X143" s="41" t="str">
        <f t="shared" si="77"/>
        <v/>
      </c>
      <c r="Y143" s="24">
        <f t="shared" si="63"/>
        <v>2.4069127613802266</v>
      </c>
      <c r="Z143" s="41" t="str">
        <f t="shared" si="78"/>
        <v/>
      </c>
      <c r="AA143" s="24">
        <f t="shared" si="64"/>
        <v>4.882953136562719</v>
      </c>
      <c r="AB143" s="41" t="str">
        <f t="shared" si="79"/>
        <v/>
      </c>
      <c r="AC143" s="24">
        <f t="shared" si="65"/>
        <v>10.595437638752628</v>
      </c>
      <c r="AD143" s="41" t="str">
        <f t="shared" si="80"/>
        <v/>
      </c>
      <c r="AE143" s="24">
        <f t="shared" si="66"/>
        <v>7.1452516650315374</v>
      </c>
      <c r="AF143" s="41" t="str">
        <f t="shared" si="81"/>
        <v/>
      </c>
      <c r="AG143" s="24">
        <f t="shared" si="67"/>
        <v>1.743019980378449</v>
      </c>
      <c r="AH143" s="41" t="str">
        <f t="shared" si="82"/>
        <v/>
      </c>
      <c r="AI143" s="24">
        <f t="shared" si="68"/>
        <v>8.9162397645413876</v>
      </c>
      <c r="AJ143" s="41" t="str">
        <f t="shared" si="83"/>
        <v/>
      </c>
    </row>
    <row r="144" spans="1:36">
      <c r="A144" s="384"/>
      <c r="B144" s="385"/>
      <c r="C144" s="386"/>
      <c r="D144" s="387"/>
      <c r="E144" s="386">
        <v>163.929171</v>
      </c>
      <c r="F144" s="8">
        <v>9</v>
      </c>
      <c r="G144" s="21">
        <f t="shared" si="69"/>
        <v>164.15092492975006</v>
      </c>
      <c r="H144" s="37" t="str">
        <f t="shared" si="56"/>
        <v>1;1819896E5</v>
      </c>
      <c r="I144" s="38">
        <v>2</v>
      </c>
      <c r="J144" s="132">
        <f t="shared" si="70"/>
        <v>1.1399369786788198</v>
      </c>
      <c r="K144" s="39" t="str">
        <f>INDEX(powers!$H$2:$H$75,33+I144)</f>
        <v>hecty</v>
      </c>
      <c r="L144" s="40" t="str">
        <f t="shared" si="71"/>
        <v>1</v>
      </c>
      <c r="M144" s="24">
        <f t="shared" si="57"/>
        <v>1.6792437441458379</v>
      </c>
      <c r="N144" s="41" t="str">
        <f t="shared" si="72"/>
        <v>1</v>
      </c>
      <c r="O144" s="24">
        <f t="shared" si="58"/>
        <v>8.1509249297500546</v>
      </c>
      <c r="P144" s="41" t="str">
        <f t="shared" si="73"/>
        <v>8</v>
      </c>
      <c r="Q144" s="24">
        <f t="shared" si="59"/>
        <v>1.8110991570006547</v>
      </c>
      <c r="R144" s="41" t="str">
        <f t="shared" si="74"/>
        <v>1</v>
      </c>
      <c r="S144" s="24">
        <f t="shared" si="60"/>
        <v>9.7331898840078566</v>
      </c>
      <c r="T144" s="41" t="str">
        <f t="shared" si="75"/>
        <v>9</v>
      </c>
      <c r="U144" s="24">
        <f t="shared" si="61"/>
        <v>8.7982786080942788</v>
      </c>
      <c r="V144" s="41" t="str">
        <f t="shared" si="76"/>
        <v>8</v>
      </c>
      <c r="W144" s="24">
        <f t="shared" si="62"/>
        <v>9.579343297131345</v>
      </c>
      <c r="X144" s="41" t="str">
        <f t="shared" si="77"/>
        <v>9</v>
      </c>
      <c r="Y144" s="24">
        <f t="shared" si="63"/>
        <v>6.9521195655761403</v>
      </c>
      <c r="Z144" s="41" t="str">
        <f t="shared" si="78"/>
        <v>6</v>
      </c>
      <c r="AA144" s="24">
        <f t="shared" si="64"/>
        <v>11.425434786913684</v>
      </c>
      <c r="AB144" s="41" t="str">
        <f t="shared" si="79"/>
        <v>E</v>
      </c>
      <c r="AC144" s="24">
        <f t="shared" si="65"/>
        <v>5.1052174429642037</v>
      </c>
      <c r="AD144" s="41" t="str">
        <f t="shared" si="80"/>
        <v>5</v>
      </c>
      <c r="AE144" s="24">
        <f t="shared" si="66"/>
        <v>1.2626093155704439</v>
      </c>
      <c r="AF144" s="41" t="str">
        <f t="shared" si="81"/>
        <v/>
      </c>
      <c r="AG144" s="24">
        <f t="shared" si="67"/>
        <v>3.1513117868453264</v>
      </c>
      <c r="AH144" s="41" t="str">
        <f t="shared" si="82"/>
        <v/>
      </c>
      <c r="AI144" s="24">
        <f t="shared" si="68"/>
        <v>1.8157414421439171</v>
      </c>
      <c r="AJ144" s="41" t="str">
        <f t="shared" si="83"/>
        <v/>
      </c>
    </row>
    <row r="145" spans="1:36">
      <c r="A145" s="384" t="s">
        <v>944</v>
      </c>
      <c r="B145" s="385">
        <v>67</v>
      </c>
      <c r="C145" s="386" t="s">
        <v>943</v>
      </c>
      <c r="D145" s="387">
        <v>164.93031999999999</v>
      </c>
      <c r="E145" s="386"/>
      <c r="F145" s="8">
        <v>8</v>
      </c>
      <c r="G145" s="21">
        <f t="shared" si="69"/>
        <v>165.15342822638721</v>
      </c>
      <c r="H145" s="37" t="str">
        <f t="shared" si="56"/>
        <v>1;191X115X</v>
      </c>
      <c r="I145" s="38">
        <v>2</v>
      </c>
      <c r="J145" s="132">
        <f t="shared" si="70"/>
        <v>1.1468988071276889</v>
      </c>
      <c r="K145" s="39" t="str">
        <f>INDEX(powers!$H$2:$H$75,33+I145)</f>
        <v>hecty</v>
      </c>
      <c r="L145" s="40" t="str">
        <f t="shared" si="71"/>
        <v>1</v>
      </c>
      <c r="M145" s="24">
        <f t="shared" si="57"/>
        <v>1.7627856855322666</v>
      </c>
      <c r="N145" s="41" t="str">
        <f t="shared" si="72"/>
        <v>1</v>
      </c>
      <c r="O145" s="24">
        <f t="shared" si="58"/>
        <v>9.1534282263871987</v>
      </c>
      <c r="P145" s="41" t="str">
        <f t="shared" si="73"/>
        <v>9</v>
      </c>
      <c r="Q145" s="24">
        <f t="shared" si="59"/>
        <v>1.841138716646384</v>
      </c>
      <c r="R145" s="41" t="str">
        <f t="shared" si="74"/>
        <v>1</v>
      </c>
      <c r="S145" s="24">
        <f t="shared" si="60"/>
        <v>10.093664599756607</v>
      </c>
      <c r="T145" s="41" t="str">
        <f t="shared" si="75"/>
        <v>X</v>
      </c>
      <c r="U145" s="24">
        <f t="shared" si="61"/>
        <v>1.1239751970792895</v>
      </c>
      <c r="V145" s="41" t="str">
        <f t="shared" si="76"/>
        <v>1</v>
      </c>
      <c r="W145" s="24">
        <f t="shared" si="62"/>
        <v>1.487702364951474</v>
      </c>
      <c r="X145" s="41" t="str">
        <f t="shared" si="77"/>
        <v>1</v>
      </c>
      <c r="Y145" s="24">
        <f t="shared" si="63"/>
        <v>5.8524283794176881</v>
      </c>
      <c r="Z145" s="41" t="str">
        <f t="shared" si="78"/>
        <v>5</v>
      </c>
      <c r="AA145" s="24">
        <f t="shared" si="64"/>
        <v>10.229140553012257</v>
      </c>
      <c r="AB145" s="41" t="str">
        <f t="shared" si="79"/>
        <v>X</v>
      </c>
      <c r="AC145" s="24">
        <f t="shared" si="65"/>
        <v>2.7496866361470893</v>
      </c>
      <c r="AD145" s="41" t="str">
        <f t="shared" si="80"/>
        <v/>
      </c>
      <c r="AE145" s="24">
        <f t="shared" si="66"/>
        <v>8.9962396337650716</v>
      </c>
      <c r="AF145" s="41" t="str">
        <f t="shared" si="81"/>
        <v/>
      </c>
      <c r="AG145" s="24">
        <f t="shared" si="67"/>
        <v>11.95487560518086</v>
      </c>
      <c r="AH145" s="41" t="str">
        <f t="shared" si="82"/>
        <v/>
      </c>
      <c r="AI145" s="24">
        <f t="shared" si="68"/>
        <v>11.458507262170315</v>
      </c>
      <c r="AJ145" s="41" t="str">
        <f t="shared" si="83"/>
        <v/>
      </c>
    </row>
    <row r="146" spans="1:36">
      <c r="A146" s="384"/>
      <c r="B146" s="385"/>
      <c r="C146" s="386"/>
      <c r="D146" s="387"/>
      <c r="E146" s="386">
        <v>164.93031999999999</v>
      </c>
      <c r="F146" s="8">
        <v>8</v>
      </c>
      <c r="G146" s="21">
        <f t="shared" si="69"/>
        <v>165.15342822638721</v>
      </c>
      <c r="H146" s="37" t="str">
        <f t="shared" si="56"/>
        <v>1;191X115X</v>
      </c>
      <c r="I146" s="38">
        <v>2</v>
      </c>
      <c r="J146" s="132">
        <f t="shared" si="70"/>
        <v>1.1468988071276889</v>
      </c>
      <c r="K146" s="39" t="str">
        <f>INDEX(powers!$H$2:$H$75,33+I146)</f>
        <v>hecty</v>
      </c>
      <c r="L146" s="40" t="str">
        <f t="shared" si="71"/>
        <v>1</v>
      </c>
      <c r="M146" s="24">
        <f t="shared" si="57"/>
        <v>1.7627856855322666</v>
      </c>
      <c r="N146" s="41" t="str">
        <f t="shared" si="72"/>
        <v>1</v>
      </c>
      <c r="O146" s="24">
        <f t="shared" si="58"/>
        <v>9.1534282263871987</v>
      </c>
      <c r="P146" s="41" t="str">
        <f t="shared" si="73"/>
        <v>9</v>
      </c>
      <c r="Q146" s="24">
        <f t="shared" si="59"/>
        <v>1.841138716646384</v>
      </c>
      <c r="R146" s="41" t="str">
        <f t="shared" si="74"/>
        <v>1</v>
      </c>
      <c r="S146" s="24">
        <f t="shared" si="60"/>
        <v>10.093664599756607</v>
      </c>
      <c r="T146" s="41" t="str">
        <f t="shared" si="75"/>
        <v>X</v>
      </c>
      <c r="U146" s="24">
        <f t="shared" si="61"/>
        <v>1.1239751970792895</v>
      </c>
      <c r="V146" s="41" t="str">
        <f t="shared" si="76"/>
        <v>1</v>
      </c>
      <c r="W146" s="24">
        <f t="shared" si="62"/>
        <v>1.487702364951474</v>
      </c>
      <c r="X146" s="41" t="str">
        <f t="shared" si="77"/>
        <v>1</v>
      </c>
      <c r="Y146" s="24">
        <f t="shared" si="63"/>
        <v>5.8524283794176881</v>
      </c>
      <c r="Z146" s="41" t="str">
        <f t="shared" si="78"/>
        <v>5</v>
      </c>
      <c r="AA146" s="24">
        <f t="shared" si="64"/>
        <v>10.229140553012257</v>
      </c>
      <c r="AB146" s="41" t="str">
        <f t="shared" si="79"/>
        <v>X</v>
      </c>
      <c r="AC146" s="24">
        <f t="shared" si="65"/>
        <v>2.7496866361470893</v>
      </c>
      <c r="AD146" s="41" t="str">
        <f t="shared" si="80"/>
        <v/>
      </c>
      <c r="AE146" s="24">
        <f t="shared" si="66"/>
        <v>8.9962396337650716</v>
      </c>
      <c r="AF146" s="41" t="str">
        <f t="shared" si="81"/>
        <v/>
      </c>
      <c r="AG146" s="24">
        <f t="shared" si="67"/>
        <v>11.95487560518086</v>
      </c>
      <c r="AH146" s="41" t="str">
        <f t="shared" si="82"/>
        <v/>
      </c>
      <c r="AI146" s="24">
        <f t="shared" si="68"/>
        <v>11.458507262170315</v>
      </c>
      <c r="AJ146" s="41" t="str">
        <f t="shared" si="83"/>
        <v/>
      </c>
    </row>
    <row r="147" spans="1:36">
      <c r="A147" s="384" t="s">
        <v>946</v>
      </c>
      <c r="B147" s="385">
        <v>68</v>
      </c>
      <c r="C147" s="386" t="s">
        <v>945</v>
      </c>
      <c r="D147" s="387">
        <v>167.25899999999999</v>
      </c>
      <c r="E147" s="386"/>
      <c r="F147" s="8">
        <v>6</v>
      </c>
      <c r="G147" s="21">
        <f t="shared" si="69"/>
        <v>167.48525833041066</v>
      </c>
      <c r="H147" s="37" t="str">
        <f t="shared" si="56"/>
        <v>1;1E59X6</v>
      </c>
      <c r="I147" s="38">
        <v>2</v>
      </c>
      <c r="J147" s="132">
        <f t="shared" si="70"/>
        <v>1.163092071738963</v>
      </c>
      <c r="K147" s="39" t="str">
        <f>INDEX(powers!$H$2:$H$75,33+I147)</f>
        <v>hecty</v>
      </c>
      <c r="L147" s="40" t="str">
        <f t="shared" si="71"/>
        <v>1</v>
      </c>
      <c r="M147" s="24">
        <f t="shared" si="57"/>
        <v>1.9571048608675561</v>
      </c>
      <c r="N147" s="41" t="str">
        <f t="shared" si="72"/>
        <v>1</v>
      </c>
      <c r="O147" s="24">
        <f t="shared" si="58"/>
        <v>11.485258330410673</v>
      </c>
      <c r="P147" s="41" t="str">
        <f t="shared" si="73"/>
        <v>E</v>
      </c>
      <c r="Q147" s="24">
        <f t="shared" si="59"/>
        <v>5.8230999649280761</v>
      </c>
      <c r="R147" s="41" t="str">
        <f t="shared" si="74"/>
        <v>5</v>
      </c>
      <c r="S147" s="24">
        <f t="shared" si="60"/>
        <v>9.8771995791369136</v>
      </c>
      <c r="T147" s="41" t="str">
        <f t="shared" si="75"/>
        <v>9</v>
      </c>
      <c r="U147" s="24">
        <f t="shared" si="61"/>
        <v>10.526394949642963</v>
      </c>
      <c r="V147" s="41" t="str">
        <f t="shared" si="76"/>
        <v>X</v>
      </c>
      <c r="W147" s="24">
        <f t="shared" si="62"/>
        <v>6.3167393957155582</v>
      </c>
      <c r="X147" s="41" t="str">
        <f t="shared" si="77"/>
        <v>6</v>
      </c>
      <c r="Y147" s="24">
        <f t="shared" si="63"/>
        <v>3.8008727485866984</v>
      </c>
      <c r="Z147" s="41" t="str">
        <f t="shared" si="78"/>
        <v/>
      </c>
      <c r="AA147" s="24">
        <f t="shared" si="64"/>
        <v>9.6104729830403812</v>
      </c>
      <c r="AB147" s="41" t="str">
        <f t="shared" si="79"/>
        <v/>
      </c>
      <c r="AC147" s="24">
        <f t="shared" si="65"/>
        <v>7.3256757964845747</v>
      </c>
      <c r="AD147" s="41" t="str">
        <f t="shared" si="80"/>
        <v/>
      </c>
      <c r="AE147" s="24">
        <f t="shared" si="66"/>
        <v>3.9081095578148961</v>
      </c>
      <c r="AF147" s="41" t="str">
        <f t="shared" si="81"/>
        <v/>
      </c>
      <c r="AG147" s="24">
        <f t="shared" si="67"/>
        <v>10.897314693778753</v>
      </c>
      <c r="AH147" s="41" t="str">
        <f t="shared" si="82"/>
        <v/>
      </c>
      <c r="AI147" s="24">
        <f t="shared" si="68"/>
        <v>10.767776325345039</v>
      </c>
      <c r="AJ147" s="41" t="str">
        <f t="shared" si="83"/>
        <v/>
      </c>
    </row>
    <row r="148" spans="1:36">
      <c r="A148" s="384"/>
      <c r="B148" s="385"/>
      <c r="C148" s="386"/>
      <c r="D148" s="387"/>
      <c r="E148" s="386">
        <v>165.93029000000001</v>
      </c>
      <c r="F148" s="8">
        <v>8</v>
      </c>
      <c r="G148" s="21">
        <f t="shared" si="69"/>
        <v>166.15475092814117</v>
      </c>
      <c r="H148" s="37" t="str">
        <f t="shared" si="56"/>
        <v>1;1X1X34X</v>
      </c>
      <c r="I148" s="38">
        <v>2</v>
      </c>
      <c r="J148" s="132">
        <f t="shared" si="70"/>
        <v>1.1538524370009804</v>
      </c>
      <c r="K148" s="39" t="str">
        <f>INDEX(powers!$H$2:$H$75,33+I148)</f>
        <v>hecty</v>
      </c>
      <c r="L148" s="40" t="str">
        <f t="shared" si="71"/>
        <v>1</v>
      </c>
      <c r="M148" s="24">
        <f t="shared" si="57"/>
        <v>1.8462292440117647</v>
      </c>
      <c r="N148" s="41" t="str">
        <f t="shared" si="72"/>
        <v>1</v>
      </c>
      <c r="O148" s="24">
        <f t="shared" si="58"/>
        <v>10.154750928141176</v>
      </c>
      <c r="P148" s="41" t="str">
        <f t="shared" si="73"/>
        <v>X</v>
      </c>
      <c r="Q148" s="24">
        <f t="shared" si="59"/>
        <v>1.8570111376941156</v>
      </c>
      <c r="R148" s="41" t="str">
        <f t="shared" si="74"/>
        <v>1</v>
      </c>
      <c r="S148" s="24">
        <f t="shared" si="60"/>
        <v>10.284133652329388</v>
      </c>
      <c r="T148" s="41" t="str">
        <f t="shared" si="75"/>
        <v>X</v>
      </c>
      <c r="U148" s="24">
        <f t="shared" si="61"/>
        <v>3.409603827952651</v>
      </c>
      <c r="V148" s="41" t="str">
        <f t="shared" si="76"/>
        <v>3</v>
      </c>
      <c r="W148" s="24">
        <f t="shared" si="62"/>
        <v>4.9152459354318125</v>
      </c>
      <c r="X148" s="41" t="str">
        <f t="shared" si="77"/>
        <v>4</v>
      </c>
      <c r="Y148" s="24">
        <f t="shared" si="63"/>
        <v>10.98295122518175</v>
      </c>
      <c r="Z148" s="41" t="str">
        <f t="shared" si="78"/>
        <v>X</v>
      </c>
      <c r="AA148" s="24">
        <f t="shared" si="64"/>
        <v>11.795414702181006</v>
      </c>
      <c r="AB148" s="41" t="str">
        <f t="shared" si="79"/>
        <v/>
      </c>
      <c r="AC148" s="24">
        <f t="shared" si="65"/>
        <v>9.5449764261720702</v>
      </c>
      <c r="AD148" s="41" t="str">
        <f t="shared" si="80"/>
        <v/>
      </c>
      <c r="AE148" s="24">
        <f t="shared" si="66"/>
        <v>6.5397171140648425</v>
      </c>
      <c r="AF148" s="41" t="str">
        <f t="shared" si="81"/>
        <v/>
      </c>
      <c r="AG148" s="24">
        <f t="shared" si="67"/>
        <v>6.4766053687781096</v>
      </c>
      <c r="AH148" s="41" t="str">
        <f t="shared" si="82"/>
        <v/>
      </c>
      <c r="AI148" s="24">
        <f t="shared" si="68"/>
        <v>5.7192644253373146</v>
      </c>
      <c r="AJ148" s="41" t="str">
        <f t="shared" si="83"/>
        <v/>
      </c>
    </row>
    <row r="149" spans="1:36">
      <c r="A149" s="384" t="s">
        <v>948</v>
      </c>
      <c r="B149" s="385">
        <v>69</v>
      </c>
      <c r="C149" s="386" t="s">
        <v>947</v>
      </c>
      <c r="D149" s="387">
        <v>168.93421000000001</v>
      </c>
      <c r="E149" s="386"/>
      <c r="F149" s="8">
        <v>8</v>
      </c>
      <c r="G149" s="21">
        <f t="shared" si="69"/>
        <v>169.16273445789972</v>
      </c>
      <c r="H149" s="37" t="str">
        <f t="shared" si="56"/>
        <v>1;211E5256</v>
      </c>
      <c r="I149" s="38">
        <v>2</v>
      </c>
      <c r="J149" s="132">
        <f t="shared" si="70"/>
        <v>1.1747412115131926</v>
      </c>
      <c r="K149" s="39" t="str">
        <f>INDEX(powers!$H$2:$H$75,33+I149)</f>
        <v>hecty</v>
      </c>
      <c r="L149" s="40" t="str">
        <f t="shared" si="71"/>
        <v>1</v>
      </c>
      <c r="M149" s="24">
        <f t="shared" si="57"/>
        <v>2.0968945381583106</v>
      </c>
      <c r="N149" s="41" t="str">
        <f t="shared" si="72"/>
        <v>2</v>
      </c>
      <c r="O149" s="24">
        <f t="shared" si="58"/>
        <v>1.1627344578997274</v>
      </c>
      <c r="P149" s="41" t="str">
        <f t="shared" si="73"/>
        <v>1</v>
      </c>
      <c r="Q149" s="24">
        <f t="shared" si="59"/>
        <v>1.9528134947967288</v>
      </c>
      <c r="R149" s="41" t="str">
        <f t="shared" si="74"/>
        <v>1</v>
      </c>
      <c r="S149" s="24">
        <f t="shared" si="60"/>
        <v>11.433761937560746</v>
      </c>
      <c r="T149" s="41" t="str">
        <f t="shared" si="75"/>
        <v>E</v>
      </c>
      <c r="U149" s="24">
        <f t="shared" si="61"/>
        <v>5.2051432507289519</v>
      </c>
      <c r="V149" s="41" t="str">
        <f t="shared" si="76"/>
        <v>5</v>
      </c>
      <c r="W149" s="24">
        <f t="shared" si="62"/>
        <v>2.4617190087474228</v>
      </c>
      <c r="X149" s="41" t="str">
        <f t="shared" si="77"/>
        <v>2</v>
      </c>
      <c r="Y149" s="24">
        <f t="shared" si="63"/>
        <v>5.5406281049690733</v>
      </c>
      <c r="Z149" s="41" t="str">
        <f t="shared" si="78"/>
        <v>5</v>
      </c>
      <c r="AA149" s="24">
        <f t="shared" si="64"/>
        <v>6.4875372596288798</v>
      </c>
      <c r="AB149" s="41" t="str">
        <f t="shared" si="79"/>
        <v>6</v>
      </c>
      <c r="AC149" s="24">
        <f t="shared" si="65"/>
        <v>5.8504471155465581</v>
      </c>
      <c r="AD149" s="41" t="str">
        <f t="shared" si="80"/>
        <v/>
      </c>
      <c r="AE149" s="24">
        <f t="shared" si="66"/>
        <v>10.205365386558697</v>
      </c>
      <c r="AF149" s="41" t="str">
        <f t="shared" si="81"/>
        <v/>
      </c>
      <c r="AG149" s="24">
        <f t="shared" si="67"/>
        <v>2.4643846387043595</v>
      </c>
      <c r="AH149" s="41" t="str">
        <f t="shared" si="82"/>
        <v/>
      </c>
      <c r="AI149" s="24">
        <f t="shared" si="68"/>
        <v>5.5726156644523144</v>
      </c>
      <c r="AJ149" s="41" t="str">
        <f t="shared" si="83"/>
        <v/>
      </c>
    </row>
    <row r="150" spans="1:36">
      <c r="A150" s="384"/>
      <c r="B150" s="385"/>
      <c r="C150" s="386"/>
      <c r="D150" s="387"/>
      <c r="E150" s="386">
        <v>168.93421000000001</v>
      </c>
      <c r="F150" s="8">
        <v>8</v>
      </c>
      <c r="G150" s="21">
        <f t="shared" si="69"/>
        <v>169.16273445789972</v>
      </c>
      <c r="H150" s="37" t="str">
        <f t="shared" si="56"/>
        <v>1;211E5256</v>
      </c>
      <c r="I150" s="38">
        <v>2</v>
      </c>
      <c r="J150" s="132">
        <f t="shared" si="70"/>
        <v>1.1747412115131926</v>
      </c>
      <c r="K150" s="39" t="str">
        <f>INDEX(powers!$H$2:$H$75,33+I150)</f>
        <v>hecty</v>
      </c>
      <c r="L150" s="40" t="str">
        <f t="shared" si="71"/>
        <v>1</v>
      </c>
      <c r="M150" s="24">
        <f t="shared" si="57"/>
        <v>2.0968945381583106</v>
      </c>
      <c r="N150" s="41" t="str">
        <f t="shared" si="72"/>
        <v>2</v>
      </c>
      <c r="O150" s="24">
        <f t="shared" si="58"/>
        <v>1.1627344578997274</v>
      </c>
      <c r="P150" s="41" t="str">
        <f t="shared" si="73"/>
        <v>1</v>
      </c>
      <c r="Q150" s="24">
        <f t="shared" si="59"/>
        <v>1.9528134947967288</v>
      </c>
      <c r="R150" s="41" t="str">
        <f t="shared" si="74"/>
        <v>1</v>
      </c>
      <c r="S150" s="24">
        <f t="shared" si="60"/>
        <v>11.433761937560746</v>
      </c>
      <c r="T150" s="41" t="str">
        <f t="shared" si="75"/>
        <v>E</v>
      </c>
      <c r="U150" s="24">
        <f t="shared" si="61"/>
        <v>5.2051432507289519</v>
      </c>
      <c r="V150" s="41" t="str">
        <f t="shared" si="76"/>
        <v>5</v>
      </c>
      <c r="W150" s="24">
        <f t="shared" si="62"/>
        <v>2.4617190087474228</v>
      </c>
      <c r="X150" s="41" t="str">
        <f t="shared" si="77"/>
        <v>2</v>
      </c>
      <c r="Y150" s="24">
        <f t="shared" si="63"/>
        <v>5.5406281049690733</v>
      </c>
      <c r="Z150" s="41" t="str">
        <f t="shared" si="78"/>
        <v>5</v>
      </c>
      <c r="AA150" s="24">
        <f t="shared" si="64"/>
        <v>6.4875372596288798</v>
      </c>
      <c r="AB150" s="41" t="str">
        <f t="shared" si="79"/>
        <v>6</v>
      </c>
      <c r="AC150" s="24">
        <f t="shared" si="65"/>
        <v>5.8504471155465581</v>
      </c>
      <c r="AD150" s="41" t="str">
        <f t="shared" si="80"/>
        <v/>
      </c>
      <c r="AE150" s="24">
        <f t="shared" si="66"/>
        <v>10.205365386558697</v>
      </c>
      <c r="AF150" s="41" t="str">
        <f t="shared" si="81"/>
        <v/>
      </c>
      <c r="AG150" s="24">
        <f t="shared" si="67"/>
        <v>2.4643846387043595</v>
      </c>
      <c r="AH150" s="41" t="str">
        <f t="shared" si="82"/>
        <v/>
      </c>
      <c r="AI150" s="24">
        <f t="shared" si="68"/>
        <v>5.5726156644523144</v>
      </c>
      <c r="AJ150" s="41" t="str">
        <f t="shared" si="83"/>
        <v/>
      </c>
    </row>
    <row r="151" spans="1:36">
      <c r="A151" s="384" t="s">
        <v>950</v>
      </c>
      <c r="B151" s="385">
        <v>70</v>
      </c>
      <c r="C151" s="386" t="s">
        <v>949</v>
      </c>
      <c r="D151" s="387">
        <v>173.054</v>
      </c>
      <c r="E151" s="386"/>
      <c r="F151" s="8">
        <v>6</v>
      </c>
      <c r="G151" s="21">
        <f t="shared" si="69"/>
        <v>173.28809747224895</v>
      </c>
      <c r="H151" s="37" t="str">
        <f t="shared" si="56"/>
        <v>1;25355X</v>
      </c>
      <c r="I151" s="38">
        <v>2</v>
      </c>
      <c r="J151" s="132">
        <f t="shared" si="70"/>
        <v>1.2033895657795066</v>
      </c>
      <c r="K151" s="39" t="str">
        <f>INDEX(powers!$H$2:$H$75,33+I151)</f>
        <v>hecty</v>
      </c>
      <c r="L151" s="40" t="str">
        <f t="shared" si="71"/>
        <v>1</v>
      </c>
      <c r="M151" s="24">
        <f t="shared" si="57"/>
        <v>2.4406747893540794</v>
      </c>
      <c r="N151" s="41" t="str">
        <f t="shared" si="72"/>
        <v>2</v>
      </c>
      <c r="O151" s="24">
        <f t="shared" si="58"/>
        <v>5.2880974722489533</v>
      </c>
      <c r="P151" s="41" t="str">
        <f t="shared" si="73"/>
        <v>5</v>
      </c>
      <c r="Q151" s="24">
        <f t="shared" si="59"/>
        <v>3.4571696669874399</v>
      </c>
      <c r="R151" s="41" t="str">
        <f t="shared" si="74"/>
        <v>3</v>
      </c>
      <c r="S151" s="24">
        <f t="shared" si="60"/>
        <v>5.4860360038492786</v>
      </c>
      <c r="T151" s="41" t="str">
        <f t="shared" si="75"/>
        <v>5</v>
      </c>
      <c r="U151" s="24">
        <f t="shared" si="61"/>
        <v>5.832432046191343</v>
      </c>
      <c r="V151" s="41" t="str">
        <f t="shared" si="76"/>
        <v>5</v>
      </c>
      <c r="W151" s="24">
        <f t="shared" si="62"/>
        <v>9.9891845542961164</v>
      </c>
      <c r="X151" s="41" t="str">
        <f t="shared" si="77"/>
        <v>X</v>
      </c>
      <c r="Y151" s="24">
        <f t="shared" si="63"/>
        <v>11.870214651553397</v>
      </c>
      <c r="Z151" s="41" t="str">
        <f t="shared" si="78"/>
        <v/>
      </c>
      <c r="AA151" s="24">
        <f t="shared" si="64"/>
        <v>10.442575818640762</v>
      </c>
      <c r="AB151" s="41" t="str">
        <f t="shared" si="79"/>
        <v/>
      </c>
      <c r="AC151" s="24">
        <f t="shared" si="65"/>
        <v>5.3109098236891441</v>
      </c>
      <c r="AD151" s="41" t="str">
        <f t="shared" si="80"/>
        <v/>
      </c>
      <c r="AE151" s="24">
        <f t="shared" si="66"/>
        <v>3.7309178842697293</v>
      </c>
      <c r="AF151" s="41" t="str">
        <f t="shared" si="81"/>
        <v/>
      </c>
      <c r="AG151" s="24">
        <f t="shared" si="67"/>
        <v>8.7710146112367511</v>
      </c>
      <c r="AH151" s="41" t="str">
        <f t="shared" si="82"/>
        <v/>
      </c>
      <c r="AI151" s="24">
        <f t="shared" si="68"/>
        <v>9.252175334841013</v>
      </c>
      <c r="AJ151" s="41" t="str">
        <f t="shared" si="83"/>
        <v/>
      </c>
    </row>
    <row r="152" spans="1:36">
      <c r="A152" s="384"/>
      <c r="B152" s="385"/>
      <c r="C152" s="386"/>
      <c r="D152" s="387"/>
      <c r="E152" s="386">
        <v>173.9388581</v>
      </c>
      <c r="F152" s="8">
        <v>10</v>
      </c>
      <c r="G152" s="21">
        <f t="shared" si="69"/>
        <v>174.17415255726237</v>
      </c>
      <c r="H152" s="37" t="str">
        <f t="shared" si="56"/>
        <v>1;26210E288</v>
      </c>
      <c r="I152" s="38">
        <v>2</v>
      </c>
      <c r="J152" s="132">
        <f t="shared" si="70"/>
        <v>1.2095427260920999</v>
      </c>
      <c r="K152" s="39" t="str">
        <f>INDEX(powers!$H$2:$H$75,33+I152)</f>
        <v>hecty</v>
      </c>
      <c r="L152" s="40" t="str">
        <f t="shared" si="71"/>
        <v>1</v>
      </c>
      <c r="M152" s="24">
        <f t="shared" si="57"/>
        <v>2.5145127131051987</v>
      </c>
      <c r="N152" s="41" t="str">
        <f t="shared" si="72"/>
        <v>2</v>
      </c>
      <c r="O152" s="24">
        <f t="shared" si="58"/>
        <v>6.174152557262385</v>
      </c>
      <c r="P152" s="41" t="str">
        <f t="shared" si="73"/>
        <v>6</v>
      </c>
      <c r="Q152" s="24">
        <f t="shared" si="59"/>
        <v>2.0898306871486199</v>
      </c>
      <c r="R152" s="41" t="str">
        <f t="shared" si="74"/>
        <v>2</v>
      </c>
      <c r="S152" s="24">
        <f t="shared" si="60"/>
        <v>1.0779682457834383</v>
      </c>
      <c r="T152" s="41" t="str">
        <f t="shared" si="75"/>
        <v>1</v>
      </c>
      <c r="U152" s="24">
        <f t="shared" si="61"/>
        <v>0.93561894940125967</v>
      </c>
      <c r="V152" s="41" t="str">
        <f t="shared" si="76"/>
        <v>0</v>
      </c>
      <c r="W152" s="24">
        <f t="shared" si="62"/>
        <v>11.227427392815116</v>
      </c>
      <c r="X152" s="41" t="str">
        <f t="shared" si="77"/>
        <v>E</v>
      </c>
      <c r="Y152" s="24">
        <f t="shared" si="63"/>
        <v>2.7291287137813924</v>
      </c>
      <c r="Z152" s="41" t="str">
        <f t="shared" si="78"/>
        <v>2</v>
      </c>
      <c r="AA152" s="24">
        <f t="shared" si="64"/>
        <v>8.7495445653767092</v>
      </c>
      <c r="AB152" s="41" t="str">
        <f t="shared" si="79"/>
        <v>8</v>
      </c>
      <c r="AC152" s="24">
        <f t="shared" si="65"/>
        <v>8.9945347845205106</v>
      </c>
      <c r="AD152" s="41" t="str">
        <f t="shared" si="80"/>
        <v>8</v>
      </c>
      <c r="AE152" s="24">
        <f t="shared" si="66"/>
        <v>11.934417414246127</v>
      </c>
      <c r="AF152" s="41" t="str">
        <f t="shared" si="81"/>
        <v/>
      </c>
      <c r="AG152" s="24">
        <f t="shared" si="67"/>
        <v>11.213008970953524</v>
      </c>
      <c r="AH152" s="41" t="str">
        <f t="shared" si="82"/>
        <v/>
      </c>
      <c r="AI152" s="24">
        <f t="shared" si="68"/>
        <v>2.5561076514422894</v>
      </c>
      <c r="AJ152" s="41" t="str">
        <f t="shared" si="83"/>
        <v/>
      </c>
    </row>
    <row r="153" spans="1:36">
      <c r="A153" s="384" t="s">
        <v>952</v>
      </c>
      <c r="B153" s="385">
        <v>71</v>
      </c>
      <c r="C153" s="386" t="s">
        <v>951</v>
      </c>
      <c r="D153" s="387">
        <v>174.96680000000001</v>
      </c>
      <c r="E153" s="386"/>
      <c r="F153" s="8">
        <v>7</v>
      </c>
      <c r="G153" s="21">
        <f t="shared" si="69"/>
        <v>175.20348499778964</v>
      </c>
      <c r="H153" s="37" t="str">
        <f t="shared" si="56"/>
        <v>1;2725376</v>
      </c>
      <c r="I153" s="38">
        <v>2</v>
      </c>
      <c r="J153" s="132">
        <f t="shared" si="70"/>
        <v>1.2166908680402058</v>
      </c>
      <c r="K153" s="39" t="str">
        <f>INDEX(powers!$H$2:$H$75,33+I153)</f>
        <v>hecty</v>
      </c>
      <c r="L153" s="40" t="str">
        <f t="shared" si="71"/>
        <v>1</v>
      </c>
      <c r="M153" s="24">
        <f t="shared" si="57"/>
        <v>2.6002904164824692</v>
      </c>
      <c r="N153" s="41" t="str">
        <f t="shared" si="72"/>
        <v>2</v>
      </c>
      <c r="O153" s="24">
        <f t="shared" si="58"/>
        <v>7.20348499778963</v>
      </c>
      <c r="P153" s="41" t="str">
        <f t="shared" si="73"/>
        <v>7</v>
      </c>
      <c r="Q153" s="24">
        <f t="shared" si="59"/>
        <v>2.4418199734755603</v>
      </c>
      <c r="R153" s="41" t="str">
        <f t="shared" si="74"/>
        <v>2</v>
      </c>
      <c r="S153" s="24">
        <f t="shared" si="60"/>
        <v>5.3018396817067241</v>
      </c>
      <c r="T153" s="41" t="str">
        <f t="shared" si="75"/>
        <v>5</v>
      </c>
      <c r="U153" s="24">
        <f t="shared" si="61"/>
        <v>3.6220761804806898</v>
      </c>
      <c r="V153" s="41" t="str">
        <f t="shared" si="76"/>
        <v>3</v>
      </c>
      <c r="W153" s="24">
        <f t="shared" si="62"/>
        <v>7.4649141657682776</v>
      </c>
      <c r="X153" s="41" t="str">
        <f t="shared" si="77"/>
        <v>7</v>
      </c>
      <c r="Y153" s="24">
        <f t="shared" si="63"/>
        <v>5.5789699892193312</v>
      </c>
      <c r="Z153" s="41" t="str">
        <f t="shared" si="78"/>
        <v>6</v>
      </c>
      <c r="AA153" s="24">
        <f t="shared" si="64"/>
        <v>6.9476398706319742</v>
      </c>
      <c r="AB153" s="41" t="str">
        <f t="shared" si="79"/>
        <v/>
      </c>
      <c r="AC153" s="24">
        <f t="shared" si="65"/>
        <v>11.37167844758369</v>
      </c>
      <c r="AD153" s="41" t="str">
        <f t="shared" si="80"/>
        <v/>
      </c>
      <c r="AE153" s="24">
        <f t="shared" si="66"/>
        <v>4.4601413710042834</v>
      </c>
      <c r="AF153" s="41" t="str">
        <f t="shared" si="81"/>
        <v/>
      </c>
      <c r="AG153" s="24">
        <f t="shared" si="67"/>
        <v>5.5216964520514011</v>
      </c>
      <c r="AH153" s="41" t="str">
        <f t="shared" si="82"/>
        <v/>
      </c>
      <c r="AI153" s="24">
        <f t="shared" si="68"/>
        <v>6.2603574246168137</v>
      </c>
      <c r="AJ153" s="41" t="str">
        <f t="shared" si="83"/>
        <v/>
      </c>
    </row>
    <row r="154" spans="1:36">
      <c r="A154" s="384"/>
      <c r="B154" s="385"/>
      <c r="C154" s="386"/>
      <c r="D154" s="387"/>
      <c r="E154" s="386">
        <v>174.9407679</v>
      </c>
      <c r="F154" s="8">
        <v>10</v>
      </c>
      <c r="G154" s="21">
        <f t="shared" si="69"/>
        <v>175.17741768306587</v>
      </c>
      <c r="H154" s="37" t="str">
        <f t="shared" si="56"/>
        <v>1;272166E244</v>
      </c>
      <c r="I154" s="38">
        <v>2</v>
      </c>
      <c r="J154" s="132">
        <f t="shared" si="70"/>
        <v>1.2165098450212908</v>
      </c>
      <c r="K154" s="39" t="str">
        <f>INDEX(powers!$H$2:$H$75,33+I154)</f>
        <v>hecty</v>
      </c>
      <c r="L154" s="40" t="str">
        <f t="shared" si="71"/>
        <v>1</v>
      </c>
      <c r="M154" s="24">
        <f t="shared" si="57"/>
        <v>2.5981181402554894</v>
      </c>
      <c r="N154" s="41" t="str">
        <f t="shared" si="72"/>
        <v>2</v>
      </c>
      <c r="O154" s="24">
        <f t="shared" si="58"/>
        <v>7.1774176830658725</v>
      </c>
      <c r="P154" s="41" t="str">
        <f t="shared" si="73"/>
        <v>7</v>
      </c>
      <c r="Q154" s="24">
        <f t="shared" si="59"/>
        <v>2.1290121967904696</v>
      </c>
      <c r="R154" s="41" t="str">
        <f t="shared" si="74"/>
        <v>2</v>
      </c>
      <c r="S154" s="24">
        <f t="shared" si="60"/>
        <v>1.5481463614856352</v>
      </c>
      <c r="T154" s="41" t="str">
        <f t="shared" si="75"/>
        <v>1</v>
      </c>
      <c r="U154" s="24">
        <f t="shared" si="61"/>
        <v>6.5777563378276227</v>
      </c>
      <c r="V154" s="41" t="str">
        <f t="shared" si="76"/>
        <v>6</v>
      </c>
      <c r="W154" s="24">
        <f t="shared" si="62"/>
        <v>6.9330760539314724</v>
      </c>
      <c r="X154" s="41" t="str">
        <f t="shared" si="77"/>
        <v>6</v>
      </c>
      <c r="Y154" s="24">
        <f t="shared" si="63"/>
        <v>11.196912647177669</v>
      </c>
      <c r="Z154" s="41" t="str">
        <f t="shared" si="78"/>
        <v>E</v>
      </c>
      <c r="AA154" s="24">
        <f t="shared" si="64"/>
        <v>2.3629517661320278</v>
      </c>
      <c r="AB154" s="41" t="str">
        <f t="shared" si="79"/>
        <v>2</v>
      </c>
      <c r="AC154" s="24">
        <f t="shared" si="65"/>
        <v>4.3554211935843341</v>
      </c>
      <c r="AD154" s="41" t="str">
        <f t="shared" si="80"/>
        <v>4</v>
      </c>
      <c r="AE154" s="24">
        <f t="shared" si="66"/>
        <v>4.2650543230120093</v>
      </c>
      <c r="AF154" s="41" t="str">
        <f t="shared" si="81"/>
        <v>4</v>
      </c>
      <c r="AG154" s="24">
        <f t="shared" si="67"/>
        <v>3.1806518761441112</v>
      </c>
      <c r="AH154" s="41" t="str">
        <f t="shared" si="82"/>
        <v/>
      </c>
      <c r="AI154" s="24">
        <f t="shared" si="68"/>
        <v>2.1678225137293339</v>
      </c>
      <c r="AJ154" s="41" t="str">
        <f t="shared" si="83"/>
        <v/>
      </c>
    </row>
    <row r="155" spans="1:36">
      <c r="A155" s="384" t="s">
        <v>954</v>
      </c>
      <c r="B155" s="385">
        <v>72</v>
      </c>
      <c r="C155" s="386" t="s">
        <v>953</v>
      </c>
      <c r="D155" s="387">
        <v>178.49</v>
      </c>
      <c r="E155" s="386"/>
      <c r="F155" s="8">
        <v>5</v>
      </c>
      <c r="G155" s="21">
        <f t="shared" si="69"/>
        <v>178.73145097958854</v>
      </c>
      <c r="H155" s="37" t="str">
        <f t="shared" si="56"/>
        <v>1;2X894</v>
      </c>
      <c r="I155" s="38">
        <v>2</v>
      </c>
      <c r="J155" s="132">
        <f t="shared" si="70"/>
        <v>1.2411906318026982</v>
      </c>
      <c r="K155" s="39" t="str">
        <f>INDEX(powers!$H$2:$H$75,33+I155)</f>
        <v>hecty</v>
      </c>
      <c r="L155" s="40" t="str">
        <f t="shared" si="71"/>
        <v>1</v>
      </c>
      <c r="M155" s="24">
        <f t="shared" si="57"/>
        <v>2.8942875816323781</v>
      </c>
      <c r="N155" s="41" t="str">
        <f t="shared" si="72"/>
        <v>2</v>
      </c>
      <c r="O155" s="24">
        <f t="shared" si="58"/>
        <v>10.731450979588537</v>
      </c>
      <c r="P155" s="41" t="str">
        <f t="shared" si="73"/>
        <v>X</v>
      </c>
      <c r="Q155" s="24">
        <f t="shared" si="59"/>
        <v>8.7774117550624453</v>
      </c>
      <c r="R155" s="41" t="str">
        <f t="shared" si="74"/>
        <v>8</v>
      </c>
      <c r="S155" s="24">
        <f t="shared" si="60"/>
        <v>9.3289410607493437</v>
      </c>
      <c r="T155" s="41" t="str">
        <f t="shared" si="75"/>
        <v>9</v>
      </c>
      <c r="U155" s="24">
        <f t="shared" si="61"/>
        <v>3.9472927289921245</v>
      </c>
      <c r="V155" s="41" t="str">
        <f t="shared" si="76"/>
        <v>4</v>
      </c>
      <c r="W155" s="24">
        <f t="shared" si="62"/>
        <v>11.367512747905494</v>
      </c>
      <c r="X155" s="41" t="str">
        <f t="shared" si="77"/>
        <v/>
      </c>
      <c r="Y155" s="24">
        <f t="shared" si="63"/>
        <v>4.4101529748659232</v>
      </c>
      <c r="Z155" s="41" t="str">
        <f t="shared" si="78"/>
        <v/>
      </c>
      <c r="AA155" s="24">
        <f t="shared" si="64"/>
        <v>4.921835698391078</v>
      </c>
      <c r="AB155" s="41" t="str">
        <f t="shared" si="79"/>
        <v/>
      </c>
      <c r="AC155" s="24">
        <f t="shared" si="65"/>
        <v>11.062028380692936</v>
      </c>
      <c r="AD155" s="41" t="str">
        <f t="shared" si="80"/>
        <v/>
      </c>
      <c r="AE155" s="24">
        <f t="shared" si="66"/>
        <v>0.74434056831523776</v>
      </c>
      <c r="AF155" s="41" t="str">
        <f t="shared" si="81"/>
        <v/>
      </c>
      <c r="AG155" s="24">
        <f t="shared" si="67"/>
        <v>8.9320868197828531</v>
      </c>
      <c r="AH155" s="41" t="str">
        <f t="shared" si="82"/>
        <v/>
      </c>
      <c r="AI155" s="24">
        <f t="shared" si="68"/>
        <v>11.185041837394238</v>
      </c>
      <c r="AJ155" s="41" t="str">
        <f t="shared" si="83"/>
        <v/>
      </c>
    </row>
    <row r="156" spans="1:36">
      <c r="A156" s="384"/>
      <c r="B156" s="385"/>
      <c r="C156" s="386"/>
      <c r="D156" s="387"/>
      <c r="E156" s="386">
        <v>179.94654879999999</v>
      </c>
      <c r="F156" s="8">
        <v>10</v>
      </c>
      <c r="G156" s="21">
        <f t="shared" si="69"/>
        <v>180.18997011481503</v>
      </c>
      <c r="H156" s="37" t="str">
        <f t="shared" si="56"/>
        <v>1;3023432788</v>
      </c>
      <c r="I156" s="38">
        <v>2</v>
      </c>
      <c r="J156" s="132">
        <f t="shared" si="70"/>
        <v>1.2513192369084376</v>
      </c>
      <c r="K156" s="39" t="str">
        <f>INDEX(powers!$H$2:$H$75,33+I156)</f>
        <v>hecty</v>
      </c>
      <c r="L156" s="40" t="str">
        <f t="shared" si="71"/>
        <v>1</v>
      </c>
      <c r="M156" s="24">
        <f t="shared" si="57"/>
        <v>3.0158308429012513</v>
      </c>
      <c r="N156" s="41" t="str">
        <f t="shared" si="72"/>
        <v>3</v>
      </c>
      <c r="O156" s="24">
        <f t="shared" si="58"/>
        <v>0.18997011481501502</v>
      </c>
      <c r="P156" s="41" t="str">
        <f t="shared" si="73"/>
        <v>0</v>
      </c>
      <c r="Q156" s="24">
        <f t="shared" si="59"/>
        <v>2.2796413777801803</v>
      </c>
      <c r="R156" s="41" t="str">
        <f t="shared" si="74"/>
        <v>2</v>
      </c>
      <c r="S156" s="24">
        <f t="shared" si="60"/>
        <v>3.3556965333621633</v>
      </c>
      <c r="T156" s="41" t="str">
        <f t="shared" si="75"/>
        <v>3</v>
      </c>
      <c r="U156" s="24">
        <f t="shared" si="61"/>
        <v>4.26835840034596</v>
      </c>
      <c r="V156" s="41" t="str">
        <f t="shared" si="76"/>
        <v>4</v>
      </c>
      <c r="W156" s="24">
        <f t="shared" si="62"/>
        <v>3.2203008041515204</v>
      </c>
      <c r="X156" s="41" t="str">
        <f t="shared" si="77"/>
        <v>3</v>
      </c>
      <c r="Y156" s="24">
        <f t="shared" si="63"/>
        <v>2.6436096498182451</v>
      </c>
      <c r="Z156" s="41" t="str">
        <f t="shared" si="78"/>
        <v>2</v>
      </c>
      <c r="AA156" s="24">
        <f t="shared" si="64"/>
        <v>7.7233157978189411</v>
      </c>
      <c r="AB156" s="41" t="str">
        <f t="shared" si="79"/>
        <v>7</v>
      </c>
      <c r="AC156" s="24">
        <f t="shared" si="65"/>
        <v>8.6797895738272928</v>
      </c>
      <c r="AD156" s="41" t="str">
        <f t="shared" si="80"/>
        <v>8</v>
      </c>
      <c r="AE156" s="24">
        <f t="shared" si="66"/>
        <v>8.1574748859275132</v>
      </c>
      <c r="AF156" s="41" t="str">
        <f t="shared" si="81"/>
        <v>8</v>
      </c>
      <c r="AG156" s="24">
        <f t="shared" si="67"/>
        <v>1.8896986311301589</v>
      </c>
      <c r="AH156" s="41" t="str">
        <f t="shared" si="82"/>
        <v/>
      </c>
      <c r="AI156" s="24">
        <f t="shared" si="68"/>
        <v>10.676383573561907</v>
      </c>
      <c r="AJ156" s="41" t="str">
        <f t="shared" si="83"/>
        <v/>
      </c>
    </row>
    <row r="157" spans="1:36">
      <c r="A157" s="384" t="s">
        <v>956</v>
      </c>
      <c r="B157" s="385">
        <v>73</v>
      </c>
      <c r="C157" s="386" t="s">
        <v>955</v>
      </c>
      <c r="D157" s="387">
        <v>180.94788</v>
      </c>
      <c r="E157" s="386"/>
      <c r="F157" s="8">
        <v>8</v>
      </c>
      <c r="G157" s="21">
        <f t="shared" si="69"/>
        <v>181.19265585792184</v>
      </c>
      <c r="H157" s="37" t="str">
        <f t="shared" si="56"/>
        <v>1;31238XXE</v>
      </c>
      <c r="I157" s="38">
        <v>2</v>
      </c>
      <c r="J157" s="132">
        <f t="shared" si="70"/>
        <v>1.2582823323466794</v>
      </c>
      <c r="K157" s="39" t="str">
        <f>INDEX(powers!$H$2:$H$75,33+I157)</f>
        <v>hecty</v>
      </c>
      <c r="L157" s="40" t="str">
        <f t="shared" si="71"/>
        <v>1</v>
      </c>
      <c r="M157" s="24">
        <f t="shared" si="57"/>
        <v>3.0993879881601529</v>
      </c>
      <c r="N157" s="41" t="str">
        <f t="shared" si="72"/>
        <v>3</v>
      </c>
      <c r="O157" s="24">
        <f t="shared" si="58"/>
        <v>1.1926558579218351</v>
      </c>
      <c r="P157" s="41" t="str">
        <f t="shared" si="73"/>
        <v>1</v>
      </c>
      <c r="Q157" s="24">
        <f t="shared" si="59"/>
        <v>2.3118702950620218</v>
      </c>
      <c r="R157" s="41" t="str">
        <f t="shared" si="74"/>
        <v>2</v>
      </c>
      <c r="S157" s="24">
        <f t="shared" si="60"/>
        <v>3.7424435407442616</v>
      </c>
      <c r="T157" s="41" t="str">
        <f t="shared" si="75"/>
        <v>3</v>
      </c>
      <c r="U157" s="24">
        <f t="shared" si="61"/>
        <v>8.9093224889311387</v>
      </c>
      <c r="V157" s="41" t="str">
        <f t="shared" si="76"/>
        <v>8</v>
      </c>
      <c r="W157" s="24">
        <f t="shared" si="62"/>
        <v>10.911869867173664</v>
      </c>
      <c r="X157" s="41" t="str">
        <f t="shared" si="77"/>
        <v>X</v>
      </c>
      <c r="Y157" s="24">
        <f t="shared" si="63"/>
        <v>10.942438406083966</v>
      </c>
      <c r="Z157" s="41" t="str">
        <f t="shared" si="78"/>
        <v>X</v>
      </c>
      <c r="AA157" s="24">
        <f t="shared" si="64"/>
        <v>11.309260873007588</v>
      </c>
      <c r="AB157" s="41" t="str">
        <f t="shared" si="79"/>
        <v>E</v>
      </c>
      <c r="AC157" s="24">
        <f t="shared" si="65"/>
        <v>3.7111304760910571</v>
      </c>
      <c r="AD157" s="41" t="str">
        <f t="shared" si="80"/>
        <v/>
      </c>
      <c r="AE157" s="24">
        <f t="shared" si="66"/>
        <v>8.5335657130926847</v>
      </c>
      <c r="AF157" s="41" t="str">
        <f t="shared" si="81"/>
        <v/>
      </c>
      <c r="AG157" s="24">
        <f t="shared" si="67"/>
        <v>6.4027885571122169</v>
      </c>
      <c r="AH157" s="41" t="str">
        <f t="shared" si="82"/>
        <v/>
      </c>
      <c r="AI157" s="24">
        <f t="shared" si="68"/>
        <v>4.8334626853466034</v>
      </c>
      <c r="AJ157" s="41" t="str">
        <f t="shared" si="83"/>
        <v/>
      </c>
    </row>
    <row r="158" spans="1:36">
      <c r="A158" s="384"/>
      <c r="B158" s="385"/>
      <c r="C158" s="386"/>
      <c r="D158" s="387"/>
      <c r="E158" s="386">
        <v>180.94799599999999</v>
      </c>
      <c r="F158" s="8">
        <v>9</v>
      </c>
      <c r="G158" s="21">
        <f t="shared" si="69"/>
        <v>181.19277201483996</v>
      </c>
      <c r="H158" s="37" t="str">
        <f t="shared" si="56"/>
        <v>1;3123913X2</v>
      </c>
      <c r="I158" s="38">
        <v>2</v>
      </c>
      <c r="J158" s="132">
        <f t="shared" si="70"/>
        <v>1.2582831389919442</v>
      </c>
      <c r="K158" s="39" t="str">
        <f>INDEX(powers!$H$2:$H$75,33+I158)</f>
        <v>hecty</v>
      </c>
      <c r="L158" s="40" t="str">
        <f t="shared" si="71"/>
        <v>1</v>
      </c>
      <c r="M158" s="24">
        <f t="shared" si="57"/>
        <v>3.0993976679033306</v>
      </c>
      <c r="N158" s="41" t="str">
        <f t="shared" si="72"/>
        <v>3</v>
      </c>
      <c r="O158" s="24">
        <f t="shared" si="58"/>
        <v>1.1927720148399672</v>
      </c>
      <c r="P158" s="41" t="str">
        <f t="shared" si="73"/>
        <v>1</v>
      </c>
      <c r="Q158" s="24">
        <f t="shared" si="59"/>
        <v>2.3132641780796064</v>
      </c>
      <c r="R158" s="41" t="str">
        <f t="shared" si="74"/>
        <v>2</v>
      </c>
      <c r="S158" s="24">
        <f t="shared" si="60"/>
        <v>3.7591701369552766</v>
      </c>
      <c r="T158" s="41" t="str">
        <f t="shared" si="75"/>
        <v>3</v>
      </c>
      <c r="U158" s="24">
        <f t="shared" si="61"/>
        <v>9.1100416434633189</v>
      </c>
      <c r="V158" s="41" t="str">
        <f t="shared" si="76"/>
        <v>9</v>
      </c>
      <c r="W158" s="24">
        <f t="shared" si="62"/>
        <v>1.3204997215598269</v>
      </c>
      <c r="X158" s="41" t="str">
        <f t="shared" si="77"/>
        <v>1</v>
      </c>
      <c r="Y158" s="24">
        <f t="shared" si="63"/>
        <v>3.8459966587179224</v>
      </c>
      <c r="Z158" s="41" t="str">
        <f t="shared" si="78"/>
        <v>3</v>
      </c>
      <c r="AA158" s="24">
        <f t="shared" si="64"/>
        <v>10.151959904615069</v>
      </c>
      <c r="AB158" s="41" t="str">
        <f t="shared" si="79"/>
        <v>X</v>
      </c>
      <c r="AC158" s="24">
        <f t="shared" si="65"/>
        <v>1.8235188553808257</v>
      </c>
      <c r="AD158" s="41" t="str">
        <f t="shared" si="80"/>
        <v>2</v>
      </c>
      <c r="AE158" s="24">
        <f t="shared" si="66"/>
        <v>9.8822262645699084</v>
      </c>
      <c r="AF158" s="41" t="str">
        <f t="shared" si="81"/>
        <v/>
      </c>
      <c r="AG158" s="24">
        <f t="shared" si="67"/>
        <v>10.586715174838901</v>
      </c>
      <c r="AH158" s="41" t="str">
        <f t="shared" si="82"/>
        <v/>
      </c>
      <c r="AI158" s="24">
        <f t="shared" si="68"/>
        <v>7.0405820980668068</v>
      </c>
      <c r="AJ158" s="41" t="str">
        <f t="shared" si="83"/>
        <v/>
      </c>
    </row>
    <row r="159" spans="1:36">
      <c r="A159" s="384" t="s">
        <v>1052</v>
      </c>
      <c r="B159" s="385">
        <v>74</v>
      </c>
      <c r="C159" s="386" t="s">
        <v>957</v>
      </c>
      <c r="D159" s="387">
        <v>183.84</v>
      </c>
      <c r="E159" s="386"/>
      <c r="F159" s="8">
        <v>5</v>
      </c>
      <c r="G159" s="21">
        <f t="shared" si="69"/>
        <v>184.08868815108721</v>
      </c>
      <c r="H159" s="37" t="str">
        <f t="shared" si="56"/>
        <v>1;34109</v>
      </c>
      <c r="I159" s="38">
        <v>2</v>
      </c>
      <c r="J159" s="132">
        <f t="shared" si="70"/>
        <v>1.2783936677158834</v>
      </c>
      <c r="K159" s="39" t="str">
        <f>INDEX(powers!$H$2:$H$75,33+I159)</f>
        <v>hecty</v>
      </c>
      <c r="L159" s="40" t="str">
        <f t="shared" si="71"/>
        <v>1</v>
      </c>
      <c r="M159" s="24">
        <f t="shared" si="57"/>
        <v>3.3407240125906004</v>
      </c>
      <c r="N159" s="41" t="str">
        <f t="shared" si="72"/>
        <v>3</v>
      </c>
      <c r="O159" s="24">
        <f t="shared" si="58"/>
        <v>4.0886881510872044</v>
      </c>
      <c r="P159" s="41" t="str">
        <f t="shared" si="73"/>
        <v>4</v>
      </c>
      <c r="Q159" s="24">
        <f t="shared" si="59"/>
        <v>1.0642578130464528</v>
      </c>
      <c r="R159" s="41" t="str">
        <f t="shared" si="74"/>
        <v>1</v>
      </c>
      <c r="S159" s="24">
        <f t="shared" si="60"/>
        <v>0.77109375655743406</v>
      </c>
      <c r="T159" s="41" t="str">
        <f t="shared" si="75"/>
        <v>0</v>
      </c>
      <c r="U159" s="24">
        <f t="shared" si="61"/>
        <v>9.2531250786892087</v>
      </c>
      <c r="V159" s="41" t="str">
        <f t="shared" si="76"/>
        <v>9</v>
      </c>
      <c r="W159" s="24">
        <f t="shared" si="62"/>
        <v>3.037500944270505</v>
      </c>
      <c r="X159" s="41" t="str">
        <f t="shared" si="77"/>
        <v/>
      </c>
      <c r="Y159" s="24">
        <f t="shared" si="63"/>
        <v>0.45001133124605985</v>
      </c>
      <c r="Z159" s="41" t="str">
        <f t="shared" si="78"/>
        <v/>
      </c>
      <c r="AA159" s="24">
        <f t="shared" si="64"/>
        <v>5.4001359749527182</v>
      </c>
      <c r="AB159" s="41" t="str">
        <f t="shared" si="79"/>
        <v/>
      </c>
      <c r="AC159" s="24">
        <f t="shared" si="65"/>
        <v>4.8016316994326189</v>
      </c>
      <c r="AD159" s="41" t="str">
        <f t="shared" si="80"/>
        <v/>
      </c>
      <c r="AE159" s="24">
        <f t="shared" si="66"/>
        <v>9.619580393191427</v>
      </c>
      <c r="AF159" s="41" t="str">
        <f t="shared" si="81"/>
        <v/>
      </c>
      <c r="AG159" s="24">
        <f t="shared" si="67"/>
        <v>7.4349647182971239</v>
      </c>
      <c r="AH159" s="41" t="str">
        <f t="shared" si="82"/>
        <v/>
      </c>
      <c r="AI159" s="24">
        <f t="shared" si="68"/>
        <v>5.2195766195654869</v>
      </c>
      <c r="AJ159" s="41" t="str">
        <f t="shared" si="83"/>
        <v/>
      </c>
    </row>
    <row r="160" spans="1:36">
      <c r="A160" s="384"/>
      <c r="B160" s="385"/>
      <c r="C160" s="386"/>
      <c r="D160" s="387"/>
      <c r="E160" s="386">
        <v>183.95093259999999</v>
      </c>
      <c r="F160" s="8">
        <v>10</v>
      </c>
      <c r="G160" s="21">
        <f t="shared" si="69"/>
        <v>184.19977081431171</v>
      </c>
      <c r="H160" s="37" t="str">
        <f t="shared" si="56"/>
        <v>1;3424925456</v>
      </c>
      <c r="I160" s="38">
        <v>2</v>
      </c>
      <c r="J160" s="132">
        <f t="shared" si="70"/>
        <v>1.2791650750993868</v>
      </c>
      <c r="K160" s="39" t="str">
        <f>INDEX(powers!$H$2:$H$75,33+I160)</f>
        <v>hecty</v>
      </c>
      <c r="L160" s="40" t="str">
        <f t="shared" si="71"/>
        <v>1</v>
      </c>
      <c r="M160" s="24">
        <f t="shared" si="57"/>
        <v>3.3499809011926418</v>
      </c>
      <c r="N160" s="41" t="str">
        <f t="shared" si="72"/>
        <v>3</v>
      </c>
      <c r="O160" s="24">
        <f t="shared" si="58"/>
        <v>4.1997708143117016</v>
      </c>
      <c r="P160" s="41" t="str">
        <f t="shared" si="73"/>
        <v>4</v>
      </c>
      <c r="Q160" s="24">
        <f t="shared" si="59"/>
        <v>2.3972497717404195</v>
      </c>
      <c r="R160" s="41" t="str">
        <f t="shared" si="74"/>
        <v>2</v>
      </c>
      <c r="S160" s="24">
        <f t="shared" si="60"/>
        <v>4.7669972608850344</v>
      </c>
      <c r="T160" s="41" t="str">
        <f t="shared" si="75"/>
        <v>4</v>
      </c>
      <c r="U160" s="24">
        <f t="shared" si="61"/>
        <v>9.2039671306204127</v>
      </c>
      <c r="V160" s="41" t="str">
        <f t="shared" si="76"/>
        <v>9</v>
      </c>
      <c r="W160" s="24">
        <f t="shared" si="62"/>
        <v>2.4476055674449526</v>
      </c>
      <c r="X160" s="41" t="str">
        <f t="shared" si="77"/>
        <v>2</v>
      </c>
      <c r="Y160" s="24">
        <f t="shared" si="63"/>
        <v>5.3712668093394313</v>
      </c>
      <c r="Z160" s="41" t="str">
        <f t="shared" si="78"/>
        <v>5</v>
      </c>
      <c r="AA160" s="24">
        <f t="shared" si="64"/>
        <v>4.4552017120731762</v>
      </c>
      <c r="AB160" s="41" t="str">
        <f t="shared" si="79"/>
        <v>4</v>
      </c>
      <c r="AC160" s="24">
        <f t="shared" si="65"/>
        <v>5.462420544878114</v>
      </c>
      <c r="AD160" s="41" t="str">
        <f t="shared" si="80"/>
        <v>5</v>
      </c>
      <c r="AE160" s="24">
        <f t="shared" si="66"/>
        <v>5.5490465385373682</v>
      </c>
      <c r="AF160" s="41" t="str">
        <f t="shared" si="81"/>
        <v>6</v>
      </c>
      <c r="AG160" s="24">
        <f t="shared" si="67"/>
        <v>6.5885584624484181</v>
      </c>
      <c r="AH160" s="41" t="str">
        <f t="shared" si="82"/>
        <v/>
      </c>
      <c r="AI160" s="24">
        <f t="shared" si="68"/>
        <v>7.0627015493810177</v>
      </c>
      <c r="AJ160" s="41" t="str">
        <f t="shared" si="83"/>
        <v/>
      </c>
    </row>
    <row r="161" spans="1:36">
      <c r="A161" s="384" t="s">
        <v>959</v>
      </c>
      <c r="B161" s="385">
        <v>75</v>
      </c>
      <c r="C161" s="386" t="s">
        <v>958</v>
      </c>
      <c r="D161" s="387">
        <v>186.20699999999999</v>
      </c>
      <c r="E161" s="386"/>
      <c r="F161" s="8">
        <v>6</v>
      </c>
      <c r="G161" s="21">
        <f t="shared" si="69"/>
        <v>186.45889009219701</v>
      </c>
      <c r="H161" s="37" t="str">
        <f t="shared" si="56"/>
        <v>1;36560</v>
      </c>
      <c r="I161" s="38">
        <v>2</v>
      </c>
      <c r="J161" s="132">
        <f t="shared" si="70"/>
        <v>1.2948534034180348</v>
      </c>
      <c r="K161" s="39" t="str">
        <f>INDEX(powers!$H$2:$H$75,33+I161)</f>
        <v>hecty</v>
      </c>
      <c r="L161" s="40" t="str">
        <f t="shared" si="71"/>
        <v>1</v>
      </c>
      <c r="M161" s="24">
        <f t="shared" si="57"/>
        <v>3.5382408410164174</v>
      </c>
      <c r="N161" s="41" t="str">
        <f t="shared" si="72"/>
        <v>3</v>
      </c>
      <c r="O161" s="24">
        <f t="shared" si="58"/>
        <v>6.4588900921970094</v>
      </c>
      <c r="P161" s="41" t="str">
        <f t="shared" si="73"/>
        <v>6</v>
      </c>
      <c r="Q161" s="24">
        <f t="shared" si="59"/>
        <v>5.5066811063641126</v>
      </c>
      <c r="R161" s="41" t="str">
        <f t="shared" si="74"/>
        <v>5</v>
      </c>
      <c r="S161" s="24">
        <f t="shared" si="60"/>
        <v>6.0801732763693508</v>
      </c>
      <c r="T161" s="41" t="str">
        <f t="shared" si="75"/>
        <v>6</v>
      </c>
      <c r="U161" s="24">
        <f t="shared" si="61"/>
        <v>0.96207931643220945</v>
      </c>
      <c r="V161" s="41" t="str">
        <f t="shared" si="76"/>
        <v>0</v>
      </c>
      <c r="W161" s="24">
        <f t="shared" si="62"/>
        <v>11.544951797186513</v>
      </c>
      <c r="X161" s="41" t="str">
        <f t="shared" si="77"/>
        <v/>
      </c>
      <c r="Y161" s="24">
        <f t="shared" si="63"/>
        <v>6.5394215662381612</v>
      </c>
      <c r="Z161" s="41" t="str">
        <f t="shared" si="78"/>
        <v/>
      </c>
      <c r="AA161" s="24">
        <f t="shared" si="64"/>
        <v>6.4730587948579341</v>
      </c>
      <c r="AB161" s="41" t="str">
        <f t="shared" si="79"/>
        <v/>
      </c>
      <c r="AC161" s="24">
        <f t="shared" si="65"/>
        <v>5.6767055382952094</v>
      </c>
      <c r="AD161" s="41" t="str">
        <f t="shared" si="80"/>
        <v/>
      </c>
      <c r="AE161" s="24">
        <f t="shared" si="66"/>
        <v>8.1204664595425129</v>
      </c>
      <c r="AF161" s="41" t="str">
        <f t="shared" si="81"/>
        <v/>
      </c>
      <c r="AG161" s="24">
        <f t="shared" si="67"/>
        <v>1.4455975145101547</v>
      </c>
      <c r="AH161" s="41" t="str">
        <f t="shared" si="82"/>
        <v/>
      </c>
      <c r="AI161" s="24">
        <f t="shared" si="68"/>
        <v>5.3471701741218567</v>
      </c>
      <c r="AJ161" s="41" t="str">
        <f t="shared" si="83"/>
        <v/>
      </c>
    </row>
    <row r="162" spans="1:36">
      <c r="A162" s="384"/>
      <c r="B162" s="385"/>
      <c r="C162" s="386"/>
      <c r="D162" s="387"/>
      <c r="E162" s="386">
        <v>186.9557508</v>
      </c>
      <c r="F162" s="8">
        <v>10</v>
      </c>
      <c r="G162" s="21">
        <f t="shared" si="69"/>
        <v>187.20865375910344</v>
      </c>
      <c r="H162" s="37" t="str">
        <f t="shared" si="56"/>
        <v>1;3726067895</v>
      </c>
      <c r="I162" s="38">
        <v>2</v>
      </c>
      <c r="J162" s="132">
        <f t="shared" si="70"/>
        <v>1.3000600955493296</v>
      </c>
      <c r="K162" s="39" t="str">
        <f>INDEX(powers!$H$2:$H$75,33+I162)</f>
        <v>hecty</v>
      </c>
      <c r="L162" s="40" t="str">
        <f t="shared" si="71"/>
        <v>1</v>
      </c>
      <c r="M162" s="24">
        <f t="shared" si="57"/>
        <v>3.6007211465919546</v>
      </c>
      <c r="N162" s="41" t="str">
        <f t="shared" si="72"/>
        <v>3</v>
      </c>
      <c r="O162" s="24">
        <f t="shared" si="58"/>
        <v>7.2086537591034556</v>
      </c>
      <c r="P162" s="41" t="str">
        <f t="shared" si="73"/>
        <v>7</v>
      </c>
      <c r="Q162" s="24">
        <f t="shared" si="59"/>
        <v>2.5038451092414675</v>
      </c>
      <c r="R162" s="41" t="str">
        <f t="shared" si="74"/>
        <v>2</v>
      </c>
      <c r="S162" s="24">
        <f t="shared" si="60"/>
        <v>6.0461413108976103</v>
      </c>
      <c r="T162" s="41" t="str">
        <f t="shared" si="75"/>
        <v>6</v>
      </c>
      <c r="U162" s="24">
        <f t="shared" si="61"/>
        <v>0.55369573077132372</v>
      </c>
      <c r="V162" s="41" t="str">
        <f t="shared" si="76"/>
        <v>0</v>
      </c>
      <c r="W162" s="24">
        <f t="shared" si="62"/>
        <v>6.6443487692558847</v>
      </c>
      <c r="X162" s="41" t="str">
        <f t="shared" si="77"/>
        <v>6</v>
      </c>
      <c r="Y162" s="24">
        <f t="shared" si="63"/>
        <v>7.7321852310706163</v>
      </c>
      <c r="Z162" s="41" t="str">
        <f t="shared" si="78"/>
        <v>7</v>
      </c>
      <c r="AA162" s="24">
        <f t="shared" si="64"/>
        <v>8.7862227728473954</v>
      </c>
      <c r="AB162" s="41" t="str">
        <f t="shared" si="79"/>
        <v>8</v>
      </c>
      <c r="AC162" s="24">
        <f t="shared" si="65"/>
        <v>9.4346732741687447</v>
      </c>
      <c r="AD162" s="41" t="str">
        <f t="shared" si="80"/>
        <v>9</v>
      </c>
      <c r="AE162" s="24">
        <f t="shared" si="66"/>
        <v>5.2160792900249362</v>
      </c>
      <c r="AF162" s="41" t="str">
        <f t="shared" si="81"/>
        <v>5</v>
      </c>
      <c r="AG162" s="24">
        <f t="shared" si="67"/>
        <v>2.5929514802992344</v>
      </c>
      <c r="AH162" s="41" t="str">
        <f t="shared" si="82"/>
        <v/>
      </c>
      <c r="AI162" s="24">
        <f t="shared" si="68"/>
        <v>7.1154177635908127</v>
      </c>
      <c r="AJ162" s="41" t="str">
        <f t="shared" si="83"/>
        <v/>
      </c>
    </row>
    <row r="163" spans="1:36">
      <c r="A163" s="384" t="s">
        <v>961</v>
      </c>
      <c r="B163" s="385">
        <v>76</v>
      </c>
      <c r="C163" s="386" t="s">
        <v>960</v>
      </c>
      <c r="D163" s="387">
        <v>190.23</v>
      </c>
      <c r="E163" s="386"/>
      <c r="F163" s="8">
        <v>5</v>
      </c>
      <c r="G163" s="21">
        <f t="shared" si="69"/>
        <v>190.48733217461552</v>
      </c>
      <c r="H163" s="37" t="str">
        <f t="shared" si="56"/>
        <v>1;3X5X2</v>
      </c>
      <c r="I163" s="38">
        <v>2</v>
      </c>
      <c r="J163" s="132">
        <f t="shared" si="70"/>
        <v>1.3228286956570523</v>
      </c>
      <c r="K163" s="39" t="str">
        <f>INDEX(powers!$H$2:$H$75,33+I163)</f>
        <v>hecty</v>
      </c>
      <c r="L163" s="40" t="str">
        <f t="shared" si="71"/>
        <v>1</v>
      </c>
      <c r="M163" s="24">
        <f t="shared" si="57"/>
        <v>3.8739443478846276</v>
      </c>
      <c r="N163" s="41" t="str">
        <f t="shared" si="72"/>
        <v>3</v>
      </c>
      <c r="O163" s="24">
        <f t="shared" si="58"/>
        <v>10.487332174615531</v>
      </c>
      <c r="P163" s="41" t="str">
        <f t="shared" si="73"/>
        <v>X</v>
      </c>
      <c r="Q163" s="24">
        <f t="shared" si="59"/>
        <v>5.8479860953863749</v>
      </c>
      <c r="R163" s="41" t="str">
        <f t="shared" si="74"/>
        <v>5</v>
      </c>
      <c r="S163" s="24">
        <f t="shared" si="60"/>
        <v>10.175833144636499</v>
      </c>
      <c r="T163" s="41" t="str">
        <f t="shared" si="75"/>
        <v>X</v>
      </c>
      <c r="U163" s="24">
        <f t="shared" si="61"/>
        <v>2.1099977356379895</v>
      </c>
      <c r="V163" s="41" t="str">
        <f t="shared" si="76"/>
        <v>2</v>
      </c>
      <c r="W163" s="24">
        <f t="shared" si="62"/>
        <v>1.3199728276558744</v>
      </c>
      <c r="X163" s="41" t="str">
        <f t="shared" si="77"/>
        <v/>
      </c>
      <c r="Y163" s="24">
        <f t="shared" si="63"/>
        <v>3.8396739318704931</v>
      </c>
      <c r="Z163" s="41" t="str">
        <f t="shared" si="78"/>
        <v/>
      </c>
      <c r="AA163" s="24">
        <f t="shared" si="64"/>
        <v>10.076087182445917</v>
      </c>
      <c r="AB163" s="41" t="str">
        <f t="shared" si="79"/>
        <v/>
      </c>
      <c r="AC163" s="24">
        <f t="shared" si="65"/>
        <v>0.91304618935100734</v>
      </c>
      <c r="AD163" s="41" t="str">
        <f t="shared" si="80"/>
        <v/>
      </c>
      <c r="AE163" s="24">
        <f t="shared" si="66"/>
        <v>10.956554272212088</v>
      </c>
      <c r="AF163" s="41" t="str">
        <f t="shared" si="81"/>
        <v/>
      </c>
      <c r="AG163" s="24">
        <f t="shared" si="67"/>
        <v>11.478651266545057</v>
      </c>
      <c r="AH163" s="41" t="str">
        <f t="shared" si="82"/>
        <v/>
      </c>
      <c r="AI163" s="24">
        <f t="shared" si="68"/>
        <v>5.7438151985406876</v>
      </c>
      <c r="AJ163" s="41" t="str">
        <f t="shared" si="83"/>
        <v/>
      </c>
    </row>
    <row r="164" spans="1:36">
      <c r="A164" s="384"/>
      <c r="B164" s="385"/>
      <c r="C164" s="386"/>
      <c r="D164" s="387"/>
      <c r="E164" s="386">
        <v>191.961479</v>
      </c>
      <c r="F164" s="8">
        <v>9</v>
      </c>
      <c r="G164" s="21">
        <f t="shared" si="69"/>
        <v>192.22115341956308</v>
      </c>
      <c r="H164" s="37" t="str">
        <f t="shared" si="56"/>
        <v>1;4027X1X07</v>
      </c>
      <c r="I164" s="38">
        <v>2</v>
      </c>
      <c r="J164" s="132">
        <f t="shared" si="70"/>
        <v>1.3348691209691881</v>
      </c>
      <c r="K164" s="39" t="str">
        <f>INDEX(powers!$H$2:$H$75,33+I164)</f>
        <v>hecty</v>
      </c>
      <c r="L164" s="40" t="str">
        <f t="shared" si="71"/>
        <v>1</v>
      </c>
      <c r="M164" s="24">
        <f t="shared" si="57"/>
        <v>4.018429451630257</v>
      </c>
      <c r="N164" s="41" t="str">
        <f t="shared" si="72"/>
        <v>4</v>
      </c>
      <c r="O164" s="24">
        <f t="shared" si="58"/>
        <v>0.22115341956308399</v>
      </c>
      <c r="P164" s="41" t="str">
        <f t="shared" si="73"/>
        <v>0</v>
      </c>
      <c r="Q164" s="24">
        <f t="shared" si="59"/>
        <v>2.6538410347570078</v>
      </c>
      <c r="R164" s="41" t="str">
        <f t="shared" si="74"/>
        <v>2</v>
      </c>
      <c r="S164" s="24">
        <f t="shared" si="60"/>
        <v>7.846092417084094</v>
      </c>
      <c r="T164" s="41" t="str">
        <f t="shared" si="75"/>
        <v>7</v>
      </c>
      <c r="U164" s="24">
        <f t="shared" si="61"/>
        <v>10.153109005009128</v>
      </c>
      <c r="V164" s="41" t="str">
        <f t="shared" si="76"/>
        <v>X</v>
      </c>
      <c r="W164" s="24">
        <f t="shared" si="62"/>
        <v>1.8373080601095353</v>
      </c>
      <c r="X164" s="41" t="str">
        <f t="shared" si="77"/>
        <v>1</v>
      </c>
      <c r="Y164" s="24">
        <f t="shared" si="63"/>
        <v>10.047696721314423</v>
      </c>
      <c r="Z164" s="41" t="str">
        <f t="shared" si="78"/>
        <v>X</v>
      </c>
      <c r="AA164" s="24">
        <f t="shared" si="64"/>
        <v>0.57236065577308182</v>
      </c>
      <c r="AB164" s="41" t="str">
        <f t="shared" si="79"/>
        <v>0</v>
      </c>
      <c r="AC164" s="24">
        <f t="shared" si="65"/>
        <v>6.8683278692769818</v>
      </c>
      <c r="AD164" s="41" t="str">
        <f t="shared" si="80"/>
        <v>7</v>
      </c>
      <c r="AE164" s="24">
        <f t="shared" si="66"/>
        <v>10.419934431323782</v>
      </c>
      <c r="AF164" s="41" t="str">
        <f t="shared" si="81"/>
        <v/>
      </c>
      <c r="AG164" s="24">
        <f t="shared" si="67"/>
        <v>5.0392131758853793</v>
      </c>
      <c r="AH164" s="41" t="str">
        <f t="shared" si="82"/>
        <v/>
      </c>
      <c r="AI164" s="24">
        <f t="shared" si="68"/>
        <v>0.47055811062455177</v>
      </c>
      <c r="AJ164" s="41" t="str">
        <f t="shared" si="83"/>
        <v/>
      </c>
    </row>
    <row r="165" spans="1:36">
      <c r="A165" s="384" t="s">
        <v>963</v>
      </c>
      <c r="B165" s="385">
        <v>77</v>
      </c>
      <c r="C165" s="386" t="s">
        <v>962</v>
      </c>
      <c r="D165" s="387">
        <v>192.21700000000001</v>
      </c>
      <c r="E165" s="386"/>
      <c r="F165" s="8">
        <v>6</v>
      </c>
      <c r="G165" s="21">
        <f t="shared" si="69"/>
        <v>192.47702007363759</v>
      </c>
      <c r="H165" s="37" t="str">
        <f t="shared" si="56"/>
        <v>1;405883</v>
      </c>
      <c r="I165" s="38">
        <v>2</v>
      </c>
      <c r="J165" s="132">
        <f t="shared" si="70"/>
        <v>1.3366459727335944</v>
      </c>
      <c r="K165" s="39" t="str">
        <f>INDEX(powers!$H$2:$H$75,33+I165)</f>
        <v>hecty</v>
      </c>
      <c r="L165" s="40" t="str">
        <f t="shared" si="71"/>
        <v>1</v>
      </c>
      <c r="M165" s="24">
        <f t="shared" si="57"/>
        <v>4.0397516728031331</v>
      </c>
      <c r="N165" s="41" t="str">
        <f t="shared" si="72"/>
        <v>4</v>
      </c>
      <c r="O165" s="24">
        <f t="shared" si="58"/>
        <v>0.47702007363759691</v>
      </c>
      <c r="P165" s="41" t="str">
        <f t="shared" si="73"/>
        <v>0</v>
      </c>
      <c r="Q165" s="24">
        <f t="shared" si="59"/>
        <v>5.7242408836511629</v>
      </c>
      <c r="R165" s="41" t="str">
        <f t="shared" si="74"/>
        <v>5</v>
      </c>
      <c r="S165" s="24">
        <f t="shared" si="60"/>
        <v>8.6908906038139548</v>
      </c>
      <c r="T165" s="41" t="str">
        <f t="shared" si="75"/>
        <v>8</v>
      </c>
      <c r="U165" s="24">
        <f t="shared" si="61"/>
        <v>8.2906872457674581</v>
      </c>
      <c r="V165" s="41" t="str">
        <f t="shared" si="76"/>
        <v>8</v>
      </c>
      <c r="W165" s="24">
        <f t="shared" si="62"/>
        <v>3.488246949209497</v>
      </c>
      <c r="X165" s="41" t="str">
        <f t="shared" si="77"/>
        <v>3</v>
      </c>
      <c r="Y165" s="24">
        <f t="shared" si="63"/>
        <v>5.8589633905139635</v>
      </c>
      <c r="Z165" s="41" t="str">
        <f t="shared" si="78"/>
        <v/>
      </c>
      <c r="AA165" s="24">
        <f t="shared" si="64"/>
        <v>10.307560686167562</v>
      </c>
      <c r="AB165" s="41" t="str">
        <f t="shared" si="79"/>
        <v/>
      </c>
      <c r="AC165" s="24">
        <f t="shared" si="65"/>
        <v>3.6907282340107486</v>
      </c>
      <c r="AD165" s="41" t="str">
        <f t="shared" si="80"/>
        <v/>
      </c>
      <c r="AE165" s="24">
        <f t="shared" si="66"/>
        <v>8.2887388081289828</v>
      </c>
      <c r="AF165" s="41" t="str">
        <f t="shared" si="81"/>
        <v/>
      </c>
      <c r="AG165" s="24">
        <f t="shared" si="67"/>
        <v>3.4648656975477934</v>
      </c>
      <c r="AH165" s="41" t="str">
        <f t="shared" si="82"/>
        <v/>
      </c>
      <c r="AI165" s="24">
        <f t="shared" si="68"/>
        <v>5.5783883705735207</v>
      </c>
      <c r="AJ165" s="41" t="str">
        <f t="shared" si="83"/>
        <v/>
      </c>
    </row>
    <row r="166" spans="1:36">
      <c r="A166" s="384"/>
      <c r="B166" s="385"/>
      <c r="C166" s="386"/>
      <c r="D166" s="387"/>
      <c r="E166" s="386">
        <v>192.96292399999999</v>
      </c>
      <c r="F166" s="8">
        <v>9</v>
      </c>
      <c r="G166" s="21">
        <f t="shared" si="69"/>
        <v>193.22395311661194</v>
      </c>
      <c r="H166" s="37" t="str">
        <f t="shared" si="56"/>
        <v>1;41282EX85</v>
      </c>
      <c r="I166" s="38">
        <v>2</v>
      </c>
      <c r="J166" s="132">
        <f t="shared" si="70"/>
        <v>1.3418330077542495</v>
      </c>
      <c r="K166" s="39" t="str">
        <f>INDEX(powers!$H$2:$H$75,33+I166)</f>
        <v>hecty</v>
      </c>
      <c r="L166" s="40" t="str">
        <f t="shared" si="71"/>
        <v>1</v>
      </c>
      <c r="M166" s="24">
        <f t="shared" si="57"/>
        <v>4.1019960930509942</v>
      </c>
      <c r="N166" s="41" t="str">
        <f t="shared" si="72"/>
        <v>4</v>
      </c>
      <c r="O166" s="24">
        <f t="shared" si="58"/>
        <v>1.2239531166119306</v>
      </c>
      <c r="P166" s="41" t="str">
        <f t="shared" si="73"/>
        <v>1</v>
      </c>
      <c r="Q166" s="24">
        <f t="shared" si="59"/>
        <v>2.6874373993431675</v>
      </c>
      <c r="R166" s="41" t="str">
        <f t="shared" si="74"/>
        <v>2</v>
      </c>
      <c r="S166" s="24">
        <f t="shared" si="60"/>
        <v>8.24924879211801</v>
      </c>
      <c r="T166" s="41" t="str">
        <f t="shared" si="75"/>
        <v>8</v>
      </c>
      <c r="U166" s="24">
        <f t="shared" si="61"/>
        <v>2.9909855054161198</v>
      </c>
      <c r="V166" s="41" t="str">
        <f t="shared" si="76"/>
        <v>2</v>
      </c>
      <c r="W166" s="24">
        <f t="shared" si="62"/>
        <v>11.891826064993438</v>
      </c>
      <c r="X166" s="41" t="str">
        <f t="shared" si="77"/>
        <v>E</v>
      </c>
      <c r="Y166" s="24">
        <f t="shared" si="63"/>
        <v>10.701912779921258</v>
      </c>
      <c r="Z166" s="41" t="str">
        <f t="shared" si="78"/>
        <v>X</v>
      </c>
      <c r="AA166" s="24">
        <f t="shared" si="64"/>
        <v>8.4229533590551</v>
      </c>
      <c r="AB166" s="41" t="str">
        <f t="shared" si="79"/>
        <v>8</v>
      </c>
      <c r="AC166" s="24">
        <f t="shared" si="65"/>
        <v>5.0754403086612001</v>
      </c>
      <c r="AD166" s="41" t="str">
        <f t="shared" si="80"/>
        <v>5</v>
      </c>
      <c r="AE166" s="24">
        <f t="shared" si="66"/>
        <v>0.90528370393440127</v>
      </c>
      <c r="AF166" s="41" t="str">
        <f t="shared" si="81"/>
        <v/>
      </c>
      <c r="AG166" s="24">
        <f t="shared" si="67"/>
        <v>10.863404447212815</v>
      </c>
      <c r="AH166" s="41" t="str">
        <f t="shared" si="82"/>
        <v/>
      </c>
      <c r="AI166" s="24">
        <f t="shared" si="68"/>
        <v>10.360853366553783</v>
      </c>
      <c r="AJ166" s="41" t="str">
        <f t="shared" si="83"/>
        <v/>
      </c>
    </row>
    <row r="167" spans="1:36">
      <c r="A167" s="384" t="s">
        <v>965</v>
      </c>
      <c r="B167" s="385">
        <v>78</v>
      </c>
      <c r="C167" s="386" t="s">
        <v>964</v>
      </c>
      <c r="D167" s="387">
        <v>195.084</v>
      </c>
      <c r="E167" s="386"/>
      <c r="F167" s="8">
        <v>6</v>
      </c>
      <c r="G167" s="21">
        <f t="shared" si="69"/>
        <v>195.34789838591547</v>
      </c>
      <c r="H167" s="37" t="str">
        <f t="shared" si="56"/>
        <v>1;434212</v>
      </c>
      <c r="I167" s="38">
        <v>2</v>
      </c>
      <c r="J167" s="132">
        <f t="shared" si="70"/>
        <v>1.3565826276799686</v>
      </c>
      <c r="K167" s="39" t="str">
        <f>INDEX(powers!$H$2:$H$75,33+I167)</f>
        <v>hecty</v>
      </c>
      <c r="L167" s="40" t="str">
        <f t="shared" si="71"/>
        <v>1</v>
      </c>
      <c r="M167" s="24">
        <f t="shared" si="57"/>
        <v>4.2789915321596235</v>
      </c>
      <c r="N167" s="41" t="str">
        <f t="shared" si="72"/>
        <v>4</v>
      </c>
      <c r="O167" s="24">
        <f t="shared" si="58"/>
        <v>3.3478983859154816</v>
      </c>
      <c r="P167" s="41" t="str">
        <f t="shared" si="73"/>
        <v>3</v>
      </c>
      <c r="Q167" s="24">
        <f t="shared" si="59"/>
        <v>4.1747806309857793</v>
      </c>
      <c r="R167" s="41" t="str">
        <f t="shared" si="74"/>
        <v>4</v>
      </c>
      <c r="S167" s="24">
        <f t="shared" si="60"/>
        <v>2.0973675718293521</v>
      </c>
      <c r="T167" s="41" t="str">
        <f t="shared" si="75"/>
        <v>2</v>
      </c>
      <c r="U167" s="24">
        <f t="shared" si="61"/>
        <v>1.1684108619522249</v>
      </c>
      <c r="V167" s="41" t="str">
        <f t="shared" si="76"/>
        <v>1</v>
      </c>
      <c r="W167" s="24">
        <f t="shared" si="62"/>
        <v>2.0209303434266985</v>
      </c>
      <c r="X167" s="41" t="str">
        <f t="shared" si="77"/>
        <v>2</v>
      </c>
      <c r="Y167" s="24">
        <f t="shared" si="63"/>
        <v>0.25116412112038233</v>
      </c>
      <c r="Z167" s="41" t="str">
        <f t="shared" si="78"/>
        <v/>
      </c>
      <c r="AA167" s="24">
        <f t="shared" si="64"/>
        <v>3.013969453444588</v>
      </c>
      <c r="AB167" s="41" t="str">
        <f t="shared" si="79"/>
        <v/>
      </c>
      <c r="AC167" s="24">
        <f t="shared" si="65"/>
        <v>0.16763344133505598</v>
      </c>
      <c r="AD167" s="41" t="str">
        <f t="shared" si="80"/>
        <v/>
      </c>
      <c r="AE167" s="24">
        <f t="shared" si="66"/>
        <v>2.0116012960206717</v>
      </c>
      <c r="AF167" s="41" t="str">
        <f t="shared" si="81"/>
        <v/>
      </c>
      <c r="AG167" s="24">
        <f t="shared" si="67"/>
        <v>0.1392155522480607</v>
      </c>
      <c r="AH167" s="41" t="str">
        <f t="shared" si="82"/>
        <v/>
      </c>
      <c r="AI167" s="24">
        <f t="shared" si="68"/>
        <v>1.6705866269767284</v>
      </c>
      <c r="AJ167" s="41" t="str">
        <f t="shared" si="83"/>
        <v/>
      </c>
    </row>
    <row r="168" spans="1:36">
      <c r="A168" s="384"/>
      <c r="B168" s="385"/>
      <c r="C168" s="386"/>
      <c r="D168" s="387"/>
      <c r="E168" s="386">
        <v>194.96477400000001</v>
      </c>
      <c r="F168" s="8">
        <v>9</v>
      </c>
      <c r="G168" s="21">
        <f t="shared" si="69"/>
        <v>195.2285111038577</v>
      </c>
      <c r="H168" s="37" t="str">
        <f t="shared" si="56"/>
        <v>1;4328XX4X6</v>
      </c>
      <c r="I168" s="38">
        <v>2</v>
      </c>
      <c r="J168" s="132">
        <f t="shared" si="70"/>
        <v>1.3557535493323452</v>
      </c>
      <c r="K168" s="39" t="str">
        <f>INDEX(powers!$H$2:$H$75,33+I168)</f>
        <v>hecty</v>
      </c>
      <c r="L168" s="40" t="str">
        <f t="shared" si="71"/>
        <v>1</v>
      </c>
      <c r="M168" s="24">
        <f t="shared" si="57"/>
        <v>4.2690425919881418</v>
      </c>
      <c r="N168" s="41" t="str">
        <f t="shared" si="72"/>
        <v>4</v>
      </c>
      <c r="O168" s="24">
        <f t="shared" si="58"/>
        <v>3.2285111038577021</v>
      </c>
      <c r="P168" s="41" t="str">
        <f t="shared" si="73"/>
        <v>3</v>
      </c>
      <c r="Q168" s="24">
        <f t="shared" si="59"/>
        <v>2.7421332462924255</v>
      </c>
      <c r="R168" s="41" t="str">
        <f t="shared" si="74"/>
        <v>2</v>
      </c>
      <c r="S168" s="24">
        <f t="shared" si="60"/>
        <v>8.905598955509106</v>
      </c>
      <c r="T168" s="41" t="str">
        <f t="shared" si="75"/>
        <v>8</v>
      </c>
      <c r="U168" s="24">
        <f t="shared" si="61"/>
        <v>10.867187466109272</v>
      </c>
      <c r="V168" s="41" t="str">
        <f t="shared" si="76"/>
        <v>X</v>
      </c>
      <c r="W168" s="24">
        <f t="shared" si="62"/>
        <v>10.406249593311259</v>
      </c>
      <c r="X168" s="41" t="str">
        <f t="shared" si="77"/>
        <v>X</v>
      </c>
      <c r="Y168" s="24">
        <f t="shared" si="63"/>
        <v>4.8749951197351038</v>
      </c>
      <c r="Z168" s="41" t="str">
        <f t="shared" si="78"/>
        <v>4</v>
      </c>
      <c r="AA168" s="24">
        <f t="shared" si="64"/>
        <v>10.499941436821246</v>
      </c>
      <c r="AB168" s="41" t="str">
        <f t="shared" si="79"/>
        <v>X</v>
      </c>
      <c r="AC168" s="24">
        <f t="shared" si="65"/>
        <v>5.9992972418549471</v>
      </c>
      <c r="AD168" s="41" t="str">
        <f t="shared" si="80"/>
        <v>6</v>
      </c>
      <c r="AE168" s="24">
        <f t="shared" si="66"/>
        <v>11.991566902259365</v>
      </c>
      <c r="AF168" s="41" t="str">
        <f t="shared" si="81"/>
        <v/>
      </c>
      <c r="AG168" s="24">
        <f t="shared" si="67"/>
        <v>11.898802827112377</v>
      </c>
      <c r="AH168" s="41" t="str">
        <f t="shared" si="82"/>
        <v/>
      </c>
      <c r="AI168" s="24">
        <f t="shared" si="68"/>
        <v>10.78563392534852</v>
      </c>
      <c r="AJ168" s="41" t="str">
        <f t="shared" si="83"/>
        <v/>
      </c>
    </row>
    <row r="169" spans="1:36">
      <c r="A169" s="384" t="s">
        <v>967</v>
      </c>
      <c r="B169" s="385">
        <v>79</v>
      </c>
      <c r="C169" s="386" t="s">
        <v>966</v>
      </c>
      <c r="D169" s="387">
        <v>196.96656899999999</v>
      </c>
      <c r="E169" s="386"/>
      <c r="F169" s="8">
        <v>9</v>
      </c>
      <c r="G169" s="21">
        <f t="shared" si="69"/>
        <v>197.23301401670258</v>
      </c>
      <c r="H169" s="37" t="str">
        <f t="shared" si="56"/>
        <v>1;452967942</v>
      </c>
      <c r="I169" s="38">
        <v>2</v>
      </c>
      <c r="J169" s="132">
        <f t="shared" si="70"/>
        <v>1.3696737084493236</v>
      </c>
      <c r="K169" s="39" t="str">
        <f>INDEX(powers!$H$2:$H$75,33+I169)</f>
        <v>hecty</v>
      </c>
      <c r="L169" s="40" t="str">
        <f t="shared" si="71"/>
        <v>1</v>
      </c>
      <c r="M169" s="24">
        <f t="shared" si="57"/>
        <v>4.4360845013918828</v>
      </c>
      <c r="N169" s="41" t="str">
        <f t="shared" si="72"/>
        <v>4</v>
      </c>
      <c r="O169" s="24">
        <f t="shared" si="58"/>
        <v>5.2330140167025938</v>
      </c>
      <c r="P169" s="41" t="str">
        <f t="shared" si="73"/>
        <v>5</v>
      </c>
      <c r="Q169" s="24">
        <f t="shared" si="59"/>
        <v>2.7961682004311257</v>
      </c>
      <c r="R169" s="41" t="str">
        <f t="shared" si="74"/>
        <v>2</v>
      </c>
      <c r="S169" s="24">
        <f t="shared" si="60"/>
        <v>9.5540184051735082</v>
      </c>
      <c r="T169" s="41" t="str">
        <f t="shared" si="75"/>
        <v>9</v>
      </c>
      <c r="U169" s="24">
        <f t="shared" si="61"/>
        <v>6.6482208620820984</v>
      </c>
      <c r="V169" s="41" t="str">
        <f t="shared" si="76"/>
        <v>6</v>
      </c>
      <c r="W169" s="24">
        <f t="shared" si="62"/>
        <v>7.7786503449851807</v>
      </c>
      <c r="X169" s="41" t="str">
        <f t="shared" si="77"/>
        <v>7</v>
      </c>
      <c r="Y169" s="24">
        <f t="shared" si="63"/>
        <v>9.3438041398221685</v>
      </c>
      <c r="Z169" s="41" t="str">
        <f t="shared" si="78"/>
        <v>9</v>
      </c>
      <c r="AA169" s="24">
        <f t="shared" si="64"/>
        <v>4.1256496778660221</v>
      </c>
      <c r="AB169" s="41" t="str">
        <f t="shared" si="79"/>
        <v>4</v>
      </c>
      <c r="AC169" s="24">
        <f t="shared" si="65"/>
        <v>1.5077961343922652</v>
      </c>
      <c r="AD169" s="41" t="str">
        <f t="shared" si="80"/>
        <v>2</v>
      </c>
      <c r="AE169" s="24">
        <f t="shared" si="66"/>
        <v>6.0935536127071828</v>
      </c>
      <c r="AF169" s="41" t="str">
        <f t="shared" si="81"/>
        <v/>
      </c>
      <c r="AG169" s="24">
        <f t="shared" si="67"/>
        <v>1.1226433524861932</v>
      </c>
      <c r="AH169" s="41" t="str">
        <f t="shared" si="82"/>
        <v/>
      </c>
      <c r="AI169" s="24">
        <f t="shared" si="68"/>
        <v>1.4717202298343182</v>
      </c>
      <c r="AJ169" s="41" t="str">
        <f t="shared" si="83"/>
        <v/>
      </c>
    </row>
    <row r="170" spans="1:36">
      <c r="A170" s="384"/>
      <c r="B170" s="385"/>
      <c r="C170" s="386"/>
      <c r="D170" s="387"/>
      <c r="E170" s="386">
        <v>196.96655000000001</v>
      </c>
      <c r="F170" s="8">
        <v>8</v>
      </c>
      <c r="G170" s="21">
        <f t="shared" si="69"/>
        <v>197.23299499100048</v>
      </c>
      <c r="H170" s="37" t="str">
        <f t="shared" si="56"/>
        <v>1;45296747</v>
      </c>
      <c r="I170" s="38">
        <v>2</v>
      </c>
      <c r="J170" s="132">
        <f t="shared" si="70"/>
        <v>1.3696735763263923</v>
      </c>
      <c r="K170" s="39" t="str">
        <f>INDEX(powers!$H$2:$H$75,33+I170)</f>
        <v>hecty</v>
      </c>
      <c r="L170" s="40" t="str">
        <f t="shared" si="71"/>
        <v>1</v>
      </c>
      <c r="M170" s="24">
        <f t="shared" si="57"/>
        <v>4.4360829159167077</v>
      </c>
      <c r="N170" s="41" t="str">
        <f t="shared" si="72"/>
        <v>4</v>
      </c>
      <c r="O170" s="24">
        <f t="shared" si="58"/>
        <v>5.232994991000492</v>
      </c>
      <c r="P170" s="41" t="str">
        <f t="shared" si="73"/>
        <v>5</v>
      </c>
      <c r="Q170" s="24">
        <f t="shared" si="59"/>
        <v>2.7959398920059044</v>
      </c>
      <c r="R170" s="41" t="str">
        <f t="shared" si="74"/>
        <v>2</v>
      </c>
      <c r="S170" s="24">
        <f t="shared" si="60"/>
        <v>9.5512787040708531</v>
      </c>
      <c r="T170" s="41" t="str">
        <f t="shared" si="75"/>
        <v>9</v>
      </c>
      <c r="U170" s="24">
        <f t="shared" si="61"/>
        <v>6.6153444488502373</v>
      </c>
      <c r="V170" s="41" t="str">
        <f t="shared" si="76"/>
        <v>6</v>
      </c>
      <c r="W170" s="24">
        <f t="shared" si="62"/>
        <v>7.3841333862028478</v>
      </c>
      <c r="X170" s="41" t="str">
        <f t="shared" si="77"/>
        <v>7</v>
      </c>
      <c r="Y170" s="24">
        <f t="shared" si="63"/>
        <v>4.6096006344341731</v>
      </c>
      <c r="Z170" s="41" t="str">
        <f t="shared" si="78"/>
        <v>4</v>
      </c>
      <c r="AA170" s="24">
        <f t="shared" si="64"/>
        <v>7.3152076132100774</v>
      </c>
      <c r="AB170" s="41" t="str">
        <f t="shared" si="79"/>
        <v>7</v>
      </c>
      <c r="AC170" s="24">
        <f t="shared" si="65"/>
        <v>3.7824913585209288</v>
      </c>
      <c r="AD170" s="41" t="str">
        <f t="shared" si="80"/>
        <v/>
      </c>
      <c r="AE170" s="24">
        <f t="shared" si="66"/>
        <v>9.3898963022511452</v>
      </c>
      <c r="AF170" s="41" t="str">
        <f t="shared" si="81"/>
        <v/>
      </c>
      <c r="AG170" s="24">
        <f t="shared" si="67"/>
        <v>4.6787556270137429</v>
      </c>
      <c r="AH170" s="41" t="str">
        <f t="shared" si="82"/>
        <v/>
      </c>
      <c r="AI170" s="24">
        <f t="shared" si="68"/>
        <v>8.1450675241649151</v>
      </c>
      <c r="AJ170" s="41" t="str">
        <f t="shared" si="83"/>
        <v/>
      </c>
    </row>
    <row r="171" spans="1:36">
      <c r="A171" s="384" t="s">
        <v>969</v>
      </c>
      <c r="B171" s="385">
        <v>80</v>
      </c>
      <c r="C171" s="386" t="s">
        <v>968</v>
      </c>
      <c r="D171" s="387">
        <v>200.59</v>
      </c>
      <c r="E171" s="386"/>
      <c r="F171" s="8">
        <v>5</v>
      </c>
      <c r="G171" s="21">
        <f t="shared" si="69"/>
        <v>200.86134658521857</v>
      </c>
      <c r="H171" s="37" t="str">
        <f t="shared" si="56"/>
        <v>1;48X40</v>
      </c>
      <c r="I171" s="38">
        <v>2</v>
      </c>
      <c r="J171" s="132">
        <f t="shared" si="70"/>
        <v>1.3948704623973511</v>
      </c>
      <c r="K171" s="39" t="str">
        <f>INDEX(powers!$H$2:$H$75,33+I171)</f>
        <v>hecty</v>
      </c>
      <c r="L171" s="40" t="str">
        <f t="shared" si="71"/>
        <v>1</v>
      </c>
      <c r="M171" s="24">
        <f t="shared" si="57"/>
        <v>4.7384455487682136</v>
      </c>
      <c r="N171" s="41" t="str">
        <f t="shared" si="72"/>
        <v>4</v>
      </c>
      <c r="O171" s="24">
        <f t="shared" si="58"/>
        <v>8.8613465852185627</v>
      </c>
      <c r="P171" s="41" t="str">
        <f t="shared" si="73"/>
        <v>8</v>
      </c>
      <c r="Q171" s="24">
        <f t="shared" si="59"/>
        <v>10.336159022622752</v>
      </c>
      <c r="R171" s="41" t="str">
        <f t="shared" si="74"/>
        <v>X</v>
      </c>
      <c r="S171" s="24">
        <f t="shared" si="60"/>
        <v>4.0339082714730239</v>
      </c>
      <c r="T171" s="41" t="str">
        <f t="shared" si="75"/>
        <v>4</v>
      </c>
      <c r="U171" s="24">
        <f t="shared" si="61"/>
        <v>0.40689925767628665</v>
      </c>
      <c r="V171" s="41" t="str">
        <f t="shared" si="76"/>
        <v>0</v>
      </c>
      <c r="W171" s="24">
        <f t="shared" si="62"/>
        <v>4.8827910921154398</v>
      </c>
      <c r="X171" s="41" t="str">
        <f t="shared" si="77"/>
        <v/>
      </c>
      <c r="Y171" s="24">
        <f t="shared" si="63"/>
        <v>10.593493105385278</v>
      </c>
      <c r="Z171" s="41" t="str">
        <f t="shared" si="78"/>
        <v/>
      </c>
      <c r="AA171" s="24">
        <f t="shared" si="64"/>
        <v>7.1219172646233346</v>
      </c>
      <c r="AB171" s="41" t="str">
        <f t="shared" si="79"/>
        <v/>
      </c>
      <c r="AC171" s="24">
        <f t="shared" si="65"/>
        <v>1.4630071754800156</v>
      </c>
      <c r="AD171" s="41" t="str">
        <f t="shared" si="80"/>
        <v/>
      </c>
      <c r="AE171" s="24">
        <f t="shared" si="66"/>
        <v>5.5560861057601869</v>
      </c>
      <c r="AF171" s="41" t="str">
        <f t="shared" si="81"/>
        <v/>
      </c>
      <c r="AG171" s="24">
        <f t="shared" si="67"/>
        <v>6.6730332691222429</v>
      </c>
      <c r="AH171" s="41" t="str">
        <f t="shared" si="82"/>
        <v/>
      </c>
      <c r="AI171" s="24">
        <f t="shared" si="68"/>
        <v>8.0763992294669151</v>
      </c>
      <c r="AJ171" s="41" t="str">
        <f t="shared" si="83"/>
        <v/>
      </c>
    </row>
    <row r="172" spans="1:36">
      <c r="A172" s="384"/>
      <c r="B172" s="385"/>
      <c r="C172" s="386"/>
      <c r="D172" s="387"/>
      <c r="E172" s="386">
        <v>201.97062600000001</v>
      </c>
      <c r="F172" s="8">
        <v>9</v>
      </c>
      <c r="G172" s="21">
        <f t="shared" si="69"/>
        <v>202.24384021645923</v>
      </c>
      <c r="H172" s="37" t="str">
        <f t="shared" si="56"/>
        <v>1;4X2E1432</v>
      </c>
      <c r="I172" s="38">
        <v>2</v>
      </c>
      <c r="J172" s="132">
        <f t="shared" si="70"/>
        <v>1.4044711126143001</v>
      </c>
      <c r="K172" s="39" t="str">
        <f>INDEX(powers!$H$2:$H$75,33+I172)</f>
        <v>hecty</v>
      </c>
      <c r="L172" s="40" t="str">
        <f t="shared" si="71"/>
        <v>1</v>
      </c>
      <c r="M172" s="24">
        <f t="shared" si="57"/>
        <v>4.8536533513716016</v>
      </c>
      <c r="N172" s="41" t="str">
        <f t="shared" si="72"/>
        <v>4</v>
      </c>
      <c r="O172" s="24">
        <f t="shared" si="58"/>
        <v>10.243840216459219</v>
      </c>
      <c r="P172" s="41" t="str">
        <f t="shared" si="73"/>
        <v>X</v>
      </c>
      <c r="Q172" s="24">
        <f t="shared" si="59"/>
        <v>2.9260825975106286</v>
      </c>
      <c r="R172" s="41" t="str">
        <f t="shared" si="74"/>
        <v>2</v>
      </c>
      <c r="S172" s="24">
        <f t="shared" si="60"/>
        <v>11.112991170127543</v>
      </c>
      <c r="T172" s="41" t="str">
        <f t="shared" si="75"/>
        <v>E</v>
      </c>
      <c r="U172" s="24">
        <f t="shared" si="61"/>
        <v>1.3558940415305187</v>
      </c>
      <c r="V172" s="41" t="str">
        <f t="shared" si="76"/>
        <v>1</v>
      </c>
      <c r="W172" s="24">
        <f t="shared" si="62"/>
        <v>4.2707284983662248</v>
      </c>
      <c r="X172" s="41" t="str">
        <f t="shared" si="77"/>
        <v>4</v>
      </c>
      <c r="Y172" s="24">
        <f t="shared" si="63"/>
        <v>3.2487419803946977</v>
      </c>
      <c r="Z172" s="41" t="str">
        <f t="shared" si="78"/>
        <v>3</v>
      </c>
      <c r="AA172" s="24">
        <f t="shared" si="64"/>
        <v>2.984903764736373</v>
      </c>
      <c r="AB172" s="41" t="str">
        <f t="shared" si="79"/>
        <v>2</v>
      </c>
      <c r="AC172" s="24">
        <f t="shared" si="65"/>
        <v>11.818845176836476</v>
      </c>
      <c r="AD172" s="41" t="str">
        <f t="shared" si="80"/>
        <v/>
      </c>
      <c r="AE172" s="24">
        <f t="shared" si="66"/>
        <v>9.8261421220377088</v>
      </c>
      <c r="AF172" s="41" t="str">
        <f t="shared" si="81"/>
        <v/>
      </c>
      <c r="AG172" s="24">
        <f t="shared" si="67"/>
        <v>9.9137054644525051</v>
      </c>
      <c r="AH172" s="41" t="str">
        <f t="shared" si="82"/>
        <v/>
      </c>
      <c r="AI172" s="24">
        <f t="shared" si="68"/>
        <v>10.964465573430061</v>
      </c>
      <c r="AJ172" s="41" t="str">
        <f t="shared" si="83"/>
        <v/>
      </c>
    </row>
    <row r="173" spans="1:36">
      <c r="A173" s="384" t="s">
        <v>971</v>
      </c>
      <c r="B173" s="385">
        <v>81</v>
      </c>
      <c r="C173" s="386" t="s">
        <v>970</v>
      </c>
      <c r="D173" s="387">
        <v>204.38329999999999</v>
      </c>
      <c r="E173" s="386"/>
      <c r="F173" s="8">
        <v>7</v>
      </c>
      <c r="G173" s="21">
        <f t="shared" si="69"/>
        <v>204.65977794272249</v>
      </c>
      <c r="H173" s="37" t="str">
        <f t="shared" si="56"/>
        <v>1;507E012</v>
      </c>
      <c r="I173" s="38">
        <v>2</v>
      </c>
      <c r="J173" s="132">
        <f t="shared" si="70"/>
        <v>1.4212484579355729</v>
      </c>
      <c r="K173" s="39" t="str">
        <f>INDEX(powers!$H$2:$H$75,33+I173)</f>
        <v>hecty</v>
      </c>
      <c r="L173" s="40" t="str">
        <f t="shared" si="71"/>
        <v>1</v>
      </c>
      <c r="M173" s="24">
        <f t="shared" si="57"/>
        <v>5.0549814952268743</v>
      </c>
      <c r="N173" s="41" t="str">
        <f t="shared" si="72"/>
        <v>5</v>
      </c>
      <c r="O173" s="24">
        <f t="shared" si="58"/>
        <v>0.65977794272249213</v>
      </c>
      <c r="P173" s="41" t="str">
        <f t="shared" si="73"/>
        <v>0</v>
      </c>
      <c r="Q173" s="24">
        <f t="shared" si="59"/>
        <v>7.9173353126699055</v>
      </c>
      <c r="R173" s="41" t="str">
        <f t="shared" si="74"/>
        <v>7</v>
      </c>
      <c r="S173" s="24">
        <f t="shared" si="60"/>
        <v>11.008023752038866</v>
      </c>
      <c r="T173" s="41" t="str">
        <f t="shared" si="75"/>
        <v>E</v>
      </c>
      <c r="U173" s="24">
        <f t="shared" si="61"/>
        <v>9.6285024466396862E-2</v>
      </c>
      <c r="V173" s="41" t="str">
        <f t="shared" si="76"/>
        <v>0</v>
      </c>
      <c r="W173" s="24">
        <f t="shared" si="62"/>
        <v>1.1554202935967623</v>
      </c>
      <c r="X173" s="41" t="str">
        <f t="shared" si="77"/>
        <v>1</v>
      </c>
      <c r="Y173" s="24">
        <f t="shared" si="63"/>
        <v>1.8650435231611482</v>
      </c>
      <c r="Z173" s="41" t="str">
        <f t="shared" si="78"/>
        <v>2</v>
      </c>
      <c r="AA173" s="24">
        <f t="shared" si="64"/>
        <v>10.380522277933778</v>
      </c>
      <c r="AB173" s="41" t="str">
        <f t="shared" si="79"/>
        <v/>
      </c>
      <c r="AC173" s="24">
        <f t="shared" si="65"/>
        <v>4.5662673352053389</v>
      </c>
      <c r="AD173" s="41" t="str">
        <f t="shared" si="80"/>
        <v/>
      </c>
      <c r="AE173" s="24">
        <f t="shared" si="66"/>
        <v>6.7952080224640667</v>
      </c>
      <c r="AF173" s="41" t="str">
        <f t="shared" si="81"/>
        <v/>
      </c>
      <c r="AG173" s="24">
        <f t="shared" si="67"/>
        <v>9.5424962695688009</v>
      </c>
      <c r="AH173" s="41" t="str">
        <f t="shared" si="82"/>
        <v/>
      </c>
      <c r="AI173" s="24">
        <f t="shared" si="68"/>
        <v>6.5099552348256111</v>
      </c>
      <c r="AJ173" s="41" t="str">
        <f t="shared" si="83"/>
        <v/>
      </c>
    </row>
    <row r="174" spans="1:36">
      <c r="A174" s="384"/>
      <c r="B174" s="385"/>
      <c r="C174" s="386"/>
      <c r="D174" s="387"/>
      <c r="E174" s="386">
        <v>204.974412</v>
      </c>
      <c r="F174" s="8">
        <v>9</v>
      </c>
      <c r="G174" s="21">
        <f t="shared" si="69"/>
        <v>205.25168956495031</v>
      </c>
      <c r="H174" s="37" t="str">
        <f t="shared" si="56"/>
        <v>1;51302E050</v>
      </c>
      <c r="I174" s="38">
        <v>2</v>
      </c>
      <c r="J174" s="132">
        <f t="shared" si="70"/>
        <v>1.4253589553121548</v>
      </c>
      <c r="K174" s="39" t="str">
        <f>INDEX(powers!$H$2:$H$75,33+I174)</f>
        <v>hecty</v>
      </c>
      <c r="L174" s="40" t="str">
        <f t="shared" si="71"/>
        <v>1</v>
      </c>
      <c r="M174" s="24">
        <f t="shared" si="57"/>
        <v>5.1043074637458581</v>
      </c>
      <c r="N174" s="41" t="str">
        <f t="shared" si="72"/>
        <v>5</v>
      </c>
      <c r="O174" s="24">
        <f t="shared" si="58"/>
        <v>1.251689564950297</v>
      </c>
      <c r="P174" s="41" t="str">
        <f t="shared" si="73"/>
        <v>1</v>
      </c>
      <c r="Q174" s="24">
        <f t="shared" si="59"/>
        <v>3.0202747794035645</v>
      </c>
      <c r="R174" s="41" t="str">
        <f t="shared" si="74"/>
        <v>3</v>
      </c>
      <c r="S174" s="24">
        <f t="shared" si="60"/>
        <v>0.24329735284277376</v>
      </c>
      <c r="T174" s="41" t="str">
        <f t="shared" si="75"/>
        <v>0</v>
      </c>
      <c r="U174" s="24">
        <f t="shared" si="61"/>
        <v>2.9195682341132851</v>
      </c>
      <c r="V174" s="41" t="str">
        <f t="shared" si="76"/>
        <v>2</v>
      </c>
      <c r="W174" s="24">
        <f t="shared" si="62"/>
        <v>11.034818809359422</v>
      </c>
      <c r="X174" s="41" t="str">
        <f t="shared" si="77"/>
        <v>E</v>
      </c>
      <c r="Y174" s="24">
        <f t="shared" si="63"/>
        <v>0.41782571231306065</v>
      </c>
      <c r="Z174" s="41" t="str">
        <f t="shared" si="78"/>
        <v>0</v>
      </c>
      <c r="AA174" s="24">
        <f t="shared" si="64"/>
        <v>5.0139085477567278</v>
      </c>
      <c r="AB174" s="41" t="str">
        <f t="shared" si="79"/>
        <v>5</v>
      </c>
      <c r="AC174" s="24">
        <f t="shared" si="65"/>
        <v>0.16690257308073342</v>
      </c>
      <c r="AD174" s="41" t="str">
        <f t="shared" si="80"/>
        <v>0</v>
      </c>
      <c r="AE174" s="24">
        <f t="shared" si="66"/>
        <v>2.002830876968801</v>
      </c>
      <c r="AF174" s="41" t="str">
        <f t="shared" si="81"/>
        <v/>
      </c>
      <c r="AG174" s="24">
        <f t="shared" si="67"/>
        <v>3.3970523625612259E-2</v>
      </c>
      <c r="AH174" s="41" t="str">
        <f t="shared" si="82"/>
        <v/>
      </c>
      <c r="AI174" s="24">
        <f t="shared" si="68"/>
        <v>0.40764628350734711</v>
      </c>
      <c r="AJ174" s="41" t="str">
        <f t="shared" si="83"/>
        <v/>
      </c>
    </row>
    <row r="175" spans="1:36">
      <c r="A175" s="384" t="s">
        <v>973</v>
      </c>
      <c r="B175" s="385">
        <v>82</v>
      </c>
      <c r="C175" s="386" t="s">
        <v>972</v>
      </c>
      <c r="D175" s="387">
        <v>207.2</v>
      </c>
      <c r="E175" s="386"/>
      <c r="F175" s="8">
        <v>4</v>
      </c>
      <c r="G175" s="21">
        <f t="shared" si="69"/>
        <v>207.48028821206086</v>
      </c>
      <c r="H175" s="37" t="str">
        <f t="shared" si="56"/>
        <v>1;5359</v>
      </c>
      <c r="I175" s="38">
        <v>2</v>
      </c>
      <c r="J175" s="132">
        <f t="shared" si="70"/>
        <v>1.4408353348059781</v>
      </c>
      <c r="K175" s="39" t="str">
        <f>INDEX(powers!$H$2:$H$75,33+I175)</f>
        <v>hecty</v>
      </c>
      <c r="L175" s="40" t="str">
        <f t="shared" si="71"/>
        <v>1</v>
      </c>
      <c r="M175" s="24">
        <f t="shared" si="57"/>
        <v>5.2900240176717377</v>
      </c>
      <c r="N175" s="41" t="str">
        <f t="shared" si="72"/>
        <v>5</v>
      </c>
      <c r="O175" s="24">
        <f t="shared" si="58"/>
        <v>3.4802882120608523</v>
      </c>
      <c r="P175" s="41" t="str">
        <f t="shared" si="73"/>
        <v>3</v>
      </c>
      <c r="Q175" s="24">
        <f t="shared" si="59"/>
        <v>5.7634585447302271</v>
      </c>
      <c r="R175" s="41" t="str">
        <f t="shared" si="74"/>
        <v>5</v>
      </c>
      <c r="S175" s="24">
        <f t="shared" si="60"/>
        <v>9.1615025367627254</v>
      </c>
      <c r="T175" s="41" t="str">
        <f t="shared" si="75"/>
        <v>9</v>
      </c>
      <c r="U175" s="24">
        <f t="shared" si="61"/>
        <v>1.938030441152705</v>
      </c>
      <c r="V175" s="41" t="str">
        <f t="shared" si="76"/>
        <v/>
      </c>
      <c r="W175" s="24">
        <f t="shared" si="62"/>
        <v>11.256365293832459</v>
      </c>
      <c r="X175" s="41" t="str">
        <f t="shared" si="77"/>
        <v/>
      </c>
      <c r="Y175" s="24">
        <f t="shared" si="63"/>
        <v>3.0763835259895131</v>
      </c>
      <c r="Z175" s="41" t="str">
        <f t="shared" si="78"/>
        <v/>
      </c>
      <c r="AA175" s="24">
        <f t="shared" si="64"/>
        <v>0.91660231187415775</v>
      </c>
      <c r="AB175" s="41" t="str">
        <f t="shared" si="79"/>
        <v/>
      </c>
      <c r="AC175" s="24">
        <f t="shared" si="65"/>
        <v>10.999227742489893</v>
      </c>
      <c r="AD175" s="41" t="str">
        <f t="shared" si="80"/>
        <v/>
      </c>
      <c r="AE175" s="24">
        <f t="shared" si="66"/>
        <v>11.990732909878716</v>
      </c>
      <c r="AF175" s="41" t="str">
        <f t="shared" si="81"/>
        <v/>
      </c>
      <c r="AG175" s="24">
        <f t="shared" si="67"/>
        <v>11.88879491854459</v>
      </c>
      <c r="AH175" s="41" t="str">
        <f t="shared" si="82"/>
        <v/>
      </c>
      <c r="AI175" s="24">
        <f t="shared" si="68"/>
        <v>10.665539022535086</v>
      </c>
      <c r="AJ175" s="41" t="str">
        <f t="shared" si="83"/>
        <v/>
      </c>
    </row>
    <row r="176" spans="1:36">
      <c r="A176" s="384"/>
      <c r="B176" s="385"/>
      <c r="C176" s="386"/>
      <c r="D176" s="387"/>
      <c r="E176" s="386">
        <v>207.97663600000001</v>
      </c>
      <c r="F176" s="8">
        <v>9</v>
      </c>
      <c r="G176" s="21">
        <f t="shared" si="69"/>
        <v>208.2579748004579</v>
      </c>
      <c r="H176" s="37" t="str">
        <f t="shared" si="56"/>
        <v>1;543119448</v>
      </c>
      <c r="I176" s="38">
        <v>2</v>
      </c>
      <c r="J176" s="132">
        <f t="shared" si="70"/>
        <v>1.4462359361142909</v>
      </c>
      <c r="K176" s="39" t="str">
        <f>INDEX(powers!$H$2:$H$75,33+I176)</f>
        <v>hecty</v>
      </c>
      <c r="L176" s="40" t="str">
        <f t="shared" si="71"/>
        <v>1</v>
      </c>
      <c r="M176" s="24">
        <f t="shared" si="57"/>
        <v>5.3548312333714909</v>
      </c>
      <c r="N176" s="41" t="str">
        <f t="shared" si="72"/>
        <v>5</v>
      </c>
      <c r="O176" s="24">
        <f t="shared" si="58"/>
        <v>4.257974800457891</v>
      </c>
      <c r="P176" s="41" t="str">
        <f t="shared" si="73"/>
        <v>4</v>
      </c>
      <c r="Q176" s="24">
        <f t="shared" si="59"/>
        <v>3.0956976054946921</v>
      </c>
      <c r="R176" s="41" t="str">
        <f t="shared" si="74"/>
        <v>3</v>
      </c>
      <c r="S176" s="24">
        <f t="shared" si="60"/>
        <v>1.148371265936305</v>
      </c>
      <c r="T176" s="41" t="str">
        <f t="shared" si="75"/>
        <v>1</v>
      </c>
      <c r="U176" s="24">
        <f t="shared" si="61"/>
        <v>1.7804551912356601</v>
      </c>
      <c r="V176" s="41" t="str">
        <f t="shared" si="76"/>
        <v>1</v>
      </c>
      <c r="W176" s="24">
        <f t="shared" si="62"/>
        <v>9.3654622948279211</v>
      </c>
      <c r="X176" s="41" t="str">
        <f t="shared" si="77"/>
        <v>9</v>
      </c>
      <c r="Y176" s="24">
        <f t="shared" si="63"/>
        <v>4.3855475379350537</v>
      </c>
      <c r="Z176" s="41" t="str">
        <f t="shared" si="78"/>
        <v>4</v>
      </c>
      <c r="AA176" s="24">
        <f t="shared" si="64"/>
        <v>4.6265704552206444</v>
      </c>
      <c r="AB176" s="41" t="str">
        <f t="shared" si="79"/>
        <v>4</v>
      </c>
      <c r="AC176" s="24">
        <f t="shared" si="65"/>
        <v>7.5188454626477323</v>
      </c>
      <c r="AD176" s="41" t="str">
        <f t="shared" si="80"/>
        <v>8</v>
      </c>
      <c r="AE176" s="24">
        <f t="shared" si="66"/>
        <v>6.2261455517727882</v>
      </c>
      <c r="AF176" s="41" t="str">
        <f t="shared" si="81"/>
        <v/>
      </c>
      <c r="AG176" s="24">
        <f t="shared" si="67"/>
        <v>2.713746621273458</v>
      </c>
      <c r="AH176" s="41" t="str">
        <f t="shared" si="82"/>
        <v/>
      </c>
      <c r="AI176" s="24">
        <f t="shared" si="68"/>
        <v>8.564959455281496</v>
      </c>
      <c r="AJ176" s="41" t="str">
        <f t="shared" si="83"/>
        <v/>
      </c>
    </row>
    <row r="177" spans="1:36">
      <c r="A177" s="384" t="s">
        <v>975</v>
      </c>
      <c r="B177" s="385">
        <v>83</v>
      </c>
      <c r="C177" s="386" t="s">
        <v>974</v>
      </c>
      <c r="D177" s="387">
        <v>208.9804</v>
      </c>
      <c r="E177" s="386"/>
      <c r="F177" s="8">
        <v>7</v>
      </c>
      <c r="G177" s="21">
        <f t="shared" si="69"/>
        <v>209.26309663451624</v>
      </c>
      <c r="H177" s="37" t="str">
        <f t="shared" si="56"/>
        <v>1;5531X77</v>
      </c>
      <c r="I177" s="38">
        <v>2</v>
      </c>
      <c r="J177" s="132">
        <f t="shared" si="70"/>
        <v>1.4532159488508072</v>
      </c>
      <c r="K177" s="39" t="str">
        <f>INDEX(powers!$H$2:$H$75,33+I177)</f>
        <v>hecty</v>
      </c>
      <c r="L177" s="40" t="str">
        <f t="shared" si="71"/>
        <v>1</v>
      </c>
      <c r="M177" s="24">
        <f t="shared" si="57"/>
        <v>5.4385913862096862</v>
      </c>
      <c r="N177" s="41" t="str">
        <f t="shared" si="72"/>
        <v>5</v>
      </c>
      <c r="O177" s="24">
        <f t="shared" si="58"/>
        <v>5.2630966345162342</v>
      </c>
      <c r="P177" s="41" t="str">
        <f t="shared" si="73"/>
        <v>5</v>
      </c>
      <c r="Q177" s="24">
        <f t="shared" si="59"/>
        <v>3.1571596141948106</v>
      </c>
      <c r="R177" s="41" t="str">
        <f t="shared" si="74"/>
        <v>3</v>
      </c>
      <c r="S177" s="24">
        <f t="shared" si="60"/>
        <v>1.8859153703377274</v>
      </c>
      <c r="T177" s="41" t="str">
        <f t="shared" si="75"/>
        <v>1</v>
      </c>
      <c r="U177" s="24">
        <f t="shared" si="61"/>
        <v>10.630984444052729</v>
      </c>
      <c r="V177" s="41" t="str">
        <f t="shared" si="76"/>
        <v>X</v>
      </c>
      <c r="W177" s="24">
        <f t="shared" si="62"/>
        <v>7.5718133286327429</v>
      </c>
      <c r="X177" s="41" t="str">
        <f t="shared" si="77"/>
        <v>7</v>
      </c>
      <c r="Y177" s="24">
        <f t="shared" si="63"/>
        <v>6.8617599435929151</v>
      </c>
      <c r="Z177" s="41" t="str">
        <f t="shared" si="78"/>
        <v>7</v>
      </c>
      <c r="AA177" s="24">
        <f t="shared" si="64"/>
        <v>10.341119323114981</v>
      </c>
      <c r="AB177" s="41" t="str">
        <f t="shared" si="79"/>
        <v/>
      </c>
      <c r="AC177" s="24">
        <f t="shared" si="65"/>
        <v>4.0934318773797713</v>
      </c>
      <c r="AD177" s="41" t="str">
        <f t="shared" si="80"/>
        <v/>
      </c>
      <c r="AE177" s="24">
        <f t="shared" si="66"/>
        <v>1.1211825285572559</v>
      </c>
      <c r="AF177" s="41" t="str">
        <f t="shared" si="81"/>
        <v/>
      </c>
      <c r="AG177" s="24">
        <f t="shared" si="67"/>
        <v>1.4541903426870704</v>
      </c>
      <c r="AH177" s="41" t="str">
        <f t="shared" si="82"/>
        <v/>
      </c>
      <c r="AI177" s="24">
        <f t="shared" si="68"/>
        <v>5.4502841122448444</v>
      </c>
      <c r="AJ177" s="41" t="str">
        <f t="shared" si="83"/>
        <v/>
      </c>
    </row>
    <row r="178" spans="1:36">
      <c r="A178" s="384"/>
      <c r="B178" s="385"/>
      <c r="C178" s="386"/>
      <c r="D178" s="387"/>
      <c r="E178" s="386">
        <v>208.98038</v>
      </c>
      <c r="F178" s="8">
        <v>8</v>
      </c>
      <c r="G178" s="21">
        <f t="shared" si="69"/>
        <v>209.26307660746139</v>
      </c>
      <c r="H178" s="37" t="str">
        <f t="shared" si="56"/>
        <v>1;5531X71E</v>
      </c>
      <c r="I178" s="38">
        <v>2</v>
      </c>
      <c r="J178" s="132">
        <f t="shared" si="70"/>
        <v>1.4532158097740373</v>
      </c>
      <c r="K178" s="39" t="str">
        <f>INDEX(powers!$H$2:$H$75,33+I178)</f>
        <v>hecty</v>
      </c>
      <c r="L178" s="40" t="str">
        <f t="shared" si="71"/>
        <v>1</v>
      </c>
      <c r="M178" s="24">
        <f t="shared" si="57"/>
        <v>5.4385897172884476</v>
      </c>
      <c r="N178" s="41" t="str">
        <f t="shared" si="72"/>
        <v>5</v>
      </c>
      <c r="O178" s="24">
        <f t="shared" si="58"/>
        <v>5.2630766074613717</v>
      </c>
      <c r="P178" s="41" t="str">
        <f t="shared" si="73"/>
        <v>5</v>
      </c>
      <c r="Q178" s="24">
        <f t="shared" si="59"/>
        <v>3.1569192895364608</v>
      </c>
      <c r="R178" s="41" t="str">
        <f t="shared" si="74"/>
        <v>3</v>
      </c>
      <c r="S178" s="24">
        <f t="shared" si="60"/>
        <v>1.8830314744375301</v>
      </c>
      <c r="T178" s="41" t="str">
        <f t="shared" si="75"/>
        <v>1</v>
      </c>
      <c r="U178" s="24">
        <f t="shared" si="61"/>
        <v>10.596377693250361</v>
      </c>
      <c r="V178" s="41" t="str">
        <f t="shared" si="76"/>
        <v>X</v>
      </c>
      <c r="W178" s="24">
        <f t="shared" si="62"/>
        <v>7.1565323190043273</v>
      </c>
      <c r="X178" s="41" t="str">
        <f t="shared" si="77"/>
        <v>7</v>
      </c>
      <c r="Y178" s="24">
        <f t="shared" si="63"/>
        <v>1.8783878280519275</v>
      </c>
      <c r="Z178" s="41" t="str">
        <f t="shared" si="78"/>
        <v>1</v>
      </c>
      <c r="AA178" s="24">
        <f t="shared" si="64"/>
        <v>10.54065393662313</v>
      </c>
      <c r="AB178" s="41" t="str">
        <f t="shared" si="79"/>
        <v>E</v>
      </c>
      <c r="AC178" s="24">
        <f t="shared" si="65"/>
        <v>6.4878472394775599</v>
      </c>
      <c r="AD178" s="41" t="str">
        <f t="shared" si="80"/>
        <v/>
      </c>
      <c r="AE178" s="24">
        <f t="shared" si="66"/>
        <v>5.8541668737307191</v>
      </c>
      <c r="AF178" s="41" t="str">
        <f t="shared" si="81"/>
        <v/>
      </c>
      <c r="AG178" s="24">
        <f t="shared" si="67"/>
        <v>10.250002484768629</v>
      </c>
      <c r="AH178" s="41" t="str">
        <f t="shared" si="82"/>
        <v/>
      </c>
      <c r="AI178" s="24">
        <f t="shared" si="68"/>
        <v>3.0000298172235489</v>
      </c>
      <c r="AJ178" s="41" t="str">
        <f t="shared" si="83"/>
        <v/>
      </c>
    </row>
    <row r="179" spans="1:36">
      <c r="A179" s="384" t="s">
        <v>977</v>
      </c>
      <c r="B179" s="385">
        <v>84</v>
      </c>
      <c r="C179" s="386" t="s">
        <v>976</v>
      </c>
      <c r="D179" s="387">
        <v>210</v>
      </c>
      <c r="E179" s="386"/>
      <c r="F179" s="8">
        <v>2</v>
      </c>
      <c r="G179" s="21">
        <f t="shared" si="69"/>
        <v>210.28407589060222</v>
      </c>
      <c r="H179" s="37" t="str">
        <f t="shared" si="56"/>
        <v>1;56</v>
      </c>
      <c r="I179" s="38">
        <v>2</v>
      </c>
      <c r="J179" s="132">
        <f t="shared" si="70"/>
        <v>1.4603060825736265</v>
      </c>
      <c r="K179" s="39" t="str">
        <f>INDEX(powers!$H$2:$H$75,33+I179)</f>
        <v>hecty</v>
      </c>
      <c r="L179" s="40" t="str">
        <f t="shared" si="71"/>
        <v>1</v>
      </c>
      <c r="M179" s="24">
        <f t="shared" si="57"/>
        <v>5.5236729908835178</v>
      </c>
      <c r="N179" s="41" t="str">
        <f t="shared" si="72"/>
        <v>5</v>
      </c>
      <c r="O179" s="24">
        <f t="shared" si="58"/>
        <v>6.2840758906022138</v>
      </c>
      <c r="P179" s="41" t="str">
        <f t="shared" si="73"/>
        <v>6</v>
      </c>
      <c r="Q179" s="24">
        <f t="shared" si="59"/>
        <v>3.408910687226566</v>
      </c>
      <c r="R179" s="41" t="str">
        <f t="shared" si="74"/>
        <v/>
      </c>
      <c r="S179" s="24">
        <f t="shared" si="60"/>
        <v>4.9069282467187918</v>
      </c>
      <c r="T179" s="41" t="str">
        <f t="shared" si="75"/>
        <v/>
      </c>
      <c r="U179" s="24">
        <f t="shared" si="61"/>
        <v>10.883138960625502</v>
      </c>
      <c r="V179" s="41" t="str">
        <f t="shared" si="76"/>
        <v/>
      </c>
      <c r="W179" s="24">
        <f t="shared" si="62"/>
        <v>10.597667527506019</v>
      </c>
      <c r="X179" s="41" t="str">
        <f t="shared" si="77"/>
        <v/>
      </c>
      <c r="Y179" s="24">
        <f t="shared" si="63"/>
        <v>7.1720103300722258</v>
      </c>
      <c r="Z179" s="41" t="str">
        <f t="shared" si="78"/>
        <v/>
      </c>
      <c r="AA179" s="24">
        <f t="shared" si="64"/>
        <v>2.0641239608667092</v>
      </c>
      <c r="AB179" s="41" t="str">
        <f t="shared" si="79"/>
        <v/>
      </c>
      <c r="AC179" s="24">
        <f t="shared" si="65"/>
        <v>0.76948753040051088</v>
      </c>
      <c r="AD179" s="41" t="str">
        <f t="shared" si="80"/>
        <v/>
      </c>
      <c r="AE179" s="24">
        <f t="shared" si="66"/>
        <v>9.2338503648061305</v>
      </c>
      <c r="AF179" s="41" t="str">
        <f t="shared" si="81"/>
        <v/>
      </c>
      <c r="AG179" s="24">
        <f t="shared" si="67"/>
        <v>2.8062043776735663</v>
      </c>
      <c r="AH179" s="41" t="str">
        <f t="shared" si="82"/>
        <v/>
      </c>
      <c r="AI179" s="24">
        <f t="shared" si="68"/>
        <v>9.6744525320827961</v>
      </c>
      <c r="AJ179" s="41" t="str">
        <f t="shared" si="83"/>
        <v/>
      </c>
    </row>
    <row r="180" spans="1:36">
      <c r="A180" s="384"/>
      <c r="B180" s="385"/>
      <c r="C180" s="386"/>
      <c r="D180" s="387"/>
      <c r="E180" s="386">
        <v>209.982857</v>
      </c>
      <c r="F180" s="8">
        <v>9</v>
      </c>
      <c r="G180" s="21">
        <f t="shared" si="69"/>
        <v>210.26690970054034</v>
      </c>
      <c r="H180" s="37" t="str">
        <f t="shared" si="56"/>
        <v>1;563252781</v>
      </c>
      <c r="I180" s="38">
        <v>2</v>
      </c>
      <c r="J180" s="132">
        <f t="shared" si="70"/>
        <v>1.460186872920419</v>
      </c>
      <c r="K180" s="39" t="str">
        <f>INDEX(powers!$H$2:$H$75,33+I180)</f>
        <v>hecty</v>
      </c>
      <c r="L180" s="40" t="str">
        <f t="shared" si="71"/>
        <v>1</v>
      </c>
      <c r="M180" s="24">
        <f t="shared" si="57"/>
        <v>5.5222424750450285</v>
      </c>
      <c r="N180" s="41" t="str">
        <f t="shared" si="72"/>
        <v>5</v>
      </c>
      <c r="O180" s="24">
        <f t="shared" si="58"/>
        <v>6.2669097005403422</v>
      </c>
      <c r="P180" s="41" t="str">
        <f t="shared" si="73"/>
        <v>6</v>
      </c>
      <c r="Q180" s="24">
        <f t="shared" si="59"/>
        <v>3.2029164064841069</v>
      </c>
      <c r="R180" s="41" t="str">
        <f t="shared" si="74"/>
        <v>3</v>
      </c>
      <c r="S180" s="24">
        <f t="shared" si="60"/>
        <v>2.434996877809283</v>
      </c>
      <c r="T180" s="41" t="str">
        <f t="shared" si="75"/>
        <v>2</v>
      </c>
      <c r="U180" s="24">
        <f t="shared" si="61"/>
        <v>5.2199625337113957</v>
      </c>
      <c r="V180" s="41" t="str">
        <f t="shared" si="76"/>
        <v>5</v>
      </c>
      <c r="W180" s="24">
        <f t="shared" si="62"/>
        <v>2.6395504045367488</v>
      </c>
      <c r="X180" s="41" t="str">
        <f t="shared" si="77"/>
        <v>2</v>
      </c>
      <c r="Y180" s="24">
        <f t="shared" si="63"/>
        <v>7.6746048544409859</v>
      </c>
      <c r="Z180" s="41" t="str">
        <f t="shared" si="78"/>
        <v>7</v>
      </c>
      <c r="AA180" s="24">
        <f t="shared" si="64"/>
        <v>8.0952582532918314</v>
      </c>
      <c r="AB180" s="41" t="str">
        <f t="shared" si="79"/>
        <v>8</v>
      </c>
      <c r="AC180" s="24">
        <f t="shared" si="65"/>
        <v>1.1430990395019762</v>
      </c>
      <c r="AD180" s="41" t="str">
        <f t="shared" si="80"/>
        <v>1</v>
      </c>
      <c r="AE180" s="24">
        <f t="shared" si="66"/>
        <v>1.7171884740237147</v>
      </c>
      <c r="AF180" s="41" t="str">
        <f t="shared" si="81"/>
        <v/>
      </c>
      <c r="AG180" s="24">
        <f t="shared" si="67"/>
        <v>8.6062616882845759</v>
      </c>
      <c r="AH180" s="41" t="str">
        <f t="shared" si="82"/>
        <v/>
      </c>
      <c r="AI180" s="24">
        <f t="shared" si="68"/>
        <v>7.2751402594149113</v>
      </c>
      <c r="AJ180" s="41" t="str">
        <f t="shared" si="83"/>
        <v/>
      </c>
    </row>
    <row r="181" spans="1:36">
      <c r="A181" s="384" t="s">
        <v>979</v>
      </c>
      <c r="B181" s="385">
        <v>85</v>
      </c>
      <c r="C181" s="386" t="s">
        <v>978</v>
      </c>
      <c r="D181" s="387">
        <v>210</v>
      </c>
      <c r="E181" s="386"/>
      <c r="F181" s="8">
        <v>2</v>
      </c>
      <c r="G181" s="21">
        <f t="shared" si="69"/>
        <v>210.28407589060222</v>
      </c>
      <c r="H181" s="37" t="str">
        <f t="shared" si="56"/>
        <v>1;56</v>
      </c>
      <c r="I181" s="38">
        <v>2</v>
      </c>
      <c r="J181" s="132">
        <f t="shared" si="70"/>
        <v>1.4603060825736265</v>
      </c>
      <c r="K181" s="39" t="str">
        <f>INDEX(powers!$H$2:$H$75,33+I181)</f>
        <v>hecty</v>
      </c>
      <c r="L181" s="40" t="str">
        <f t="shared" si="71"/>
        <v>1</v>
      </c>
      <c r="M181" s="24">
        <f t="shared" si="57"/>
        <v>5.5236729908835178</v>
      </c>
      <c r="N181" s="41" t="str">
        <f t="shared" si="72"/>
        <v>5</v>
      </c>
      <c r="O181" s="24">
        <f t="shared" si="58"/>
        <v>6.2840758906022138</v>
      </c>
      <c r="P181" s="41" t="str">
        <f t="shared" si="73"/>
        <v>6</v>
      </c>
      <c r="Q181" s="24">
        <f t="shared" si="59"/>
        <v>3.408910687226566</v>
      </c>
      <c r="R181" s="41" t="str">
        <f t="shared" si="74"/>
        <v/>
      </c>
      <c r="S181" s="24">
        <f t="shared" si="60"/>
        <v>4.9069282467187918</v>
      </c>
      <c r="T181" s="41" t="str">
        <f t="shared" si="75"/>
        <v/>
      </c>
      <c r="U181" s="24">
        <f t="shared" si="61"/>
        <v>10.883138960625502</v>
      </c>
      <c r="V181" s="41" t="str">
        <f t="shared" si="76"/>
        <v/>
      </c>
      <c r="W181" s="24">
        <f t="shared" si="62"/>
        <v>10.597667527506019</v>
      </c>
      <c r="X181" s="41" t="str">
        <f t="shared" si="77"/>
        <v/>
      </c>
      <c r="Y181" s="24">
        <f t="shared" si="63"/>
        <v>7.1720103300722258</v>
      </c>
      <c r="Z181" s="41" t="str">
        <f t="shared" si="78"/>
        <v/>
      </c>
      <c r="AA181" s="24">
        <f t="shared" si="64"/>
        <v>2.0641239608667092</v>
      </c>
      <c r="AB181" s="41" t="str">
        <f t="shared" si="79"/>
        <v/>
      </c>
      <c r="AC181" s="24">
        <f t="shared" si="65"/>
        <v>0.76948753040051088</v>
      </c>
      <c r="AD181" s="41" t="str">
        <f t="shared" si="80"/>
        <v/>
      </c>
      <c r="AE181" s="24">
        <f t="shared" si="66"/>
        <v>9.2338503648061305</v>
      </c>
      <c r="AF181" s="41" t="str">
        <f t="shared" si="81"/>
        <v/>
      </c>
      <c r="AG181" s="24">
        <f t="shared" si="67"/>
        <v>2.8062043776735663</v>
      </c>
      <c r="AH181" s="41" t="str">
        <f t="shared" si="82"/>
        <v/>
      </c>
      <c r="AI181" s="24">
        <f t="shared" si="68"/>
        <v>9.6744525320827961</v>
      </c>
      <c r="AJ181" s="41" t="str">
        <f t="shared" si="83"/>
        <v/>
      </c>
    </row>
    <row r="182" spans="1:36">
      <c r="A182" s="384"/>
      <c r="B182" s="385"/>
      <c r="C182" s="386"/>
      <c r="D182" s="387"/>
      <c r="E182" s="386">
        <v>209.98713100000001</v>
      </c>
      <c r="F182" s="8">
        <v>9</v>
      </c>
      <c r="G182" s="21">
        <f t="shared" si="69"/>
        <v>210.27118948216111</v>
      </c>
      <c r="H182" s="37" t="str">
        <f t="shared" si="56"/>
        <v>1;563307475</v>
      </c>
      <c r="I182" s="38">
        <v>2</v>
      </c>
      <c r="J182" s="132">
        <f t="shared" si="70"/>
        <v>1.4602165936261189</v>
      </c>
      <c r="K182" s="39" t="str">
        <f>INDEX(powers!$H$2:$H$75,33+I182)</f>
        <v>hecty</v>
      </c>
      <c r="L182" s="40" t="str">
        <f t="shared" si="71"/>
        <v>1</v>
      </c>
      <c r="M182" s="24">
        <f t="shared" si="57"/>
        <v>5.5225991235134266</v>
      </c>
      <c r="N182" s="41" t="str">
        <f t="shared" si="72"/>
        <v>5</v>
      </c>
      <c r="O182" s="24">
        <f t="shared" si="58"/>
        <v>6.2711894821611196</v>
      </c>
      <c r="P182" s="41" t="str">
        <f t="shared" si="73"/>
        <v>6</v>
      </c>
      <c r="Q182" s="24">
        <f t="shared" si="59"/>
        <v>3.2542737859334352</v>
      </c>
      <c r="R182" s="41" t="str">
        <f t="shared" si="74"/>
        <v>3</v>
      </c>
      <c r="S182" s="24">
        <f t="shared" si="60"/>
        <v>3.0512854312012223</v>
      </c>
      <c r="T182" s="41" t="str">
        <f t="shared" si="75"/>
        <v>3</v>
      </c>
      <c r="U182" s="24">
        <f t="shared" si="61"/>
        <v>0.61542517441466771</v>
      </c>
      <c r="V182" s="41" t="str">
        <f t="shared" si="76"/>
        <v>0</v>
      </c>
      <c r="W182" s="24">
        <f t="shared" si="62"/>
        <v>7.3851020929760125</v>
      </c>
      <c r="X182" s="41" t="str">
        <f t="shared" si="77"/>
        <v>7</v>
      </c>
      <c r="Y182" s="24">
        <f t="shared" si="63"/>
        <v>4.62122511571215</v>
      </c>
      <c r="Z182" s="41" t="str">
        <f t="shared" si="78"/>
        <v>4</v>
      </c>
      <c r="AA182" s="24">
        <f t="shared" si="64"/>
        <v>7.4547013885458</v>
      </c>
      <c r="AB182" s="41" t="str">
        <f t="shared" si="79"/>
        <v>7</v>
      </c>
      <c r="AC182" s="24">
        <f t="shared" si="65"/>
        <v>5.4564166625496</v>
      </c>
      <c r="AD182" s="41" t="str">
        <f t="shared" si="80"/>
        <v>5</v>
      </c>
      <c r="AE182" s="24">
        <f t="shared" si="66"/>
        <v>5.4769999505952001</v>
      </c>
      <c r="AF182" s="41" t="str">
        <f t="shared" si="81"/>
        <v/>
      </c>
      <c r="AG182" s="24">
        <f t="shared" si="67"/>
        <v>5.7239994071424007</v>
      </c>
      <c r="AH182" s="41" t="str">
        <f t="shared" si="82"/>
        <v/>
      </c>
      <c r="AI182" s="24">
        <f t="shared" si="68"/>
        <v>8.6879928857088089</v>
      </c>
      <c r="AJ182" s="41" t="str">
        <f t="shared" si="83"/>
        <v/>
      </c>
    </row>
    <row r="183" spans="1:36">
      <c r="A183" s="384" t="s">
        <v>981</v>
      </c>
      <c r="B183" s="385">
        <v>86</v>
      </c>
      <c r="C183" s="386" t="s">
        <v>980</v>
      </c>
      <c r="D183" s="387">
        <v>222</v>
      </c>
      <c r="E183" s="386"/>
      <c r="F183" s="8">
        <v>2</v>
      </c>
      <c r="G183" s="21">
        <f t="shared" si="69"/>
        <v>222.30030879863662</v>
      </c>
      <c r="H183" s="37" t="str">
        <f t="shared" si="56"/>
        <v>1;66</v>
      </c>
      <c r="I183" s="38">
        <v>2</v>
      </c>
      <c r="J183" s="132">
        <f t="shared" si="70"/>
        <v>1.5437521444349764</v>
      </c>
      <c r="K183" s="39" t="str">
        <f>INDEX(powers!$H$2:$H$75,33+I183)</f>
        <v>hecty</v>
      </c>
      <c r="L183" s="40" t="str">
        <f t="shared" si="71"/>
        <v>1</v>
      </c>
      <c r="M183" s="24">
        <f t="shared" si="57"/>
        <v>6.5250257332197172</v>
      </c>
      <c r="N183" s="41" t="str">
        <f t="shared" si="72"/>
        <v>6</v>
      </c>
      <c r="O183" s="24">
        <f t="shared" si="58"/>
        <v>6.3003087986366069</v>
      </c>
      <c r="P183" s="41" t="str">
        <f t="shared" si="73"/>
        <v>6</v>
      </c>
      <c r="Q183" s="24">
        <f t="shared" si="59"/>
        <v>3.6037055836392824</v>
      </c>
      <c r="R183" s="41" t="str">
        <f t="shared" si="74"/>
        <v/>
      </c>
      <c r="S183" s="24">
        <f t="shared" si="60"/>
        <v>7.2444670036713887</v>
      </c>
      <c r="T183" s="41" t="str">
        <f t="shared" si="75"/>
        <v/>
      </c>
      <c r="U183" s="24">
        <f t="shared" si="61"/>
        <v>2.9336040440566649</v>
      </c>
      <c r="V183" s="41" t="str">
        <f t="shared" si="76"/>
        <v/>
      </c>
      <c r="W183" s="24">
        <f t="shared" si="62"/>
        <v>11.203248528679978</v>
      </c>
      <c r="X183" s="41" t="str">
        <f t="shared" si="77"/>
        <v/>
      </c>
      <c r="Y183" s="24">
        <f t="shared" si="63"/>
        <v>2.43898234415974</v>
      </c>
      <c r="Z183" s="41" t="str">
        <f t="shared" si="78"/>
        <v/>
      </c>
      <c r="AA183" s="24">
        <f t="shared" si="64"/>
        <v>5.2677881299168803</v>
      </c>
      <c r="AB183" s="41" t="str">
        <f t="shared" si="79"/>
        <v/>
      </c>
      <c r="AC183" s="24">
        <f t="shared" si="65"/>
        <v>3.2134575590025634</v>
      </c>
      <c r="AD183" s="41" t="str">
        <f t="shared" si="80"/>
        <v/>
      </c>
      <c r="AE183" s="24">
        <f t="shared" si="66"/>
        <v>2.5614907080307603</v>
      </c>
      <c r="AF183" s="41" t="str">
        <f t="shared" si="81"/>
        <v/>
      </c>
      <c r="AG183" s="24">
        <f t="shared" si="67"/>
        <v>6.7378884963691235</v>
      </c>
      <c r="AH183" s="41" t="str">
        <f t="shared" si="82"/>
        <v/>
      </c>
      <c r="AI183" s="24">
        <f t="shared" si="68"/>
        <v>8.8546619564294815</v>
      </c>
      <c r="AJ183" s="41" t="str">
        <f t="shared" si="83"/>
        <v/>
      </c>
    </row>
    <row r="184" spans="1:36">
      <c r="A184" s="384"/>
      <c r="B184" s="385"/>
      <c r="C184" s="386"/>
      <c r="D184" s="387"/>
      <c r="E184" s="386">
        <v>222.01757050000001</v>
      </c>
      <c r="F184" s="8">
        <v>10</v>
      </c>
      <c r="G184" s="21">
        <f t="shared" si="69"/>
        <v>222.31790306699585</v>
      </c>
      <c r="H184" s="37" t="str">
        <f t="shared" si="56"/>
        <v>1;6639940558</v>
      </c>
      <c r="I184" s="38">
        <v>2</v>
      </c>
      <c r="J184" s="132">
        <f t="shared" si="70"/>
        <v>1.5438743268541379</v>
      </c>
      <c r="K184" s="39" t="str">
        <f>INDEX(powers!$H$2:$H$75,33+I184)</f>
        <v>hecty</v>
      </c>
      <c r="L184" s="40" t="str">
        <f t="shared" si="71"/>
        <v>1</v>
      </c>
      <c r="M184" s="24">
        <f t="shared" si="57"/>
        <v>6.5264919222496554</v>
      </c>
      <c r="N184" s="41" t="str">
        <f t="shared" si="72"/>
        <v>6</v>
      </c>
      <c r="O184" s="24">
        <f t="shared" si="58"/>
        <v>6.3179030669958642</v>
      </c>
      <c r="P184" s="41" t="str">
        <f t="shared" si="73"/>
        <v>6</v>
      </c>
      <c r="Q184" s="24">
        <f t="shared" si="59"/>
        <v>3.8148368039503708</v>
      </c>
      <c r="R184" s="41" t="str">
        <f t="shared" si="74"/>
        <v>3</v>
      </c>
      <c r="S184" s="24">
        <f t="shared" si="60"/>
        <v>9.77804164740445</v>
      </c>
      <c r="T184" s="41" t="str">
        <f t="shared" si="75"/>
        <v>9</v>
      </c>
      <c r="U184" s="24">
        <f t="shared" si="61"/>
        <v>9.3364997688534004</v>
      </c>
      <c r="V184" s="41" t="str">
        <f t="shared" si="76"/>
        <v>9</v>
      </c>
      <c r="W184" s="24">
        <f t="shared" si="62"/>
        <v>4.0379972262408046</v>
      </c>
      <c r="X184" s="41" t="str">
        <f t="shared" si="77"/>
        <v>4</v>
      </c>
      <c r="Y184" s="24">
        <f t="shared" si="63"/>
        <v>0.45596671488965512</v>
      </c>
      <c r="Z184" s="41" t="str">
        <f t="shared" si="78"/>
        <v>0</v>
      </c>
      <c r="AA184" s="24">
        <f t="shared" si="64"/>
        <v>5.4716005786758615</v>
      </c>
      <c r="AB184" s="41" t="str">
        <f t="shared" si="79"/>
        <v>5</v>
      </c>
      <c r="AC184" s="24">
        <f t="shared" si="65"/>
        <v>5.6592069441103376</v>
      </c>
      <c r="AD184" s="41" t="str">
        <f t="shared" si="80"/>
        <v>5</v>
      </c>
      <c r="AE184" s="24">
        <f t="shared" si="66"/>
        <v>7.9104833293240517</v>
      </c>
      <c r="AF184" s="41" t="str">
        <f t="shared" si="81"/>
        <v>8</v>
      </c>
      <c r="AG184" s="24">
        <f t="shared" si="67"/>
        <v>10.925799951888621</v>
      </c>
      <c r="AH184" s="41" t="str">
        <f t="shared" si="82"/>
        <v/>
      </c>
      <c r="AI184" s="24">
        <f t="shared" si="68"/>
        <v>11.10959942266345</v>
      </c>
      <c r="AJ184" s="41" t="str">
        <f t="shared" si="83"/>
        <v/>
      </c>
    </row>
    <row r="185" spans="1:36">
      <c r="A185" s="384" t="s">
        <v>983</v>
      </c>
      <c r="B185" s="385">
        <v>87</v>
      </c>
      <c r="C185" s="386" t="s">
        <v>982</v>
      </c>
      <c r="D185" s="387">
        <v>223</v>
      </c>
      <c r="E185" s="386"/>
      <c r="F185" s="8">
        <v>2</v>
      </c>
      <c r="G185" s="21">
        <f t="shared" si="69"/>
        <v>223.30166154097284</v>
      </c>
      <c r="H185" s="37" t="str">
        <f t="shared" ref="H185:H237" si="84">L185&amp;";"&amp;N185&amp;P185&amp;R185&amp;T185&amp;V185&amp;X185&amp;Z185&amp;AB185&amp;AD185&amp;AF185&amp;AH185&amp;AJ185</f>
        <v>1;67</v>
      </c>
      <c r="I185" s="38">
        <v>2</v>
      </c>
      <c r="J185" s="132">
        <f t="shared" si="70"/>
        <v>1.5507059829234224</v>
      </c>
      <c r="K185" s="39" t="str">
        <f>INDEX(powers!$H$2:$H$75,33+I185)</f>
        <v>hecty</v>
      </c>
      <c r="L185" s="40" t="str">
        <f t="shared" si="71"/>
        <v>1</v>
      </c>
      <c r="M185" s="24">
        <f t="shared" ref="M185:M237" si="85">(J185-INT(J185))*12</f>
        <v>6.6084717950810692</v>
      </c>
      <c r="N185" s="41" t="str">
        <f t="shared" si="72"/>
        <v>6</v>
      </c>
      <c r="O185" s="24">
        <f t="shared" ref="O185:O237" si="86">(M185-INT(M185))*12</f>
        <v>7.3016615409728303</v>
      </c>
      <c r="P185" s="41" t="str">
        <f t="shared" si="73"/>
        <v>7</v>
      </c>
      <c r="Q185" s="24">
        <f t="shared" ref="Q185:Q237" si="87">(O185-INT(O185))*12</f>
        <v>3.6199384916739632</v>
      </c>
      <c r="R185" s="41" t="str">
        <f t="shared" si="74"/>
        <v/>
      </c>
      <c r="S185" s="24">
        <f t="shared" ref="S185:S237" si="88">(Q185-INT(Q185))*12</f>
        <v>7.4392619000875584</v>
      </c>
      <c r="T185" s="41" t="str">
        <f t="shared" si="75"/>
        <v/>
      </c>
      <c r="U185" s="24">
        <f t="shared" ref="U185:U237" si="89">(S185-INT(S185))*12</f>
        <v>5.2711428010507007</v>
      </c>
      <c r="V185" s="41" t="str">
        <f t="shared" si="76"/>
        <v/>
      </c>
      <c r="W185" s="24">
        <f t="shared" ref="W185:W237" si="90">(U185-INT(U185))*12</f>
        <v>3.2537136126084079</v>
      </c>
      <c r="X185" s="41" t="str">
        <f t="shared" si="77"/>
        <v/>
      </c>
      <c r="Y185" s="24">
        <f t="shared" ref="Y185:Y237" si="91">(W185-INT(W185))*12</f>
        <v>3.0445633513008943</v>
      </c>
      <c r="Z185" s="41" t="str">
        <f t="shared" si="78"/>
        <v/>
      </c>
      <c r="AA185" s="24">
        <f t="shared" ref="AA185:AA237" si="92">(Y185-INT(Y185))*12</f>
        <v>0.53476021561073139</v>
      </c>
      <c r="AB185" s="41" t="str">
        <f t="shared" si="79"/>
        <v/>
      </c>
      <c r="AC185" s="24">
        <f t="shared" ref="AC185:AC237" si="93">(AA185-INT(AA185))*12</f>
        <v>6.4171225873287767</v>
      </c>
      <c r="AD185" s="41" t="str">
        <f t="shared" si="80"/>
        <v/>
      </c>
      <c r="AE185" s="24">
        <f t="shared" ref="AE185:AE237" si="94">(AC185-INT(AC185))*12</f>
        <v>5.0054710479453206</v>
      </c>
      <c r="AF185" s="41" t="str">
        <f t="shared" si="81"/>
        <v/>
      </c>
      <c r="AG185" s="24">
        <f t="shared" ref="AG185:AG237" si="95">(AE185-INT(AE185))*12</f>
        <v>6.5652575343847275E-2</v>
      </c>
      <c r="AH185" s="41" t="str">
        <f t="shared" si="82"/>
        <v/>
      </c>
      <c r="AI185" s="24">
        <f t="shared" ref="AI185:AI237" si="96">(AG185-INT(AG185))*12</f>
        <v>0.7878309041261673</v>
      </c>
      <c r="AJ185" s="41" t="str">
        <f t="shared" si="83"/>
        <v/>
      </c>
    </row>
    <row r="186" spans="1:36">
      <c r="A186" s="384"/>
      <c r="B186" s="385"/>
      <c r="C186" s="386"/>
      <c r="D186" s="387"/>
      <c r="E186" s="386">
        <v>223.0197307</v>
      </c>
      <c r="F186" s="8">
        <v>10</v>
      </c>
      <c r="G186" s="21">
        <f t="shared" si="69"/>
        <v>223.32141893152604</v>
      </c>
      <c r="H186" s="37" t="str">
        <f t="shared" si="84"/>
        <v>1;673X34E395</v>
      </c>
      <c r="I186" s="38">
        <v>2</v>
      </c>
      <c r="J186" s="132">
        <f t="shared" si="70"/>
        <v>1.5508431870244863</v>
      </c>
      <c r="K186" s="39" t="str">
        <f>INDEX(powers!$H$2:$H$75,33+I186)</f>
        <v>hecty</v>
      </c>
      <c r="L186" s="40" t="str">
        <f t="shared" si="71"/>
        <v>1</v>
      </c>
      <c r="M186" s="24">
        <f t="shared" si="85"/>
        <v>6.6101182442938358</v>
      </c>
      <c r="N186" s="41" t="str">
        <f t="shared" si="72"/>
        <v>6</v>
      </c>
      <c r="O186" s="24">
        <f t="shared" si="86"/>
        <v>7.3214189315260292</v>
      </c>
      <c r="P186" s="41" t="str">
        <f t="shared" si="73"/>
        <v>7</v>
      </c>
      <c r="Q186" s="24">
        <f t="shared" si="87"/>
        <v>3.8570271783123502</v>
      </c>
      <c r="R186" s="41" t="str">
        <f t="shared" si="74"/>
        <v>3</v>
      </c>
      <c r="S186" s="24">
        <f t="shared" si="88"/>
        <v>10.284326139748202</v>
      </c>
      <c r="T186" s="41" t="str">
        <f t="shared" si="75"/>
        <v>X</v>
      </c>
      <c r="U186" s="24">
        <f t="shared" si="89"/>
        <v>3.4119136769784291</v>
      </c>
      <c r="V186" s="41" t="str">
        <f t="shared" si="76"/>
        <v>3</v>
      </c>
      <c r="W186" s="24">
        <f t="shared" si="90"/>
        <v>4.9429641237411488</v>
      </c>
      <c r="X186" s="41" t="str">
        <f t="shared" si="77"/>
        <v>4</v>
      </c>
      <c r="Y186" s="24">
        <f t="shared" si="91"/>
        <v>11.315569484893786</v>
      </c>
      <c r="Z186" s="41" t="str">
        <f t="shared" si="78"/>
        <v>E</v>
      </c>
      <c r="AA186" s="24">
        <f t="shared" si="92"/>
        <v>3.7868338187254267</v>
      </c>
      <c r="AB186" s="41" t="str">
        <f t="shared" si="79"/>
        <v>3</v>
      </c>
      <c r="AC186" s="24">
        <f t="shared" si="93"/>
        <v>9.4420058247051202</v>
      </c>
      <c r="AD186" s="41" t="str">
        <f t="shared" si="80"/>
        <v>9</v>
      </c>
      <c r="AE186" s="24">
        <f t="shared" si="94"/>
        <v>5.3040698964614421</v>
      </c>
      <c r="AF186" s="41" t="str">
        <f t="shared" si="81"/>
        <v>5</v>
      </c>
      <c r="AG186" s="24">
        <f t="shared" si="95"/>
        <v>3.6488387575373054</v>
      </c>
      <c r="AH186" s="41" t="str">
        <f t="shared" si="82"/>
        <v/>
      </c>
      <c r="AI186" s="24">
        <f t="shared" si="96"/>
        <v>7.7860650904476643</v>
      </c>
      <c r="AJ186" s="41" t="str">
        <f t="shared" si="83"/>
        <v/>
      </c>
    </row>
    <row r="187" spans="1:36">
      <c r="A187" s="384" t="s">
        <v>985</v>
      </c>
      <c r="B187" s="385">
        <v>88</v>
      </c>
      <c r="C187" s="386" t="s">
        <v>984</v>
      </c>
      <c r="D187" s="387">
        <v>226</v>
      </c>
      <c r="E187" s="386"/>
      <c r="F187" s="8">
        <v>2</v>
      </c>
      <c r="G187" s="21">
        <f t="shared" si="69"/>
        <v>226.30571976798143</v>
      </c>
      <c r="H187" s="37" t="str">
        <f t="shared" si="84"/>
        <v>1;6X</v>
      </c>
      <c r="I187" s="38">
        <v>2</v>
      </c>
      <c r="J187" s="132">
        <f t="shared" si="70"/>
        <v>1.57156749838876</v>
      </c>
      <c r="K187" s="39" t="str">
        <f>INDEX(powers!$H$2:$H$75,33+I187)</f>
        <v>hecty</v>
      </c>
      <c r="L187" s="40" t="str">
        <f t="shared" si="71"/>
        <v>1</v>
      </c>
      <c r="M187" s="24">
        <f t="shared" si="85"/>
        <v>6.8588099806651197</v>
      </c>
      <c r="N187" s="41" t="str">
        <f t="shared" si="72"/>
        <v>6</v>
      </c>
      <c r="O187" s="24">
        <f t="shared" si="86"/>
        <v>10.305719767981437</v>
      </c>
      <c r="P187" s="41" t="str">
        <f t="shared" si="73"/>
        <v>X</v>
      </c>
      <c r="Q187" s="24">
        <f t="shared" si="87"/>
        <v>3.6686372157772382</v>
      </c>
      <c r="R187" s="41" t="str">
        <f t="shared" si="74"/>
        <v/>
      </c>
      <c r="S187" s="24">
        <f t="shared" si="88"/>
        <v>8.0236465893268587</v>
      </c>
      <c r="T187" s="41" t="str">
        <f t="shared" si="75"/>
        <v/>
      </c>
      <c r="U187" s="24">
        <f t="shared" si="89"/>
        <v>0.28375907192230443</v>
      </c>
      <c r="V187" s="41" t="str">
        <f t="shared" si="76"/>
        <v/>
      </c>
      <c r="W187" s="24">
        <f t="shared" si="90"/>
        <v>3.4051088630676531</v>
      </c>
      <c r="X187" s="41" t="str">
        <f t="shared" si="77"/>
        <v/>
      </c>
      <c r="Y187" s="24">
        <f t="shared" si="91"/>
        <v>4.8613063568118378</v>
      </c>
      <c r="Z187" s="41" t="str">
        <f t="shared" si="78"/>
        <v/>
      </c>
      <c r="AA187" s="24">
        <f t="shared" si="92"/>
        <v>10.335676281742053</v>
      </c>
      <c r="AB187" s="41" t="str">
        <f t="shared" si="79"/>
        <v/>
      </c>
      <c r="AC187" s="24">
        <f t="shared" si="93"/>
        <v>4.0281153809046373</v>
      </c>
      <c r="AD187" s="41" t="str">
        <f t="shared" si="80"/>
        <v/>
      </c>
      <c r="AE187" s="24">
        <f t="shared" si="94"/>
        <v>0.33738457085564733</v>
      </c>
      <c r="AF187" s="41" t="str">
        <f t="shared" si="81"/>
        <v/>
      </c>
      <c r="AG187" s="24">
        <f t="shared" si="95"/>
        <v>4.0486148502677679</v>
      </c>
      <c r="AH187" s="41" t="str">
        <f t="shared" si="82"/>
        <v/>
      </c>
      <c r="AI187" s="24">
        <f t="shared" si="96"/>
        <v>0.58337820321321487</v>
      </c>
      <c r="AJ187" s="41" t="str">
        <f t="shared" si="83"/>
        <v/>
      </c>
    </row>
    <row r="188" spans="1:36">
      <c r="A188" s="384"/>
      <c r="B188" s="385"/>
      <c r="C188" s="386"/>
      <c r="D188" s="387"/>
      <c r="E188" s="386">
        <v>226.02540260000001</v>
      </c>
      <c r="F188" s="8">
        <v>10</v>
      </c>
      <c r="G188" s="21">
        <f t="shared" si="69"/>
        <v>226.3311567311539</v>
      </c>
      <c r="H188" s="37" t="str">
        <f t="shared" si="84"/>
        <v>1;6X3E82X485</v>
      </c>
      <c r="I188" s="38">
        <v>2</v>
      </c>
      <c r="J188" s="132">
        <f t="shared" si="70"/>
        <v>1.5717441439663464</v>
      </c>
      <c r="K188" s="39" t="str">
        <f>INDEX(powers!$H$2:$H$75,33+I188)</f>
        <v>hecty</v>
      </c>
      <c r="L188" s="40" t="str">
        <f t="shared" si="71"/>
        <v>1</v>
      </c>
      <c r="M188" s="24">
        <f t="shared" si="85"/>
        <v>6.8609297275961572</v>
      </c>
      <c r="N188" s="41" t="str">
        <f t="shared" si="72"/>
        <v>6</v>
      </c>
      <c r="O188" s="24">
        <f t="shared" si="86"/>
        <v>10.331156731153886</v>
      </c>
      <c r="P188" s="41" t="str">
        <f t="shared" si="73"/>
        <v>X</v>
      </c>
      <c r="Q188" s="24">
        <f t="shared" si="87"/>
        <v>3.9738807738466306</v>
      </c>
      <c r="R188" s="41" t="str">
        <f t="shared" si="74"/>
        <v>3</v>
      </c>
      <c r="S188" s="24">
        <f t="shared" si="88"/>
        <v>11.686569286159568</v>
      </c>
      <c r="T188" s="41" t="str">
        <f t="shared" si="75"/>
        <v>E</v>
      </c>
      <c r="U188" s="24">
        <f t="shared" si="89"/>
        <v>8.238831433914811</v>
      </c>
      <c r="V188" s="41" t="str">
        <f t="shared" si="76"/>
        <v>8</v>
      </c>
      <c r="W188" s="24">
        <f t="shared" si="90"/>
        <v>2.8659772069777318</v>
      </c>
      <c r="X188" s="41" t="str">
        <f t="shared" si="77"/>
        <v>2</v>
      </c>
      <c r="Y188" s="24">
        <f t="shared" si="91"/>
        <v>10.391726483732782</v>
      </c>
      <c r="Z188" s="41" t="str">
        <f t="shared" si="78"/>
        <v>X</v>
      </c>
      <c r="AA188" s="24">
        <f t="shared" si="92"/>
        <v>4.7007178047933849</v>
      </c>
      <c r="AB188" s="41" t="str">
        <f t="shared" si="79"/>
        <v>4</v>
      </c>
      <c r="AC188" s="24">
        <f t="shared" si="93"/>
        <v>8.4086136575206183</v>
      </c>
      <c r="AD188" s="41" t="str">
        <f t="shared" si="80"/>
        <v>8</v>
      </c>
      <c r="AE188" s="24">
        <f t="shared" si="94"/>
        <v>4.9033638902474195</v>
      </c>
      <c r="AF188" s="41" t="str">
        <f t="shared" si="81"/>
        <v>5</v>
      </c>
      <c r="AG188" s="24">
        <f t="shared" si="95"/>
        <v>10.840366682969034</v>
      </c>
      <c r="AH188" s="41" t="str">
        <f t="shared" si="82"/>
        <v/>
      </c>
      <c r="AI188" s="24">
        <f t="shared" si="96"/>
        <v>10.084400195628405</v>
      </c>
      <c r="AJ188" s="41" t="str">
        <f t="shared" si="83"/>
        <v/>
      </c>
    </row>
    <row r="189" spans="1:36">
      <c r="A189" s="384" t="s">
        <v>987</v>
      </c>
      <c r="B189" s="385">
        <v>89</v>
      </c>
      <c r="C189" s="386" t="s">
        <v>986</v>
      </c>
      <c r="D189" s="387">
        <v>227</v>
      </c>
      <c r="E189" s="386"/>
      <c r="F189" s="8">
        <v>2</v>
      </c>
      <c r="G189" s="21">
        <f t="shared" si="69"/>
        <v>227.30707251031762</v>
      </c>
      <c r="H189" s="37" t="str">
        <f t="shared" si="84"/>
        <v>1;6E</v>
      </c>
      <c r="I189" s="38">
        <v>2</v>
      </c>
      <c r="J189" s="132">
        <f t="shared" si="70"/>
        <v>1.5785213368772057</v>
      </c>
      <c r="K189" s="39" t="str">
        <f>INDEX(powers!$H$2:$H$75,33+I189)</f>
        <v>hecty</v>
      </c>
      <c r="L189" s="40" t="str">
        <f t="shared" si="71"/>
        <v>1</v>
      </c>
      <c r="M189" s="24">
        <f t="shared" si="85"/>
        <v>6.942256042526469</v>
      </c>
      <c r="N189" s="41" t="str">
        <f t="shared" si="72"/>
        <v>6</v>
      </c>
      <c r="O189" s="24">
        <f t="shared" si="86"/>
        <v>11.307072510317628</v>
      </c>
      <c r="P189" s="41" t="str">
        <f t="shared" si="73"/>
        <v>E</v>
      </c>
      <c r="Q189" s="24">
        <f t="shared" si="87"/>
        <v>3.6848701238115353</v>
      </c>
      <c r="R189" s="41" t="str">
        <f t="shared" si="74"/>
        <v/>
      </c>
      <c r="S189" s="24">
        <f t="shared" si="88"/>
        <v>8.218441485738424</v>
      </c>
      <c r="T189" s="41" t="str">
        <f t="shared" si="75"/>
        <v/>
      </c>
      <c r="U189" s="24">
        <f t="shared" si="89"/>
        <v>2.6212978288610884</v>
      </c>
      <c r="V189" s="41" t="str">
        <f t="shared" si="76"/>
        <v/>
      </c>
      <c r="W189" s="24">
        <f t="shared" si="90"/>
        <v>7.455573946333061</v>
      </c>
      <c r="X189" s="41" t="str">
        <f t="shared" si="77"/>
        <v/>
      </c>
      <c r="Y189" s="24">
        <f t="shared" si="91"/>
        <v>5.4668873559967324</v>
      </c>
      <c r="Z189" s="41" t="str">
        <f t="shared" si="78"/>
        <v/>
      </c>
      <c r="AA189" s="24">
        <f t="shared" si="92"/>
        <v>5.6026482719607884</v>
      </c>
      <c r="AB189" s="41" t="str">
        <f t="shared" si="79"/>
        <v/>
      </c>
      <c r="AC189" s="24">
        <f t="shared" si="93"/>
        <v>7.2317792635294609</v>
      </c>
      <c r="AD189" s="41" t="str">
        <f t="shared" si="80"/>
        <v/>
      </c>
      <c r="AE189" s="24">
        <f t="shared" si="94"/>
        <v>2.7813511623535305</v>
      </c>
      <c r="AF189" s="41" t="str">
        <f t="shared" si="81"/>
        <v/>
      </c>
      <c r="AG189" s="24">
        <f t="shared" si="95"/>
        <v>9.3762139482423663</v>
      </c>
      <c r="AH189" s="41" t="str">
        <f t="shared" si="82"/>
        <v/>
      </c>
      <c r="AI189" s="24">
        <f t="shared" si="96"/>
        <v>4.5145673789083958</v>
      </c>
      <c r="AJ189" s="41" t="str">
        <f t="shared" si="83"/>
        <v/>
      </c>
    </row>
    <row r="190" spans="1:36">
      <c r="A190" s="384"/>
      <c r="B190" s="385"/>
      <c r="C190" s="386"/>
      <c r="D190" s="387"/>
      <c r="E190" s="386">
        <v>227.02774700000001</v>
      </c>
      <c r="F190" s="8">
        <v>9</v>
      </c>
      <c r="G190" s="21">
        <f t="shared" si="69"/>
        <v>227.33485704485923</v>
      </c>
      <c r="H190" s="37" t="str">
        <f t="shared" si="84"/>
        <v>1;6E4027719</v>
      </c>
      <c r="I190" s="38">
        <v>2</v>
      </c>
      <c r="J190" s="132">
        <f t="shared" si="70"/>
        <v>1.5787142850337448</v>
      </c>
      <c r="K190" s="39" t="str">
        <f>INDEX(powers!$H$2:$H$75,33+I190)</f>
        <v>hecty</v>
      </c>
      <c r="L190" s="40" t="str">
        <f t="shared" si="71"/>
        <v>1</v>
      </c>
      <c r="M190" s="24">
        <f t="shared" si="85"/>
        <v>6.9445714204049374</v>
      </c>
      <c r="N190" s="41" t="str">
        <f t="shared" si="72"/>
        <v>6</v>
      </c>
      <c r="O190" s="24">
        <f t="shared" si="86"/>
        <v>11.334857044859248</v>
      </c>
      <c r="P190" s="41" t="str">
        <f t="shared" si="73"/>
        <v>E</v>
      </c>
      <c r="Q190" s="24">
        <f t="shared" si="87"/>
        <v>4.0182845383109793</v>
      </c>
      <c r="R190" s="41" t="str">
        <f t="shared" si="74"/>
        <v>4</v>
      </c>
      <c r="S190" s="24">
        <f t="shared" si="88"/>
        <v>0.21941445973175178</v>
      </c>
      <c r="T190" s="41" t="str">
        <f t="shared" si="75"/>
        <v>0</v>
      </c>
      <c r="U190" s="24">
        <f t="shared" si="89"/>
        <v>2.6329735167810213</v>
      </c>
      <c r="V190" s="41" t="str">
        <f t="shared" si="76"/>
        <v>2</v>
      </c>
      <c r="W190" s="24">
        <f t="shared" si="90"/>
        <v>7.5956822013722558</v>
      </c>
      <c r="X190" s="41" t="str">
        <f t="shared" si="77"/>
        <v>7</v>
      </c>
      <c r="Y190" s="24">
        <f t="shared" si="91"/>
        <v>7.1481864164670696</v>
      </c>
      <c r="Z190" s="41" t="str">
        <f t="shared" si="78"/>
        <v>7</v>
      </c>
      <c r="AA190" s="24">
        <f t="shared" si="92"/>
        <v>1.7782369976048358</v>
      </c>
      <c r="AB190" s="41" t="str">
        <f t="shared" si="79"/>
        <v>1</v>
      </c>
      <c r="AC190" s="24">
        <f t="shared" si="93"/>
        <v>9.3388439712580293</v>
      </c>
      <c r="AD190" s="41" t="str">
        <f t="shared" si="80"/>
        <v>9</v>
      </c>
      <c r="AE190" s="24">
        <f t="shared" si="94"/>
        <v>4.0661276550963521</v>
      </c>
      <c r="AF190" s="41" t="str">
        <f t="shared" si="81"/>
        <v/>
      </c>
      <c r="AG190" s="24">
        <f t="shared" si="95"/>
        <v>0.7935318611562252</v>
      </c>
      <c r="AH190" s="41" t="str">
        <f t="shared" si="82"/>
        <v/>
      </c>
      <c r="AI190" s="24">
        <f t="shared" si="96"/>
        <v>9.5223823338747025</v>
      </c>
      <c r="AJ190" s="41" t="str">
        <f t="shared" si="83"/>
        <v/>
      </c>
    </row>
    <row r="191" spans="1:36">
      <c r="A191" s="384" t="s">
        <v>989</v>
      </c>
      <c r="B191" s="385">
        <v>90</v>
      </c>
      <c r="C191" s="386" t="s">
        <v>988</v>
      </c>
      <c r="D191" s="387">
        <v>232.03806</v>
      </c>
      <c r="E191" s="386"/>
      <c r="F191" s="8">
        <v>8</v>
      </c>
      <c r="G191" s="21">
        <f t="shared" si="69"/>
        <v>232.35194770737195</v>
      </c>
      <c r="H191" s="37" t="str">
        <f t="shared" si="84"/>
        <v>1;744281EX</v>
      </c>
      <c r="I191" s="38">
        <v>2</v>
      </c>
      <c r="J191" s="132">
        <f t="shared" si="70"/>
        <v>1.6135551924123053</v>
      </c>
      <c r="K191" s="39" t="str">
        <f>INDEX(powers!$H$2:$H$75,33+I191)</f>
        <v>hecty</v>
      </c>
      <c r="L191" s="40" t="str">
        <f t="shared" si="71"/>
        <v>1</v>
      </c>
      <c r="M191" s="24">
        <f t="shared" si="85"/>
        <v>7.3626623089476633</v>
      </c>
      <c r="N191" s="41" t="str">
        <f t="shared" si="72"/>
        <v>7</v>
      </c>
      <c r="O191" s="24">
        <f t="shared" si="86"/>
        <v>4.3519477073719592</v>
      </c>
      <c r="P191" s="41" t="str">
        <f t="shared" si="73"/>
        <v>4</v>
      </c>
      <c r="Q191" s="24">
        <f t="shared" si="87"/>
        <v>4.2233724884635109</v>
      </c>
      <c r="R191" s="41" t="str">
        <f t="shared" si="74"/>
        <v>4</v>
      </c>
      <c r="S191" s="24">
        <f t="shared" si="88"/>
        <v>2.6804698615621305</v>
      </c>
      <c r="T191" s="41" t="str">
        <f t="shared" si="75"/>
        <v>2</v>
      </c>
      <c r="U191" s="24">
        <f t="shared" si="89"/>
        <v>8.1656383387455662</v>
      </c>
      <c r="V191" s="41" t="str">
        <f t="shared" si="76"/>
        <v>8</v>
      </c>
      <c r="W191" s="24">
        <f t="shared" si="90"/>
        <v>1.9876600649467946</v>
      </c>
      <c r="X191" s="41" t="str">
        <f t="shared" si="77"/>
        <v>1</v>
      </c>
      <c r="Y191" s="24">
        <f t="shared" si="91"/>
        <v>11.851920779361535</v>
      </c>
      <c r="Z191" s="41" t="str">
        <f t="shared" si="78"/>
        <v>E</v>
      </c>
      <c r="AA191" s="24">
        <f t="shared" si="92"/>
        <v>10.223049352338421</v>
      </c>
      <c r="AB191" s="41" t="str">
        <f t="shared" si="79"/>
        <v>X</v>
      </c>
      <c r="AC191" s="24">
        <f t="shared" si="93"/>
        <v>2.6765922280610539</v>
      </c>
      <c r="AD191" s="41" t="str">
        <f t="shared" si="80"/>
        <v/>
      </c>
      <c r="AE191" s="24">
        <f t="shared" si="94"/>
        <v>8.1191067367326468</v>
      </c>
      <c r="AF191" s="41" t="str">
        <f t="shared" si="81"/>
        <v/>
      </c>
      <c r="AG191" s="24">
        <f t="shared" si="95"/>
        <v>1.4292808407917619</v>
      </c>
      <c r="AH191" s="41" t="str">
        <f t="shared" si="82"/>
        <v/>
      </c>
      <c r="AI191" s="24">
        <f t="shared" si="96"/>
        <v>5.1513700895011425</v>
      </c>
      <c r="AJ191" s="41" t="str">
        <f t="shared" si="83"/>
        <v/>
      </c>
    </row>
    <row r="192" spans="1:36">
      <c r="A192" s="384"/>
      <c r="B192" s="385"/>
      <c r="C192" s="386"/>
      <c r="D192" s="387"/>
      <c r="E192" s="386">
        <v>232.03809999999999</v>
      </c>
      <c r="F192" s="8">
        <v>7</v>
      </c>
      <c r="G192" s="21">
        <f t="shared" si="69"/>
        <v>232.35198776148164</v>
      </c>
      <c r="H192" s="37" t="str">
        <f t="shared" si="84"/>
        <v>1;744282X</v>
      </c>
      <c r="I192" s="38">
        <v>2</v>
      </c>
      <c r="J192" s="132">
        <f t="shared" si="70"/>
        <v>1.6135554705658448</v>
      </c>
      <c r="K192" s="39" t="str">
        <f>INDEX(powers!$H$2:$H$75,33+I192)</f>
        <v>hecty</v>
      </c>
      <c r="L192" s="40" t="str">
        <f t="shared" si="71"/>
        <v>1</v>
      </c>
      <c r="M192" s="24">
        <f t="shared" si="85"/>
        <v>7.3626656467901377</v>
      </c>
      <c r="N192" s="41" t="str">
        <f t="shared" si="72"/>
        <v>7</v>
      </c>
      <c r="O192" s="24">
        <f t="shared" si="86"/>
        <v>4.3519877614816522</v>
      </c>
      <c r="P192" s="41" t="str">
        <f t="shared" si="73"/>
        <v>4</v>
      </c>
      <c r="Q192" s="24">
        <f t="shared" si="87"/>
        <v>4.2238531377798267</v>
      </c>
      <c r="R192" s="41" t="str">
        <f t="shared" si="74"/>
        <v>4</v>
      </c>
      <c r="S192" s="24">
        <f t="shared" si="88"/>
        <v>2.6862376533579209</v>
      </c>
      <c r="T192" s="41" t="str">
        <f t="shared" si="75"/>
        <v>2</v>
      </c>
      <c r="U192" s="24">
        <f t="shared" si="89"/>
        <v>8.2348518402950504</v>
      </c>
      <c r="V192" s="41" t="str">
        <f t="shared" si="76"/>
        <v>8</v>
      </c>
      <c r="W192" s="24">
        <f t="shared" si="90"/>
        <v>2.8182220835406042</v>
      </c>
      <c r="X192" s="41" t="str">
        <f t="shared" si="77"/>
        <v>2</v>
      </c>
      <c r="Y192" s="24">
        <f t="shared" si="91"/>
        <v>9.8186650024872506</v>
      </c>
      <c r="Z192" s="41" t="str">
        <f t="shared" si="78"/>
        <v>X</v>
      </c>
      <c r="AA192" s="24">
        <f t="shared" si="92"/>
        <v>9.8239800298470072</v>
      </c>
      <c r="AB192" s="41" t="str">
        <f t="shared" si="79"/>
        <v/>
      </c>
      <c r="AC192" s="24">
        <f t="shared" si="93"/>
        <v>9.8877603581640869</v>
      </c>
      <c r="AD192" s="41" t="str">
        <f t="shared" si="80"/>
        <v/>
      </c>
      <c r="AE192" s="24">
        <f t="shared" si="94"/>
        <v>10.653124297969043</v>
      </c>
      <c r="AF192" s="41" t="str">
        <f t="shared" si="81"/>
        <v/>
      </c>
      <c r="AG192" s="24">
        <f t="shared" si="95"/>
        <v>7.8374915756285191</v>
      </c>
      <c r="AH192" s="41" t="str">
        <f t="shared" si="82"/>
        <v/>
      </c>
      <c r="AI192" s="24">
        <f t="shared" si="96"/>
        <v>10.049898907542229</v>
      </c>
      <c r="AJ192" s="41" t="str">
        <f t="shared" si="83"/>
        <v/>
      </c>
    </row>
    <row r="193" spans="1:36">
      <c r="A193" s="384" t="s">
        <v>991</v>
      </c>
      <c r="B193" s="385">
        <v>91</v>
      </c>
      <c r="C193" s="386" t="s">
        <v>990</v>
      </c>
      <c r="D193" s="387">
        <v>231.03587999999999</v>
      </c>
      <c r="E193" s="386"/>
      <c r="F193" s="8">
        <v>8</v>
      </c>
      <c r="G193" s="21">
        <f t="shared" si="69"/>
        <v>231.34841201605744</v>
      </c>
      <c r="H193" s="37" t="str">
        <f t="shared" si="84"/>
        <v>1;73422081</v>
      </c>
      <c r="I193" s="38">
        <v>2</v>
      </c>
      <c r="J193" s="132">
        <f t="shared" si="70"/>
        <v>1.6065861945559545</v>
      </c>
      <c r="K193" s="39" t="str">
        <f>INDEX(powers!$H$2:$H$75,33+I193)</f>
        <v>hecty</v>
      </c>
      <c r="L193" s="40" t="str">
        <f t="shared" si="71"/>
        <v>1</v>
      </c>
      <c r="M193" s="24">
        <f t="shared" si="85"/>
        <v>7.2790343346714543</v>
      </c>
      <c r="N193" s="41" t="str">
        <f t="shared" si="72"/>
        <v>7</v>
      </c>
      <c r="O193" s="24">
        <f t="shared" si="86"/>
        <v>3.348412016057452</v>
      </c>
      <c r="P193" s="41" t="str">
        <f t="shared" si="73"/>
        <v>3</v>
      </c>
      <c r="Q193" s="24">
        <f t="shared" si="87"/>
        <v>4.1809441926894237</v>
      </c>
      <c r="R193" s="41" t="str">
        <f t="shared" si="74"/>
        <v>4</v>
      </c>
      <c r="S193" s="24">
        <f t="shared" si="88"/>
        <v>2.1713303122730849</v>
      </c>
      <c r="T193" s="41" t="str">
        <f t="shared" si="75"/>
        <v>2</v>
      </c>
      <c r="U193" s="24">
        <f t="shared" si="89"/>
        <v>2.0559637472770191</v>
      </c>
      <c r="V193" s="41" t="str">
        <f t="shared" si="76"/>
        <v>2</v>
      </c>
      <c r="W193" s="24">
        <f t="shared" si="90"/>
        <v>0.67156496732422966</v>
      </c>
      <c r="X193" s="41" t="str">
        <f t="shared" si="77"/>
        <v>0</v>
      </c>
      <c r="Y193" s="24">
        <f t="shared" si="91"/>
        <v>8.0587796078907559</v>
      </c>
      <c r="Z193" s="41" t="str">
        <f t="shared" si="78"/>
        <v>8</v>
      </c>
      <c r="AA193" s="24">
        <f t="shared" si="92"/>
        <v>0.70535529468907043</v>
      </c>
      <c r="AB193" s="41" t="str">
        <f t="shared" si="79"/>
        <v>1</v>
      </c>
      <c r="AC193" s="24">
        <f t="shared" si="93"/>
        <v>8.4642635362688452</v>
      </c>
      <c r="AD193" s="41" t="str">
        <f t="shared" si="80"/>
        <v/>
      </c>
      <c r="AE193" s="24">
        <f t="shared" si="94"/>
        <v>5.5711624352261424</v>
      </c>
      <c r="AF193" s="41" t="str">
        <f t="shared" si="81"/>
        <v/>
      </c>
      <c r="AG193" s="24">
        <f t="shared" si="95"/>
        <v>6.8539492227137089</v>
      </c>
      <c r="AH193" s="41" t="str">
        <f t="shared" si="82"/>
        <v/>
      </c>
      <c r="AI193" s="24">
        <f t="shared" si="96"/>
        <v>10.247390672564507</v>
      </c>
      <c r="AJ193" s="41" t="str">
        <f t="shared" si="83"/>
        <v/>
      </c>
    </row>
    <row r="194" spans="1:36">
      <c r="A194" s="384" t="s">
        <v>993</v>
      </c>
      <c r="B194" s="385">
        <v>92</v>
      </c>
      <c r="C194" s="386" t="s">
        <v>992</v>
      </c>
      <c r="D194" s="387">
        <v>238.02891</v>
      </c>
      <c r="E194" s="388"/>
      <c r="F194" s="8">
        <v>8</v>
      </c>
      <c r="G194" s="21">
        <f t="shared" si="69"/>
        <v>238.35090178379679</v>
      </c>
      <c r="H194" s="37" t="str">
        <f t="shared" si="84"/>
        <v>1;7X426437</v>
      </c>
      <c r="I194" s="38">
        <v>2</v>
      </c>
      <c r="J194" s="132">
        <f t="shared" si="70"/>
        <v>1.6552145957208111</v>
      </c>
      <c r="K194" s="39" t="str">
        <f>INDEX(powers!$H$2:$H$75,33+I194)</f>
        <v>hecty</v>
      </c>
      <c r="L194" s="40" t="str">
        <f t="shared" si="71"/>
        <v>1</v>
      </c>
      <c r="M194" s="24">
        <f t="shared" si="85"/>
        <v>7.8625751486497331</v>
      </c>
      <c r="N194" s="41" t="str">
        <f t="shared" si="72"/>
        <v>7</v>
      </c>
      <c r="O194" s="24">
        <f t="shared" si="86"/>
        <v>10.350901783796797</v>
      </c>
      <c r="P194" s="41" t="str">
        <f t="shared" si="73"/>
        <v>X</v>
      </c>
      <c r="Q194" s="24">
        <f t="shared" si="87"/>
        <v>4.2108214055615605</v>
      </c>
      <c r="R194" s="41" t="str">
        <f t="shared" si="74"/>
        <v>4</v>
      </c>
      <c r="S194" s="24">
        <f t="shared" si="88"/>
        <v>2.5298568667387258</v>
      </c>
      <c r="T194" s="41" t="str">
        <f t="shared" si="75"/>
        <v>2</v>
      </c>
      <c r="U194" s="24">
        <f t="shared" si="89"/>
        <v>6.3582824008647094</v>
      </c>
      <c r="V194" s="41" t="str">
        <f t="shared" si="76"/>
        <v>6</v>
      </c>
      <c r="W194" s="24">
        <f t="shared" si="90"/>
        <v>4.299388810376513</v>
      </c>
      <c r="X194" s="41" t="str">
        <f t="shared" si="77"/>
        <v>4</v>
      </c>
      <c r="Y194" s="24">
        <f t="shared" si="91"/>
        <v>3.5926657245181559</v>
      </c>
      <c r="Z194" s="41" t="str">
        <f t="shared" si="78"/>
        <v>3</v>
      </c>
      <c r="AA194" s="24">
        <f t="shared" si="92"/>
        <v>7.1119886942178709</v>
      </c>
      <c r="AB194" s="41" t="str">
        <f t="shared" si="79"/>
        <v>7</v>
      </c>
      <c r="AC194" s="24">
        <f t="shared" si="93"/>
        <v>1.3438643306144513</v>
      </c>
      <c r="AD194" s="41" t="str">
        <f t="shared" si="80"/>
        <v/>
      </c>
      <c r="AE194" s="24">
        <f t="shared" si="94"/>
        <v>4.1263719673734158</v>
      </c>
      <c r="AF194" s="41" t="str">
        <f t="shared" si="81"/>
        <v/>
      </c>
      <c r="AG194" s="24">
        <f t="shared" si="95"/>
        <v>1.5164636084809899</v>
      </c>
      <c r="AH194" s="41" t="str">
        <f t="shared" si="82"/>
        <v/>
      </c>
      <c r="AI194" s="24">
        <f t="shared" si="96"/>
        <v>6.1975633017718792</v>
      </c>
      <c r="AJ194" s="41" t="str">
        <f t="shared" si="83"/>
        <v/>
      </c>
    </row>
    <row r="195" spans="1:36">
      <c r="A195" s="384"/>
      <c r="B195" s="385"/>
      <c r="C195" s="386"/>
      <c r="D195" s="387"/>
      <c r="E195" s="386">
        <v>238.05078259999999</v>
      </c>
      <c r="F195" s="8">
        <v>10</v>
      </c>
      <c r="G195" s="21">
        <f t="shared" si="69"/>
        <v>238.37280397178878</v>
      </c>
      <c r="H195" s="37" t="str">
        <f t="shared" si="84"/>
        <v>1;7X45825684</v>
      </c>
      <c r="I195" s="38">
        <v>2</v>
      </c>
      <c r="J195" s="132">
        <f t="shared" si="70"/>
        <v>1.6553666942485332</v>
      </c>
      <c r="K195" s="39" t="str">
        <f>INDEX(powers!$H$2:$H$75,33+I195)</f>
        <v>hecty</v>
      </c>
      <c r="L195" s="40" t="str">
        <f t="shared" si="71"/>
        <v>1</v>
      </c>
      <c r="M195" s="24">
        <f t="shared" si="85"/>
        <v>7.8644003309823987</v>
      </c>
      <c r="N195" s="41" t="str">
        <f t="shared" si="72"/>
        <v>7</v>
      </c>
      <c r="O195" s="24">
        <f t="shared" si="86"/>
        <v>10.372803971788784</v>
      </c>
      <c r="P195" s="41" t="str">
        <f t="shared" si="73"/>
        <v>X</v>
      </c>
      <c r="Q195" s="24">
        <f t="shared" si="87"/>
        <v>4.4736476614654066</v>
      </c>
      <c r="R195" s="41" t="str">
        <f t="shared" si="74"/>
        <v>4</v>
      </c>
      <c r="S195" s="24">
        <f t="shared" si="88"/>
        <v>5.6837719375848792</v>
      </c>
      <c r="T195" s="41" t="str">
        <f t="shared" si="75"/>
        <v>5</v>
      </c>
      <c r="U195" s="24">
        <f t="shared" si="89"/>
        <v>8.2052632510185504</v>
      </c>
      <c r="V195" s="41" t="str">
        <f t="shared" si="76"/>
        <v>8</v>
      </c>
      <c r="W195" s="24">
        <f t="shared" si="90"/>
        <v>2.4631590122226044</v>
      </c>
      <c r="X195" s="41" t="str">
        <f t="shared" si="77"/>
        <v>2</v>
      </c>
      <c r="Y195" s="24">
        <f t="shared" si="91"/>
        <v>5.5579081466712523</v>
      </c>
      <c r="Z195" s="41" t="str">
        <f t="shared" si="78"/>
        <v>5</v>
      </c>
      <c r="AA195" s="24">
        <f t="shared" si="92"/>
        <v>6.6948977600550279</v>
      </c>
      <c r="AB195" s="41" t="str">
        <f t="shared" si="79"/>
        <v>6</v>
      </c>
      <c r="AC195" s="24">
        <f t="shared" si="93"/>
        <v>8.3387731206603348</v>
      </c>
      <c r="AD195" s="41" t="str">
        <f t="shared" si="80"/>
        <v>8</v>
      </c>
      <c r="AE195" s="24">
        <f t="shared" si="94"/>
        <v>4.0652774479240179</v>
      </c>
      <c r="AF195" s="41" t="str">
        <f t="shared" si="81"/>
        <v>4</v>
      </c>
      <c r="AG195" s="24">
        <f t="shared" si="95"/>
        <v>0.78332937508821487</v>
      </c>
      <c r="AH195" s="41" t="str">
        <f t="shared" si="82"/>
        <v/>
      </c>
      <c r="AI195" s="24">
        <f t="shared" si="96"/>
        <v>9.3999525010585785</v>
      </c>
      <c r="AJ195" s="41" t="str">
        <f t="shared" si="83"/>
        <v/>
      </c>
    </row>
    <row r="196" spans="1:36">
      <c r="A196" s="384" t="s">
        <v>995</v>
      </c>
      <c r="B196" s="385">
        <v>93</v>
      </c>
      <c r="C196" s="386" t="s">
        <v>994</v>
      </c>
      <c r="D196" s="387">
        <v>237</v>
      </c>
      <c r="E196" s="386"/>
      <c r="F196" s="8">
        <v>2</v>
      </c>
      <c r="G196" s="21">
        <f t="shared" si="69"/>
        <v>237.32059993367963</v>
      </c>
      <c r="H196" s="37" t="str">
        <f t="shared" si="84"/>
        <v>1;79</v>
      </c>
      <c r="I196" s="38">
        <v>2</v>
      </c>
      <c r="J196" s="132">
        <f t="shared" si="70"/>
        <v>1.6480597217616642</v>
      </c>
      <c r="K196" s="39" t="str">
        <f>INDEX(powers!$H$2:$H$75,33+I196)</f>
        <v>hecty</v>
      </c>
      <c r="L196" s="40" t="str">
        <f t="shared" si="71"/>
        <v>1</v>
      </c>
      <c r="M196" s="24">
        <f t="shared" si="85"/>
        <v>7.7767166611399698</v>
      </c>
      <c r="N196" s="41" t="str">
        <f t="shared" si="72"/>
        <v>7</v>
      </c>
      <c r="O196" s="24">
        <f t="shared" si="86"/>
        <v>9.3205999336796381</v>
      </c>
      <c r="P196" s="41" t="str">
        <f t="shared" si="73"/>
        <v>9</v>
      </c>
      <c r="Q196" s="24">
        <f t="shared" si="87"/>
        <v>3.8471992041556575</v>
      </c>
      <c r="R196" s="41" t="str">
        <f t="shared" si="74"/>
        <v/>
      </c>
      <c r="S196" s="24">
        <f t="shared" si="88"/>
        <v>10.16639044986789</v>
      </c>
      <c r="T196" s="41" t="str">
        <f t="shared" si="75"/>
        <v/>
      </c>
      <c r="U196" s="24">
        <f t="shared" si="89"/>
        <v>1.9966853984146837</v>
      </c>
      <c r="V196" s="41" t="str">
        <f t="shared" si="76"/>
        <v/>
      </c>
      <c r="W196" s="24">
        <f t="shared" si="90"/>
        <v>11.960224780976205</v>
      </c>
      <c r="X196" s="41" t="str">
        <f t="shared" si="77"/>
        <v/>
      </c>
      <c r="Y196" s="24">
        <f t="shared" si="91"/>
        <v>11.522697371714457</v>
      </c>
      <c r="Z196" s="41" t="str">
        <f t="shared" si="78"/>
        <v/>
      </c>
      <c r="AA196" s="24">
        <f t="shared" si="92"/>
        <v>6.2723684605734888</v>
      </c>
      <c r="AB196" s="41" t="str">
        <f t="shared" si="79"/>
        <v/>
      </c>
      <c r="AC196" s="24">
        <f t="shared" si="93"/>
        <v>3.2684215268818662</v>
      </c>
      <c r="AD196" s="41" t="str">
        <f t="shared" si="80"/>
        <v/>
      </c>
      <c r="AE196" s="24">
        <f t="shared" si="94"/>
        <v>3.2210583225823939</v>
      </c>
      <c r="AF196" s="41" t="str">
        <f t="shared" si="81"/>
        <v/>
      </c>
      <c r="AG196" s="24">
        <f t="shared" si="95"/>
        <v>2.6526998709887266</v>
      </c>
      <c r="AH196" s="41" t="str">
        <f t="shared" si="82"/>
        <v/>
      </c>
      <c r="AI196" s="24">
        <f t="shared" si="96"/>
        <v>7.8323984518647194</v>
      </c>
      <c r="AJ196" s="41" t="str">
        <f t="shared" si="83"/>
        <v/>
      </c>
    </row>
    <row r="197" spans="1:36">
      <c r="A197" s="384"/>
      <c r="B197" s="385"/>
      <c r="C197" s="386"/>
      <c r="D197" s="387"/>
      <c r="E197" s="386">
        <v>237.04816729999999</v>
      </c>
      <c r="F197" s="8">
        <v>10</v>
      </c>
      <c r="G197" s="21">
        <f t="shared" si="69"/>
        <v>237.36883239162555</v>
      </c>
      <c r="H197" s="37" t="str">
        <f t="shared" si="84"/>
        <v>1;7945141375</v>
      </c>
      <c r="I197" s="38">
        <v>2</v>
      </c>
      <c r="J197" s="132">
        <f t="shared" si="70"/>
        <v>1.6483946693862885</v>
      </c>
      <c r="K197" s="39" t="str">
        <f>INDEX(powers!$H$2:$H$75,33+I197)</f>
        <v>hecty</v>
      </c>
      <c r="L197" s="40" t="str">
        <f t="shared" si="71"/>
        <v>1</v>
      </c>
      <c r="M197" s="24">
        <f t="shared" si="85"/>
        <v>7.7807360326354624</v>
      </c>
      <c r="N197" s="41" t="str">
        <f t="shared" si="72"/>
        <v>7</v>
      </c>
      <c r="O197" s="24">
        <f t="shared" si="86"/>
        <v>9.3688323916255491</v>
      </c>
      <c r="P197" s="41" t="str">
        <f t="shared" si="73"/>
        <v>9</v>
      </c>
      <c r="Q197" s="24">
        <f t="shared" si="87"/>
        <v>4.4259886995065898</v>
      </c>
      <c r="R197" s="41" t="str">
        <f t="shared" si="74"/>
        <v>4</v>
      </c>
      <c r="S197" s="24">
        <f t="shared" si="88"/>
        <v>5.1118643940790776</v>
      </c>
      <c r="T197" s="41" t="str">
        <f t="shared" si="75"/>
        <v>5</v>
      </c>
      <c r="U197" s="24">
        <f t="shared" si="89"/>
        <v>1.3423727289489307</v>
      </c>
      <c r="V197" s="41" t="str">
        <f t="shared" si="76"/>
        <v>1</v>
      </c>
      <c r="W197" s="24">
        <f t="shared" si="90"/>
        <v>4.1084727473871681</v>
      </c>
      <c r="X197" s="41" t="str">
        <f t="shared" si="77"/>
        <v>4</v>
      </c>
      <c r="Y197" s="24">
        <f t="shared" si="91"/>
        <v>1.3016729686460167</v>
      </c>
      <c r="Z197" s="41" t="str">
        <f t="shared" si="78"/>
        <v>1</v>
      </c>
      <c r="AA197" s="24">
        <f t="shared" si="92"/>
        <v>3.6200756237522</v>
      </c>
      <c r="AB197" s="41" t="str">
        <f t="shared" si="79"/>
        <v>3</v>
      </c>
      <c r="AC197" s="24">
        <f t="shared" si="93"/>
        <v>7.4409074850264005</v>
      </c>
      <c r="AD197" s="41" t="str">
        <f t="shared" si="80"/>
        <v>7</v>
      </c>
      <c r="AE197" s="24">
        <f t="shared" si="94"/>
        <v>5.2908898203168064</v>
      </c>
      <c r="AF197" s="41" t="str">
        <f t="shared" si="81"/>
        <v>5</v>
      </c>
      <c r="AG197" s="24">
        <f t="shared" si="95"/>
        <v>3.4906778438016772</v>
      </c>
      <c r="AH197" s="41" t="str">
        <f t="shared" si="82"/>
        <v/>
      </c>
      <c r="AI197" s="24">
        <f t="shared" si="96"/>
        <v>5.8881341256201267</v>
      </c>
      <c r="AJ197" s="41" t="str">
        <f t="shared" si="83"/>
        <v/>
      </c>
    </row>
    <row r="198" spans="1:36">
      <c r="A198" s="384" t="s">
        <v>997</v>
      </c>
      <c r="B198" s="385">
        <v>94</v>
      </c>
      <c r="C198" s="386" t="s">
        <v>996</v>
      </c>
      <c r="D198" s="387">
        <v>239</v>
      </c>
      <c r="E198" s="386"/>
      <c r="F198" s="8">
        <v>2</v>
      </c>
      <c r="G198" s="21">
        <f t="shared" si="69"/>
        <v>239.32330541835205</v>
      </c>
      <c r="H198" s="37" t="str">
        <f t="shared" si="84"/>
        <v>1;7E</v>
      </c>
      <c r="I198" s="38">
        <v>2</v>
      </c>
      <c r="J198" s="132">
        <f t="shared" si="70"/>
        <v>1.6619673987385559</v>
      </c>
      <c r="K198" s="39" t="str">
        <f>INDEX(powers!$H$2:$H$75,33+I198)</f>
        <v>hecty</v>
      </c>
      <c r="L198" s="40" t="str">
        <f t="shared" si="71"/>
        <v>1</v>
      </c>
      <c r="M198" s="24">
        <f t="shared" si="85"/>
        <v>7.9436087848626711</v>
      </c>
      <c r="N198" s="41" t="str">
        <f t="shared" si="72"/>
        <v>7</v>
      </c>
      <c r="O198" s="24">
        <f t="shared" si="86"/>
        <v>11.323305418352053</v>
      </c>
      <c r="P198" s="41" t="str">
        <f t="shared" si="73"/>
        <v>E</v>
      </c>
      <c r="Q198" s="24">
        <f t="shared" si="87"/>
        <v>3.8796650202246354</v>
      </c>
      <c r="R198" s="41" t="str">
        <f t="shared" si="74"/>
        <v/>
      </c>
      <c r="S198" s="24">
        <f t="shared" si="88"/>
        <v>10.555980242695625</v>
      </c>
      <c r="T198" s="41" t="str">
        <f t="shared" si="75"/>
        <v/>
      </c>
      <c r="U198" s="24">
        <f t="shared" si="89"/>
        <v>6.6717629123475035</v>
      </c>
      <c r="V198" s="41" t="str">
        <f t="shared" si="76"/>
        <v/>
      </c>
      <c r="W198" s="24">
        <f t="shared" si="90"/>
        <v>8.0611549481700422</v>
      </c>
      <c r="X198" s="41" t="str">
        <f t="shared" si="77"/>
        <v/>
      </c>
      <c r="Y198" s="24">
        <f t="shared" si="91"/>
        <v>0.73385937804050627</v>
      </c>
      <c r="Z198" s="41" t="str">
        <f t="shared" si="78"/>
        <v/>
      </c>
      <c r="AA198" s="24">
        <f t="shared" si="92"/>
        <v>8.8063125364860753</v>
      </c>
      <c r="AB198" s="41" t="str">
        <f t="shared" si="79"/>
        <v/>
      </c>
      <c r="AC198" s="24">
        <f t="shared" si="93"/>
        <v>9.6757504378329031</v>
      </c>
      <c r="AD198" s="41" t="str">
        <f t="shared" si="80"/>
        <v/>
      </c>
      <c r="AE198" s="24">
        <f t="shared" si="94"/>
        <v>8.1090052539948374</v>
      </c>
      <c r="AF198" s="41" t="str">
        <f t="shared" si="81"/>
        <v/>
      </c>
      <c r="AG198" s="24">
        <f t="shared" si="95"/>
        <v>1.3080630479380488</v>
      </c>
      <c r="AH198" s="41" t="str">
        <f t="shared" si="82"/>
        <v/>
      </c>
      <c r="AI198" s="24">
        <f t="shared" si="96"/>
        <v>3.6967565752565861</v>
      </c>
      <c r="AJ198" s="41" t="str">
        <f t="shared" si="83"/>
        <v/>
      </c>
    </row>
    <row r="199" spans="1:36">
      <c r="A199" s="384"/>
      <c r="B199" s="385"/>
      <c r="C199" s="386"/>
      <c r="D199" s="387"/>
      <c r="E199" s="386">
        <v>239.0521565</v>
      </c>
      <c r="F199" s="8">
        <v>10</v>
      </c>
      <c r="G199" s="21">
        <f t="shared" si="69"/>
        <v>239.37553247265768</v>
      </c>
      <c r="H199" s="37" t="str">
        <f t="shared" si="84"/>
        <v>1;7E460E05E5</v>
      </c>
      <c r="I199" s="38">
        <v>2</v>
      </c>
      <c r="J199" s="132">
        <f t="shared" si="70"/>
        <v>1.6623300866156783</v>
      </c>
      <c r="K199" s="39" t="str">
        <f>INDEX(powers!$H$2:$H$75,33+I199)</f>
        <v>hecty</v>
      </c>
      <c r="L199" s="40" t="str">
        <f t="shared" si="71"/>
        <v>1</v>
      </c>
      <c r="M199" s="24">
        <f t="shared" si="85"/>
        <v>7.9479610393881392</v>
      </c>
      <c r="N199" s="41" t="str">
        <f t="shared" si="72"/>
        <v>7</v>
      </c>
      <c r="O199" s="24">
        <f t="shared" si="86"/>
        <v>11.375532472657671</v>
      </c>
      <c r="P199" s="41" t="str">
        <f t="shared" si="73"/>
        <v>E</v>
      </c>
      <c r="Q199" s="24">
        <f t="shared" si="87"/>
        <v>4.5063896718920518</v>
      </c>
      <c r="R199" s="41" t="str">
        <f t="shared" si="74"/>
        <v>4</v>
      </c>
      <c r="S199" s="24">
        <f t="shared" si="88"/>
        <v>6.076676062704621</v>
      </c>
      <c r="T199" s="41" t="str">
        <f t="shared" si="75"/>
        <v>6</v>
      </c>
      <c r="U199" s="24">
        <f t="shared" si="89"/>
        <v>0.92011275245545221</v>
      </c>
      <c r="V199" s="41" t="str">
        <f t="shared" si="76"/>
        <v>0</v>
      </c>
      <c r="W199" s="24">
        <f t="shared" si="90"/>
        <v>11.041353029465427</v>
      </c>
      <c r="X199" s="41" t="str">
        <f t="shared" si="77"/>
        <v>E</v>
      </c>
      <c r="Y199" s="24">
        <f t="shared" si="91"/>
        <v>0.4962363535851182</v>
      </c>
      <c r="Z199" s="41" t="str">
        <f t="shared" si="78"/>
        <v>0</v>
      </c>
      <c r="AA199" s="24">
        <f t="shared" si="92"/>
        <v>5.9548362430214183</v>
      </c>
      <c r="AB199" s="41" t="str">
        <f t="shared" si="79"/>
        <v>5</v>
      </c>
      <c r="AC199" s="24">
        <f t="shared" si="93"/>
        <v>11.45803491625702</v>
      </c>
      <c r="AD199" s="41" t="str">
        <f t="shared" si="80"/>
        <v>E</v>
      </c>
      <c r="AE199" s="24">
        <f t="shared" si="94"/>
        <v>5.496418995084241</v>
      </c>
      <c r="AF199" s="41" t="str">
        <f t="shared" si="81"/>
        <v>5</v>
      </c>
      <c r="AG199" s="24">
        <f t="shared" si="95"/>
        <v>5.9570279410108924</v>
      </c>
      <c r="AH199" s="41" t="str">
        <f t="shared" si="82"/>
        <v/>
      </c>
      <c r="AI199" s="24">
        <f t="shared" si="96"/>
        <v>11.484335292130709</v>
      </c>
      <c r="AJ199" s="41" t="str">
        <f t="shared" si="83"/>
        <v/>
      </c>
    </row>
    <row r="200" spans="1:36">
      <c r="A200" s="384" t="s">
        <v>999</v>
      </c>
      <c r="B200" s="385">
        <v>95</v>
      </c>
      <c r="C200" s="386" t="s">
        <v>998</v>
      </c>
      <c r="D200" s="387">
        <v>243</v>
      </c>
      <c r="E200" s="386"/>
      <c r="F200" s="8">
        <v>2</v>
      </c>
      <c r="G200" s="21">
        <f t="shared" si="69"/>
        <v>243.32871638769683</v>
      </c>
      <c r="H200" s="37" t="str">
        <f t="shared" si="84"/>
        <v>1;83</v>
      </c>
      <c r="I200" s="38">
        <v>2</v>
      </c>
      <c r="J200" s="132">
        <f t="shared" si="70"/>
        <v>1.689782752692339</v>
      </c>
      <c r="K200" s="39" t="str">
        <f>INDEX(powers!$H$2:$H$75,33+I200)</f>
        <v>hecty</v>
      </c>
      <c r="L200" s="40" t="str">
        <f t="shared" si="71"/>
        <v>1</v>
      </c>
      <c r="M200" s="24">
        <f t="shared" si="85"/>
        <v>8.2773930323080691</v>
      </c>
      <c r="N200" s="41" t="str">
        <f t="shared" si="72"/>
        <v>8</v>
      </c>
      <c r="O200" s="24">
        <f t="shared" si="86"/>
        <v>3.3287163876968293</v>
      </c>
      <c r="P200" s="41" t="str">
        <f t="shared" si="73"/>
        <v>3</v>
      </c>
      <c r="Q200" s="24">
        <f t="shared" si="87"/>
        <v>3.9445966523619518</v>
      </c>
      <c r="R200" s="41" t="str">
        <f t="shared" si="74"/>
        <v/>
      </c>
      <c r="S200" s="24">
        <f t="shared" si="88"/>
        <v>11.335159828343421</v>
      </c>
      <c r="T200" s="41" t="str">
        <f t="shared" si="75"/>
        <v/>
      </c>
      <c r="U200" s="24">
        <f t="shared" si="89"/>
        <v>4.0219179401210567</v>
      </c>
      <c r="V200" s="41" t="str">
        <f t="shared" si="76"/>
        <v/>
      </c>
      <c r="W200" s="24">
        <f t="shared" si="90"/>
        <v>0.26301528145268094</v>
      </c>
      <c r="X200" s="41" t="str">
        <f t="shared" si="77"/>
        <v/>
      </c>
      <c r="Y200" s="24">
        <f t="shared" si="91"/>
        <v>3.1561833774321713</v>
      </c>
      <c r="Z200" s="41" t="str">
        <f t="shared" si="78"/>
        <v/>
      </c>
      <c r="AA200" s="24">
        <f t="shared" si="92"/>
        <v>1.8742005291860551</v>
      </c>
      <c r="AB200" s="41" t="str">
        <f t="shared" si="79"/>
        <v/>
      </c>
      <c r="AC200" s="24">
        <f t="shared" si="93"/>
        <v>10.490406350232661</v>
      </c>
      <c r="AD200" s="41" t="str">
        <f t="shared" si="80"/>
        <v/>
      </c>
      <c r="AE200" s="24">
        <f t="shared" si="94"/>
        <v>5.8848762027919292</v>
      </c>
      <c r="AF200" s="41" t="str">
        <f t="shared" si="81"/>
        <v/>
      </c>
      <c r="AG200" s="24">
        <f t="shared" si="95"/>
        <v>10.618514433503151</v>
      </c>
      <c r="AH200" s="41" t="str">
        <f t="shared" si="82"/>
        <v/>
      </c>
      <c r="AI200" s="24">
        <f t="shared" si="96"/>
        <v>7.4221732020378113</v>
      </c>
      <c r="AJ200" s="41" t="str">
        <f t="shared" si="83"/>
        <v/>
      </c>
    </row>
    <row r="201" spans="1:36">
      <c r="A201" s="384"/>
      <c r="B201" s="385"/>
      <c r="C201" s="386"/>
      <c r="D201" s="387"/>
      <c r="E201" s="386">
        <v>243.06137269999999</v>
      </c>
      <c r="F201" s="8">
        <v>10</v>
      </c>
      <c r="G201" s="21">
        <f t="shared" si="69"/>
        <v>243.39017210914642</v>
      </c>
      <c r="H201" s="37" t="str">
        <f t="shared" si="84"/>
        <v>1;8348227381</v>
      </c>
      <c r="I201" s="38">
        <v>2</v>
      </c>
      <c r="J201" s="132">
        <f t="shared" si="70"/>
        <v>1.690209528535739</v>
      </c>
      <c r="K201" s="39" t="str">
        <f>INDEX(powers!$H$2:$H$75,33+I201)</f>
        <v>hecty</v>
      </c>
      <c r="L201" s="40" t="str">
        <f t="shared" si="71"/>
        <v>1</v>
      </c>
      <c r="M201" s="24">
        <f t="shared" si="85"/>
        <v>8.2825143424288683</v>
      </c>
      <c r="N201" s="41" t="str">
        <f t="shared" si="72"/>
        <v>8</v>
      </c>
      <c r="O201" s="24">
        <f t="shared" si="86"/>
        <v>3.3901721091464196</v>
      </c>
      <c r="P201" s="41" t="str">
        <f t="shared" si="73"/>
        <v>3</v>
      </c>
      <c r="Q201" s="24">
        <f t="shared" si="87"/>
        <v>4.6820653097570357</v>
      </c>
      <c r="R201" s="41" t="str">
        <f t="shared" si="74"/>
        <v>4</v>
      </c>
      <c r="S201" s="24">
        <f t="shared" si="88"/>
        <v>8.1847837170844286</v>
      </c>
      <c r="T201" s="41" t="str">
        <f t="shared" si="75"/>
        <v>8</v>
      </c>
      <c r="U201" s="24">
        <f t="shared" si="89"/>
        <v>2.2174046050131437</v>
      </c>
      <c r="V201" s="41" t="str">
        <f t="shared" si="76"/>
        <v>2</v>
      </c>
      <c r="W201" s="24">
        <f t="shared" si="90"/>
        <v>2.6088552601577248</v>
      </c>
      <c r="X201" s="41" t="str">
        <f t="shared" si="77"/>
        <v>2</v>
      </c>
      <c r="Y201" s="24">
        <f t="shared" si="91"/>
        <v>7.3062631218926981</v>
      </c>
      <c r="Z201" s="41" t="str">
        <f t="shared" si="78"/>
        <v>7</v>
      </c>
      <c r="AA201" s="24">
        <f t="shared" si="92"/>
        <v>3.6751574627123773</v>
      </c>
      <c r="AB201" s="41" t="str">
        <f t="shared" si="79"/>
        <v>3</v>
      </c>
      <c r="AC201" s="24">
        <f t="shared" si="93"/>
        <v>8.1018895525485277</v>
      </c>
      <c r="AD201" s="41" t="str">
        <f t="shared" si="80"/>
        <v>8</v>
      </c>
      <c r="AE201" s="24">
        <f t="shared" si="94"/>
        <v>1.2226746305823326</v>
      </c>
      <c r="AF201" s="41" t="str">
        <f t="shared" si="81"/>
        <v>1</v>
      </c>
      <c r="AG201" s="24">
        <f t="shared" si="95"/>
        <v>2.6720955669879913</v>
      </c>
      <c r="AH201" s="41" t="str">
        <f t="shared" si="82"/>
        <v/>
      </c>
      <c r="AI201" s="24">
        <f t="shared" si="96"/>
        <v>8.065146803855896</v>
      </c>
      <c r="AJ201" s="41" t="str">
        <f t="shared" si="83"/>
        <v/>
      </c>
    </row>
    <row r="202" spans="1:36">
      <c r="A202" s="384" t="s">
        <v>1001</v>
      </c>
      <c r="B202" s="385">
        <v>96</v>
      </c>
      <c r="C202" s="386" t="s">
        <v>1000</v>
      </c>
      <c r="D202" s="387">
        <v>247</v>
      </c>
      <c r="E202" s="386"/>
      <c r="F202" s="8">
        <v>2</v>
      </c>
      <c r="G202" s="21">
        <f t="shared" ref="G202:G237" si="97">MAX(D202,E202)*G$7+0.0000000000001</f>
        <v>247.33412735704164</v>
      </c>
      <c r="H202" s="37" t="str">
        <f t="shared" si="84"/>
        <v>1;87</v>
      </c>
      <c r="I202" s="38">
        <v>2</v>
      </c>
      <c r="J202" s="132">
        <f t="shared" ref="J202:J237" si="98">G202/POWER(12,I202)</f>
        <v>1.7175981066461226</v>
      </c>
      <c r="K202" s="39" t="str">
        <f>INDEX(powers!$H$2:$H$75,33+I202)</f>
        <v>hecty</v>
      </c>
      <c r="L202" s="40" t="str">
        <f t="shared" ref="L202:L237" si="99">IF($F202&gt;=L$9,MID($I$9,IF($F202&gt;L$9,INT(J202),ROUND(J202,0))+1,1),"")</f>
        <v>1</v>
      </c>
      <c r="M202" s="24">
        <f t="shared" si="85"/>
        <v>8.6111772797534698</v>
      </c>
      <c r="N202" s="41" t="str">
        <f t="shared" ref="N202:N237" si="100">IF($F202&gt;=N$9,MID($I$9,IF($F202&gt;N$9,INT(M202),ROUND(M202,0))+1,1),"")</f>
        <v>8</v>
      </c>
      <c r="O202" s="24">
        <f t="shared" si="86"/>
        <v>7.3341273570416377</v>
      </c>
      <c r="P202" s="41" t="str">
        <f t="shared" ref="P202:P237" si="101">IF($F202&gt;=P$9,MID($I$9,IF($F202&gt;P$9,INT(O202),ROUND(O202,0))+1,1),"")</f>
        <v>7</v>
      </c>
      <c r="Q202" s="24">
        <f t="shared" si="87"/>
        <v>4.0095282844996518</v>
      </c>
      <c r="R202" s="41" t="str">
        <f t="shared" ref="R202:R237" si="102">IF($F202&gt;=R$9,MID($I$9,IF($F202&gt;R$9,INT(Q202),ROUND(Q202,0))+1,1),"")</f>
        <v/>
      </c>
      <c r="S202" s="24">
        <f t="shared" si="88"/>
        <v>0.11433941399582181</v>
      </c>
      <c r="T202" s="41" t="str">
        <f t="shared" ref="T202:T237" si="103">IF($F202&gt;=T$9,MID($I$9,IF($F202&gt;T$9,INT(S202),ROUND(S202,0))+1,1),"")</f>
        <v/>
      </c>
      <c r="U202" s="24">
        <f t="shared" si="89"/>
        <v>1.3720729679498618</v>
      </c>
      <c r="V202" s="41" t="str">
        <f t="shared" ref="V202:V237" si="104">IF($F202&gt;=V$9,MID($I$9,IF($F202&gt;V$9,INT(U202),ROUND(U202,0))+1,1),"")</f>
        <v/>
      </c>
      <c r="W202" s="24">
        <f t="shared" si="90"/>
        <v>4.4648756153983413</v>
      </c>
      <c r="X202" s="41" t="str">
        <f t="shared" ref="X202:X237" si="105">IF($F202&gt;=X$9,MID($I$9,IF($F202&gt;X$9,INT(W202),ROUND(W202,0))+1,1),"")</f>
        <v/>
      </c>
      <c r="Y202" s="24">
        <f t="shared" si="91"/>
        <v>5.5785073847800959</v>
      </c>
      <c r="Z202" s="41" t="str">
        <f t="shared" ref="Z202:Z237" si="106">IF($F202&gt;=Z$9,MID($I$9,IF($F202&gt;Z$9,INT(Y202),ROUND(Y202,0))+1,1),"")</f>
        <v/>
      </c>
      <c r="AA202" s="24">
        <f t="shared" si="92"/>
        <v>6.9420886173611507</v>
      </c>
      <c r="AB202" s="41" t="str">
        <f t="shared" ref="AB202:AB237" si="107">IF($F202&gt;=AB$9,MID($I$9,IF($F202&gt;AB$9,INT(AA202),ROUND(AA202,0))+1,1),"")</f>
        <v/>
      </c>
      <c r="AC202" s="24">
        <f t="shared" si="93"/>
        <v>11.305063408333808</v>
      </c>
      <c r="AD202" s="41" t="str">
        <f t="shared" ref="AD202:AD237" si="108">IF($F202&gt;=AD$9,MID($I$9,IF($F202&gt;AD$9,INT(AC202),ROUND(AC202,0))+1,1),"")</f>
        <v/>
      </c>
      <c r="AE202" s="24">
        <f t="shared" si="94"/>
        <v>3.6607609000056982</v>
      </c>
      <c r="AF202" s="41" t="str">
        <f t="shared" ref="AF202:AF237" si="109">IF($F202&gt;=AF$9,MID($I$9,IF($F202&gt;AF$9,INT(AE202),ROUND(AE202,0))+1,1),"")</f>
        <v/>
      </c>
      <c r="AG202" s="24">
        <f t="shared" si="95"/>
        <v>7.9291308000683784</v>
      </c>
      <c r="AH202" s="41" t="str">
        <f t="shared" ref="AH202:AH237" si="110">IF($F202&gt;=AH$9,MID($I$9,IF($F202&gt;AH$9,INT(AG202),ROUND(AG202,0))+1,1),"")</f>
        <v/>
      </c>
      <c r="AI202" s="24">
        <f t="shared" si="96"/>
        <v>11.149569600820541</v>
      </c>
      <c r="AJ202" s="41" t="str">
        <f t="shared" ref="AJ202:AJ237" si="111">IF($F202&gt;=AJ$9,MID($I$9,IF($F202&gt;AJ$9,INT(AI202),ROUND(AI202,0))+1,1),"")</f>
        <v/>
      </c>
    </row>
    <row r="203" spans="1:36">
      <c r="A203" s="384"/>
      <c r="B203" s="385"/>
      <c r="C203" s="386"/>
      <c r="D203" s="387"/>
      <c r="E203" s="386">
        <v>247.070347</v>
      </c>
      <c r="F203" s="8">
        <v>9</v>
      </c>
      <c r="G203" s="21">
        <f t="shared" si="97"/>
        <v>247.40456951840676</v>
      </c>
      <c r="H203" s="37" t="str">
        <f t="shared" si="84"/>
        <v>1;874X311X1</v>
      </c>
      <c r="I203" s="38">
        <v>2</v>
      </c>
      <c r="J203" s="132">
        <f t="shared" si="98"/>
        <v>1.7180872883222691</v>
      </c>
      <c r="K203" s="39" t="str">
        <f>INDEX(powers!$H$2:$H$75,33+I203)</f>
        <v>hecty</v>
      </c>
      <c r="L203" s="40" t="str">
        <f t="shared" si="99"/>
        <v>1</v>
      </c>
      <c r="M203" s="24">
        <f t="shared" si="85"/>
        <v>8.61704745986723</v>
      </c>
      <c r="N203" s="41" t="str">
        <f t="shared" si="100"/>
        <v>8</v>
      </c>
      <c r="O203" s="24">
        <f t="shared" si="86"/>
        <v>7.4045695184067597</v>
      </c>
      <c r="P203" s="41" t="str">
        <f t="shared" si="101"/>
        <v>7</v>
      </c>
      <c r="Q203" s="24">
        <f t="shared" si="87"/>
        <v>4.8548342208811164</v>
      </c>
      <c r="R203" s="41" t="str">
        <f t="shared" si="102"/>
        <v>4</v>
      </c>
      <c r="S203" s="24">
        <f t="shared" si="88"/>
        <v>10.258010650573397</v>
      </c>
      <c r="T203" s="41" t="str">
        <f t="shared" si="103"/>
        <v>X</v>
      </c>
      <c r="U203" s="24">
        <f t="shared" si="89"/>
        <v>3.0961278068807587</v>
      </c>
      <c r="V203" s="41" t="str">
        <f t="shared" si="104"/>
        <v>3</v>
      </c>
      <c r="W203" s="24">
        <f t="shared" si="90"/>
        <v>1.1535336825691047</v>
      </c>
      <c r="X203" s="41" t="str">
        <f t="shared" si="105"/>
        <v>1</v>
      </c>
      <c r="Y203" s="24">
        <f t="shared" si="91"/>
        <v>1.8424041908292565</v>
      </c>
      <c r="Z203" s="41" t="str">
        <f t="shared" si="106"/>
        <v>1</v>
      </c>
      <c r="AA203" s="24">
        <f t="shared" si="92"/>
        <v>10.108850289951079</v>
      </c>
      <c r="AB203" s="41" t="str">
        <f t="shared" si="107"/>
        <v>X</v>
      </c>
      <c r="AC203" s="24">
        <f t="shared" si="93"/>
        <v>1.3062034794129431</v>
      </c>
      <c r="AD203" s="41" t="str">
        <f t="shared" si="108"/>
        <v>1</v>
      </c>
      <c r="AE203" s="24">
        <f t="shared" si="94"/>
        <v>3.6744417529553175</v>
      </c>
      <c r="AF203" s="41" t="str">
        <f t="shared" si="109"/>
        <v/>
      </c>
      <c r="AG203" s="24">
        <f t="shared" si="95"/>
        <v>8.09330103546381</v>
      </c>
      <c r="AH203" s="41" t="str">
        <f t="shared" si="110"/>
        <v/>
      </c>
      <c r="AI203" s="24">
        <f t="shared" si="96"/>
        <v>1.1196124255657196</v>
      </c>
      <c r="AJ203" s="41" t="str">
        <f t="shared" si="111"/>
        <v/>
      </c>
    </row>
    <row r="204" spans="1:36">
      <c r="A204" s="384" t="s">
        <v>1003</v>
      </c>
      <c r="B204" s="385">
        <v>97</v>
      </c>
      <c r="C204" s="386" t="s">
        <v>1002</v>
      </c>
      <c r="D204" s="387">
        <v>247</v>
      </c>
      <c r="E204" s="386"/>
      <c r="F204" s="8">
        <v>2</v>
      </c>
      <c r="G204" s="21">
        <f t="shared" si="97"/>
        <v>247.33412735704164</v>
      </c>
      <c r="H204" s="37" t="str">
        <f t="shared" si="84"/>
        <v>1;87</v>
      </c>
      <c r="I204" s="38">
        <v>2</v>
      </c>
      <c r="J204" s="132">
        <f t="shared" si="98"/>
        <v>1.7175981066461226</v>
      </c>
      <c r="K204" s="39" t="str">
        <f>INDEX(powers!$H$2:$H$75,33+I204)</f>
        <v>hecty</v>
      </c>
      <c r="L204" s="40" t="str">
        <f t="shared" si="99"/>
        <v>1</v>
      </c>
      <c r="M204" s="24">
        <f t="shared" si="85"/>
        <v>8.6111772797534698</v>
      </c>
      <c r="N204" s="41" t="str">
        <f t="shared" si="100"/>
        <v>8</v>
      </c>
      <c r="O204" s="24">
        <f t="shared" si="86"/>
        <v>7.3341273570416377</v>
      </c>
      <c r="P204" s="41" t="str">
        <f t="shared" si="101"/>
        <v>7</v>
      </c>
      <c r="Q204" s="24">
        <f t="shared" si="87"/>
        <v>4.0095282844996518</v>
      </c>
      <c r="R204" s="41" t="str">
        <f t="shared" si="102"/>
        <v/>
      </c>
      <c r="S204" s="24">
        <f t="shared" si="88"/>
        <v>0.11433941399582181</v>
      </c>
      <c r="T204" s="41" t="str">
        <f t="shared" si="103"/>
        <v/>
      </c>
      <c r="U204" s="24">
        <f t="shared" si="89"/>
        <v>1.3720729679498618</v>
      </c>
      <c r="V204" s="41" t="str">
        <f t="shared" si="104"/>
        <v/>
      </c>
      <c r="W204" s="24">
        <f t="shared" si="90"/>
        <v>4.4648756153983413</v>
      </c>
      <c r="X204" s="41" t="str">
        <f t="shared" si="105"/>
        <v/>
      </c>
      <c r="Y204" s="24">
        <f t="shared" si="91"/>
        <v>5.5785073847800959</v>
      </c>
      <c r="Z204" s="41" t="str">
        <f t="shared" si="106"/>
        <v/>
      </c>
      <c r="AA204" s="24">
        <f t="shared" si="92"/>
        <v>6.9420886173611507</v>
      </c>
      <c r="AB204" s="41" t="str">
        <f t="shared" si="107"/>
        <v/>
      </c>
      <c r="AC204" s="24">
        <f t="shared" si="93"/>
        <v>11.305063408333808</v>
      </c>
      <c r="AD204" s="41" t="str">
        <f t="shared" si="108"/>
        <v/>
      </c>
      <c r="AE204" s="24">
        <f t="shared" si="94"/>
        <v>3.6607609000056982</v>
      </c>
      <c r="AF204" s="41" t="str">
        <f t="shared" si="109"/>
        <v/>
      </c>
      <c r="AG204" s="24">
        <f t="shared" si="95"/>
        <v>7.9291308000683784</v>
      </c>
      <c r="AH204" s="41" t="str">
        <f t="shared" si="110"/>
        <v/>
      </c>
      <c r="AI204" s="24">
        <f t="shared" si="96"/>
        <v>11.149569600820541</v>
      </c>
      <c r="AJ204" s="41" t="str">
        <f t="shared" si="111"/>
        <v/>
      </c>
    </row>
    <row r="205" spans="1:36">
      <c r="A205" s="384"/>
      <c r="B205" s="385"/>
      <c r="C205" s="386"/>
      <c r="D205" s="387"/>
      <c r="E205" s="386">
        <v>247.07029900000001</v>
      </c>
      <c r="F205" s="8">
        <v>9</v>
      </c>
      <c r="G205" s="21">
        <f t="shared" si="97"/>
        <v>247.40452145347516</v>
      </c>
      <c r="H205" s="37" t="str">
        <f t="shared" si="84"/>
        <v>1;874X301X7</v>
      </c>
      <c r="I205" s="38">
        <v>2</v>
      </c>
      <c r="J205" s="132">
        <f t="shared" si="98"/>
        <v>1.718086954538022</v>
      </c>
      <c r="K205" s="39" t="str">
        <f>INDEX(powers!$H$2:$H$75,33+I205)</f>
        <v>hecty</v>
      </c>
      <c r="L205" s="40" t="str">
        <f t="shared" si="99"/>
        <v>1</v>
      </c>
      <c r="M205" s="24">
        <f t="shared" si="85"/>
        <v>8.6170434544562635</v>
      </c>
      <c r="N205" s="41" t="str">
        <f t="shared" si="100"/>
        <v>8</v>
      </c>
      <c r="O205" s="24">
        <f t="shared" si="86"/>
        <v>7.4045214534751622</v>
      </c>
      <c r="P205" s="41" t="str">
        <f t="shared" si="101"/>
        <v>7</v>
      </c>
      <c r="Q205" s="24">
        <f t="shared" si="87"/>
        <v>4.8542574417019466</v>
      </c>
      <c r="R205" s="41" t="str">
        <f t="shared" si="102"/>
        <v>4</v>
      </c>
      <c r="S205" s="24">
        <f t="shared" si="88"/>
        <v>10.251089300423359</v>
      </c>
      <c r="T205" s="41" t="str">
        <f t="shared" si="103"/>
        <v>X</v>
      </c>
      <c r="U205" s="24">
        <f t="shared" si="89"/>
        <v>3.013071605080313</v>
      </c>
      <c r="V205" s="41" t="str">
        <f t="shared" si="104"/>
        <v>3</v>
      </c>
      <c r="W205" s="24">
        <f t="shared" si="90"/>
        <v>0.15685926096375624</v>
      </c>
      <c r="X205" s="41" t="str">
        <f t="shared" si="105"/>
        <v>0</v>
      </c>
      <c r="Y205" s="24">
        <f t="shared" si="91"/>
        <v>1.8823111315650749</v>
      </c>
      <c r="Z205" s="41" t="str">
        <f t="shared" si="106"/>
        <v>1</v>
      </c>
      <c r="AA205" s="24">
        <f t="shared" si="92"/>
        <v>10.587733578780899</v>
      </c>
      <c r="AB205" s="41" t="str">
        <f t="shared" si="107"/>
        <v>X</v>
      </c>
      <c r="AC205" s="24">
        <f t="shared" si="93"/>
        <v>7.0528029453707859</v>
      </c>
      <c r="AD205" s="41" t="str">
        <f t="shared" si="108"/>
        <v>7</v>
      </c>
      <c r="AE205" s="24">
        <f t="shared" si="94"/>
        <v>0.6336353444494307</v>
      </c>
      <c r="AF205" s="41" t="str">
        <f t="shared" si="109"/>
        <v/>
      </c>
      <c r="AG205" s="24">
        <f t="shared" si="95"/>
        <v>7.6036241333931684</v>
      </c>
      <c r="AH205" s="41" t="str">
        <f t="shared" si="110"/>
        <v/>
      </c>
      <c r="AI205" s="24">
        <f t="shared" si="96"/>
        <v>7.2434896007180214</v>
      </c>
      <c r="AJ205" s="41" t="str">
        <f t="shared" si="111"/>
        <v/>
      </c>
    </row>
    <row r="206" spans="1:36">
      <c r="A206" s="384" t="s">
        <v>1005</v>
      </c>
      <c r="B206" s="385">
        <v>98</v>
      </c>
      <c r="C206" s="386" t="s">
        <v>1004</v>
      </c>
      <c r="D206" s="387">
        <v>252</v>
      </c>
      <c r="E206" s="386"/>
      <c r="F206" s="8">
        <v>2</v>
      </c>
      <c r="G206" s="21">
        <f t="shared" si="97"/>
        <v>252.34089106872264</v>
      </c>
      <c r="H206" s="37" t="str">
        <f t="shared" si="84"/>
        <v>1;90</v>
      </c>
      <c r="I206" s="38">
        <v>2</v>
      </c>
      <c r="J206" s="132">
        <f t="shared" si="98"/>
        <v>1.7523672990883516</v>
      </c>
      <c r="K206" s="39" t="str">
        <f>INDEX(powers!$H$2:$H$75,33+I206)</f>
        <v>hecty</v>
      </c>
      <c r="L206" s="40" t="str">
        <f t="shared" si="99"/>
        <v>1</v>
      </c>
      <c r="M206" s="24">
        <f t="shared" si="85"/>
        <v>9.0284075890602189</v>
      </c>
      <c r="N206" s="41" t="str">
        <f t="shared" si="100"/>
        <v>9</v>
      </c>
      <c r="O206" s="24">
        <f t="shared" si="86"/>
        <v>0.34089106872262676</v>
      </c>
      <c r="P206" s="41" t="str">
        <f t="shared" si="101"/>
        <v>0</v>
      </c>
      <c r="Q206" s="24">
        <f t="shared" si="87"/>
        <v>4.0906928246715211</v>
      </c>
      <c r="R206" s="41" t="str">
        <f t="shared" si="102"/>
        <v/>
      </c>
      <c r="S206" s="24">
        <f t="shared" si="88"/>
        <v>1.0883138960582528</v>
      </c>
      <c r="T206" s="41" t="str">
        <f t="shared" si="103"/>
        <v/>
      </c>
      <c r="U206" s="24">
        <f t="shared" si="89"/>
        <v>1.0597667526990335</v>
      </c>
      <c r="V206" s="41" t="str">
        <f t="shared" si="104"/>
        <v/>
      </c>
      <c r="W206" s="24">
        <f t="shared" si="90"/>
        <v>0.71720103238840238</v>
      </c>
      <c r="X206" s="41" t="str">
        <f t="shared" si="105"/>
        <v/>
      </c>
      <c r="Y206" s="24">
        <f t="shared" si="91"/>
        <v>8.6064123886608286</v>
      </c>
      <c r="Z206" s="41" t="str">
        <f t="shared" si="106"/>
        <v/>
      </c>
      <c r="AA206" s="24">
        <f t="shared" si="92"/>
        <v>7.276948663929943</v>
      </c>
      <c r="AB206" s="41" t="str">
        <f t="shared" si="107"/>
        <v/>
      </c>
      <c r="AC206" s="24">
        <f t="shared" si="93"/>
        <v>3.3233839671593159</v>
      </c>
      <c r="AD206" s="41" t="str">
        <f t="shared" si="108"/>
        <v/>
      </c>
      <c r="AE206" s="24">
        <f t="shared" si="94"/>
        <v>3.8806076059117913</v>
      </c>
      <c r="AF206" s="41" t="str">
        <f t="shared" si="109"/>
        <v/>
      </c>
      <c r="AG206" s="24">
        <f t="shared" si="95"/>
        <v>10.567291270941496</v>
      </c>
      <c r="AH206" s="41" t="str">
        <f t="shared" si="110"/>
        <v/>
      </c>
      <c r="AI206" s="24">
        <f t="shared" si="96"/>
        <v>6.8074952512979507</v>
      </c>
      <c r="AJ206" s="41" t="str">
        <f t="shared" si="111"/>
        <v/>
      </c>
    </row>
    <row r="207" spans="1:36">
      <c r="A207" s="384"/>
      <c r="B207" s="385"/>
      <c r="C207" s="386"/>
      <c r="D207" s="387"/>
      <c r="E207" s="386">
        <v>252.08161999999999</v>
      </c>
      <c r="F207" s="8">
        <v>8</v>
      </c>
      <c r="G207" s="21">
        <f t="shared" si="97"/>
        <v>252.42262147955211</v>
      </c>
      <c r="H207" s="37" t="str">
        <f t="shared" si="84"/>
        <v>1;9050X359</v>
      </c>
      <c r="I207" s="38">
        <v>2</v>
      </c>
      <c r="J207" s="132">
        <f t="shared" si="98"/>
        <v>1.7529348713857784</v>
      </c>
      <c r="K207" s="39" t="str">
        <f>INDEX(powers!$H$2:$H$75,33+I207)</f>
        <v>hecty</v>
      </c>
      <c r="L207" s="40" t="str">
        <f t="shared" si="99"/>
        <v>1</v>
      </c>
      <c r="M207" s="24">
        <f t="shared" si="85"/>
        <v>9.035218456629341</v>
      </c>
      <c r="N207" s="41" t="str">
        <f t="shared" si="100"/>
        <v>9</v>
      </c>
      <c r="O207" s="24">
        <f t="shared" si="86"/>
        <v>0.42262147955209173</v>
      </c>
      <c r="P207" s="41" t="str">
        <f t="shared" si="101"/>
        <v>0</v>
      </c>
      <c r="Q207" s="24">
        <f t="shared" si="87"/>
        <v>5.0714577546251007</v>
      </c>
      <c r="R207" s="41" t="str">
        <f t="shared" si="102"/>
        <v>5</v>
      </c>
      <c r="S207" s="24">
        <f t="shared" si="88"/>
        <v>0.8574930555012088</v>
      </c>
      <c r="T207" s="41" t="str">
        <f t="shared" si="103"/>
        <v>0</v>
      </c>
      <c r="U207" s="24">
        <f t="shared" si="89"/>
        <v>10.289916666014506</v>
      </c>
      <c r="V207" s="41" t="str">
        <f t="shared" si="104"/>
        <v>X</v>
      </c>
      <c r="W207" s="24">
        <f t="shared" si="90"/>
        <v>3.4789999921740673</v>
      </c>
      <c r="X207" s="41" t="str">
        <f t="shared" si="105"/>
        <v>3</v>
      </c>
      <c r="Y207" s="24">
        <f t="shared" si="91"/>
        <v>5.7479999060888076</v>
      </c>
      <c r="Z207" s="41" t="str">
        <f t="shared" si="106"/>
        <v>5</v>
      </c>
      <c r="AA207" s="24">
        <f t="shared" si="92"/>
        <v>8.9759988730656914</v>
      </c>
      <c r="AB207" s="41" t="str">
        <f t="shared" si="107"/>
        <v>9</v>
      </c>
      <c r="AC207" s="24">
        <f t="shared" si="93"/>
        <v>11.711986476788297</v>
      </c>
      <c r="AD207" s="41" t="str">
        <f t="shared" si="108"/>
        <v/>
      </c>
      <c r="AE207" s="24">
        <f t="shared" si="94"/>
        <v>8.5438377214595675</v>
      </c>
      <c r="AF207" s="41" t="str">
        <f t="shared" si="109"/>
        <v/>
      </c>
      <c r="AG207" s="24">
        <f t="shared" si="95"/>
        <v>6.5260526575148106</v>
      </c>
      <c r="AH207" s="41" t="str">
        <f t="shared" si="110"/>
        <v/>
      </c>
      <c r="AI207" s="24">
        <f t="shared" si="96"/>
        <v>6.3126318901777267</v>
      </c>
      <c r="AJ207" s="41" t="str">
        <f t="shared" si="111"/>
        <v/>
      </c>
    </row>
    <row r="208" spans="1:36">
      <c r="A208" s="384" t="s">
        <v>1007</v>
      </c>
      <c r="B208" s="385">
        <v>99</v>
      </c>
      <c r="C208" s="386" t="s">
        <v>1006</v>
      </c>
      <c r="D208" s="387">
        <v>252</v>
      </c>
      <c r="E208" s="386"/>
      <c r="F208" s="8">
        <v>2</v>
      </c>
      <c r="G208" s="21">
        <f t="shared" si="97"/>
        <v>252.34089106872264</v>
      </c>
      <c r="H208" s="37" t="str">
        <f t="shared" si="84"/>
        <v>1;90</v>
      </c>
      <c r="I208" s="38">
        <v>2</v>
      </c>
      <c r="J208" s="132">
        <f t="shared" si="98"/>
        <v>1.7523672990883516</v>
      </c>
      <c r="K208" s="39" t="str">
        <f>INDEX(powers!$H$2:$H$75,33+I208)</f>
        <v>hecty</v>
      </c>
      <c r="L208" s="40" t="str">
        <f t="shared" si="99"/>
        <v>1</v>
      </c>
      <c r="M208" s="24">
        <f t="shared" si="85"/>
        <v>9.0284075890602189</v>
      </c>
      <c r="N208" s="41" t="str">
        <f t="shared" si="100"/>
        <v>9</v>
      </c>
      <c r="O208" s="24">
        <f t="shared" si="86"/>
        <v>0.34089106872262676</v>
      </c>
      <c r="P208" s="41" t="str">
        <f t="shared" si="101"/>
        <v>0</v>
      </c>
      <c r="Q208" s="24">
        <f t="shared" si="87"/>
        <v>4.0906928246715211</v>
      </c>
      <c r="R208" s="41" t="str">
        <f t="shared" si="102"/>
        <v/>
      </c>
      <c r="S208" s="24">
        <f t="shared" si="88"/>
        <v>1.0883138960582528</v>
      </c>
      <c r="T208" s="41" t="str">
        <f t="shared" si="103"/>
        <v/>
      </c>
      <c r="U208" s="24">
        <f t="shared" si="89"/>
        <v>1.0597667526990335</v>
      </c>
      <c r="V208" s="41" t="str">
        <f t="shared" si="104"/>
        <v/>
      </c>
      <c r="W208" s="24">
        <f t="shared" si="90"/>
        <v>0.71720103238840238</v>
      </c>
      <c r="X208" s="41" t="str">
        <f t="shared" si="105"/>
        <v/>
      </c>
      <c r="Y208" s="24">
        <f t="shared" si="91"/>
        <v>8.6064123886608286</v>
      </c>
      <c r="Z208" s="41" t="str">
        <f t="shared" si="106"/>
        <v/>
      </c>
      <c r="AA208" s="24">
        <f t="shared" si="92"/>
        <v>7.276948663929943</v>
      </c>
      <c r="AB208" s="41" t="str">
        <f t="shared" si="107"/>
        <v/>
      </c>
      <c r="AC208" s="24">
        <f t="shared" si="93"/>
        <v>3.3233839671593159</v>
      </c>
      <c r="AD208" s="41" t="str">
        <f t="shared" si="108"/>
        <v/>
      </c>
      <c r="AE208" s="24">
        <f t="shared" si="94"/>
        <v>3.8806076059117913</v>
      </c>
      <c r="AF208" s="41" t="str">
        <f t="shared" si="109"/>
        <v/>
      </c>
      <c r="AG208" s="24">
        <f t="shared" si="95"/>
        <v>10.567291270941496</v>
      </c>
      <c r="AH208" s="41" t="str">
        <f t="shared" si="110"/>
        <v/>
      </c>
      <c r="AI208" s="24">
        <f t="shared" si="96"/>
        <v>6.8074952512979507</v>
      </c>
      <c r="AJ208" s="41" t="str">
        <f t="shared" si="111"/>
        <v/>
      </c>
    </row>
    <row r="209" spans="1:36">
      <c r="A209" s="384"/>
      <c r="B209" s="385"/>
      <c r="C209" s="386"/>
      <c r="D209" s="387"/>
      <c r="E209" s="386">
        <v>252.08296999999999</v>
      </c>
      <c r="F209" s="8">
        <v>8</v>
      </c>
      <c r="G209" s="21">
        <f t="shared" si="97"/>
        <v>252.42397330575426</v>
      </c>
      <c r="H209" s="37" t="str">
        <f t="shared" si="84"/>
        <v>1;90510762</v>
      </c>
      <c r="I209" s="38">
        <v>2</v>
      </c>
      <c r="J209" s="132">
        <f t="shared" si="98"/>
        <v>1.752944259067738</v>
      </c>
      <c r="K209" s="39" t="str">
        <f>INDEX(powers!$H$2:$H$75,33+I209)</f>
        <v>hecty</v>
      </c>
      <c r="L209" s="40" t="str">
        <f t="shared" si="99"/>
        <v>1</v>
      </c>
      <c r="M209" s="24">
        <f t="shared" si="85"/>
        <v>9.0353311088128549</v>
      </c>
      <c r="N209" s="41" t="str">
        <f t="shared" si="100"/>
        <v>9</v>
      </c>
      <c r="O209" s="24">
        <f t="shared" si="86"/>
        <v>0.4239733057542594</v>
      </c>
      <c r="P209" s="41" t="str">
        <f t="shared" si="101"/>
        <v>0</v>
      </c>
      <c r="Q209" s="24">
        <f t="shared" si="87"/>
        <v>5.0876796690511128</v>
      </c>
      <c r="R209" s="41" t="str">
        <f t="shared" si="102"/>
        <v>5</v>
      </c>
      <c r="S209" s="24">
        <f t="shared" si="88"/>
        <v>1.0521560286133536</v>
      </c>
      <c r="T209" s="41" t="str">
        <f t="shared" si="103"/>
        <v>1</v>
      </c>
      <c r="U209" s="24">
        <f t="shared" si="89"/>
        <v>0.62587234336024267</v>
      </c>
      <c r="V209" s="41" t="str">
        <f t="shared" si="104"/>
        <v>0</v>
      </c>
      <c r="W209" s="24">
        <f t="shared" si="90"/>
        <v>7.510468120322912</v>
      </c>
      <c r="X209" s="41" t="str">
        <f t="shared" si="105"/>
        <v>7</v>
      </c>
      <c r="Y209" s="24">
        <f t="shared" si="91"/>
        <v>6.125617443874944</v>
      </c>
      <c r="Z209" s="41" t="str">
        <f t="shared" si="106"/>
        <v>6</v>
      </c>
      <c r="AA209" s="24">
        <f t="shared" si="92"/>
        <v>1.507409326499328</v>
      </c>
      <c r="AB209" s="41" t="str">
        <f t="shared" si="107"/>
        <v>2</v>
      </c>
      <c r="AC209" s="24">
        <f t="shared" si="93"/>
        <v>6.0889119179919362</v>
      </c>
      <c r="AD209" s="41" t="str">
        <f t="shared" si="108"/>
        <v/>
      </c>
      <c r="AE209" s="24">
        <f t="shared" si="94"/>
        <v>1.0669430159032345</v>
      </c>
      <c r="AF209" s="41" t="str">
        <f t="shared" si="109"/>
        <v/>
      </c>
      <c r="AG209" s="24">
        <f t="shared" si="95"/>
        <v>0.80331619083881378</v>
      </c>
      <c r="AH209" s="41" t="str">
        <f t="shared" si="110"/>
        <v/>
      </c>
      <c r="AI209" s="24">
        <f t="shared" si="96"/>
        <v>9.6397942900657654</v>
      </c>
      <c r="AJ209" s="41" t="str">
        <f t="shared" si="111"/>
        <v/>
      </c>
    </row>
    <row r="210" spans="1:36">
      <c r="A210" s="384" t="s">
        <v>1009</v>
      </c>
      <c r="B210" s="385">
        <v>100</v>
      </c>
      <c r="C210" s="386" t="s">
        <v>1008</v>
      </c>
      <c r="D210" s="387">
        <v>257</v>
      </c>
      <c r="E210" s="386"/>
      <c r="F210" s="8">
        <v>2</v>
      </c>
      <c r="G210" s="21">
        <f t="shared" si="97"/>
        <v>257.34765478040367</v>
      </c>
      <c r="H210" s="37" t="str">
        <f t="shared" si="84"/>
        <v>1;95</v>
      </c>
      <c r="I210" s="38">
        <v>2</v>
      </c>
      <c r="J210" s="132">
        <f t="shared" si="98"/>
        <v>1.787136491530581</v>
      </c>
      <c r="K210" s="39" t="str">
        <f>INDEX(powers!$H$2:$H$75,33+I210)</f>
        <v>hecty</v>
      </c>
      <c r="L210" s="40" t="str">
        <f t="shared" si="99"/>
        <v>1</v>
      </c>
      <c r="M210" s="24">
        <f t="shared" si="85"/>
        <v>9.4456378983669715</v>
      </c>
      <c r="N210" s="41" t="str">
        <f t="shared" si="100"/>
        <v>9</v>
      </c>
      <c r="O210" s="24">
        <f t="shared" si="86"/>
        <v>5.3476547804036585</v>
      </c>
      <c r="P210" s="41" t="str">
        <f t="shared" si="101"/>
        <v>5</v>
      </c>
      <c r="Q210" s="24">
        <f t="shared" si="87"/>
        <v>4.1718573648439019</v>
      </c>
      <c r="R210" s="41" t="str">
        <f t="shared" si="102"/>
        <v/>
      </c>
      <c r="S210" s="24">
        <f t="shared" si="88"/>
        <v>2.0622883781268229</v>
      </c>
      <c r="T210" s="41" t="str">
        <f t="shared" si="103"/>
        <v/>
      </c>
      <c r="U210" s="24">
        <f t="shared" si="89"/>
        <v>0.74746053752187436</v>
      </c>
      <c r="V210" s="41" t="str">
        <f t="shared" si="104"/>
        <v/>
      </c>
      <c r="W210" s="24">
        <f t="shared" si="90"/>
        <v>8.9695264502624923</v>
      </c>
      <c r="X210" s="41" t="str">
        <f t="shared" si="105"/>
        <v/>
      </c>
      <c r="Y210" s="24">
        <f t="shared" si="91"/>
        <v>11.634317403149907</v>
      </c>
      <c r="Z210" s="41" t="str">
        <f t="shared" si="106"/>
        <v/>
      </c>
      <c r="AA210" s="24">
        <f t="shared" si="92"/>
        <v>7.6118088377988897</v>
      </c>
      <c r="AB210" s="41" t="str">
        <f t="shared" si="107"/>
        <v/>
      </c>
      <c r="AC210" s="24">
        <f t="shared" si="93"/>
        <v>7.3417060535866767</v>
      </c>
      <c r="AD210" s="41" t="str">
        <f t="shared" si="108"/>
        <v/>
      </c>
      <c r="AE210" s="24">
        <f t="shared" si="94"/>
        <v>4.1004726430401206</v>
      </c>
      <c r="AF210" s="41" t="str">
        <f t="shared" si="109"/>
        <v/>
      </c>
      <c r="AG210" s="24">
        <f t="shared" si="95"/>
        <v>1.2056717164814472</v>
      </c>
      <c r="AH210" s="41" t="str">
        <f t="shared" si="110"/>
        <v/>
      </c>
      <c r="AI210" s="24">
        <f t="shared" si="96"/>
        <v>2.4680605977773666</v>
      </c>
      <c r="AJ210" s="41" t="str">
        <f t="shared" si="111"/>
        <v/>
      </c>
    </row>
    <row r="211" spans="1:36">
      <c r="A211" s="384"/>
      <c r="B211" s="385"/>
      <c r="C211" s="386"/>
      <c r="D211" s="387"/>
      <c r="E211" s="386">
        <v>257.095099</v>
      </c>
      <c r="F211" s="8">
        <v>9</v>
      </c>
      <c r="G211" s="21">
        <f t="shared" si="97"/>
        <v>257.44288242484708</v>
      </c>
      <c r="H211" s="37" t="str">
        <f t="shared" si="84"/>
        <v>1;95539373X</v>
      </c>
      <c r="I211" s="38">
        <v>2</v>
      </c>
      <c r="J211" s="132">
        <f t="shared" si="98"/>
        <v>1.7877977946169936</v>
      </c>
      <c r="K211" s="39" t="str">
        <f>INDEX(powers!$H$2:$H$75,33+I211)</f>
        <v>hecty</v>
      </c>
      <c r="L211" s="40" t="str">
        <f t="shared" si="99"/>
        <v>1</v>
      </c>
      <c r="M211" s="24">
        <f t="shared" si="85"/>
        <v>9.4535735354039225</v>
      </c>
      <c r="N211" s="41" t="str">
        <f t="shared" si="100"/>
        <v>9</v>
      </c>
      <c r="O211" s="24">
        <f t="shared" si="86"/>
        <v>5.4428824248470704</v>
      </c>
      <c r="P211" s="41" t="str">
        <f t="shared" si="101"/>
        <v>5</v>
      </c>
      <c r="Q211" s="24">
        <f t="shared" si="87"/>
        <v>5.3145890981648449</v>
      </c>
      <c r="R211" s="41" t="str">
        <f t="shared" si="102"/>
        <v>5</v>
      </c>
      <c r="S211" s="24">
        <f t="shared" si="88"/>
        <v>3.7750691779781391</v>
      </c>
      <c r="T211" s="41" t="str">
        <f t="shared" si="103"/>
        <v>3</v>
      </c>
      <c r="U211" s="24">
        <f t="shared" si="89"/>
        <v>9.3008301357376695</v>
      </c>
      <c r="V211" s="41" t="str">
        <f t="shared" si="104"/>
        <v>9</v>
      </c>
      <c r="W211" s="24">
        <f t="shared" si="90"/>
        <v>3.6099616288520338</v>
      </c>
      <c r="X211" s="41" t="str">
        <f t="shared" si="105"/>
        <v>3</v>
      </c>
      <c r="Y211" s="24">
        <f t="shared" si="91"/>
        <v>7.3195395462244051</v>
      </c>
      <c r="Z211" s="41" t="str">
        <f t="shared" si="106"/>
        <v>7</v>
      </c>
      <c r="AA211" s="24">
        <f t="shared" si="92"/>
        <v>3.8344745546928607</v>
      </c>
      <c r="AB211" s="41" t="str">
        <f t="shared" si="107"/>
        <v>3</v>
      </c>
      <c r="AC211" s="24">
        <f t="shared" si="93"/>
        <v>10.013694656314328</v>
      </c>
      <c r="AD211" s="41" t="str">
        <f t="shared" si="108"/>
        <v>X</v>
      </c>
      <c r="AE211" s="24">
        <f t="shared" si="94"/>
        <v>0.16433587577193975</v>
      </c>
      <c r="AF211" s="41" t="str">
        <f t="shared" si="109"/>
        <v/>
      </c>
      <c r="AG211" s="24">
        <f t="shared" si="95"/>
        <v>1.9720305092632771</v>
      </c>
      <c r="AH211" s="41" t="str">
        <f t="shared" si="110"/>
        <v/>
      </c>
      <c r="AI211" s="24">
        <f t="shared" si="96"/>
        <v>11.664366111159325</v>
      </c>
      <c r="AJ211" s="41" t="str">
        <f t="shared" si="111"/>
        <v/>
      </c>
    </row>
    <row r="212" spans="1:36">
      <c r="A212" s="384" t="s">
        <v>1011</v>
      </c>
      <c r="B212" s="385">
        <v>101</v>
      </c>
      <c r="C212" s="386" t="s">
        <v>1010</v>
      </c>
      <c r="D212" s="387">
        <v>256</v>
      </c>
      <c r="E212" s="386"/>
      <c r="F212" s="8">
        <v>2</v>
      </c>
      <c r="G212" s="21">
        <f t="shared" si="97"/>
        <v>256.34630203806745</v>
      </c>
      <c r="H212" s="37" t="str">
        <f t="shared" si="84"/>
        <v>1;94</v>
      </c>
      <c r="I212" s="38">
        <v>2</v>
      </c>
      <c r="J212" s="132">
        <f t="shared" si="98"/>
        <v>1.780182653042135</v>
      </c>
      <c r="K212" s="39" t="str">
        <f>INDEX(powers!$H$2:$H$75,33+I212)</f>
        <v>hecty</v>
      </c>
      <c r="L212" s="40" t="str">
        <f t="shared" si="99"/>
        <v>1</v>
      </c>
      <c r="M212" s="24">
        <f t="shared" si="85"/>
        <v>9.3621918365056196</v>
      </c>
      <c r="N212" s="41" t="str">
        <f t="shared" si="100"/>
        <v>9</v>
      </c>
      <c r="O212" s="24">
        <f t="shared" si="86"/>
        <v>4.3463020380674351</v>
      </c>
      <c r="P212" s="41" t="str">
        <f t="shared" si="101"/>
        <v>4</v>
      </c>
      <c r="Q212" s="24">
        <f t="shared" si="87"/>
        <v>4.1556244568092211</v>
      </c>
      <c r="R212" s="41" t="str">
        <f t="shared" si="102"/>
        <v/>
      </c>
      <c r="S212" s="24">
        <f t="shared" si="88"/>
        <v>1.8674934817106532</v>
      </c>
      <c r="T212" s="41" t="str">
        <f t="shared" si="103"/>
        <v/>
      </c>
      <c r="U212" s="24">
        <f t="shared" si="89"/>
        <v>10.409921780527839</v>
      </c>
      <c r="V212" s="41" t="str">
        <f t="shared" si="104"/>
        <v/>
      </c>
      <c r="W212" s="24">
        <f t="shared" si="90"/>
        <v>4.9190613663340628</v>
      </c>
      <c r="X212" s="41" t="str">
        <f t="shared" si="105"/>
        <v/>
      </c>
      <c r="Y212" s="24">
        <f t="shared" si="91"/>
        <v>11.028736396008753</v>
      </c>
      <c r="Z212" s="41" t="str">
        <f t="shared" si="106"/>
        <v/>
      </c>
      <c r="AA212" s="24">
        <f t="shared" si="92"/>
        <v>0.34483675210503861</v>
      </c>
      <c r="AB212" s="41" t="str">
        <f t="shared" si="107"/>
        <v/>
      </c>
      <c r="AC212" s="24">
        <f t="shared" si="93"/>
        <v>4.1380410252604634</v>
      </c>
      <c r="AD212" s="41" t="str">
        <f t="shared" si="108"/>
        <v/>
      </c>
      <c r="AE212" s="24">
        <f t="shared" si="94"/>
        <v>1.6564923031255603</v>
      </c>
      <c r="AF212" s="41" t="str">
        <f t="shared" si="109"/>
        <v/>
      </c>
      <c r="AG212" s="24">
        <f t="shared" si="95"/>
        <v>7.8779076375067234</v>
      </c>
      <c r="AH212" s="41" t="str">
        <f t="shared" si="110"/>
        <v/>
      </c>
      <c r="AI212" s="24">
        <f t="shared" si="96"/>
        <v>10.534891650080681</v>
      </c>
      <c r="AJ212" s="41" t="str">
        <f t="shared" si="111"/>
        <v/>
      </c>
    </row>
    <row r="213" spans="1:36">
      <c r="A213" s="384"/>
      <c r="B213" s="385"/>
      <c r="C213" s="386"/>
      <c r="D213" s="387"/>
      <c r="E213" s="386">
        <v>256.09404999999998</v>
      </c>
      <c r="F213" s="8">
        <v>8</v>
      </c>
      <c r="G213" s="21">
        <f t="shared" si="97"/>
        <v>256.44047926348418</v>
      </c>
      <c r="H213" s="37" t="str">
        <f t="shared" si="84"/>
        <v>1;94535194</v>
      </c>
      <c r="I213" s="38">
        <v>2</v>
      </c>
      <c r="J213" s="132">
        <f t="shared" si="98"/>
        <v>1.7808366615519735</v>
      </c>
      <c r="K213" s="39" t="str">
        <f>INDEX(powers!$H$2:$H$75,33+I213)</f>
        <v>hecty</v>
      </c>
      <c r="L213" s="40" t="str">
        <f t="shared" si="99"/>
        <v>1</v>
      </c>
      <c r="M213" s="24">
        <f t="shared" si="85"/>
        <v>9.3700399386236821</v>
      </c>
      <c r="N213" s="41" t="str">
        <f t="shared" si="100"/>
        <v>9</v>
      </c>
      <c r="O213" s="24">
        <f t="shared" si="86"/>
        <v>4.4404792634841854</v>
      </c>
      <c r="P213" s="41" t="str">
        <f t="shared" si="101"/>
        <v>4</v>
      </c>
      <c r="Q213" s="24">
        <f t="shared" si="87"/>
        <v>5.2857511618102251</v>
      </c>
      <c r="R213" s="41" t="str">
        <f t="shared" si="102"/>
        <v>5</v>
      </c>
      <c r="S213" s="24">
        <f t="shared" si="88"/>
        <v>3.429013941722701</v>
      </c>
      <c r="T213" s="41" t="str">
        <f t="shared" si="103"/>
        <v>3</v>
      </c>
      <c r="U213" s="24">
        <f t="shared" si="89"/>
        <v>5.1481673006724122</v>
      </c>
      <c r="V213" s="41" t="str">
        <f t="shared" si="104"/>
        <v>5</v>
      </c>
      <c r="W213" s="24">
        <f t="shared" si="90"/>
        <v>1.7780076080689469</v>
      </c>
      <c r="X213" s="41" t="str">
        <f t="shared" si="105"/>
        <v>1</v>
      </c>
      <c r="Y213" s="24">
        <f t="shared" si="91"/>
        <v>9.3360912968273624</v>
      </c>
      <c r="Z213" s="41" t="str">
        <f t="shared" si="106"/>
        <v>9</v>
      </c>
      <c r="AA213" s="24">
        <f t="shared" si="92"/>
        <v>4.0330955619283486</v>
      </c>
      <c r="AB213" s="41" t="str">
        <f t="shared" si="107"/>
        <v>4</v>
      </c>
      <c r="AC213" s="24">
        <f t="shared" si="93"/>
        <v>0.39714674314018339</v>
      </c>
      <c r="AD213" s="41" t="str">
        <f t="shared" si="108"/>
        <v/>
      </c>
      <c r="AE213" s="24">
        <f t="shared" si="94"/>
        <v>4.7657609176822007</v>
      </c>
      <c r="AF213" s="41" t="str">
        <f t="shared" si="109"/>
        <v/>
      </c>
      <c r="AG213" s="24">
        <f t="shared" si="95"/>
        <v>9.189131012186408</v>
      </c>
      <c r="AH213" s="41" t="str">
        <f t="shared" si="110"/>
        <v/>
      </c>
      <c r="AI213" s="24">
        <f t="shared" si="96"/>
        <v>2.2695721462368965</v>
      </c>
      <c r="AJ213" s="41" t="str">
        <f t="shared" si="111"/>
        <v/>
      </c>
    </row>
    <row r="214" spans="1:36">
      <c r="A214" s="384" t="s">
        <v>1013</v>
      </c>
      <c r="B214" s="385">
        <v>102</v>
      </c>
      <c r="C214" s="386" t="s">
        <v>1012</v>
      </c>
      <c r="D214" s="387">
        <v>259</v>
      </c>
      <c r="E214" s="386"/>
      <c r="F214" s="8">
        <v>2</v>
      </c>
      <c r="G214" s="21">
        <f t="shared" si="97"/>
        <v>259.35036026507606</v>
      </c>
      <c r="H214" s="37" t="str">
        <f t="shared" si="84"/>
        <v>1;97</v>
      </c>
      <c r="I214" s="38">
        <v>2</v>
      </c>
      <c r="J214" s="132">
        <f t="shared" si="98"/>
        <v>1.8010441685074727</v>
      </c>
      <c r="K214" s="39" t="str">
        <f>INDEX(powers!$H$2:$H$75,33+I214)</f>
        <v>hecty</v>
      </c>
      <c r="L214" s="40" t="str">
        <f t="shared" si="99"/>
        <v>1</v>
      </c>
      <c r="M214" s="24">
        <f t="shared" si="85"/>
        <v>9.6125300220896719</v>
      </c>
      <c r="N214" s="41" t="str">
        <f t="shared" si="100"/>
        <v>9</v>
      </c>
      <c r="O214" s="24">
        <f t="shared" si="86"/>
        <v>7.3503602650760627</v>
      </c>
      <c r="P214" s="41" t="str">
        <f t="shared" si="101"/>
        <v>7</v>
      </c>
      <c r="Q214" s="24">
        <f t="shared" si="87"/>
        <v>4.2043231809127519</v>
      </c>
      <c r="R214" s="41" t="str">
        <f t="shared" si="102"/>
        <v/>
      </c>
      <c r="S214" s="24">
        <f t="shared" si="88"/>
        <v>2.4518781709530231</v>
      </c>
      <c r="T214" s="41" t="str">
        <f t="shared" si="103"/>
        <v/>
      </c>
      <c r="U214" s="24">
        <f t="shared" si="89"/>
        <v>5.4225380514362769</v>
      </c>
      <c r="V214" s="41" t="str">
        <f t="shared" si="104"/>
        <v/>
      </c>
      <c r="W214" s="24">
        <f t="shared" si="90"/>
        <v>5.0704566172353225</v>
      </c>
      <c r="X214" s="41" t="str">
        <f t="shared" si="105"/>
        <v/>
      </c>
      <c r="Y214" s="24">
        <f t="shared" si="91"/>
        <v>0.84547940682386979</v>
      </c>
      <c r="Z214" s="41" t="str">
        <f t="shared" si="106"/>
        <v/>
      </c>
      <c r="AA214" s="24">
        <f t="shared" si="92"/>
        <v>10.145752881886438</v>
      </c>
      <c r="AB214" s="41" t="str">
        <f t="shared" si="107"/>
        <v/>
      </c>
      <c r="AC214" s="24">
        <f t="shared" si="93"/>
        <v>1.7490345826372504</v>
      </c>
      <c r="AD214" s="41" t="str">
        <f t="shared" si="108"/>
        <v/>
      </c>
      <c r="AE214" s="24">
        <f t="shared" si="94"/>
        <v>8.9884149916470051</v>
      </c>
      <c r="AF214" s="41" t="str">
        <f t="shared" si="109"/>
        <v/>
      </c>
      <c r="AG214" s="24">
        <f t="shared" si="95"/>
        <v>11.860979899764061</v>
      </c>
      <c r="AH214" s="41" t="str">
        <f t="shared" si="110"/>
        <v/>
      </c>
      <c r="AI214" s="24">
        <f t="shared" si="96"/>
        <v>10.331758797168732</v>
      </c>
      <c r="AJ214" s="41" t="str">
        <f t="shared" si="111"/>
        <v/>
      </c>
    </row>
    <row r="215" spans="1:36">
      <c r="A215" s="384"/>
      <c r="B215" s="385"/>
      <c r="C215" s="386"/>
      <c r="D215" s="387"/>
      <c r="E215" s="386">
        <v>259.10102000000001</v>
      </c>
      <c r="F215" s="8">
        <v>8</v>
      </c>
      <c r="G215" s="21">
        <f t="shared" si="97"/>
        <v>259.45151691910684</v>
      </c>
      <c r="H215" s="37" t="str">
        <f t="shared" si="84"/>
        <v>1;9755027X</v>
      </c>
      <c r="I215" s="38">
        <v>2</v>
      </c>
      <c r="J215" s="132">
        <f t="shared" si="98"/>
        <v>1.8017466452715754</v>
      </c>
      <c r="K215" s="39" t="str">
        <f>INDEX(powers!$H$2:$H$75,33+I215)</f>
        <v>hecty</v>
      </c>
      <c r="L215" s="40" t="str">
        <f t="shared" si="99"/>
        <v>1</v>
      </c>
      <c r="M215" s="24">
        <f t="shared" si="85"/>
        <v>9.6209597432589042</v>
      </c>
      <c r="N215" s="41" t="str">
        <f t="shared" si="100"/>
        <v>9</v>
      </c>
      <c r="O215" s="24">
        <f t="shared" si="86"/>
        <v>7.4515169191068509</v>
      </c>
      <c r="P215" s="41" t="str">
        <f t="shared" si="101"/>
        <v>7</v>
      </c>
      <c r="Q215" s="24">
        <f t="shared" si="87"/>
        <v>5.4182030292822105</v>
      </c>
      <c r="R215" s="41" t="str">
        <f t="shared" si="102"/>
        <v>5</v>
      </c>
      <c r="S215" s="24">
        <f t="shared" si="88"/>
        <v>5.0184363513865264</v>
      </c>
      <c r="T215" s="41" t="str">
        <f t="shared" si="103"/>
        <v>5</v>
      </c>
      <c r="U215" s="24">
        <f t="shared" si="89"/>
        <v>0.22123621663831727</v>
      </c>
      <c r="V215" s="41" t="str">
        <f t="shared" si="104"/>
        <v>0</v>
      </c>
      <c r="W215" s="24">
        <f t="shared" si="90"/>
        <v>2.6548345996598073</v>
      </c>
      <c r="X215" s="41" t="str">
        <f t="shared" si="105"/>
        <v>2</v>
      </c>
      <c r="Y215" s="24">
        <f t="shared" si="91"/>
        <v>7.8580151959176874</v>
      </c>
      <c r="Z215" s="41" t="str">
        <f t="shared" si="106"/>
        <v>7</v>
      </c>
      <c r="AA215" s="24">
        <f t="shared" si="92"/>
        <v>10.296182351012249</v>
      </c>
      <c r="AB215" s="41" t="str">
        <f t="shared" si="107"/>
        <v>X</v>
      </c>
      <c r="AC215" s="24">
        <f t="shared" si="93"/>
        <v>3.5541882121469826</v>
      </c>
      <c r="AD215" s="41" t="str">
        <f t="shared" si="108"/>
        <v/>
      </c>
      <c r="AE215" s="24">
        <f t="shared" si="94"/>
        <v>6.6502585457637906</v>
      </c>
      <c r="AF215" s="41" t="str">
        <f t="shared" si="109"/>
        <v/>
      </c>
      <c r="AG215" s="24">
        <f t="shared" si="95"/>
        <v>7.8031025491654873</v>
      </c>
      <c r="AH215" s="41" t="str">
        <f t="shared" si="110"/>
        <v/>
      </c>
      <c r="AI215" s="24">
        <f t="shared" si="96"/>
        <v>9.6372305899858475</v>
      </c>
      <c r="AJ215" s="41" t="str">
        <f t="shared" si="111"/>
        <v/>
      </c>
    </row>
    <row r="216" spans="1:36">
      <c r="A216" s="384" t="s">
        <v>1015</v>
      </c>
      <c r="B216" s="385">
        <v>103</v>
      </c>
      <c r="C216" s="386" t="s">
        <v>1014</v>
      </c>
      <c r="D216" s="387">
        <v>262</v>
      </c>
      <c r="E216" s="386"/>
      <c r="F216" s="8">
        <v>2</v>
      </c>
      <c r="G216" s="21">
        <f t="shared" si="97"/>
        <v>262.35441849208468</v>
      </c>
      <c r="H216" s="37" t="str">
        <f t="shared" si="84"/>
        <v>1;9X</v>
      </c>
      <c r="I216" s="38">
        <v>2</v>
      </c>
      <c r="J216" s="132">
        <f t="shared" si="98"/>
        <v>1.8219056839728103</v>
      </c>
      <c r="K216" s="39" t="str">
        <f>INDEX(powers!$H$2:$H$75,33+I216)</f>
        <v>hecty</v>
      </c>
      <c r="L216" s="40" t="str">
        <f t="shared" si="99"/>
        <v>1</v>
      </c>
      <c r="M216" s="24">
        <f t="shared" si="85"/>
        <v>9.8628682076737242</v>
      </c>
      <c r="N216" s="41" t="str">
        <f t="shared" si="100"/>
        <v>9</v>
      </c>
      <c r="O216" s="24">
        <f t="shared" si="86"/>
        <v>10.35441849208469</v>
      </c>
      <c r="P216" s="41" t="str">
        <f t="shared" si="101"/>
        <v>X</v>
      </c>
      <c r="Q216" s="24">
        <f t="shared" si="87"/>
        <v>4.2530219050162827</v>
      </c>
      <c r="R216" s="41" t="str">
        <f t="shared" si="102"/>
        <v/>
      </c>
      <c r="S216" s="24">
        <f t="shared" si="88"/>
        <v>3.0362628601953929</v>
      </c>
      <c r="T216" s="41" t="str">
        <f t="shared" si="103"/>
        <v/>
      </c>
      <c r="U216" s="24">
        <f t="shared" si="89"/>
        <v>0.43515432234471518</v>
      </c>
      <c r="V216" s="41" t="str">
        <f t="shared" si="104"/>
        <v/>
      </c>
      <c r="W216" s="24">
        <f t="shared" si="90"/>
        <v>5.2218518681365822</v>
      </c>
      <c r="X216" s="41" t="str">
        <f t="shared" si="105"/>
        <v/>
      </c>
      <c r="Y216" s="24">
        <f t="shared" si="91"/>
        <v>2.6622224176389864</v>
      </c>
      <c r="Z216" s="41" t="str">
        <f t="shared" si="106"/>
        <v/>
      </c>
      <c r="AA216" s="24">
        <f t="shared" si="92"/>
        <v>7.9466690116678365</v>
      </c>
      <c r="AB216" s="41" t="str">
        <f t="shared" si="107"/>
        <v/>
      </c>
      <c r="AC216" s="24">
        <f t="shared" si="93"/>
        <v>11.360028140014037</v>
      </c>
      <c r="AD216" s="41" t="str">
        <f t="shared" si="108"/>
        <v/>
      </c>
      <c r="AE216" s="24">
        <f t="shared" si="94"/>
        <v>4.3203376801684499</v>
      </c>
      <c r="AF216" s="41" t="str">
        <f t="shared" si="109"/>
        <v/>
      </c>
      <c r="AG216" s="24">
        <f t="shared" si="95"/>
        <v>3.8440521620213985</v>
      </c>
      <c r="AH216" s="41" t="str">
        <f t="shared" si="110"/>
        <v/>
      </c>
      <c r="AI216" s="24">
        <f t="shared" si="96"/>
        <v>10.128625944256783</v>
      </c>
      <c r="AJ216" s="41" t="str">
        <f t="shared" si="111"/>
        <v/>
      </c>
    </row>
    <row r="217" spans="1:36">
      <c r="A217" s="384"/>
      <c r="B217" s="385"/>
      <c r="C217" s="386"/>
      <c r="D217" s="387"/>
      <c r="E217" s="386">
        <v>259.10102000000001</v>
      </c>
      <c r="F217" s="8">
        <v>8</v>
      </c>
      <c r="G217" s="21">
        <f t="shared" si="97"/>
        <v>259.45151691910684</v>
      </c>
      <c r="H217" s="37" t="str">
        <f t="shared" si="84"/>
        <v>1;9755027X</v>
      </c>
      <c r="I217" s="38">
        <v>2</v>
      </c>
      <c r="J217" s="132">
        <f t="shared" si="98"/>
        <v>1.8017466452715754</v>
      </c>
      <c r="K217" s="39" t="str">
        <f>INDEX(powers!$H$2:$H$75,33+I217)</f>
        <v>hecty</v>
      </c>
      <c r="L217" s="40" t="str">
        <f t="shared" si="99"/>
        <v>1</v>
      </c>
      <c r="M217" s="24">
        <f t="shared" si="85"/>
        <v>9.6209597432589042</v>
      </c>
      <c r="N217" s="41" t="str">
        <f t="shared" si="100"/>
        <v>9</v>
      </c>
      <c r="O217" s="24">
        <f t="shared" si="86"/>
        <v>7.4515169191068509</v>
      </c>
      <c r="P217" s="41" t="str">
        <f t="shared" si="101"/>
        <v>7</v>
      </c>
      <c r="Q217" s="24">
        <f t="shared" si="87"/>
        <v>5.4182030292822105</v>
      </c>
      <c r="R217" s="41" t="str">
        <f t="shared" si="102"/>
        <v>5</v>
      </c>
      <c r="S217" s="24">
        <f t="shared" si="88"/>
        <v>5.0184363513865264</v>
      </c>
      <c r="T217" s="41" t="str">
        <f t="shared" si="103"/>
        <v>5</v>
      </c>
      <c r="U217" s="24">
        <f t="shared" si="89"/>
        <v>0.22123621663831727</v>
      </c>
      <c r="V217" s="41" t="str">
        <f t="shared" si="104"/>
        <v>0</v>
      </c>
      <c r="W217" s="24">
        <f t="shared" si="90"/>
        <v>2.6548345996598073</v>
      </c>
      <c r="X217" s="41" t="str">
        <f t="shared" si="105"/>
        <v>2</v>
      </c>
      <c r="Y217" s="24">
        <f t="shared" si="91"/>
        <v>7.8580151959176874</v>
      </c>
      <c r="Z217" s="41" t="str">
        <f t="shared" si="106"/>
        <v>7</v>
      </c>
      <c r="AA217" s="24">
        <f t="shared" si="92"/>
        <v>10.296182351012249</v>
      </c>
      <c r="AB217" s="41" t="str">
        <f t="shared" si="107"/>
        <v>X</v>
      </c>
      <c r="AC217" s="24">
        <f t="shared" si="93"/>
        <v>3.5541882121469826</v>
      </c>
      <c r="AD217" s="41" t="str">
        <f t="shared" si="108"/>
        <v/>
      </c>
      <c r="AE217" s="24">
        <f t="shared" si="94"/>
        <v>6.6502585457637906</v>
      </c>
      <c r="AF217" s="41" t="str">
        <f t="shared" si="109"/>
        <v/>
      </c>
      <c r="AG217" s="24">
        <f t="shared" si="95"/>
        <v>7.8031025491654873</v>
      </c>
      <c r="AH217" s="41" t="str">
        <f t="shared" si="110"/>
        <v/>
      </c>
      <c r="AI217" s="24">
        <f t="shared" si="96"/>
        <v>9.6372305899858475</v>
      </c>
      <c r="AJ217" s="41" t="str">
        <f t="shared" si="111"/>
        <v/>
      </c>
    </row>
    <row r="218" spans="1:36">
      <c r="A218" s="384" t="s">
        <v>1017</v>
      </c>
      <c r="B218" s="385">
        <v>104</v>
      </c>
      <c r="C218" s="386" t="s">
        <v>1016</v>
      </c>
      <c r="D218" s="387">
        <v>267</v>
      </c>
      <c r="E218" s="386"/>
      <c r="F218" s="8">
        <v>2</v>
      </c>
      <c r="G218" s="21">
        <f t="shared" si="97"/>
        <v>267.36118220376568</v>
      </c>
      <c r="H218" s="37" t="str">
        <f t="shared" si="84"/>
        <v>1;X3</v>
      </c>
      <c r="I218" s="38">
        <v>2</v>
      </c>
      <c r="J218" s="132">
        <f t="shared" si="98"/>
        <v>1.8566748764150394</v>
      </c>
      <c r="K218" s="39" t="str">
        <f>INDEX(powers!$H$2:$H$75,33+I218)</f>
        <v>hecty</v>
      </c>
      <c r="L218" s="40" t="str">
        <f t="shared" si="99"/>
        <v>1</v>
      </c>
      <c r="M218" s="24">
        <f t="shared" si="85"/>
        <v>10.280098516980473</v>
      </c>
      <c r="N218" s="41" t="str">
        <f t="shared" si="100"/>
        <v>X</v>
      </c>
      <c r="O218" s="24">
        <f t="shared" si="86"/>
        <v>3.3611822037656793</v>
      </c>
      <c r="P218" s="41" t="str">
        <f t="shared" si="101"/>
        <v>3</v>
      </c>
      <c r="Q218" s="24">
        <f t="shared" si="87"/>
        <v>4.334186445188152</v>
      </c>
      <c r="R218" s="41" t="str">
        <f t="shared" si="102"/>
        <v/>
      </c>
      <c r="S218" s="24">
        <f t="shared" si="88"/>
        <v>4.0102373422578239</v>
      </c>
      <c r="T218" s="41" t="str">
        <f t="shared" si="103"/>
        <v/>
      </c>
      <c r="U218" s="24">
        <f t="shared" si="89"/>
        <v>0.12284810709388694</v>
      </c>
      <c r="V218" s="41" t="str">
        <f t="shared" si="104"/>
        <v/>
      </c>
      <c r="W218" s="24">
        <f t="shared" si="90"/>
        <v>1.4741772851266433</v>
      </c>
      <c r="X218" s="41" t="str">
        <f t="shared" si="105"/>
        <v/>
      </c>
      <c r="Y218" s="24">
        <f t="shared" si="91"/>
        <v>5.6901274215197191</v>
      </c>
      <c r="Z218" s="41" t="str">
        <f t="shared" si="106"/>
        <v/>
      </c>
      <c r="AA218" s="24">
        <f t="shared" si="92"/>
        <v>8.2815290582366288</v>
      </c>
      <c r="AB218" s="41" t="str">
        <f t="shared" si="107"/>
        <v/>
      </c>
      <c r="AC218" s="24">
        <f t="shared" si="93"/>
        <v>3.3783486988395452</v>
      </c>
      <c r="AD218" s="41" t="str">
        <f t="shared" si="108"/>
        <v/>
      </c>
      <c r="AE218" s="24">
        <f t="shared" si="94"/>
        <v>4.540184386074543</v>
      </c>
      <c r="AF218" s="41" t="str">
        <f t="shared" si="109"/>
        <v/>
      </c>
      <c r="AG218" s="24">
        <f t="shared" si="95"/>
        <v>6.482212632894516</v>
      </c>
      <c r="AH218" s="41" t="str">
        <f t="shared" si="110"/>
        <v/>
      </c>
      <c r="AI218" s="24">
        <f t="shared" si="96"/>
        <v>5.7865515947341919</v>
      </c>
      <c r="AJ218" s="41" t="str">
        <f t="shared" si="111"/>
        <v/>
      </c>
    </row>
    <row r="219" spans="1:36">
      <c r="A219" s="384"/>
      <c r="B219" s="385"/>
      <c r="C219" s="386"/>
      <c r="D219" s="387"/>
      <c r="E219" s="386">
        <v>261.10874999999999</v>
      </c>
      <c r="F219" s="8">
        <v>8</v>
      </c>
      <c r="G219" s="21">
        <f t="shared" si="97"/>
        <v>261.46196286047751</v>
      </c>
      <c r="H219" s="37" t="str">
        <f t="shared" si="84"/>
        <v>1;99566332</v>
      </c>
      <c r="I219" s="38">
        <v>2</v>
      </c>
      <c r="J219" s="132">
        <f t="shared" si="98"/>
        <v>1.8157080754199828</v>
      </c>
      <c r="K219" s="39" t="str">
        <f>INDEX(powers!$H$2:$H$75,33+I219)</f>
        <v>hecty</v>
      </c>
      <c r="L219" s="40" t="str">
        <f t="shared" si="99"/>
        <v>1</v>
      </c>
      <c r="M219" s="24">
        <f t="shared" si="85"/>
        <v>9.7884969050397928</v>
      </c>
      <c r="N219" s="41" t="str">
        <f t="shared" si="100"/>
        <v>9</v>
      </c>
      <c r="O219" s="24">
        <f t="shared" si="86"/>
        <v>9.461962860477513</v>
      </c>
      <c r="P219" s="41" t="str">
        <f t="shared" si="101"/>
        <v>9</v>
      </c>
      <c r="Q219" s="24">
        <f t="shared" si="87"/>
        <v>5.5435543257301561</v>
      </c>
      <c r="R219" s="41" t="str">
        <f t="shared" si="102"/>
        <v>5</v>
      </c>
      <c r="S219" s="24">
        <f t="shared" si="88"/>
        <v>6.5226519087618726</v>
      </c>
      <c r="T219" s="41" t="str">
        <f t="shared" si="103"/>
        <v>6</v>
      </c>
      <c r="U219" s="24">
        <f t="shared" si="89"/>
        <v>6.2718229051424714</v>
      </c>
      <c r="V219" s="41" t="str">
        <f t="shared" si="104"/>
        <v>6</v>
      </c>
      <c r="W219" s="24">
        <f t="shared" si="90"/>
        <v>3.2618748617096571</v>
      </c>
      <c r="X219" s="41" t="str">
        <f t="shared" si="105"/>
        <v>3</v>
      </c>
      <c r="Y219" s="24">
        <f t="shared" si="91"/>
        <v>3.1424983405158855</v>
      </c>
      <c r="Z219" s="41" t="str">
        <f t="shared" si="106"/>
        <v>3</v>
      </c>
      <c r="AA219" s="24">
        <f t="shared" si="92"/>
        <v>1.709980086190626</v>
      </c>
      <c r="AB219" s="41" t="str">
        <f t="shared" si="107"/>
        <v>2</v>
      </c>
      <c r="AC219" s="24">
        <f t="shared" si="93"/>
        <v>8.5197610342875123</v>
      </c>
      <c r="AD219" s="41" t="str">
        <f t="shared" si="108"/>
        <v/>
      </c>
      <c r="AE219" s="24">
        <f t="shared" si="94"/>
        <v>6.2371324114501476</v>
      </c>
      <c r="AF219" s="41" t="str">
        <f t="shared" si="109"/>
        <v/>
      </c>
      <c r="AG219" s="24">
        <f t="shared" si="95"/>
        <v>2.8455889374017715</v>
      </c>
      <c r="AH219" s="41" t="str">
        <f t="shared" si="110"/>
        <v/>
      </c>
      <c r="AI219" s="24">
        <f t="shared" si="96"/>
        <v>10.147067248821259</v>
      </c>
      <c r="AJ219" s="41" t="str">
        <f t="shared" si="111"/>
        <v/>
      </c>
    </row>
    <row r="220" spans="1:36">
      <c r="A220" s="384" t="s">
        <v>1019</v>
      </c>
      <c r="B220" s="385">
        <v>105</v>
      </c>
      <c r="C220" s="386" t="s">
        <v>1018</v>
      </c>
      <c r="D220" s="387">
        <v>268</v>
      </c>
      <c r="E220" s="386"/>
      <c r="F220" s="8">
        <v>2</v>
      </c>
      <c r="G220" s="21">
        <f t="shared" si="97"/>
        <v>268.36253494610185</v>
      </c>
      <c r="H220" s="37" t="str">
        <f t="shared" si="84"/>
        <v>1;X4</v>
      </c>
      <c r="I220" s="38">
        <v>2</v>
      </c>
      <c r="J220" s="132">
        <f t="shared" si="98"/>
        <v>1.8636287149034851</v>
      </c>
      <c r="K220" s="39" t="str">
        <f>INDEX(powers!$H$2:$H$75,33+I220)</f>
        <v>hecty</v>
      </c>
      <c r="L220" s="40" t="str">
        <f t="shared" si="99"/>
        <v>1</v>
      </c>
      <c r="M220" s="24">
        <f t="shared" si="85"/>
        <v>10.363544578841822</v>
      </c>
      <c r="N220" s="41" t="str">
        <f t="shared" si="100"/>
        <v>X</v>
      </c>
      <c r="O220" s="24">
        <f t="shared" si="86"/>
        <v>4.3625349461018601</v>
      </c>
      <c r="P220" s="41" t="str">
        <f t="shared" si="101"/>
        <v>4</v>
      </c>
      <c r="Q220" s="24">
        <f t="shared" si="87"/>
        <v>4.3504193532223212</v>
      </c>
      <c r="R220" s="41" t="str">
        <f t="shared" si="102"/>
        <v/>
      </c>
      <c r="S220" s="24">
        <f t="shared" si="88"/>
        <v>4.2050322386678545</v>
      </c>
      <c r="T220" s="41" t="str">
        <f t="shared" si="103"/>
        <v/>
      </c>
      <c r="U220" s="24">
        <f t="shared" si="89"/>
        <v>2.4603868640142537</v>
      </c>
      <c r="V220" s="41" t="str">
        <f t="shared" si="104"/>
        <v/>
      </c>
      <c r="W220" s="24">
        <f t="shared" si="90"/>
        <v>5.5246423681710439</v>
      </c>
      <c r="X220" s="41" t="str">
        <f t="shared" si="105"/>
        <v/>
      </c>
      <c r="Y220" s="24">
        <f t="shared" si="91"/>
        <v>6.2957084180525271</v>
      </c>
      <c r="Z220" s="41" t="str">
        <f t="shared" si="106"/>
        <v/>
      </c>
      <c r="AA220" s="24">
        <f t="shared" si="92"/>
        <v>3.5485010166303255</v>
      </c>
      <c r="AB220" s="41" t="str">
        <f t="shared" si="107"/>
        <v/>
      </c>
      <c r="AC220" s="24">
        <f t="shared" si="93"/>
        <v>6.5820121995639056</v>
      </c>
      <c r="AD220" s="41" t="str">
        <f t="shared" si="108"/>
        <v/>
      </c>
      <c r="AE220" s="24">
        <f t="shared" si="94"/>
        <v>6.9841463947668672</v>
      </c>
      <c r="AF220" s="41" t="str">
        <f t="shared" si="109"/>
        <v/>
      </c>
      <c r="AG220" s="24">
        <f t="shared" si="95"/>
        <v>11.809756737202406</v>
      </c>
      <c r="AH220" s="41" t="str">
        <f t="shared" si="110"/>
        <v/>
      </c>
      <c r="AI220" s="24">
        <f t="shared" si="96"/>
        <v>9.7170808464288712</v>
      </c>
      <c r="AJ220" s="41" t="str">
        <f t="shared" si="111"/>
        <v/>
      </c>
    </row>
    <row r="221" spans="1:36">
      <c r="A221" s="384"/>
      <c r="B221" s="385"/>
      <c r="C221" s="386"/>
      <c r="D221" s="387"/>
      <c r="E221" s="386">
        <v>262.11415</v>
      </c>
      <c r="F221" s="8">
        <v>8</v>
      </c>
      <c r="G221" s="21">
        <f t="shared" si="97"/>
        <v>262.46872290762235</v>
      </c>
      <c r="H221" s="37" t="str">
        <f t="shared" si="84"/>
        <v>1;9X575E53</v>
      </c>
      <c r="I221" s="38">
        <v>2</v>
      </c>
      <c r="J221" s="132">
        <f t="shared" si="98"/>
        <v>1.8226994646362664</v>
      </c>
      <c r="K221" s="39" t="str">
        <f>INDEX(powers!$H$2:$H$75,33+I221)</f>
        <v>hecty</v>
      </c>
      <c r="L221" s="40" t="str">
        <f t="shared" si="99"/>
        <v>1</v>
      </c>
      <c r="M221" s="24">
        <f t="shared" si="85"/>
        <v>9.872393575635197</v>
      </c>
      <c r="N221" s="41" t="str">
        <f t="shared" si="100"/>
        <v>9</v>
      </c>
      <c r="O221" s="24">
        <f t="shared" si="86"/>
        <v>10.468722907622364</v>
      </c>
      <c r="P221" s="41" t="str">
        <f t="shared" si="101"/>
        <v>X</v>
      </c>
      <c r="Q221" s="24">
        <f t="shared" si="87"/>
        <v>5.6246748914683735</v>
      </c>
      <c r="R221" s="41" t="str">
        <f t="shared" si="102"/>
        <v>5</v>
      </c>
      <c r="S221" s="24">
        <f t="shared" si="88"/>
        <v>7.4960986976204822</v>
      </c>
      <c r="T221" s="41" t="str">
        <f t="shared" si="103"/>
        <v>7</v>
      </c>
      <c r="U221" s="24">
        <f t="shared" si="89"/>
        <v>5.9531843714457864</v>
      </c>
      <c r="V221" s="41" t="str">
        <f t="shared" si="104"/>
        <v>5</v>
      </c>
      <c r="W221" s="24">
        <f t="shared" si="90"/>
        <v>11.438212457349437</v>
      </c>
      <c r="X221" s="41" t="str">
        <f t="shared" si="105"/>
        <v>E</v>
      </c>
      <c r="Y221" s="24">
        <f t="shared" si="91"/>
        <v>5.2585494881932391</v>
      </c>
      <c r="Z221" s="41" t="str">
        <f t="shared" si="106"/>
        <v>5</v>
      </c>
      <c r="AA221" s="24">
        <f t="shared" si="92"/>
        <v>3.102593858318869</v>
      </c>
      <c r="AB221" s="41" t="str">
        <f t="shared" si="107"/>
        <v>3</v>
      </c>
      <c r="AC221" s="24">
        <f t="shared" si="93"/>
        <v>1.2311262998264283</v>
      </c>
      <c r="AD221" s="41" t="str">
        <f t="shared" si="108"/>
        <v/>
      </c>
      <c r="AE221" s="24">
        <f t="shared" si="94"/>
        <v>2.7735155979171395</v>
      </c>
      <c r="AF221" s="41" t="str">
        <f t="shared" si="109"/>
        <v/>
      </c>
      <c r="AG221" s="24">
        <f t="shared" si="95"/>
        <v>9.2821871750056744</v>
      </c>
      <c r="AH221" s="41" t="str">
        <f t="shared" si="110"/>
        <v/>
      </c>
      <c r="AI221" s="24">
        <f t="shared" si="96"/>
        <v>3.3862461000680923</v>
      </c>
      <c r="AJ221" s="41" t="str">
        <f t="shared" si="111"/>
        <v/>
      </c>
    </row>
    <row r="222" spans="1:36">
      <c r="A222" s="384" t="s">
        <v>1021</v>
      </c>
      <c r="B222" s="385">
        <v>106</v>
      </c>
      <c r="C222" s="386" t="s">
        <v>1020</v>
      </c>
      <c r="D222" s="387">
        <v>271</v>
      </c>
      <c r="E222" s="386"/>
      <c r="F222" s="8">
        <v>2</v>
      </c>
      <c r="G222" s="21">
        <f t="shared" si="97"/>
        <v>271.36659317311046</v>
      </c>
      <c r="H222" s="37" t="str">
        <f t="shared" si="84"/>
        <v>1;X7</v>
      </c>
      <c r="I222" s="38">
        <v>2</v>
      </c>
      <c r="J222" s="132">
        <f t="shared" si="98"/>
        <v>1.8844902303688227</v>
      </c>
      <c r="K222" s="39" t="str">
        <f>INDEX(powers!$H$2:$H$75,33+I222)</f>
        <v>hecty</v>
      </c>
      <c r="L222" s="40" t="str">
        <f t="shared" si="99"/>
        <v>1</v>
      </c>
      <c r="M222" s="24">
        <f t="shared" si="85"/>
        <v>10.613882764425872</v>
      </c>
      <c r="N222" s="41" t="str">
        <f t="shared" si="100"/>
        <v>X</v>
      </c>
      <c r="O222" s="24">
        <f t="shared" si="86"/>
        <v>7.3665931731104664</v>
      </c>
      <c r="P222" s="41" t="str">
        <f t="shared" si="101"/>
        <v>7</v>
      </c>
      <c r="Q222" s="24">
        <f t="shared" si="87"/>
        <v>4.3991180773255962</v>
      </c>
      <c r="R222" s="41" t="str">
        <f t="shared" si="102"/>
        <v/>
      </c>
      <c r="S222" s="24">
        <f t="shared" si="88"/>
        <v>4.7894169279071548</v>
      </c>
      <c r="T222" s="41" t="str">
        <f t="shared" si="103"/>
        <v/>
      </c>
      <c r="U222" s="24">
        <f t="shared" si="89"/>
        <v>9.4730031348858574</v>
      </c>
      <c r="V222" s="41" t="str">
        <f t="shared" si="104"/>
        <v/>
      </c>
      <c r="W222" s="24">
        <f t="shared" si="90"/>
        <v>5.6760376186302892</v>
      </c>
      <c r="X222" s="41" t="str">
        <f t="shared" si="105"/>
        <v/>
      </c>
      <c r="Y222" s="24">
        <f t="shared" si="91"/>
        <v>8.1124514235634706</v>
      </c>
      <c r="Z222" s="41" t="str">
        <f t="shared" si="106"/>
        <v/>
      </c>
      <c r="AA222" s="24">
        <f t="shared" si="92"/>
        <v>1.3494170827616472</v>
      </c>
      <c r="AB222" s="41" t="str">
        <f t="shared" si="107"/>
        <v/>
      </c>
      <c r="AC222" s="24">
        <f t="shared" si="93"/>
        <v>4.1930049931397662</v>
      </c>
      <c r="AD222" s="41" t="str">
        <f t="shared" si="108"/>
        <v/>
      </c>
      <c r="AE222" s="24">
        <f t="shared" si="94"/>
        <v>2.3160599176771939</v>
      </c>
      <c r="AF222" s="41" t="str">
        <f t="shared" si="109"/>
        <v/>
      </c>
      <c r="AG222" s="24">
        <f t="shared" si="95"/>
        <v>3.7927190121263266</v>
      </c>
      <c r="AH222" s="41" t="str">
        <f t="shared" si="110"/>
        <v/>
      </c>
      <c r="AI222" s="24">
        <f t="shared" si="96"/>
        <v>9.5126281455159187</v>
      </c>
      <c r="AJ222" s="41" t="str">
        <f t="shared" si="111"/>
        <v/>
      </c>
    </row>
    <row r="223" spans="1:36">
      <c r="A223" s="384"/>
      <c r="B223" s="385"/>
      <c r="C223" s="386"/>
      <c r="D223" s="387"/>
      <c r="E223" s="386">
        <v>263.11831000000001</v>
      </c>
      <c r="F223" s="8">
        <v>8</v>
      </c>
      <c r="G223" s="21">
        <f t="shared" si="97"/>
        <v>263.47424127736667</v>
      </c>
      <c r="H223" s="37" t="str">
        <f t="shared" si="84"/>
        <v>1;9E5835X5</v>
      </c>
      <c r="I223" s="38">
        <v>2</v>
      </c>
      <c r="J223" s="132">
        <f t="shared" si="98"/>
        <v>1.829682231092824</v>
      </c>
      <c r="K223" s="39" t="str">
        <f>INDEX(powers!$H$2:$H$75,33+I223)</f>
        <v>hecty</v>
      </c>
      <c r="L223" s="40" t="str">
        <f t="shared" si="99"/>
        <v>1</v>
      </c>
      <c r="M223" s="24">
        <f t="shared" si="85"/>
        <v>9.9561867731138882</v>
      </c>
      <c r="N223" s="41" t="str">
        <f t="shared" si="100"/>
        <v>9</v>
      </c>
      <c r="O223" s="24">
        <f t="shared" si="86"/>
        <v>11.474241277366659</v>
      </c>
      <c r="P223" s="41" t="str">
        <f t="shared" si="101"/>
        <v>E</v>
      </c>
      <c r="Q223" s="24">
        <f t="shared" si="87"/>
        <v>5.690895328399904</v>
      </c>
      <c r="R223" s="41" t="str">
        <f t="shared" si="102"/>
        <v>5</v>
      </c>
      <c r="S223" s="24">
        <f t="shared" si="88"/>
        <v>8.2907439407988477</v>
      </c>
      <c r="T223" s="41" t="str">
        <f t="shared" si="103"/>
        <v>8</v>
      </c>
      <c r="U223" s="24">
        <f t="shared" si="89"/>
        <v>3.4889272895861723</v>
      </c>
      <c r="V223" s="41" t="str">
        <f t="shared" si="104"/>
        <v>3</v>
      </c>
      <c r="W223" s="24">
        <f t="shared" si="90"/>
        <v>5.8671274750340672</v>
      </c>
      <c r="X223" s="41" t="str">
        <f t="shared" si="105"/>
        <v>5</v>
      </c>
      <c r="Y223" s="24">
        <f t="shared" si="91"/>
        <v>10.405529700408806</v>
      </c>
      <c r="Z223" s="41" t="str">
        <f t="shared" si="106"/>
        <v>X</v>
      </c>
      <c r="AA223" s="24">
        <f t="shared" si="92"/>
        <v>4.8663564049056731</v>
      </c>
      <c r="AB223" s="41" t="str">
        <f t="shared" si="107"/>
        <v>5</v>
      </c>
      <c r="AC223" s="24">
        <f t="shared" si="93"/>
        <v>10.396276858868077</v>
      </c>
      <c r="AD223" s="41" t="str">
        <f t="shared" si="108"/>
        <v/>
      </c>
      <c r="AE223" s="24">
        <f t="shared" si="94"/>
        <v>4.7553223064169288</v>
      </c>
      <c r="AF223" s="41" t="str">
        <f t="shared" si="109"/>
        <v/>
      </c>
      <c r="AG223" s="24">
        <f t="shared" si="95"/>
        <v>9.0638676770031452</v>
      </c>
      <c r="AH223" s="41" t="str">
        <f t="shared" si="110"/>
        <v/>
      </c>
      <c r="AI223" s="24">
        <f t="shared" si="96"/>
        <v>0.76641212403774261</v>
      </c>
      <c r="AJ223" s="41" t="str">
        <f t="shared" si="111"/>
        <v/>
      </c>
    </row>
    <row r="224" spans="1:36">
      <c r="A224" s="384" t="s">
        <v>1023</v>
      </c>
      <c r="B224" s="385">
        <v>107</v>
      </c>
      <c r="C224" s="386" t="s">
        <v>1022</v>
      </c>
      <c r="D224" s="387">
        <v>272</v>
      </c>
      <c r="E224" s="386"/>
      <c r="F224" s="8">
        <v>2</v>
      </c>
      <c r="G224" s="21">
        <f t="shared" si="97"/>
        <v>272.36794591544668</v>
      </c>
      <c r="H224" s="37" t="str">
        <f t="shared" si="84"/>
        <v>1;X8</v>
      </c>
      <c r="I224" s="38">
        <v>2</v>
      </c>
      <c r="J224" s="132">
        <f t="shared" si="98"/>
        <v>1.8914440688572687</v>
      </c>
      <c r="K224" s="39" t="str">
        <f>INDEX(powers!$H$2:$H$75,33+I224)</f>
        <v>hecty</v>
      </c>
      <c r="L224" s="40" t="str">
        <f t="shared" si="99"/>
        <v>1</v>
      </c>
      <c r="M224" s="24">
        <f t="shared" si="85"/>
        <v>10.697328826287224</v>
      </c>
      <c r="N224" s="41" t="str">
        <f t="shared" si="100"/>
        <v>X</v>
      </c>
      <c r="O224" s="24">
        <f t="shared" si="86"/>
        <v>8.3679459154466898</v>
      </c>
      <c r="P224" s="41" t="str">
        <f t="shared" si="101"/>
        <v>8</v>
      </c>
      <c r="Q224" s="24">
        <f t="shared" si="87"/>
        <v>4.415350985360277</v>
      </c>
      <c r="R224" s="41" t="str">
        <f t="shared" si="102"/>
        <v/>
      </c>
      <c r="S224" s="24">
        <f t="shared" si="88"/>
        <v>4.9842118243233244</v>
      </c>
      <c r="T224" s="41" t="str">
        <f t="shared" si="103"/>
        <v/>
      </c>
      <c r="U224" s="24">
        <f t="shared" si="89"/>
        <v>11.810541891879893</v>
      </c>
      <c r="V224" s="41" t="str">
        <f t="shared" si="104"/>
        <v/>
      </c>
      <c r="W224" s="24">
        <f t="shared" si="90"/>
        <v>9.7265027025587187</v>
      </c>
      <c r="X224" s="41" t="str">
        <f t="shared" si="105"/>
        <v/>
      </c>
      <c r="Y224" s="24">
        <f t="shared" si="91"/>
        <v>8.7180324307046249</v>
      </c>
      <c r="Z224" s="41" t="str">
        <f t="shared" si="106"/>
        <v/>
      </c>
      <c r="AA224" s="24">
        <f t="shared" si="92"/>
        <v>8.6163891684554983</v>
      </c>
      <c r="AB224" s="41" t="str">
        <f t="shared" si="107"/>
        <v/>
      </c>
      <c r="AC224" s="24">
        <f t="shared" si="93"/>
        <v>7.3966700214659795</v>
      </c>
      <c r="AD224" s="41" t="str">
        <f t="shared" si="108"/>
        <v/>
      </c>
      <c r="AE224" s="24">
        <f t="shared" si="94"/>
        <v>4.7600402575917542</v>
      </c>
      <c r="AF224" s="41" t="str">
        <f t="shared" si="109"/>
        <v/>
      </c>
      <c r="AG224" s="24">
        <f t="shared" si="95"/>
        <v>9.1204830911010504</v>
      </c>
      <c r="AH224" s="41" t="str">
        <f t="shared" si="110"/>
        <v/>
      </c>
      <c r="AI224" s="24">
        <f t="shared" si="96"/>
        <v>1.4457970932126045</v>
      </c>
      <c r="AJ224" s="41" t="str">
        <f t="shared" si="111"/>
        <v/>
      </c>
    </row>
    <row r="225" spans="1:36">
      <c r="A225" s="384"/>
      <c r="B225" s="385"/>
      <c r="C225" s="386"/>
      <c r="D225" s="387"/>
      <c r="E225" s="386">
        <v>264.12473</v>
      </c>
      <c r="F225" s="8">
        <v>8</v>
      </c>
      <c r="G225" s="21">
        <f t="shared" si="97"/>
        <v>264.48202270430863</v>
      </c>
      <c r="H225" s="37" t="str">
        <f t="shared" si="84"/>
        <v>1;X0594E28</v>
      </c>
      <c r="I225" s="38">
        <v>2</v>
      </c>
      <c r="J225" s="132">
        <f t="shared" si="98"/>
        <v>1.8366807132243654</v>
      </c>
      <c r="K225" s="39" t="str">
        <f>INDEX(powers!$H$2:$H$75,33+I225)</f>
        <v>hecty</v>
      </c>
      <c r="L225" s="40" t="str">
        <f t="shared" si="99"/>
        <v>1</v>
      </c>
      <c r="M225" s="24">
        <f t="shared" si="85"/>
        <v>10.040168558692386</v>
      </c>
      <c r="N225" s="41" t="str">
        <f t="shared" si="100"/>
        <v>X</v>
      </c>
      <c r="O225" s="24">
        <f t="shared" si="86"/>
        <v>0.48202270430863337</v>
      </c>
      <c r="P225" s="41" t="str">
        <f t="shared" si="101"/>
        <v>0</v>
      </c>
      <c r="Q225" s="24">
        <f t="shared" si="87"/>
        <v>5.7842724517036004</v>
      </c>
      <c r="R225" s="41" t="str">
        <f t="shared" si="102"/>
        <v>5</v>
      </c>
      <c r="S225" s="24">
        <f t="shared" si="88"/>
        <v>9.4112694204432046</v>
      </c>
      <c r="T225" s="41" t="str">
        <f t="shared" si="103"/>
        <v>9</v>
      </c>
      <c r="U225" s="24">
        <f t="shared" si="89"/>
        <v>4.935233045318455</v>
      </c>
      <c r="V225" s="41" t="str">
        <f t="shared" si="104"/>
        <v>4</v>
      </c>
      <c r="W225" s="24">
        <f t="shared" si="90"/>
        <v>11.22279654382146</v>
      </c>
      <c r="X225" s="41" t="str">
        <f t="shared" si="105"/>
        <v>E</v>
      </c>
      <c r="Y225" s="24">
        <f t="shared" si="91"/>
        <v>2.6735585258575156</v>
      </c>
      <c r="Z225" s="41" t="str">
        <f t="shared" si="106"/>
        <v>2</v>
      </c>
      <c r="AA225" s="24">
        <f t="shared" si="92"/>
        <v>8.0827023102901876</v>
      </c>
      <c r="AB225" s="41" t="str">
        <f t="shared" si="107"/>
        <v>8</v>
      </c>
      <c r="AC225" s="24">
        <f t="shared" si="93"/>
        <v>0.99242772348225117</v>
      </c>
      <c r="AD225" s="41" t="str">
        <f t="shared" si="108"/>
        <v/>
      </c>
      <c r="AE225" s="24">
        <f t="shared" si="94"/>
        <v>11.909132681787014</v>
      </c>
      <c r="AF225" s="41" t="str">
        <f t="shared" si="109"/>
        <v/>
      </c>
      <c r="AG225" s="24">
        <f t="shared" si="95"/>
        <v>10.909592181444168</v>
      </c>
      <c r="AH225" s="41" t="str">
        <f t="shared" si="110"/>
        <v/>
      </c>
      <c r="AI225" s="24">
        <f t="shared" si="96"/>
        <v>10.915106177330017</v>
      </c>
      <c r="AJ225" s="41" t="str">
        <f t="shared" si="111"/>
        <v/>
      </c>
    </row>
    <row r="226" spans="1:36">
      <c r="A226" s="384" t="s">
        <v>1025</v>
      </c>
      <c r="B226" s="385">
        <v>108</v>
      </c>
      <c r="C226" s="386" t="s">
        <v>1024</v>
      </c>
      <c r="D226" s="387">
        <v>277</v>
      </c>
      <c r="E226" s="386"/>
      <c r="F226" s="8">
        <v>2</v>
      </c>
      <c r="G226" s="21">
        <f t="shared" si="97"/>
        <v>277.37470962712769</v>
      </c>
      <c r="H226" s="37" t="str">
        <f t="shared" si="84"/>
        <v>1;E1</v>
      </c>
      <c r="I226" s="38">
        <v>2</v>
      </c>
      <c r="J226" s="132">
        <f t="shared" si="98"/>
        <v>1.9262132612994978</v>
      </c>
      <c r="K226" s="39" t="str">
        <f>INDEX(powers!$H$2:$H$75,33+I226)</f>
        <v>hecty</v>
      </c>
      <c r="L226" s="40" t="str">
        <f t="shared" si="99"/>
        <v>1</v>
      </c>
      <c r="M226" s="24">
        <f t="shared" si="85"/>
        <v>11.114559135593973</v>
      </c>
      <c r="N226" s="41" t="str">
        <f t="shared" si="100"/>
        <v>E</v>
      </c>
      <c r="O226" s="24">
        <f t="shared" si="86"/>
        <v>1.3747096271276789</v>
      </c>
      <c r="P226" s="41" t="str">
        <f t="shared" si="101"/>
        <v>1</v>
      </c>
      <c r="Q226" s="24">
        <f t="shared" si="87"/>
        <v>4.4965155255321463</v>
      </c>
      <c r="R226" s="41" t="str">
        <f t="shared" si="102"/>
        <v/>
      </c>
      <c r="S226" s="24">
        <f t="shared" si="88"/>
        <v>5.9581863063857554</v>
      </c>
      <c r="T226" s="41" t="str">
        <f t="shared" si="103"/>
        <v/>
      </c>
      <c r="U226" s="24">
        <f t="shared" si="89"/>
        <v>11.498235676629065</v>
      </c>
      <c r="V226" s="41" t="str">
        <f t="shared" si="104"/>
        <v/>
      </c>
      <c r="W226" s="24">
        <f t="shared" si="90"/>
        <v>5.9788281195487798</v>
      </c>
      <c r="X226" s="41" t="str">
        <f t="shared" si="105"/>
        <v/>
      </c>
      <c r="Y226" s="24">
        <f t="shared" si="91"/>
        <v>11.745937434585358</v>
      </c>
      <c r="Z226" s="41" t="str">
        <f t="shared" si="106"/>
        <v/>
      </c>
      <c r="AA226" s="24">
        <f t="shared" si="92"/>
        <v>8.9512492150242906</v>
      </c>
      <c r="AB226" s="41" t="str">
        <f t="shared" si="107"/>
        <v/>
      </c>
      <c r="AC226" s="24">
        <f t="shared" si="93"/>
        <v>11.414990580291487</v>
      </c>
      <c r="AD226" s="41" t="str">
        <f t="shared" si="108"/>
        <v/>
      </c>
      <c r="AE226" s="24">
        <f t="shared" si="94"/>
        <v>4.9798869634978473</v>
      </c>
      <c r="AF226" s="41" t="str">
        <f t="shared" si="109"/>
        <v/>
      </c>
      <c r="AG226" s="24">
        <f t="shared" si="95"/>
        <v>11.758643561974168</v>
      </c>
      <c r="AH226" s="41" t="str">
        <f t="shared" si="110"/>
        <v/>
      </c>
      <c r="AI226" s="24">
        <f t="shared" si="96"/>
        <v>9.1037227436900139</v>
      </c>
      <c r="AJ226" s="41" t="str">
        <f t="shared" si="111"/>
        <v/>
      </c>
    </row>
    <row r="227" spans="1:36">
      <c r="A227" s="384" t="s">
        <v>1027</v>
      </c>
      <c r="B227" s="385">
        <v>109</v>
      </c>
      <c r="C227" s="386" t="s">
        <v>1026</v>
      </c>
      <c r="D227" s="387">
        <v>276</v>
      </c>
      <c r="E227" s="386"/>
      <c r="F227" s="8">
        <v>2</v>
      </c>
      <c r="G227" s="21">
        <f t="shared" si="97"/>
        <v>276.37335688479146</v>
      </c>
      <c r="H227" s="37" t="str">
        <f t="shared" si="84"/>
        <v>1;E0</v>
      </c>
      <c r="I227" s="38">
        <v>2</v>
      </c>
      <c r="J227" s="132">
        <f t="shared" si="98"/>
        <v>1.9192594228110518</v>
      </c>
      <c r="K227" s="39" t="str">
        <f>INDEX(powers!$H$2:$H$75,33+I227)</f>
        <v>hecty</v>
      </c>
      <c r="L227" s="40" t="str">
        <f t="shared" si="99"/>
        <v>1</v>
      </c>
      <c r="M227" s="24">
        <f t="shared" si="85"/>
        <v>11.031113073732621</v>
      </c>
      <c r="N227" s="41" t="str">
        <f t="shared" si="100"/>
        <v>E</v>
      </c>
      <c r="O227" s="24">
        <f t="shared" si="86"/>
        <v>0.37335688479145546</v>
      </c>
      <c r="P227" s="41" t="str">
        <f t="shared" si="101"/>
        <v>0</v>
      </c>
      <c r="Q227" s="24">
        <f t="shared" si="87"/>
        <v>4.4802826174974655</v>
      </c>
      <c r="R227" s="41" t="str">
        <f t="shared" si="102"/>
        <v/>
      </c>
      <c r="S227" s="24">
        <f t="shared" si="88"/>
        <v>5.7633914099695858</v>
      </c>
      <c r="T227" s="41" t="str">
        <f t="shared" si="103"/>
        <v/>
      </c>
      <c r="U227" s="24">
        <f t="shared" si="89"/>
        <v>9.1606969196350292</v>
      </c>
      <c r="V227" s="41" t="str">
        <f t="shared" si="104"/>
        <v/>
      </c>
      <c r="W227" s="24">
        <f t="shared" si="90"/>
        <v>1.9283630356203503</v>
      </c>
      <c r="X227" s="41" t="str">
        <f t="shared" si="105"/>
        <v/>
      </c>
      <c r="Y227" s="24">
        <f t="shared" si="91"/>
        <v>11.140356427444203</v>
      </c>
      <c r="Z227" s="41" t="str">
        <f t="shared" si="106"/>
        <v/>
      </c>
      <c r="AA227" s="24">
        <f t="shared" si="92"/>
        <v>1.6842771293304395</v>
      </c>
      <c r="AB227" s="41" t="str">
        <f t="shared" si="107"/>
        <v/>
      </c>
      <c r="AC227" s="24">
        <f t="shared" si="93"/>
        <v>8.2113255519652739</v>
      </c>
      <c r="AD227" s="41" t="str">
        <f t="shared" si="108"/>
        <v/>
      </c>
      <c r="AE227" s="24">
        <f t="shared" si="94"/>
        <v>2.535906623583287</v>
      </c>
      <c r="AF227" s="41" t="str">
        <f t="shared" si="109"/>
        <v/>
      </c>
      <c r="AG227" s="24">
        <f t="shared" si="95"/>
        <v>6.430879482999444</v>
      </c>
      <c r="AH227" s="41" t="str">
        <f t="shared" si="110"/>
        <v/>
      </c>
      <c r="AI227" s="24">
        <f t="shared" si="96"/>
        <v>5.1705537959933281</v>
      </c>
      <c r="AJ227" s="41" t="str">
        <f t="shared" si="111"/>
        <v/>
      </c>
    </row>
    <row r="228" spans="1:36">
      <c r="A228" s="384"/>
      <c r="B228" s="385"/>
      <c r="C228" s="386"/>
      <c r="D228" s="387"/>
      <c r="E228" s="386">
        <v>268.13882000000001</v>
      </c>
      <c r="F228" s="8">
        <v>8</v>
      </c>
      <c r="G228" s="21">
        <f t="shared" si="97"/>
        <v>268.50154273379297</v>
      </c>
      <c r="H228" s="37" t="str">
        <f t="shared" si="84"/>
        <v>1;X46027EE</v>
      </c>
      <c r="I228" s="38">
        <v>2</v>
      </c>
      <c r="J228" s="132">
        <f t="shared" si="98"/>
        <v>1.8645940467624511</v>
      </c>
      <c r="K228" s="39" t="str">
        <f>INDEX(powers!$H$2:$H$75,33+I228)</f>
        <v>hecty</v>
      </c>
      <c r="L228" s="40" t="str">
        <f t="shared" si="99"/>
        <v>1</v>
      </c>
      <c r="M228" s="24">
        <f t="shared" si="85"/>
        <v>10.375128561149413</v>
      </c>
      <c r="N228" s="41" t="str">
        <f t="shared" si="100"/>
        <v>X</v>
      </c>
      <c r="O228" s="24">
        <f t="shared" si="86"/>
        <v>4.5015427337929594</v>
      </c>
      <c r="P228" s="41" t="str">
        <f t="shared" si="101"/>
        <v>4</v>
      </c>
      <c r="Q228" s="24">
        <f t="shared" si="87"/>
        <v>6.0185128055155133</v>
      </c>
      <c r="R228" s="41" t="str">
        <f t="shared" si="102"/>
        <v>6</v>
      </c>
      <c r="S228" s="24">
        <f t="shared" si="88"/>
        <v>0.22215366618615917</v>
      </c>
      <c r="T228" s="41" t="str">
        <f t="shared" si="103"/>
        <v>0</v>
      </c>
      <c r="U228" s="24">
        <f t="shared" si="89"/>
        <v>2.6658439942339101</v>
      </c>
      <c r="V228" s="41" t="str">
        <f t="shared" si="104"/>
        <v>2</v>
      </c>
      <c r="W228" s="24">
        <f t="shared" si="90"/>
        <v>7.9901279308069206</v>
      </c>
      <c r="X228" s="41" t="str">
        <f t="shared" si="105"/>
        <v>7</v>
      </c>
      <c r="Y228" s="24">
        <f t="shared" si="91"/>
        <v>11.881535169683048</v>
      </c>
      <c r="Z228" s="41" t="str">
        <f t="shared" si="106"/>
        <v>E</v>
      </c>
      <c r="AA228" s="24">
        <f t="shared" si="92"/>
        <v>10.578422036196571</v>
      </c>
      <c r="AB228" s="41" t="str">
        <f t="shared" si="107"/>
        <v>E</v>
      </c>
      <c r="AC228" s="24">
        <f t="shared" si="93"/>
        <v>6.9410644343588501</v>
      </c>
      <c r="AD228" s="41" t="str">
        <f t="shared" si="108"/>
        <v/>
      </c>
      <c r="AE228" s="24">
        <f t="shared" si="94"/>
        <v>11.292773212306201</v>
      </c>
      <c r="AF228" s="41" t="str">
        <f t="shared" si="109"/>
        <v/>
      </c>
      <c r="AG228" s="24">
        <f t="shared" si="95"/>
        <v>3.5132785476744175</v>
      </c>
      <c r="AH228" s="41" t="str">
        <f t="shared" si="110"/>
        <v/>
      </c>
      <c r="AI228" s="24">
        <f t="shared" si="96"/>
        <v>6.1593425720930099</v>
      </c>
      <c r="AJ228" s="41" t="str">
        <f t="shared" si="111"/>
        <v/>
      </c>
    </row>
    <row r="229" spans="1:36">
      <c r="A229" s="384" t="s">
        <v>1029</v>
      </c>
      <c r="B229" s="385">
        <v>110</v>
      </c>
      <c r="C229" s="386" t="s">
        <v>1028</v>
      </c>
      <c r="D229" s="387">
        <v>281</v>
      </c>
      <c r="E229" s="386"/>
      <c r="F229" s="8">
        <v>2</v>
      </c>
      <c r="G229" s="21">
        <f t="shared" si="97"/>
        <v>281.38012059647247</v>
      </c>
      <c r="H229" s="37" t="str">
        <f t="shared" si="84"/>
        <v>1;E5</v>
      </c>
      <c r="I229" s="38">
        <v>2</v>
      </c>
      <c r="J229" s="132">
        <f t="shared" si="98"/>
        <v>1.9540286152532811</v>
      </c>
      <c r="K229" s="39" t="str">
        <f>INDEX(powers!$H$2:$H$75,33+I229)</f>
        <v>hecty</v>
      </c>
      <c r="L229" s="40" t="str">
        <f t="shared" si="99"/>
        <v>1</v>
      </c>
      <c r="M229" s="24">
        <f t="shared" si="85"/>
        <v>11.448343383039372</v>
      </c>
      <c r="N229" s="41" t="str">
        <f t="shared" si="100"/>
        <v>E</v>
      </c>
      <c r="O229" s="24">
        <f t="shared" si="86"/>
        <v>5.3801205964724659</v>
      </c>
      <c r="P229" s="41" t="str">
        <f t="shared" si="101"/>
        <v>5</v>
      </c>
      <c r="Q229" s="24">
        <f t="shared" si="87"/>
        <v>4.5614471576695905</v>
      </c>
      <c r="R229" s="41" t="str">
        <f t="shared" si="102"/>
        <v/>
      </c>
      <c r="S229" s="24">
        <f t="shared" si="88"/>
        <v>6.7373658920350863</v>
      </c>
      <c r="T229" s="41" t="str">
        <f t="shared" si="103"/>
        <v/>
      </c>
      <c r="U229" s="24">
        <f t="shared" si="89"/>
        <v>8.8483907044210355</v>
      </c>
      <c r="V229" s="41" t="str">
        <f t="shared" si="104"/>
        <v/>
      </c>
      <c r="W229" s="24">
        <f t="shared" si="90"/>
        <v>10.180688453052426</v>
      </c>
      <c r="X229" s="41" t="str">
        <f t="shared" si="105"/>
        <v/>
      </c>
      <c r="Y229" s="24">
        <f t="shared" si="91"/>
        <v>2.1682614366291091</v>
      </c>
      <c r="Z229" s="41" t="str">
        <f t="shared" si="106"/>
        <v/>
      </c>
      <c r="AA229" s="24">
        <f t="shared" si="92"/>
        <v>2.019137239549309</v>
      </c>
      <c r="AB229" s="41" t="str">
        <f t="shared" si="107"/>
        <v/>
      </c>
      <c r="AC229" s="24">
        <f t="shared" si="93"/>
        <v>0.22964687459170818</v>
      </c>
      <c r="AD229" s="41" t="str">
        <f t="shared" si="108"/>
        <v/>
      </c>
      <c r="AE229" s="24">
        <f t="shared" si="94"/>
        <v>2.7557624951004982</v>
      </c>
      <c r="AF229" s="41" t="str">
        <f t="shared" si="109"/>
        <v/>
      </c>
      <c r="AG229" s="24">
        <f t="shared" si="95"/>
        <v>9.0691499412059784</v>
      </c>
      <c r="AH229" s="41" t="str">
        <f t="shared" si="110"/>
        <v/>
      </c>
      <c r="AI229" s="24">
        <f t="shared" si="96"/>
        <v>0.82979929447174072</v>
      </c>
      <c r="AJ229" s="41" t="str">
        <f t="shared" si="111"/>
        <v/>
      </c>
    </row>
    <row r="230" spans="1:36">
      <c r="A230" s="384"/>
      <c r="B230" s="385"/>
      <c r="C230" s="386"/>
      <c r="D230" s="387"/>
      <c r="E230" s="386">
        <v>269.14514000000003</v>
      </c>
      <c r="F230" s="8">
        <v>8</v>
      </c>
      <c r="G230" s="21">
        <f t="shared" si="97"/>
        <v>269.50922402546075</v>
      </c>
      <c r="H230" s="37" t="str">
        <f t="shared" si="84"/>
        <v>1;X5613E33</v>
      </c>
      <c r="I230" s="38">
        <v>2</v>
      </c>
      <c r="J230" s="132">
        <f t="shared" si="98"/>
        <v>1.871591833510144</v>
      </c>
      <c r="K230" s="39" t="str">
        <f>INDEX(powers!$H$2:$H$75,33+I230)</f>
        <v>hecty</v>
      </c>
      <c r="L230" s="40" t="str">
        <f t="shared" si="99"/>
        <v>1</v>
      </c>
      <c r="M230" s="24">
        <f t="shared" si="85"/>
        <v>10.459102002121728</v>
      </c>
      <c r="N230" s="41" t="str">
        <f t="shared" si="100"/>
        <v>X</v>
      </c>
      <c r="O230" s="24">
        <f t="shared" si="86"/>
        <v>5.509224025460739</v>
      </c>
      <c r="P230" s="41" t="str">
        <f t="shared" si="101"/>
        <v>5</v>
      </c>
      <c r="Q230" s="24">
        <f t="shared" si="87"/>
        <v>6.1106883055288677</v>
      </c>
      <c r="R230" s="41" t="str">
        <f t="shared" si="102"/>
        <v>6</v>
      </c>
      <c r="S230" s="24">
        <f t="shared" si="88"/>
        <v>1.3282596663464119</v>
      </c>
      <c r="T230" s="41" t="str">
        <f t="shared" si="103"/>
        <v>1</v>
      </c>
      <c r="U230" s="24">
        <f t="shared" si="89"/>
        <v>3.9391159961569429</v>
      </c>
      <c r="V230" s="41" t="str">
        <f t="shared" si="104"/>
        <v>3</v>
      </c>
      <c r="W230" s="24">
        <f t="shared" si="90"/>
        <v>11.269391953883314</v>
      </c>
      <c r="X230" s="41" t="str">
        <f t="shared" si="105"/>
        <v>E</v>
      </c>
      <c r="Y230" s="24">
        <f t="shared" si="91"/>
        <v>3.2327034465997713</v>
      </c>
      <c r="Z230" s="41" t="str">
        <f t="shared" si="106"/>
        <v>3</v>
      </c>
      <c r="AA230" s="24">
        <f t="shared" si="92"/>
        <v>2.7924413591972552</v>
      </c>
      <c r="AB230" s="41" t="str">
        <f t="shared" si="107"/>
        <v>3</v>
      </c>
      <c r="AC230" s="24">
        <f t="shared" si="93"/>
        <v>9.5092963103670627</v>
      </c>
      <c r="AD230" s="41" t="str">
        <f t="shared" si="108"/>
        <v/>
      </c>
      <c r="AE230" s="24">
        <f t="shared" si="94"/>
        <v>6.1115557244047523</v>
      </c>
      <c r="AF230" s="41" t="str">
        <f t="shared" si="109"/>
        <v/>
      </c>
      <c r="AG230" s="24">
        <f t="shared" si="95"/>
        <v>1.3386686928570271</v>
      </c>
      <c r="AH230" s="41" t="str">
        <f t="shared" si="110"/>
        <v/>
      </c>
      <c r="AI230" s="24">
        <f t="shared" si="96"/>
        <v>4.0640243142843246</v>
      </c>
      <c r="AJ230" s="41" t="str">
        <f t="shared" si="111"/>
        <v/>
      </c>
    </row>
    <row r="231" spans="1:36">
      <c r="A231" s="384" t="s">
        <v>1032</v>
      </c>
      <c r="B231" s="385">
        <v>111</v>
      </c>
      <c r="C231" s="386" t="s">
        <v>1030</v>
      </c>
      <c r="D231" s="387">
        <v>280</v>
      </c>
      <c r="E231" s="386">
        <v>272.15348</v>
      </c>
      <c r="F231" s="8">
        <v>8</v>
      </c>
      <c r="G231" s="21">
        <f t="shared" si="97"/>
        <v>280.37876785413624</v>
      </c>
      <c r="H231" s="37" t="str">
        <f t="shared" si="84"/>
        <v>1;E4466617</v>
      </c>
      <c r="I231" s="38">
        <v>2</v>
      </c>
      <c r="J231" s="132">
        <f t="shared" si="98"/>
        <v>1.9470747767648351</v>
      </c>
      <c r="K231" s="39" t="str">
        <f>INDEX(powers!$H$2:$H$75,33+I231)</f>
        <v>hecty</v>
      </c>
      <c r="L231" s="40" t="str">
        <f t="shared" si="99"/>
        <v>1</v>
      </c>
      <c r="M231" s="24">
        <f t="shared" si="85"/>
        <v>11.36489732117802</v>
      </c>
      <c r="N231" s="41" t="str">
        <f t="shared" si="100"/>
        <v>E</v>
      </c>
      <c r="O231" s="24">
        <f t="shared" si="86"/>
        <v>4.3787678541362425</v>
      </c>
      <c r="P231" s="41" t="str">
        <f t="shared" si="101"/>
        <v>4</v>
      </c>
      <c r="Q231" s="24">
        <f t="shared" si="87"/>
        <v>4.5452142496349097</v>
      </c>
      <c r="R231" s="41" t="str">
        <f t="shared" si="102"/>
        <v>4</v>
      </c>
      <c r="S231" s="24">
        <f t="shared" si="88"/>
        <v>6.5425709956189166</v>
      </c>
      <c r="T231" s="41" t="str">
        <f t="shared" si="103"/>
        <v>6</v>
      </c>
      <c r="U231" s="24">
        <f t="shared" si="89"/>
        <v>6.5108519474269997</v>
      </c>
      <c r="V231" s="41" t="str">
        <f t="shared" si="104"/>
        <v>6</v>
      </c>
      <c r="W231" s="24">
        <f t="shared" si="90"/>
        <v>6.1302233691239962</v>
      </c>
      <c r="X231" s="41" t="str">
        <f t="shared" si="105"/>
        <v>6</v>
      </c>
      <c r="Y231" s="24">
        <f t="shared" si="91"/>
        <v>1.5626804294879548</v>
      </c>
      <c r="Z231" s="41" t="str">
        <f t="shared" si="106"/>
        <v>1</v>
      </c>
      <c r="AA231" s="24">
        <f t="shared" si="92"/>
        <v>6.7521651538554579</v>
      </c>
      <c r="AB231" s="41" t="str">
        <f t="shared" si="107"/>
        <v>7</v>
      </c>
      <c r="AC231" s="24">
        <f t="shared" si="93"/>
        <v>9.0259818462654948</v>
      </c>
      <c r="AD231" s="41" t="str">
        <f t="shared" si="108"/>
        <v/>
      </c>
      <c r="AE231" s="24">
        <f t="shared" si="94"/>
        <v>0.31178215518593788</v>
      </c>
      <c r="AF231" s="41" t="str">
        <f t="shared" si="109"/>
        <v/>
      </c>
      <c r="AG231" s="24">
        <f t="shared" si="95"/>
        <v>3.7413858622312546</v>
      </c>
      <c r="AH231" s="41" t="str">
        <f t="shared" si="110"/>
        <v/>
      </c>
      <c r="AI231" s="24">
        <f t="shared" si="96"/>
        <v>8.8966303467750549</v>
      </c>
      <c r="AJ231" s="41" t="str">
        <f t="shared" si="111"/>
        <v/>
      </c>
    </row>
    <row r="232" spans="1:36">
      <c r="A232" s="384" t="s">
        <v>1034</v>
      </c>
      <c r="B232" s="385">
        <v>112</v>
      </c>
      <c r="C232" s="386" t="s">
        <v>1031</v>
      </c>
      <c r="D232" s="387">
        <v>285</v>
      </c>
      <c r="E232" s="388"/>
      <c r="F232" s="8">
        <v>2</v>
      </c>
      <c r="G232" s="21">
        <f t="shared" si="97"/>
        <v>285.38553156581725</v>
      </c>
      <c r="H232" s="37" t="str">
        <f t="shared" si="84"/>
        <v>1;E9</v>
      </c>
      <c r="I232" s="38">
        <v>2</v>
      </c>
      <c r="J232" s="132">
        <f t="shared" si="98"/>
        <v>1.9818439692070642</v>
      </c>
      <c r="K232" s="39" t="str">
        <f>INDEX(powers!$H$2:$H$75,33+I232)</f>
        <v>hecty</v>
      </c>
      <c r="L232" s="40" t="str">
        <f t="shared" si="99"/>
        <v>1</v>
      </c>
      <c r="M232" s="24">
        <f t="shared" si="85"/>
        <v>11.782127630484769</v>
      </c>
      <c r="N232" s="41" t="str">
        <f t="shared" si="100"/>
        <v>E</v>
      </c>
      <c r="O232" s="24">
        <f t="shared" si="86"/>
        <v>9.3855315658172316</v>
      </c>
      <c r="P232" s="41" t="str">
        <f t="shared" si="101"/>
        <v>9</v>
      </c>
      <c r="Q232" s="24">
        <f t="shared" si="87"/>
        <v>4.626378789806779</v>
      </c>
      <c r="R232" s="41" t="str">
        <f t="shared" si="102"/>
        <v/>
      </c>
      <c r="S232" s="24">
        <f t="shared" si="88"/>
        <v>7.5165454776813476</v>
      </c>
      <c r="T232" s="41" t="str">
        <f t="shared" si="103"/>
        <v/>
      </c>
      <c r="U232" s="24">
        <f t="shared" si="89"/>
        <v>6.1985457321761714</v>
      </c>
      <c r="V232" s="41" t="str">
        <f t="shared" si="104"/>
        <v/>
      </c>
      <c r="W232" s="24">
        <f t="shared" si="90"/>
        <v>2.3825487861140573</v>
      </c>
      <c r="X232" s="41" t="str">
        <f t="shared" si="105"/>
        <v/>
      </c>
      <c r="Y232" s="24">
        <f t="shared" si="91"/>
        <v>4.5905854333686875</v>
      </c>
      <c r="Z232" s="41" t="str">
        <f t="shared" si="106"/>
        <v/>
      </c>
      <c r="AA232" s="24">
        <f t="shared" si="92"/>
        <v>7.0870252004242502</v>
      </c>
      <c r="AB232" s="41" t="str">
        <f t="shared" si="107"/>
        <v/>
      </c>
      <c r="AC232" s="24">
        <f t="shared" si="93"/>
        <v>1.0443024050910026</v>
      </c>
      <c r="AD232" s="41" t="str">
        <f t="shared" si="108"/>
        <v/>
      </c>
      <c r="AE232" s="24">
        <f t="shared" si="94"/>
        <v>0.531628861092031</v>
      </c>
      <c r="AF232" s="41" t="str">
        <f t="shared" si="109"/>
        <v/>
      </c>
      <c r="AG232" s="24">
        <f t="shared" si="95"/>
        <v>6.379546333104372</v>
      </c>
      <c r="AH232" s="41" t="str">
        <f t="shared" si="110"/>
        <v/>
      </c>
      <c r="AI232" s="24">
        <f t="shared" si="96"/>
        <v>4.5545559972524643</v>
      </c>
      <c r="AJ232" s="41" t="str">
        <f t="shared" si="111"/>
        <v/>
      </c>
    </row>
    <row r="233" spans="1:36">
      <c r="A233" s="384" t="s">
        <v>1036</v>
      </c>
      <c r="B233" s="385">
        <v>113</v>
      </c>
      <c r="C233" s="386" t="s">
        <v>1033</v>
      </c>
      <c r="D233" s="387">
        <v>284</v>
      </c>
      <c r="E233" s="388"/>
      <c r="F233" s="8">
        <v>2</v>
      </c>
      <c r="G233" s="21">
        <f t="shared" si="97"/>
        <v>284.38417882348108</v>
      </c>
      <c r="H233" s="37" t="str">
        <f t="shared" si="84"/>
        <v>1;E8</v>
      </c>
      <c r="I233" s="38">
        <v>2</v>
      </c>
      <c r="J233" s="132">
        <f t="shared" si="98"/>
        <v>1.9748901307186186</v>
      </c>
      <c r="K233" s="39" t="str">
        <f>INDEX(powers!$H$2:$H$75,33+I233)</f>
        <v>hecty</v>
      </c>
      <c r="L233" s="40" t="str">
        <f t="shared" si="99"/>
        <v>1</v>
      </c>
      <c r="M233" s="24">
        <f t="shared" si="85"/>
        <v>11.698681568623424</v>
      </c>
      <c r="N233" s="41" t="str">
        <f t="shared" si="100"/>
        <v>E</v>
      </c>
      <c r="O233" s="24">
        <f t="shared" si="86"/>
        <v>8.3841788234810934</v>
      </c>
      <c r="P233" s="41" t="str">
        <f t="shared" si="101"/>
        <v>8</v>
      </c>
      <c r="Q233" s="24">
        <f t="shared" si="87"/>
        <v>4.6101458817731213</v>
      </c>
      <c r="R233" s="41" t="str">
        <f t="shared" si="102"/>
        <v/>
      </c>
      <c r="S233" s="24">
        <f t="shared" si="88"/>
        <v>7.3217505812774561</v>
      </c>
      <c r="T233" s="41" t="str">
        <f t="shared" si="103"/>
        <v/>
      </c>
      <c r="U233" s="24">
        <f t="shared" si="89"/>
        <v>3.8610069753294738</v>
      </c>
      <c r="V233" s="41" t="str">
        <f t="shared" si="104"/>
        <v/>
      </c>
      <c r="W233" s="24">
        <f t="shared" si="90"/>
        <v>10.332083703953685</v>
      </c>
      <c r="X233" s="41" t="str">
        <f t="shared" si="105"/>
        <v/>
      </c>
      <c r="Y233" s="24">
        <f t="shared" si="91"/>
        <v>3.9850044474442257</v>
      </c>
      <c r="Z233" s="41" t="str">
        <f t="shared" si="106"/>
        <v/>
      </c>
      <c r="AA233" s="24">
        <f t="shared" si="92"/>
        <v>11.820053369330708</v>
      </c>
      <c r="AB233" s="41" t="str">
        <f t="shared" si="107"/>
        <v/>
      </c>
      <c r="AC233" s="24">
        <f t="shared" si="93"/>
        <v>9.8406404319684952</v>
      </c>
      <c r="AD233" s="41" t="str">
        <f t="shared" si="108"/>
        <v/>
      </c>
      <c r="AE233" s="24">
        <f t="shared" si="94"/>
        <v>10.087685183621943</v>
      </c>
      <c r="AF233" s="41" t="str">
        <f t="shared" si="109"/>
        <v/>
      </c>
      <c r="AG233" s="24">
        <f t="shared" si="95"/>
        <v>1.052222203463316</v>
      </c>
      <c r="AH233" s="41" t="str">
        <f t="shared" si="110"/>
        <v/>
      </c>
      <c r="AI233" s="24">
        <f t="shared" si="96"/>
        <v>0.62666644155979156</v>
      </c>
      <c r="AJ233" s="41" t="str">
        <f t="shared" si="111"/>
        <v/>
      </c>
    </row>
    <row r="234" spans="1:36">
      <c r="A234" s="384" t="s">
        <v>1038</v>
      </c>
      <c r="B234" s="385">
        <v>114</v>
      </c>
      <c r="C234" s="386" t="s">
        <v>1035</v>
      </c>
      <c r="D234" s="387">
        <v>289</v>
      </c>
      <c r="E234" s="388"/>
      <c r="F234" s="8">
        <v>2</v>
      </c>
      <c r="G234" s="21">
        <f t="shared" si="97"/>
        <v>289.39094253516208</v>
      </c>
      <c r="H234" s="37" t="str">
        <f t="shared" si="84"/>
        <v>2;01</v>
      </c>
      <c r="I234" s="38">
        <v>2</v>
      </c>
      <c r="J234" s="132">
        <f t="shared" si="98"/>
        <v>2.0096593231608479</v>
      </c>
      <c r="K234" s="39" t="str">
        <f>INDEX(powers!$H$2:$H$75,33+I234)</f>
        <v>hecty</v>
      </c>
      <c r="L234" s="40" t="str">
        <f t="shared" si="99"/>
        <v>2</v>
      </c>
      <c r="M234" s="24">
        <f t="shared" si="85"/>
        <v>0.11591187793017532</v>
      </c>
      <c r="N234" s="41" t="str">
        <f t="shared" si="100"/>
        <v>0</v>
      </c>
      <c r="O234" s="24">
        <f t="shared" si="86"/>
        <v>1.3909425351621039</v>
      </c>
      <c r="P234" s="41" t="str">
        <f t="shared" si="101"/>
        <v>1</v>
      </c>
      <c r="Q234" s="24">
        <f t="shared" si="87"/>
        <v>4.6913104219452464</v>
      </c>
      <c r="R234" s="41" t="str">
        <f t="shared" si="102"/>
        <v/>
      </c>
      <c r="S234" s="24">
        <f t="shared" si="88"/>
        <v>8.2957250633429567</v>
      </c>
      <c r="T234" s="41" t="str">
        <f t="shared" si="103"/>
        <v/>
      </c>
      <c r="U234" s="24">
        <f t="shared" si="89"/>
        <v>3.5487007601154801</v>
      </c>
      <c r="V234" s="41" t="str">
        <f t="shared" si="104"/>
        <v/>
      </c>
      <c r="W234" s="24">
        <f t="shared" si="90"/>
        <v>6.584409121385761</v>
      </c>
      <c r="X234" s="41" t="str">
        <f t="shared" si="105"/>
        <v/>
      </c>
      <c r="Y234" s="24">
        <f t="shared" si="91"/>
        <v>7.0129094566291315</v>
      </c>
      <c r="Z234" s="41" t="str">
        <f t="shared" si="106"/>
        <v/>
      </c>
      <c r="AA234" s="24">
        <f t="shared" si="92"/>
        <v>0.15491347954957746</v>
      </c>
      <c r="AB234" s="41" t="str">
        <f t="shared" si="107"/>
        <v/>
      </c>
      <c r="AC234" s="24">
        <f t="shared" si="93"/>
        <v>1.8589617545949295</v>
      </c>
      <c r="AD234" s="41" t="str">
        <f t="shared" si="108"/>
        <v/>
      </c>
      <c r="AE234" s="24">
        <f t="shared" si="94"/>
        <v>10.307541055139154</v>
      </c>
      <c r="AF234" s="41" t="str">
        <f t="shared" si="109"/>
        <v/>
      </c>
      <c r="AG234" s="24">
        <f t="shared" si="95"/>
        <v>3.6904926616698503</v>
      </c>
      <c r="AH234" s="41" t="str">
        <f t="shared" si="110"/>
        <v/>
      </c>
      <c r="AI234" s="24">
        <f t="shared" si="96"/>
        <v>8.2859119400382042</v>
      </c>
      <c r="AJ234" s="41" t="str">
        <f t="shared" si="111"/>
        <v/>
      </c>
    </row>
    <row r="235" spans="1:36">
      <c r="A235" s="384" t="s">
        <v>1040</v>
      </c>
      <c r="B235" s="385">
        <v>115</v>
      </c>
      <c r="C235" s="386" t="s">
        <v>1037</v>
      </c>
      <c r="D235" s="387">
        <v>288</v>
      </c>
      <c r="E235" s="388"/>
      <c r="F235" s="8">
        <v>2</v>
      </c>
      <c r="G235" s="21">
        <f t="shared" si="97"/>
        <v>288.38958979282586</v>
      </c>
      <c r="H235" s="37" t="str">
        <f t="shared" si="84"/>
        <v>2;00</v>
      </c>
      <c r="I235" s="38">
        <v>2</v>
      </c>
      <c r="J235" s="132">
        <f t="shared" si="98"/>
        <v>2.0027054846724019</v>
      </c>
      <c r="K235" s="39" t="str">
        <f>INDEX(powers!$H$2:$H$75,33+I235)</f>
        <v>hecty</v>
      </c>
      <c r="L235" s="40" t="str">
        <f t="shared" si="99"/>
        <v>2</v>
      </c>
      <c r="M235" s="24">
        <f t="shared" si="85"/>
        <v>3.2465816068823372E-2</v>
      </c>
      <c r="N235" s="41" t="str">
        <f t="shared" si="100"/>
        <v>0</v>
      </c>
      <c r="O235" s="24">
        <f t="shared" si="86"/>
        <v>0.38958979282588047</v>
      </c>
      <c r="P235" s="41" t="str">
        <f t="shared" si="101"/>
        <v>0</v>
      </c>
      <c r="Q235" s="24">
        <f t="shared" si="87"/>
        <v>4.6750775139105656</v>
      </c>
      <c r="R235" s="41" t="str">
        <f t="shared" si="102"/>
        <v/>
      </c>
      <c r="S235" s="24">
        <f t="shared" si="88"/>
        <v>8.100930166926787</v>
      </c>
      <c r="T235" s="41" t="str">
        <f t="shared" si="103"/>
        <v/>
      </c>
      <c r="U235" s="24">
        <f t="shared" si="89"/>
        <v>1.2111620031214443</v>
      </c>
      <c r="V235" s="41" t="str">
        <f t="shared" si="104"/>
        <v/>
      </c>
      <c r="W235" s="24">
        <f t="shared" si="90"/>
        <v>2.5339440374573314</v>
      </c>
      <c r="X235" s="41" t="str">
        <f t="shared" si="105"/>
        <v/>
      </c>
      <c r="Y235" s="24">
        <f t="shared" si="91"/>
        <v>6.4073284494879772</v>
      </c>
      <c r="Z235" s="41" t="str">
        <f t="shared" si="106"/>
        <v/>
      </c>
      <c r="AA235" s="24">
        <f t="shared" si="92"/>
        <v>4.8879413938557263</v>
      </c>
      <c r="AB235" s="41" t="str">
        <f t="shared" si="107"/>
        <v/>
      </c>
      <c r="AC235" s="24">
        <f t="shared" si="93"/>
        <v>10.655296726268716</v>
      </c>
      <c r="AD235" s="41" t="str">
        <f t="shared" si="108"/>
        <v/>
      </c>
      <c r="AE235" s="24">
        <f t="shared" si="94"/>
        <v>7.8635607152245939</v>
      </c>
      <c r="AF235" s="41" t="str">
        <f t="shared" si="109"/>
        <v/>
      </c>
      <c r="AG235" s="24">
        <f t="shared" si="95"/>
        <v>10.362728582695127</v>
      </c>
      <c r="AH235" s="41" t="str">
        <f t="shared" si="110"/>
        <v/>
      </c>
      <c r="AI235" s="24">
        <f t="shared" si="96"/>
        <v>4.3527429923415184</v>
      </c>
      <c r="AJ235" s="41" t="str">
        <f t="shared" si="111"/>
        <v/>
      </c>
    </row>
    <row r="236" spans="1:36">
      <c r="A236" s="384" t="s">
        <v>1042</v>
      </c>
      <c r="B236" s="385">
        <v>116</v>
      </c>
      <c r="C236" s="386" t="s">
        <v>1039</v>
      </c>
      <c r="D236" s="387">
        <v>293</v>
      </c>
      <c r="E236" s="388"/>
      <c r="F236" s="8">
        <v>2</v>
      </c>
      <c r="G236" s="21">
        <f t="shared" si="97"/>
        <v>293.39635350450686</v>
      </c>
      <c r="H236" s="37" t="str">
        <f t="shared" si="84"/>
        <v>2;05</v>
      </c>
      <c r="I236" s="38">
        <v>2</v>
      </c>
      <c r="J236" s="132">
        <f t="shared" si="98"/>
        <v>2.037474677114631</v>
      </c>
      <c r="K236" s="39" t="str">
        <f>INDEX(powers!$H$2:$H$75,33+I236)</f>
        <v>hecty</v>
      </c>
      <c r="L236" s="40" t="str">
        <f t="shared" si="99"/>
        <v>2</v>
      </c>
      <c r="M236" s="24">
        <f t="shared" si="85"/>
        <v>0.44969612537557246</v>
      </c>
      <c r="N236" s="41" t="str">
        <f t="shared" si="100"/>
        <v>0</v>
      </c>
      <c r="O236" s="24">
        <f t="shared" si="86"/>
        <v>5.3963535045068696</v>
      </c>
      <c r="P236" s="41" t="str">
        <f t="shared" si="101"/>
        <v>5</v>
      </c>
      <c r="Q236" s="24">
        <f t="shared" si="87"/>
        <v>4.7562420540824348</v>
      </c>
      <c r="R236" s="41" t="str">
        <f t="shared" si="102"/>
        <v/>
      </c>
      <c r="S236" s="24">
        <f t="shared" si="88"/>
        <v>9.074904648989218</v>
      </c>
      <c r="T236" s="41" t="str">
        <f t="shared" si="103"/>
        <v/>
      </c>
      <c r="U236" s="24">
        <f t="shared" si="89"/>
        <v>0.89885578787061604</v>
      </c>
      <c r="V236" s="41" t="str">
        <f t="shared" si="104"/>
        <v/>
      </c>
      <c r="W236" s="24">
        <f t="shared" si="90"/>
        <v>10.786269454447392</v>
      </c>
      <c r="X236" s="41" t="str">
        <f t="shared" si="105"/>
        <v/>
      </c>
      <c r="Y236" s="24">
        <f t="shared" si="91"/>
        <v>9.4352334533687099</v>
      </c>
      <c r="Z236" s="41" t="str">
        <f t="shared" si="106"/>
        <v/>
      </c>
      <c r="AA236" s="24">
        <f t="shared" si="92"/>
        <v>5.2228014404245187</v>
      </c>
      <c r="AB236" s="41" t="str">
        <f t="shared" si="107"/>
        <v/>
      </c>
      <c r="AC236" s="24">
        <f t="shared" si="93"/>
        <v>2.6736172850942239</v>
      </c>
      <c r="AD236" s="41" t="str">
        <f t="shared" si="108"/>
        <v/>
      </c>
      <c r="AE236" s="24">
        <f t="shared" si="94"/>
        <v>8.083407421130687</v>
      </c>
      <c r="AF236" s="41" t="str">
        <f t="shared" si="109"/>
        <v/>
      </c>
      <c r="AG236" s="24">
        <f t="shared" si="95"/>
        <v>1.000889053568244</v>
      </c>
      <c r="AH236" s="41" t="str">
        <f t="shared" si="110"/>
        <v/>
      </c>
      <c r="AI236" s="24">
        <f t="shared" si="96"/>
        <v>1.0668642818927765E-2</v>
      </c>
      <c r="AJ236" s="41" t="str">
        <f t="shared" si="111"/>
        <v/>
      </c>
    </row>
    <row r="237" spans="1:36" ht="12.75" thickBot="1">
      <c r="A237" s="389" t="s">
        <v>1043</v>
      </c>
      <c r="B237" s="390">
        <v>118</v>
      </c>
      <c r="C237" s="391" t="s">
        <v>1041</v>
      </c>
      <c r="D237" s="392">
        <v>294</v>
      </c>
      <c r="E237" s="393"/>
      <c r="F237" s="33">
        <v>2</v>
      </c>
      <c r="G237" s="32">
        <f t="shared" si="97"/>
        <v>294.39770624684309</v>
      </c>
      <c r="H237" s="47" t="str">
        <f t="shared" si="84"/>
        <v>2;06</v>
      </c>
      <c r="I237" s="48">
        <v>2</v>
      </c>
      <c r="J237" s="110">
        <f t="shared" si="98"/>
        <v>2.044428515603077</v>
      </c>
      <c r="K237" s="49" t="str">
        <f>INDEX(powers!$H$2:$H$75,33+I237)</f>
        <v>hecty</v>
      </c>
      <c r="L237" s="40" t="str">
        <f t="shared" si="99"/>
        <v>2</v>
      </c>
      <c r="M237" s="24">
        <f t="shared" si="85"/>
        <v>0.53314218723692441</v>
      </c>
      <c r="N237" s="41" t="str">
        <f t="shared" si="100"/>
        <v>0</v>
      </c>
      <c r="O237" s="24">
        <f t="shared" si="86"/>
        <v>6.397706246843093</v>
      </c>
      <c r="P237" s="41" t="str">
        <f t="shared" si="101"/>
        <v>6</v>
      </c>
      <c r="Q237" s="24">
        <f t="shared" si="87"/>
        <v>4.7724749621171156</v>
      </c>
      <c r="R237" s="41" t="str">
        <f t="shared" si="102"/>
        <v/>
      </c>
      <c r="S237" s="24">
        <f t="shared" si="88"/>
        <v>9.2696995454053877</v>
      </c>
      <c r="T237" s="41" t="str">
        <f t="shared" si="103"/>
        <v/>
      </c>
      <c r="U237" s="24">
        <f t="shared" si="89"/>
        <v>3.2363945448646518</v>
      </c>
      <c r="V237" s="41" t="str">
        <f t="shared" si="104"/>
        <v/>
      </c>
      <c r="W237" s="24">
        <f t="shared" si="90"/>
        <v>2.836734538375822</v>
      </c>
      <c r="X237" s="41" t="str">
        <f t="shared" si="105"/>
        <v/>
      </c>
      <c r="Y237" s="24">
        <f t="shared" si="91"/>
        <v>10.040814460509864</v>
      </c>
      <c r="Z237" s="41" t="str">
        <f t="shared" si="106"/>
        <v/>
      </c>
      <c r="AA237" s="24">
        <f t="shared" si="92"/>
        <v>0.48977352611836977</v>
      </c>
      <c r="AB237" s="41" t="str">
        <f t="shared" si="107"/>
        <v/>
      </c>
      <c r="AC237" s="24">
        <f t="shared" si="93"/>
        <v>5.8772823134204373</v>
      </c>
      <c r="AD237" s="41" t="str">
        <f t="shared" si="108"/>
        <v/>
      </c>
      <c r="AE237" s="24">
        <f t="shared" si="94"/>
        <v>10.527387761045247</v>
      </c>
      <c r="AF237" s="41" t="str">
        <f t="shared" si="109"/>
        <v/>
      </c>
      <c r="AG237" s="24">
        <f t="shared" si="95"/>
        <v>6.3286531325429678</v>
      </c>
      <c r="AH237" s="41" t="str">
        <f t="shared" si="110"/>
        <v/>
      </c>
      <c r="AI237" s="24">
        <f t="shared" si="96"/>
        <v>3.9438375905156136</v>
      </c>
      <c r="AJ237" s="41" t="str">
        <f t="shared" si="111"/>
        <v/>
      </c>
    </row>
  </sheetData>
  <mergeCells count="6">
    <mergeCell ref="D7:E7"/>
    <mergeCell ref="I9:J9"/>
    <mergeCell ref="D8:E8"/>
    <mergeCell ref="A8:A9"/>
    <mergeCell ref="B8:B9"/>
    <mergeCell ref="C8:C9"/>
  </mergeCells>
  <phoneticPr fontId="1"/>
  <dataValidations count="1">
    <dataValidation type="list" allowBlank="1" showInputMessage="1" showErrorMessage="1" sqref="G7">
      <formula1>$M$2:$M$6</formula1>
    </dataValidation>
  </dataValidations>
  <hyperlinks>
    <hyperlink ref="B7" r:id="rId1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3" fitToHeight="0" orientation="portrait" r:id="rId2"/>
  <headerFooter>
    <oddHeader>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5"/>
  <sheetViews>
    <sheetView workbookViewId="0">
      <selection activeCell="I13" sqref="I13"/>
    </sheetView>
  </sheetViews>
  <sheetFormatPr defaultRowHeight="12"/>
  <cols>
    <col min="1" max="1" width="13.75" style="517" customWidth="1"/>
    <col min="2" max="2" width="22.75" style="145" customWidth="1"/>
    <col min="3" max="3" width="23.5" style="14" customWidth="1"/>
    <col min="4" max="4" width="29" style="14" customWidth="1"/>
    <col min="5" max="5" width="7.75" style="54" customWidth="1"/>
    <col min="6" max="6" width="7.875" style="14" customWidth="1"/>
    <col min="7" max="7" width="7.5" style="14" customWidth="1"/>
    <col min="8" max="10" width="16.375" style="14" customWidth="1"/>
    <col min="11" max="11" width="14.5" style="14" customWidth="1"/>
    <col min="12" max="12" width="12.375" style="14" customWidth="1"/>
    <col min="13" max="13" width="3.625" style="517" customWidth="1"/>
    <col min="14" max="15" width="9" style="517"/>
    <col min="16" max="16384" width="9" style="14"/>
  </cols>
  <sheetData>
    <row r="1" spans="1:15">
      <c r="A1" s="791" t="s">
        <v>1774</v>
      </c>
      <c r="B1" s="791"/>
      <c r="C1" s="791"/>
      <c r="D1" s="791"/>
      <c r="E1" s="54" t="s">
        <v>1187</v>
      </c>
      <c r="F1" s="768" t="s">
        <v>1185</v>
      </c>
      <c r="G1" s="768"/>
      <c r="H1" s="517" t="s">
        <v>1188</v>
      </c>
      <c r="K1" s="768" t="s">
        <v>1186</v>
      </c>
      <c r="L1" s="768"/>
      <c r="M1" s="768"/>
      <c r="N1" s="768"/>
      <c r="O1" s="768"/>
    </row>
    <row r="2" spans="1:15">
      <c r="A2" s="521" t="s">
        <v>1268</v>
      </c>
      <c r="B2" s="521" t="s">
        <v>1269</v>
      </c>
      <c r="C2" s="521" t="s">
        <v>1270</v>
      </c>
      <c r="D2" s="525" t="s">
        <v>1282</v>
      </c>
      <c r="E2" s="54">
        <v>-32</v>
      </c>
      <c r="F2" s="519" t="s">
        <v>1196</v>
      </c>
      <c r="G2" s="14" t="s">
        <v>1334</v>
      </c>
      <c r="H2" s="14" t="str">
        <f t="shared" ref="H2:H33" si="0">IF($H$1="H", I2,IF($H$1="I",J2,K2))</f>
        <v>tetra-atomic</v>
      </c>
      <c r="I2" s="14" t="s">
        <v>1840</v>
      </c>
      <c r="J2" s="14" t="s">
        <v>1840</v>
      </c>
      <c r="K2" s="14" t="s">
        <v>1840</v>
      </c>
    </row>
    <row r="3" spans="1:15">
      <c r="A3" s="523" t="s">
        <v>1760</v>
      </c>
      <c r="B3" s="532" t="s">
        <v>1758</v>
      </c>
      <c r="C3" s="524" t="s">
        <v>1759</v>
      </c>
      <c r="D3" s="524" t="s">
        <v>1285</v>
      </c>
      <c r="E3" s="54">
        <v>-31</v>
      </c>
      <c r="F3" s="519" t="s">
        <v>1197</v>
      </c>
      <c r="G3" s="14" t="s">
        <v>1335</v>
      </c>
      <c r="H3" s="14" t="str">
        <f t="shared" si="0"/>
        <v>tetra-atomic dirac</v>
      </c>
      <c r="I3" s="14" t="s">
        <v>1841</v>
      </c>
      <c r="J3" s="14" t="s">
        <v>1841</v>
      </c>
      <c r="K3" s="14" t="s">
        <v>1842</v>
      </c>
    </row>
    <row r="4" spans="1:15">
      <c r="A4" s="523" t="s">
        <v>1761</v>
      </c>
      <c r="B4" s="532" t="s">
        <v>1754</v>
      </c>
      <c r="C4" s="524" t="s">
        <v>1755</v>
      </c>
      <c r="D4" s="524" t="s">
        <v>1285</v>
      </c>
      <c r="E4" s="54">
        <v>-30</v>
      </c>
      <c r="F4" s="519" t="s">
        <v>1198</v>
      </c>
      <c r="G4" s="14" t="s">
        <v>1336</v>
      </c>
      <c r="H4" s="14" t="str">
        <f t="shared" si="0"/>
        <v>tetra-atomic hecty</v>
      </c>
      <c r="I4" s="14" t="s">
        <v>1843</v>
      </c>
      <c r="J4" s="14" t="s">
        <v>1843</v>
      </c>
      <c r="K4" s="14" t="s">
        <v>1844</v>
      </c>
    </row>
    <row r="5" spans="1:15">
      <c r="A5" s="522" t="s">
        <v>1744</v>
      </c>
      <c r="B5" s="530" t="s">
        <v>1750</v>
      </c>
      <c r="C5" s="531" t="s">
        <v>1796</v>
      </c>
      <c r="D5" s="531"/>
      <c r="E5" s="54">
        <v>-29</v>
      </c>
      <c r="F5" s="519" t="s">
        <v>1199</v>
      </c>
      <c r="G5" s="14" t="s">
        <v>1337</v>
      </c>
      <c r="H5" s="14" t="str">
        <f t="shared" si="0"/>
        <v>tetra-atomic kily</v>
      </c>
      <c r="I5" s="14" t="s">
        <v>1845</v>
      </c>
      <c r="J5" s="14" t="s">
        <v>1845</v>
      </c>
      <c r="K5" s="14" t="s">
        <v>1846</v>
      </c>
    </row>
    <row r="6" spans="1:15">
      <c r="A6" s="522" t="s">
        <v>1745</v>
      </c>
      <c r="B6" s="530" t="s">
        <v>1751</v>
      </c>
      <c r="C6" s="531" t="s">
        <v>1797</v>
      </c>
      <c r="D6" s="531"/>
      <c r="E6" s="54">
        <v>-28</v>
      </c>
      <c r="F6" s="519" t="s">
        <v>1200</v>
      </c>
      <c r="G6" s="14" t="s">
        <v>1338</v>
      </c>
      <c r="H6" s="14" t="str">
        <f t="shared" si="0"/>
        <v>tri-atomic sub</v>
      </c>
      <c r="I6" s="14" t="s">
        <v>214</v>
      </c>
      <c r="J6" s="14" t="s">
        <v>1825</v>
      </c>
      <c r="K6" s="14" t="s">
        <v>1826</v>
      </c>
    </row>
    <row r="7" spans="1:15">
      <c r="A7" s="522" t="s">
        <v>1746</v>
      </c>
      <c r="B7" s="530" t="s">
        <v>1752</v>
      </c>
      <c r="C7" s="531" t="s">
        <v>1807</v>
      </c>
      <c r="D7" s="531"/>
      <c r="E7" s="54">
        <v>-27</v>
      </c>
      <c r="F7" s="519" t="s">
        <v>1201</v>
      </c>
      <c r="G7" s="14" t="s">
        <v>1339</v>
      </c>
      <c r="H7" s="14" t="str">
        <f t="shared" si="0"/>
        <v>tri-atomic milly</v>
      </c>
      <c r="I7" s="14" t="s">
        <v>1827</v>
      </c>
      <c r="J7" s="14" t="s">
        <v>1827</v>
      </c>
      <c r="K7" s="14" t="s">
        <v>1828</v>
      </c>
    </row>
    <row r="8" spans="1:15">
      <c r="A8" s="522" t="s">
        <v>1747</v>
      </c>
      <c r="B8" s="530" t="s">
        <v>1753</v>
      </c>
      <c r="C8" s="531" t="s">
        <v>1798</v>
      </c>
      <c r="D8" s="531" t="s">
        <v>1808</v>
      </c>
      <c r="E8" s="54">
        <v>-26</v>
      </c>
      <c r="F8" s="519" t="s">
        <v>1202</v>
      </c>
      <c r="G8" s="14" t="s">
        <v>1340</v>
      </c>
      <c r="H8" s="14" t="str">
        <f t="shared" si="0"/>
        <v>tri-atomic centy</v>
      </c>
      <c r="I8" s="14" t="s">
        <v>1829</v>
      </c>
      <c r="J8" s="14" t="s">
        <v>1829</v>
      </c>
      <c r="K8" s="14" t="s">
        <v>1830</v>
      </c>
    </row>
    <row r="9" spans="1:15">
      <c r="A9" s="522" t="s">
        <v>1748</v>
      </c>
      <c r="B9" s="530" t="s">
        <v>1734</v>
      </c>
      <c r="C9" s="531" t="s">
        <v>1756</v>
      </c>
      <c r="D9" s="531"/>
      <c r="E9" s="54">
        <v>-25</v>
      </c>
      <c r="F9" s="519" t="s">
        <v>1203</v>
      </c>
      <c r="G9" s="14" t="s">
        <v>1341</v>
      </c>
      <c r="H9" s="14" t="str">
        <f t="shared" si="0"/>
        <v>tri-atomic dour</v>
      </c>
      <c r="I9" s="14" t="s">
        <v>1831</v>
      </c>
      <c r="J9" s="14" t="s">
        <v>1831</v>
      </c>
      <c r="K9" s="14" t="s">
        <v>1832</v>
      </c>
    </row>
    <row r="10" spans="1:15">
      <c r="A10" s="522" t="s">
        <v>1749</v>
      </c>
      <c r="B10" s="530" t="s">
        <v>1735</v>
      </c>
      <c r="C10" s="531" t="s">
        <v>1757</v>
      </c>
      <c r="D10" s="531" t="s">
        <v>1285</v>
      </c>
      <c r="E10" s="54">
        <v>-24</v>
      </c>
      <c r="F10" s="519" t="s">
        <v>1204</v>
      </c>
      <c r="G10" s="14" t="s">
        <v>1342</v>
      </c>
      <c r="H10" s="14" t="str">
        <f t="shared" si="0"/>
        <v>tri-atomic</v>
      </c>
      <c r="I10" s="14" t="s">
        <v>1833</v>
      </c>
      <c r="J10" s="14" t="s">
        <v>1833</v>
      </c>
      <c r="K10" s="14" t="s">
        <v>1833</v>
      </c>
    </row>
    <row r="11" spans="1:15">
      <c r="A11" s="522" t="s">
        <v>1732</v>
      </c>
      <c r="B11" s="530" t="s">
        <v>1736</v>
      </c>
      <c r="C11" s="531" t="s">
        <v>1733</v>
      </c>
      <c r="D11" s="531" t="s">
        <v>1285</v>
      </c>
      <c r="E11" s="54">
        <v>-23</v>
      </c>
      <c r="F11" s="519" t="s">
        <v>1205</v>
      </c>
      <c r="G11" s="14" t="s">
        <v>1343</v>
      </c>
      <c r="H11" s="14" t="str">
        <f t="shared" si="0"/>
        <v>tri-atomic dirac</v>
      </c>
      <c r="I11" s="14" t="s">
        <v>1834</v>
      </c>
      <c r="J11" s="14" t="s">
        <v>1834</v>
      </c>
      <c r="K11" s="14" t="s">
        <v>1835</v>
      </c>
    </row>
    <row r="12" spans="1:15">
      <c r="A12" s="523" t="s">
        <v>1728</v>
      </c>
      <c r="B12" s="532" t="s">
        <v>1737</v>
      </c>
      <c r="C12" s="524" t="s">
        <v>1799</v>
      </c>
      <c r="D12" s="524"/>
      <c r="E12" s="54">
        <v>-22</v>
      </c>
      <c r="F12" s="519" t="s">
        <v>1206</v>
      </c>
      <c r="G12" s="14" t="s">
        <v>1344</v>
      </c>
      <c r="H12" s="14" t="str">
        <f t="shared" si="0"/>
        <v>tri-atomic hecty</v>
      </c>
      <c r="I12" s="14" t="s">
        <v>1836</v>
      </c>
      <c r="J12" s="14" t="s">
        <v>1836</v>
      </c>
      <c r="K12" s="14" t="s">
        <v>1837</v>
      </c>
    </row>
    <row r="13" spans="1:15">
      <c r="A13" s="523" t="s">
        <v>1727</v>
      </c>
      <c r="B13" s="532" t="s">
        <v>1738</v>
      </c>
      <c r="C13" s="524" t="s">
        <v>1800</v>
      </c>
      <c r="D13" s="525"/>
      <c r="E13" s="54">
        <v>-21</v>
      </c>
      <c r="F13" s="519" t="s">
        <v>1207</v>
      </c>
      <c r="G13" s="14" t="s">
        <v>1345</v>
      </c>
      <c r="H13" s="14" t="str">
        <f t="shared" si="0"/>
        <v>tri-atomic kily</v>
      </c>
      <c r="I13" s="14" t="s">
        <v>1838</v>
      </c>
      <c r="J13" s="14" t="s">
        <v>1838</v>
      </c>
      <c r="K13" s="14" t="s">
        <v>1839</v>
      </c>
    </row>
    <row r="14" spans="1:15">
      <c r="A14" s="523" t="s">
        <v>1726</v>
      </c>
      <c r="B14" s="532" t="s">
        <v>1739</v>
      </c>
      <c r="C14" s="524" t="s">
        <v>1801</v>
      </c>
      <c r="D14" s="525"/>
      <c r="E14" s="54">
        <v>-20</v>
      </c>
      <c r="F14" s="519" t="s">
        <v>1208</v>
      </c>
      <c r="G14" s="14" t="s">
        <v>1346</v>
      </c>
      <c r="H14" s="14" t="str">
        <f t="shared" si="0"/>
        <v>di-atomic sub</v>
      </c>
      <c r="I14" s="14" t="s">
        <v>1904</v>
      </c>
      <c r="J14" s="14" t="s">
        <v>1810</v>
      </c>
      <c r="K14" s="14" t="s">
        <v>1811</v>
      </c>
    </row>
    <row r="15" spans="1:15">
      <c r="A15" s="523" t="s">
        <v>1725</v>
      </c>
      <c r="B15" s="532" t="s">
        <v>1740</v>
      </c>
      <c r="C15" s="524" t="s">
        <v>1802</v>
      </c>
      <c r="D15" s="525"/>
      <c r="E15" s="54">
        <v>-19</v>
      </c>
      <c r="F15" s="519" t="s">
        <v>1209</v>
      </c>
      <c r="G15" s="14" t="s">
        <v>1347</v>
      </c>
      <c r="H15" s="14" t="str">
        <f t="shared" si="0"/>
        <v>di-atomic milly</v>
      </c>
      <c r="I15" s="14" t="s">
        <v>1812</v>
      </c>
      <c r="J15" s="14" t="s">
        <v>1812</v>
      </c>
      <c r="K15" s="14" t="s">
        <v>1813</v>
      </c>
    </row>
    <row r="16" spans="1:15">
      <c r="A16" s="523" t="s">
        <v>1724</v>
      </c>
      <c r="B16" s="532" t="s">
        <v>1741</v>
      </c>
      <c r="C16" s="524" t="s">
        <v>1731</v>
      </c>
      <c r="D16" s="525"/>
      <c r="E16" s="54">
        <v>-18</v>
      </c>
      <c r="F16" s="519" t="s">
        <v>1210</v>
      </c>
      <c r="G16" s="14" t="s">
        <v>1348</v>
      </c>
      <c r="H16" s="14" t="str">
        <f t="shared" si="0"/>
        <v>di-atomic centy</v>
      </c>
      <c r="I16" s="14" t="s">
        <v>1814</v>
      </c>
      <c r="J16" s="14" t="s">
        <v>1814</v>
      </c>
      <c r="K16" s="14" t="s">
        <v>1815</v>
      </c>
    </row>
    <row r="17" spans="1:15">
      <c r="A17" s="523" t="s">
        <v>1723</v>
      </c>
      <c r="B17" s="532" t="s">
        <v>1742</v>
      </c>
      <c r="C17" s="524" t="s">
        <v>1730</v>
      </c>
      <c r="D17" s="525"/>
      <c r="E17" s="54">
        <v>-17</v>
      </c>
      <c r="F17" s="519" t="s">
        <v>1211</v>
      </c>
      <c r="G17" s="14" t="s">
        <v>1349</v>
      </c>
      <c r="H17" s="14" t="str">
        <f t="shared" si="0"/>
        <v>di-atomic dour</v>
      </c>
      <c r="I17" s="14" t="s">
        <v>1816</v>
      </c>
      <c r="J17" s="14" t="s">
        <v>1816</v>
      </c>
      <c r="K17" s="14" t="s">
        <v>1817</v>
      </c>
    </row>
    <row r="18" spans="1:15">
      <c r="A18" s="523" t="s">
        <v>1722</v>
      </c>
      <c r="B18" s="532" t="s">
        <v>1743</v>
      </c>
      <c r="C18" s="524" t="s">
        <v>1729</v>
      </c>
      <c r="D18" s="525"/>
      <c r="E18" s="54">
        <v>-16</v>
      </c>
      <c r="F18" s="519" t="s">
        <v>1212</v>
      </c>
      <c r="G18" s="14" t="s">
        <v>1350</v>
      </c>
      <c r="H18" s="14" t="str">
        <f t="shared" si="0"/>
        <v>di-atomic</v>
      </c>
      <c r="I18" s="14" t="s">
        <v>1818</v>
      </c>
      <c r="J18" s="14" t="s">
        <v>1818</v>
      </c>
      <c r="K18" s="14" t="s">
        <v>1818</v>
      </c>
    </row>
    <row r="19" spans="1:15">
      <c r="A19" s="522" t="s">
        <v>1271</v>
      </c>
      <c r="B19" s="530">
        <v>1</v>
      </c>
      <c r="C19" s="531" t="s">
        <v>1307</v>
      </c>
      <c r="D19" s="531" t="s">
        <v>1286</v>
      </c>
      <c r="E19" s="54">
        <v>-15</v>
      </c>
      <c r="F19" s="519" t="s">
        <v>1213</v>
      </c>
      <c r="G19" s="14" t="s">
        <v>1351</v>
      </c>
      <c r="H19" s="14" t="str">
        <f t="shared" si="0"/>
        <v>di-atomic dirac</v>
      </c>
      <c r="I19" s="14" t="s">
        <v>1819</v>
      </c>
      <c r="J19" s="14" t="s">
        <v>1819</v>
      </c>
      <c r="K19" s="14" t="s">
        <v>1820</v>
      </c>
    </row>
    <row r="20" spans="1:15">
      <c r="A20" s="523">
        <v>1</v>
      </c>
      <c r="B20" s="532" t="s">
        <v>1325</v>
      </c>
      <c r="C20" s="524" t="s">
        <v>1308</v>
      </c>
      <c r="D20" s="524" t="s">
        <v>1283</v>
      </c>
      <c r="E20" s="54">
        <v>-14</v>
      </c>
      <c r="F20" s="519" t="s">
        <v>1214</v>
      </c>
      <c r="G20" s="14" t="s">
        <v>1352</v>
      </c>
      <c r="H20" s="14" t="str">
        <f t="shared" si="0"/>
        <v>di-atomic hecty</v>
      </c>
      <c r="I20" s="14" t="s">
        <v>1821</v>
      </c>
      <c r="J20" s="14" t="s">
        <v>1821</v>
      </c>
      <c r="K20" s="14" t="s">
        <v>1822</v>
      </c>
    </row>
    <row r="21" spans="1:15">
      <c r="A21" s="523">
        <v>2</v>
      </c>
      <c r="B21" s="532" t="s">
        <v>1326</v>
      </c>
      <c r="C21" s="524" t="s">
        <v>1309</v>
      </c>
      <c r="D21" s="524" t="s">
        <v>1284</v>
      </c>
      <c r="E21" s="54">
        <v>-13</v>
      </c>
      <c r="F21" s="519" t="s">
        <v>1215</v>
      </c>
      <c r="G21" s="14" t="s">
        <v>1353</v>
      </c>
      <c r="H21" s="14" t="str">
        <f t="shared" si="0"/>
        <v>di-atomic kily</v>
      </c>
      <c r="I21" s="14" t="s">
        <v>1823</v>
      </c>
      <c r="J21" s="14" t="s">
        <v>1823</v>
      </c>
      <c r="K21" s="14" t="s">
        <v>1824</v>
      </c>
    </row>
    <row r="22" spans="1:15">
      <c r="A22" s="523">
        <v>3</v>
      </c>
      <c r="B22" s="532" t="s">
        <v>1327</v>
      </c>
      <c r="C22" s="524" t="s">
        <v>1704</v>
      </c>
      <c r="D22" s="524"/>
      <c r="E22" s="54">
        <v>-12</v>
      </c>
      <c r="F22" s="519" t="s">
        <v>1216</v>
      </c>
      <c r="G22" s="14" t="s">
        <v>1354</v>
      </c>
      <c r="H22" s="14" t="str">
        <f t="shared" si="0"/>
        <v>atomic sub</v>
      </c>
      <c r="I22" s="14" t="s">
        <v>1906</v>
      </c>
      <c r="J22" s="14" t="s">
        <v>1183</v>
      </c>
      <c r="K22" s="14" t="s">
        <v>1075</v>
      </c>
    </row>
    <row r="23" spans="1:15">
      <c r="A23" s="523">
        <f>A21*2</f>
        <v>4</v>
      </c>
      <c r="B23" s="532" t="s">
        <v>1328</v>
      </c>
      <c r="C23" s="524" t="s">
        <v>1775</v>
      </c>
      <c r="D23" s="524" t="s">
        <v>1780</v>
      </c>
      <c r="E23" s="54">
        <v>-11</v>
      </c>
      <c r="F23" s="519" t="s">
        <v>1217</v>
      </c>
      <c r="G23" s="14" t="s">
        <v>1355</v>
      </c>
      <c r="H23" s="14" t="str">
        <f t="shared" si="0"/>
        <v>atomic milly</v>
      </c>
      <c r="I23" s="14" t="s">
        <v>1275</v>
      </c>
      <c r="J23" s="14" t="s">
        <v>1275</v>
      </c>
      <c r="K23" s="14" t="s">
        <v>1074</v>
      </c>
    </row>
    <row r="24" spans="1:15">
      <c r="A24" s="523" t="s">
        <v>1707</v>
      </c>
      <c r="B24" s="532" t="s">
        <v>1710</v>
      </c>
      <c r="C24" s="524" t="s">
        <v>1776</v>
      </c>
      <c r="D24" s="524"/>
      <c r="E24" s="54">
        <v>-10</v>
      </c>
      <c r="F24" s="519" t="s">
        <v>1218</v>
      </c>
      <c r="G24" s="14" t="s">
        <v>1356</v>
      </c>
      <c r="H24" s="14" t="str">
        <f t="shared" si="0"/>
        <v>atomic centy</v>
      </c>
      <c r="I24" s="14" t="s">
        <v>1278</v>
      </c>
      <c r="J24" s="14" t="s">
        <v>1278</v>
      </c>
      <c r="K24" s="14" t="s">
        <v>1073</v>
      </c>
    </row>
    <row r="25" spans="1:15">
      <c r="A25" s="523" t="s">
        <v>1708</v>
      </c>
      <c r="B25" s="532" t="s">
        <v>1711</v>
      </c>
      <c r="C25" s="524" t="s">
        <v>1777</v>
      </c>
      <c r="D25" s="524"/>
      <c r="E25" s="54">
        <v>-9</v>
      </c>
      <c r="F25" s="519" t="s">
        <v>1219</v>
      </c>
      <c r="G25" s="14" t="s">
        <v>1357</v>
      </c>
      <c r="H25" s="14" t="str">
        <f t="shared" si="0"/>
        <v>atomic dour</v>
      </c>
      <c r="I25" s="14" t="s">
        <v>1480</v>
      </c>
      <c r="J25" s="14" t="s">
        <v>1480</v>
      </c>
      <c r="K25" s="14" t="s">
        <v>1072</v>
      </c>
    </row>
    <row r="26" spans="1:15">
      <c r="A26" s="523" t="s">
        <v>1709</v>
      </c>
      <c r="B26" s="532" t="s">
        <v>1712</v>
      </c>
      <c r="C26" s="524" t="s">
        <v>1778</v>
      </c>
      <c r="D26" s="524"/>
      <c r="E26" s="54">
        <v>-8</v>
      </c>
      <c r="F26" s="519" t="s">
        <v>1220</v>
      </c>
      <c r="G26" s="14" t="s">
        <v>1522</v>
      </c>
      <c r="H26" s="14" t="str">
        <f t="shared" si="0"/>
        <v>atomic</v>
      </c>
      <c r="I26" s="14" t="s">
        <v>211</v>
      </c>
      <c r="J26" s="14" t="s">
        <v>211</v>
      </c>
      <c r="K26" s="14" t="s">
        <v>211</v>
      </c>
    </row>
    <row r="27" spans="1:15">
      <c r="A27" s="522">
        <f>A23*2</f>
        <v>8</v>
      </c>
      <c r="B27" s="530" t="s">
        <v>1329</v>
      </c>
      <c r="C27" s="531" t="s">
        <v>1310</v>
      </c>
      <c r="D27" s="531" t="s">
        <v>1285</v>
      </c>
      <c r="E27" s="54">
        <v>-7</v>
      </c>
      <c r="F27" s="519" t="s">
        <v>1221</v>
      </c>
      <c r="G27" s="14" t="s">
        <v>1501</v>
      </c>
      <c r="H27" s="14" t="str">
        <f t="shared" si="0"/>
        <v>atomic dirac</v>
      </c>
      <c r="I27" s="14" t="s">
        <v>1667</v>
      </c>
      <c r="J27" s="14" t="s">
        <v>1667</v>
      </c>
      <c r="K27" s="14" t="s">
        <v>1071</v>
      </c>
    </row>
    <row r="28" spans="1:15">
      <c r="A28" s="522">
        <f t="shared" ref="A28:A35" si="1">A27*2</f>
        <v>16</v>
      </c>
      <c r="B28" s="530" t="s">
        <v>1330</v>
      </c>
      <c r="C28" s="531" t="s">
        <v>1311</v>
      </c>
      <c r="D28" s="531" t="s">
        <v>1285</v>
      </c>
      <c r="E28" s="54">
        <v>-6</v>
      </c>
      <c r="F28" s="519" t="s">
        <v>1222</v>
      </c>
      <c r="G28" s="14" t="s">
        <v>1502</v>
      </c>
      <c r="H28" s="14" t="str">
        <f t="shared" si="0"/>
        <v>atomic hecty</v>
      </c>
      <c r="I28" s="14" t="s">
        <v>1494</v>
      </c>
      <c r="J28" s="14" t="s">
        <v>1494</v>
      </c>
      <c r="K28" s="14" t="s">
        <v>1070</v>
      </c>
    </row>
    <row r="29" spans="1:15">
      <c r="A29" s="522" t="s">
        <v>1713</v>
      </c>
      <c r="B29" s="530" t="s">
        <v>1714</v>
      </c>
      <c r="C29" s="531" t="s">
        <v>1715</v>
      </c>
      <c r="D29" s="531"/>
      <c r="E29" s="54">
        <v>-5</v>
      </c>
      <c r="F29" s="519" t="s">
        <v>1223</v>
      </c>
      <c r="G29" s="14" t="s">
        <v>1503</v>
      </c>
      <c r="H29" s="14" t="str">
        <f t="shared" si="0"/>
        <v>atomic kily</v>
      </c>
      <c r="I29" s="14" t="s">
        <v>1497</v>
      </c>
      <c r="J29" s="14" t="s">
        <v>1497</v>
      </c>
      <c r="K29" s="14" t="s">
        <v>1069</v>
      </c>
      <c r="N29" s="517" t="s">
        <v>1129</v>
      </c>
      <c r="O29" s="517" t="s">
        <v>1130</v>
      </c>
    </row>
    <row r="30" spans="1:15">
      <c r="A30" s="522">
        <f>A28*2</f>
        <v>32</v>
      </c>
      <c r="B30" s="530" t="s">
        <v>1331</v>
      </c>
      <c r="C30" s="531" t="s">
        <v>1803</v>
      </c>
      <c r="D30" s="531" t="s">
        <v>1808</v>
      </c>
      <c r="E30" s="54">
        <v>-4</v>
      </c>
      <c r="F30" s="519" t="s">
        <v>1224</v>
      </c>
      <c r="G30" s="14" t="s">
        <v>1504</v>
      </c>
      <c r="H30" s="14" t="str">
        <f t="shared" si="0"/>
        <v>sub</v>
      </c>
      <c r="I30" s="14" t="s">
        <v>1272</v>
      </c>
      <c r="J30" s="14" t="s">
        <v>1184</v>
      </c>
      <c r="K30" s="14" t="s">
        <v>1065</v>
      </c>
      <c r="L30" s="14" t="s">
        <v>101</v>
      </c>
      <c r="M30" s="517">
        <v>4</v>
      </c>
      <c r="N30" s="517" t="s">
        <v>1065</v>
      </c>
      <c r="O30" s="517" t="s">
        <v>1122</v>
      </c>
    </row>
    <row r="31" spans="1:15">
      <c r="A31" s="522" t="s">
        <v>1716</v>
      </c>
      <c r="B31" s="530" t="s">
        <v>1721</v>
      </c>
      <c r="C31" s="531" t="s">
        <v>1804</v>
      </c>
      <c r="D31" s="531"/>
      <c r="E31" s="54">
        <v>-3</v>
      </c>
      <c r="F31" s="519" t="s">
        <v>1225</v>
      </c>
      <c r="G31" s="14" t="s">
        <v>1505</v>
      </c>
      <c r="H31" s="14" t="str">
        <f t="shared" si="0"/>
        <v>milly</v>
      </c>
      <c r="I31" s="14" t="s">
        <v>1276</v>
      </c>
      <c r="J31" s="14" t="s">
        <v>1276</v>
      </c>
      <c r="K31" s="14" t="s">
        <v>1064</v>
      </c>
      <c r="L31" s="14" t="s">
        <v>100</v>
      </c>
      <c r="M31" s="517">
        <v>3</v>
      </c>
      <c r="N31" s="517" t="s">
        <v>1064</v>
      </c>
      <c r="O31" s="517" t="s">
        <v>1123</v>
      </c>
    </row>
    <row r="32" spans="1:15">
      <c r="A32" s="522" t="s">
        <v>1717</v>
      </c>
      <c r="B32" s="530" t="s">
        <v>1718</v>
      </c>
      <c r="C32" s="531" t="s">
        <v>1805</v>
      </c>
      <c r="D32" s="531"/>
      <c r="E32" s="54">
        <v>-2</v>
      </c>
      <c r="F32" s="519" t="s">
        <v>1226</v>
      </c>
      <c r="G32" s="14" t="s">
        <v>1506</v>
      </c>
      <c r="H32" s="14" t="str">
        <f t="shared" si="0"/>
        <v>centy</v>
      </c>
      <c r="I32" s="14" t="s">
        <v>1279</v>
      </c>
      <c r="J32" s="14" t="s">
        <v>1279</v>
      </c>
      <c r="K32" s="14" t="s">
        <v>1063</v>
      </c>
      <c r="L32" s="14" t="s">
        <v>99</v>
      </c>
      <c r="M32" s="517">
        <v>2</v>
      </c>
      <c r="N32" s="517" t="s">
        <v>1063</v>
      </c>
      <c r="O32" s="517" t="s">
        <v>1124</v>
      </c>
    </row>
    <row r="33" spans="1:15">
      <c r="A33" s="522" t="s">
        <v>1720</v>
      </c>
      <c r="B33" s="530" t="s">
        <v>1719</v>
      </c>
      <c r="C33" s="531" t="s">
        <v>1806</v>
      </c>
      <c r="D33" s="531"/>
      <c r="E33" s="54">
        <v>-1</v>
      </c>
      <c r="F33" s="519" t="s">
        <v>1227</v>
      </c>
      <c r="G33" s="14" t="s">
        <v>1507</v>
      </c>
      <c r="H33" s="14" t="str">
        <f t="shared" si="0"/>
        <v>dour</v>
      </c>
      <c r="I33" s="14" t="s">
        <v>1481</v>
      </c>
      <c r="J33" s="14" t="s">
        <v>1481</v>
      </c>
      <c r="K33" s="14" t="s">
        <v>1062</v>
      </c>
      <c r="L33" s="14" t="s">
        <v>1084</v>
      </c>
      <c r="M33" s="517">
        <v>1</v>
      </c>
      <c r="N33" s="517" t="s">
        <v>1062</v>
      </c>
      <c r="O33" s="517" t="s">
        <v>1125</v>
      </c>
    </row>
    <row r="34" spans="1:15">
      <c r="A34" s="523">
        <f>A30*2</f>
        <v>64</v>
      </c>
      <c r="B34" s="532" t="s">
        <v>1332</v>
      </c>
      <c r="C34" s="524" t="s">
        <v>1705</v>
      </c>
      <c r="D34" s="524" t="s">
        <v>1285</v>
      </c>
      <c r="E34" s="54">
        <v>0</v>
      </c>
      <c r="F34" s="520"/>
      <c r="G34" s="55"/>
      <c r="H34" s="14" t="str">
        <f t="shared" ref="H34:H65" si="2">IF($H$1="H", I34,IF($H$1="I",J34,K34))</f>
        <v xml:space="preserve"> </v>
      </c>
      <c r="I34" s="55" t="s">
        <v>104</v>
      </c>
      <c r="J34" s="55" t="s">
        <v>104</v>
      </c>
      <c r="K34" s="55" t="s">
        <v>1085</v>
      </c>
      <c r="N34" s="396" t="s">
        <v>1085</v>
      </c>
      <c r="O34" s="396" t="s">
        <v>1085</v>
      </c>
    </row>
    <row r="35" spans="1:15">
      <c r="A35" s="523">
        <f t="shared" si="1"/>
        <v>128</v>
      </c>
      <c r="B35" s="532" t="s">
        <v>1333</v>
      </c>
      <c r="C35" s="524" t="s">
        <v>1706</v>
      </c>
      <c r="D35" s="524" t="s">
        <v>1285</v>
      </c>
      <c r="E35" s="54">
        <v>1</v>
      </c>
      <c r="F35" s="519" t="s">
        <v>1228</v>
      </c>
      <c r="G35" s="14" t="s">
        <v>1508</v>
      </c>
      <c r="H35" s="14" t="str">
        <f t="shared" si="2"/>
        <v>dirac</v>
      </c>
      <c r="I35" s="14" t="s">
        <v>1668</v>
      </c>
      <c r="J35" s="14" t="s">
        <v>1668</v>
      </c>
      <c r="K35" s="14" t="s">
        <v>1068</v>
      </c>
      <c r="L35" s="14" t="s">
        <v>98</v>
      </c>
      <c r="M35" s="517">
        <v>1</v>
      </c>
      <c r="N35" s="517" t="s">
        <v>1068</v>
      </c>
      <c r="O35" s="517" t="s">
        <v>1126</v>
      </c>
    </row>
    <row r="36" spans="1:15">
      <c r="A36" s="526"/>
      <c r="B36" s="527"/>
      <c r="C36" s="670" t="s">
        <v>1779</v>
      </c>
      <c r="D36" s="528"/>
      <c r="E36" s="54">
        <v>2</v>
      </c>
      <c r="F36" s="519" t="s">
        <v>1229</v>
      </c>
      <c r="G36" s="14" t="s">
        <v>1509</v>
      </c>
      <c r="H36" s="14" t="str">
        <f t="shared" si="2"/>
        <v>hecty</v>
      </c>
      <c r="I36" s="14" t="s">
        <v>1495</v>
      </c>
      <c r="J36" s="14" t="s">
        <v>1495</v>
      </c>
      <c r="K36" s="14" t="s">
        <v>1067</v>
      </c>
      <c r="L36" s="14" t="s">
        <v>103</v>
      </c>
      <c r="M36" s="517">
        <v>7</v>
      </c>
      <c r="N36" s="517" t="s">
        <v>1067</v>
      </c>
      <c r="O36" s="517" t="s">
        <v>1127</v>
      </c>
    </row>
    <row r="37" spans="1:15">
      <c r="A37" s="526"/>
      <c r="B37" s="527"/>
      <c r="C37" s="671" t="s">
        <v>1785</v>
      </c>
      <c r="D37" s="528"/>
      <c r="E37" s="576">
        <v>3</v>
      </c>
      <c r="F37" s="519" t="s">
        <v>1517</v>
      </c>
      <c r="G37" s="14" t="s">
        <v>1518</v>
      </c>
      <c r="H37" s="14" t="str">
        <f t="shared" ref="H37" si="3">IF($H$1="H", I37,IF($H$1="I",J37,K37))</f>
        <v>kily</v>
      </c>
      <c r="I37" s="14" t="s">
        <v>1519</v>
      </c>
      <c r="J37" s="14" t="s">
        <v>1520</v>
      </c>
      <c r="K37" s="14" t="s">
        <v>1521</v>
      </c>
      <c r="L37" s="14" t="s">
        <v>1514</v>
      </c>
      <c r="M37" s="576">
        <v>6</v>
      </c>
      <c r="N37" s="576" t="s">
        <v>1515</v>
      </c>
      <c r="O37" s="576" t="s">
        <v>1516</v>
      </c>
    </row>
    <row r="38" spans="1:15">
      <c r="A38" s="526"/>
      <c r="B38" s="527"/>
      <c r="C38" s="670"/>
      <c r="D38" s="528"/>
      <c r="E38" s="54">
        <v>4</v>
      </c>
      <c r="F38" s="519" t="s">
        <v>1230</v>
      </c>
      <c r="G38" s="14" t="s">
        <v>1511</v>
      </c>
      <c r="H38" s="14" t="str">
        <f t="shared" si="2"/>
        <v>super</v>
      </c>
      <c r="I38" s="14" t="s">
        <v>1273</v>
      </c>
      <c r="J38" s="14" t="s">
        <v>1499</v>
      </c>
      <c r="K38" s="14" t="s">
        <v>1066</v>
      </c>
      <c r="L38" s="14" t="s">
        <v>102</v>
      </c>
      <c r="M38" s="517">
        <v>5</v>
      </c>
      <c r="N38" s="517" t="s">
        <v>1066</v>
      </c>
      <c r="O38" s="517" t="s">
        <v>1128</v>
      </c>
    </row>
    <row r="39" spans="1:15">
      <c r="A39" s="539" t="s">
        <v>1395</v>
      </c>
      <c r="B39" s="145" t="s">
        <v>1396</v>
      </c>
      <c r="C39" s="792" t="s">
        <v>1404</v>
      </c>
      <c r="D39" s="792"/>
      <c r="E39" s="54">
        <v>5</v>
      </c>
      <c r="F39" s="519" t="s">
        <v>1231</v>
      </c>
      <c r="G39" s="14" t="s">
        <v>1512</v>
      </c>
      <c r="H39" s="14" t="str">
        <f t="shared" si="2"/>
        <v>cosmic milly</v>
      </c>
      <c r="I39" s="14" t="s">
        <v>1277</v>
      </c>
      <c r="J39" s="14" t="s">
        <v>1277</v>
      </c>
      <c r="K39" s="14" t="s">
        <v>1076</v>
      </c>
    </row>
    <row r="40" spans="1:15">
      <c r="A40" s="539" t="s">
        <v>1393</v>
      </c>
      <c r="B40" s="145" t="s">
        <v>1394</v>
      </c>
      <c r="C40" s="792"/>
      <c r="D40" s="792"/>
      <c r="E40" s="54">
        <v>6</v>
      </c>
      <c r="F40" s="519" t="s">
        <v>1232</v>
      </c>
      <c r="G40" s="14" t="s">
        <v>1510</v>
      </c>
      <c r="H40" s="14" t="str">
        <f t="shared" si="2"/>
        <v>cosmic centy</v>
      </c>
      <c r="I40" s="14" t="s">
        <v>1280</v>
      </c>
      <c r="J40" s="14" t="s">
        <v>1280</v>
      </c>
      <c r="K40" s="14" t="s">
        <v>1077</v>
      </c>
    </row>
    <row r="41" spans="1:15">
      <c r="A41" s="539" t="s">
        <v>1391</v>
      </c>
      <c r="B41" s="145" t="s">
        <v>1392</v>
      </c>
      <c r="C41" s="792"/>
      <c r="D41" s="792"/>
      <c r="E41" s="54">
        <v>7</v>
      </c>
      <c r="F41" s="519" t="s">
        <v>1233</v>
      </c>
      <c r="G41" s="14" t="s">
        <v>1513</v>
      </c>
      <c r="H41" s="14" t="str">
        <f t="shared" si="2"/>
        <v>cosmic dour</v>
      </c>
      <c r="I41" s="14" t="s">
        <v>1482</v>
      </c>
      <c r="J41" s="14" t="s">
        <v>1482</v>
      </c>
      <c r="K41" s="14" t="s">
        <v>1078</v>
      </c>
    </row>
    <row r="42" spans="1:15">
      <c r="A42" s="539" t="s">
        <v>1401</v>
      </c>
      <c r="B42" s="145" t="s">
        <v>1397</v>
      </c>
      <c r="C42" s="577"/>
      <c r="D42" s="577"/>
      <c r="E42" s="54">
        <v>8</v>
      </c>
      <c r="F42" s="519" t="s">
        <v>1234</v>
      </c>
      <c r="G42" s="14" t="s">
        <v>1523</v>
      </c>
      <c r="H42" s="14" t="str">
        <f t="shared" si="2"/>
        <v>cosmic</v>
      </c>
      <c r="I42" s="14" t="s">
        <v>212</v>
      </c>
      <c r="J42" s="14" t="s">
        <v>212</v>
      </c>
      <c r="K42" s="14" t="s">
        <v>1083</v>
      </c>
    </row>
    <row r="43" spans="1:15">
      <c r="A43" s="517" t="s">
        <v>1398</v>
      </c>
      <c r="B43" s="145" t="s">
        <v>1434</v>
      </c>
      <c r="C43" s="14" t="s">
        <v>1435</v>
      </c>
      <c r="E43" s="54">
        <v>9</v>
      </c>
      <c r="F43" s="519" t="s">
        <v>1235</v>
      </c>
      <c r="G43" s="14" t="s">
        <v>1358</v>
      </c>
      <c r="H43" s="14" t="str">
        <f t="shared" si="2"/>
        <v>cosmic dirac</v>
      </c>
      <c r="I43" s="14" t="s">
        <v>1669</v>
      </c>
      <c r="J43" s="14" t="s">
        <v>1669</v>
      </c>
      <c r="K43" s="14" t="s">
        <v>1079</v>
      </c>
    </row>
    <row r="44" spans="1:15" ht="13.5">
      <c r="A44" s="517" t="s">
        <v>1399</v>
      </c>
      <c r="B44" s="145" t="s">
        <v>1450</v>
      </c>
      <c r="C44" s="14" t="s">
        <v>1402</v>
      </c>
      <c r="E44" s="54">
        <v>10</v>
      </c>
      <c r="F44" s="519" t="s">
        <v>1236</v>
      </c>
      <c r="G44" s="14" t="s">
        <v>1359</v>
      </c>
      <c r="H44" s="14" t="str">
        <f t="shared" si="2"/>
        <v>cosmic hecty</v>
      </c>
      <c r="I44" s="14" t="s">
        <v>1496</v>
      </c>
      <c r="J44" s="14" t="s">
        <v>1496</v>
      </c>
      <c r="K44" s="14" t="s">
        <v>1080</v>
      </c>
    </row>
    <row r="45" spans="1:15" ht="13.5">
      <c r="A45" s="396" t="s">
        <v>1400</v>
      </c>
      <c r="B45" s="145" t="s">
        <v>1451</v>
      </c>
      <c r="C45" s="14" t="s">
        <v>1403</v>
      </c>
      <c r="E45" s="54">
        <v>11</v>
      </c>
      <c r="F45" s="519" t="s">
        <v>1237</v>
      </c>
      <c r="G45" s="14" t="s">
        <v>1360</v>
      </c>
      <c r="H45" s="14" t="str">
        <f t="shared" si="2"/>
        <v>cosmic kily</v>
      </c>
      <c r="I45" s="14" t="s">
        <v>1498</v>
      </c>
      <c r="J45" s="14" t="s">
        <v>1498</v>
      </c>
      <c r="K45" s="14" t="s">
        <v>1081</v>
      </c>
    </row>
    <row r="46" spans="1:15">
      <c r="A46" s="396" t="s">
        <v>1438</v>
      </c>
      <c r="B46" s="145" t="s">
        <v>1442</v>
      </c>
      <c r="E46" s="54">
        <v>12</v>
      </c>
      <c r="F46" s="519" t="s">
        <v>1238</v>
      </c>
      <c r="G46" s="14" t="s">
        <v>1361</v>
      </c>
      <c r="H46" s="14" t="str">
        <f t="shared" si="2"/>
        <v>cosmic super</v>
      </c>
      <c r="I46" s="14" t="s">
        <v>1907</v>
      </c>
      <c r="J46" s="14" t="s">
        <v>1500</v>
      </c>
      <c r="K46" s="14" t="s">
        <v>1082</v>
      </c>
    </row>
    <row r="47" spans="1:15">
      <c r="A47" s="396" t="s">
        <v>1439</v>
      </c>
      <c r="B47" s="145" t="s">
        <v>1443</v>
      </c>
      <c r="E47" s="54">
        <v>13</v>
      </c>
      <c r="F47" s="519" t="s">
        <v>1239</v>
      </c>
      <c r="G47" s="14" t="s">
        <v>1362</v>
      </c>
      <c r="H47" s="14" t="str">
        <f t="shared" si="2"/>
        <v>di-cosmic milly</v>
      </c>
      <c r="I47" s="14" t="s">
        <v>1888</v>
      </c>
      <c r="J47" s="14" t="s">
        <v>1888</v>
      </c>
      <c r="K47" s="14" t="s">
        <v>1889</v>
      </c>
    </row>
    <row r="48" spans="1:15">
      <c r="A48" s="396" t="s">
        <v>1440</v>
      </c>
      <c r="B48" s="145" t="s">
        <v>1446</v>
      </c>
      <c r="C48" s="14" t="s">
        <v>1448</v>
      </c>
      <c r="E48" s="54">
        <v>14</v>
      </c>
      <c r="F48" s="519" t="s">
        <v>1240</v>
      </c>
      <c r="G48" s="14" t="s">
        <v>1363</v>
      </c>
      <c r="H48" s="14" t="str">
        <f t="shared" si="2"/>
        <v>di-cosmic centy</v>
      </c>
      <c r="I48" s="14" t="s">
        <v>1890</v>
      </c>
      <c r="J48" s="14" t="s">
        <v>1890</v>
      </c>
      <c r="K48" s="14" t="s">
        <v>1891</v>
      </c>
    </row>
    <row r="49" spans="1:11">
      <c r="A49" s="396" t="s">
        <v>1441</v>
      </c>
      <c r="B49" s="145" t="s">
        <v>1447</v>
      </c>
      <c r="C49" s="14" t="s">
        <v>1449</v>
      </c>
      <c r="E49" s="54">
        <v>15</v>
      </c>
      <c r="F49" s="519" t="s">
        <v>1241</v>
      </c>
      <c r="G49" s="14" t="s">
        <v>1364</v>
      </c>
      <c r="H49" s="14" t="str">
        <f t="shared" si="2"/>
        <v>di-cosmic dour</v>
      </c>
      <c r="I49" s="14" t="s">
        <v>1892</v>
      </c>
      <c r="J49" s="14" t="s">
        <v>1892</v>
      </c>
      <c r="K49" s="14" t="s">
        <v>1893</v>
      </c>
    </row>
    <row r="50" spans="1:11">
      <c r="A50" s="396" t="s">
        <v>1436</v>
      </c>
      <c r="B50" s="145" t="s">
        <v>1444</v>
      </c>
      <c r="C50" s="55" t="s">
        <v>1603</v>
      </c>
      <c r="E50" s="54">
        <v>16</v>
      </c>
      <c r="F50" s="519" t="s">
        <v>1242</v>
      </c>
      <c r="G50" s="14" t="s">
        <v>1365</v>
      </c>
      <c r="H50" s="14" t="str">
        <f t="shared" si="2"/>
        <v>di-cosmic</v>
      </c>
      <c r="I50" s="14" t="s">
        <v>1894</v>
      </c>
      <c r="J50" s="14" t="s">
        <v>1894</v>
      </c>
      <c r="K50" s="14" t="s">
        <v>1894</v>
      </c>
    </row>
    <row r="51" spans="1:11">
      <c r="A51" s="396" t="s">
        <v>1437</v>
      </c>
      <c r="B51" s="145" t="s">
        <v>1445</v>
      </c>
      <c r="C51" s="55" t="s">
        <v>1604</v>
      </c>
      <c r="E51" s="54">
        <v>17</v>
      </c>
      <c r="F51" s="519" t="s">
        <v>1243</v>
      </c>
      <c r="G51" s="14" t="s">
        <v>1366</v>
      </c>
      <c r="H51" s="14" t="str">
        <f t="shared" si="2"/>
        <v>di-cosmic dirac</v>
      </c>
      <c r="I51" s="14" t="s">
        <v>1895</v>
      </c>
      <c r="J51" s="14" t="s">
        <v>1895</v>
      </c>
      <c r="K51" s="14" t="s">
        <v>1896</v>
      </c>
    </row>
    <row r="52" spans="1:11">
      <c r="E52" s="54">
        <v>18</v>
      </c>
      <c r="F52" s="519" t="s">
        <v>1244</v>
      </c>
      <c r="G52" s="14" t="s">
        <v>1367</v>
      </c>
      <c r="H52" s="14" t="str">
        <f t="shared" si="2"/>
        <v>di-cosmic hecty</v>
      </c>
      <c r="I52" s="14" t="s">
        <v>1897</v>
      </c>
      <c r="J52" s="14" t="s">
        <v>1897</v>
      </c>
      <c r="K52" s="14" t="s">
        <v>1898</v>
      </c>
    </row>
    <row r="53" spans="1:11">
      <c r="A53" s="396"/>
      <c r="B53" s="540" t="s">
        <v>1405</v>
      </c>
      <c r="E53" s="54">
        <v>19</v>
      </c>
      <c r="F53" s="519" t="s">
        <v>1245</v>
      </c>
      <c r="G53" s="14" t="s">
        <v>1368</v>
      </c>
      <c r="H53" s="14" t="str">
        <f t="shared" si="2"/>
        <v>di-cosmic kily</v>
      </c>
      <c r="I53" s="14" t="s">
        <v>1899</v>
      </c>
      <c r="J53" s="14" t="s">
        <v>1899</v>
      </c>
      <c r="K53" s="14" t="s">
        <v>1900</v>
      </c>
    </row>
    <row r="54" spans="1:11">
      <c r="E54" s="54">
        <v>20</v>
      </c>
      <c r="F54" s="519" t="s">
        <v>1246</v>
      </c>
      <c r="G54" s="14" t="s">
        <v>1369</v>
      </c>
      <c r="H54" s="14" t="str">
        <f t="shared" si="2"/>
        <v>di-cosmic super</v>
      </c>
      <c r="I54" s="14" t="s">
        <v>1905</v>
      </c>
      <c r="J54" s="14" t="s">
        <v>1901</v>
      </c>
      <c r="K54" s="14" t="s">
        <v>1902</v>
      </c>
    </row>
    <row r="55" spans="1:11">
      <c r="E55" s="54">
        <v>21</v>
      </c>
      <c r="F55" s="519" t="s">
        <v>1247</v>
      </c>
      <c r="G55" s="14" t="s">
        <v>1370</v>
      </c>
      <c r="H55" s="14" t="str">
        <f t="shared" si="2"/>
        <v>tri-cosmic milly</v>
      </c>
      <c r="I55" s="14" t="s">
        <v>1871</v>
      </c>
      <c r="J55" s="14" t="s">
        <v>1871</v>
      </c>
      <c r="K55" s="14" t="s">
        <v>1872</v>
      </c>
    </row>
    <row r="56" spans="1:11">
      <c r="E56" s="54">
        <v>22</v>
      </c>
      <c r="F56" s="519" t="s">
        <v>1248</v>
      </c>
      <c r="G56" s="14" t="s">
        <v>1371</v>
      </c>
      <c r="H56" s="14" t="str">
        <f t="shared" si="2"/>
        <v>tri-cosmic centy</v>
      </c>
      <c r="I56" s="14" t="s">
        <v>1873</v>
      </c>
      <c r="J56" s="14" t="s">
        <v>1873</v>
      </c>
      <c r="K56" s="14" t="s">
        <v>1874</v>
      </c>
    </row>
    <row r="57" spans="1:11">
      <c r="E57" s="54">
        <v>23</v>
      </c>
      <c r="F57" s="519" t="s">
        <v>1249</v>
      </c>
      <c r="G57" s="14" t="s">
        <v>1372</v>
      </c>
      <c r="H57" s="14" t="str">
        <f t="shared" si="2"/>
        <v>tri-cosmic dour</v>
      </c>
      <c r="I57" s="14" t="s">
        <v>1875</v>
      </c>
      <c r="J57" s="14" t="s">
        <v>1875</v>
      </c>
      <c r="K57" s="14" t="s">
        <v>1876</v>
      </c>
    </row>
    <row r="58" spans="1:11">
      <c r="E58" s="54">
        <v>24</v>
      </c>
      <c r="F58" s="519" t="s">
        <v>1250</v>
      </c>
      <c r="G58" s="14" t="s">
        <v>1373</v>
      </c>
      <c r="H58" s="14" t="str">
        <f t="shared" si="2"/>
        <v>tri-cosmic</v>
      </c>
      <c r="I58" s="14" t="s">
        <v>1877</v>
      </c>
      <c r="J58" s="14" t="s">
        <v>1877</v>
      </c>
      <c r="K58" s="14" t="s">
        <v>1877</v>
      </c>
    </row>
    <row r="59" spans="1:11">
      <c r="E59" s="54">
        <v>25</v>
      </c>
      <c r="F59" s="519" t="s">
        <v>1251</v>
      </c>
      <c r="G59" s="14" t="s">
        <v>1374</v>
      </c>
      <c r="H59" s="14" t="str">
        <f t="shared" si="2"/>
        <v>tri-cosmic dirac</v>
      </c>
      <c r="I59" s="14" t="s">
        <v>1878</v>
      </c>
      <c r="J59" s="14" t="s">
        <v>1878</v>
      </c>
      <c r="K59" s="14" t="s">
        <v>1879</v>
      </c>
    </row>
    <row r="60" spans="1:11">
      <c r="E60" s="54">
        <v>26</v>
      </c>
      <c r="F60" s="519" t="s">
        <v>1252</v>
      </c>
      <c r="G60" s="14" t="s">
        <v>1375</v>
      </c>
      <c r="H60" s="14" t="str">
        <f t="shared" si="2"/>
        <v>tri-cosmic hecty</v>
      </c>
      <c r="I60" s="14" t="s">
        <v>1880</v>
      </c>
      <c r="J60" s="14" t="s">
        <v>1880</v>
      </c>
      <c r="K60" s="14" t="s">
        <v>1881</v>
      </c>
    </row>
    <row r="61" spans="1:11">
      <c r="E61" s="54">
        <v>27</v>
      </c>
      <c r="F61" s="519" t="s">
        <v>1253</v>
      </c>
      <c r="G61" s="14" t="s">
        <v>1376</v>
      </c>
      <c r="H61" s="14" t="str">
        <f t="shared" si="2"/>
        <v>tri-cosmic kily</v>
      </c>
      <c r="I61" s="14" t="s">
        <v>1882</v>
      </c>
      <c r="J61" s="14" t="s">
        <v>1882</v>
      </c>
      <c r="K61" s="14" t="s">
        <v>1883</v>
      </c>
    </row>
    <row r="62" spans="1:11">
      <c r="E62" s="54">
        <v>28</v>
      </c>
      <c r="F62" s="519" t="s">
        <v>1254</v>
      </c>
      <c r="G62" s="14" t="s">
        <v>1377</v>
      </c>
      <c r="H62" s="14" t="str">
        <f t="shared" si="2"/>
        <v>tri-cosmic super</v>
      </c>
      <c r="I62" s="14" t="s">
        <v>215</v>
      </c>
      <c r="J62" s="14" t="s">
        <v>1884</v>
      </c>
      <c r="K62" s="14" t="s">
        <v>1885</v>
      </c>
    </row>
    <row r="63" spans="1:11">
      <c r="E63" s="54">
        <v>29</v>
      </c>
      <c r="F63" s="519" t="s">
        <v>1255</v>
      </c>
      <c r="G63" s="14" t="s">
        <v>1378</v>
      </c>
      <c r="H63" s="14" t="str">
        <f t="shared" si="2"/>
        <v>tetra-cosmic milly</v>
      </c>
      <c r="I63" s="14" t="s">
        <v>1856</v>
      </c>
      <c r="J63" s="14" t="s">
        <v>1856</v>
      </c>
      <c r="K63" s="14" t="s">
        <v>1857</v>
      </c>
    </row>
    <row r="64" spans="1:11">
      <c r="E64" s="54">
        <v>30</v>
      </c>
      <c r="F64" s="519" t="s">
        <v>1256</v>
      </c>
      <c r="G64" s="14" t="s">
        <v>1379</v>
      </c>
      <c r="H64" s="14" t="str">
        <f t="shared" si="2"/>
        <v>tetra-cosmic centy</v>
      </c>
      <c r="I64" s="14" t="s">
        <v>1858</v>
      </c>
      <c r="J64" s="14" t="s">
        <v>1858</v>
      </c>
      <c r="K64" s="14" t="s">
        <v>1859</v>
      </c>
    </row>
    <row r="65" spans="5:11">
      <c r="E65" s="54">
        <v>31</v>
      </c>
      <c r="F65" s="519" t="s">
        <v>1257</v>
      </c>
      <c r="G65" s="14" t="s">
        <v>1380</v>
      </c>
      <c r="H65" s="14" t="str">
        <f t="shared" si="2"/>
        <v>tetra-cosmic dour</v>
      </c>
      <c r="I65" s="14" t="s">
        <v>1860</v>
      </c>
      <c r="J65" s="14" t="s">
        <v>1860</v>
      </c>
      <c r="K65" s="14" t="s">
        <v>1861</v>
      </c>
    </row>
    <row r="66" spans="5:11">
      <c r="E66" s="54">
        <v>32</v>
      </c>
      <c r="F66" s="519" t="s">
        <v>1258</v>
      </c>
      <c r="G66" s="14" t="s">
        <v>1381</v>
      </c>
      <c r="H66" s="14" t="str">
        <f t="shared" ref="H66" si="4">IF($H$1="H", I66,IF($H$1="I",J66,K66))</f>
        <v>tetra-cosmic</v>
      </c>
      <c r="I66" s="14" t="s">
        <v>1862</v>
      </c>
      <c r="J66" s="14" t="s">
        <v>1862</v>
      </c>
      <c r="K66" s="14" t="s">
        <v>1862</v>
      </c>
    </row>
    <row r="67" spans="5:11">
      <c r="E67" s="54">
        <v>33</v>
      </c>
      <c r="F67" s="519" t="s">
        <v>1259</v>
      </c>
      <c r="G67" s="14" t="s">
        <v>1382</v>
      </c>
      <c r="H67" s="14" t="str">
        <f t="shared" ref="H67:H75" si="5">IF($H$1="H", I67,IF($H$1="I",J67,K67))</f>
        <v>tetra-cosmic dirac</v>
      </c>
      <c r="I67" s="14" t="s">
        <v>1863</v>
      </c>
      <c r="J67" s="14" t="s">
        <v>1863</v>
      </c>
      <c r="K67" s="14" t="s">
        <v>1864</v>
      </c>
    </row>
    <row r="68" spans="5:11">
      <c r="E68" s="54">
        <v>34</v>
      </c>
      <c r="F68" s="519" t="s">
        <v>1260</v>
      </c>
      <c r="G68" s="14" t="s">
        <v>1383</v>
      </c>
      <c r="H68" s="14" t="str">
        <f t="shared" si="5"/>
        <v>tetra-cosmic hecty</v>
      </c>
      <c r="I68" s="14" t="s">
        <v>1865</v>
      </c>
      <c r="J68" s="14" t="s">
        <v>1865</v>
      </c>
      <c r="K68" s="14" t="s">
        <v>1866</v>
      </c>
    </row>
    <row r="69" spans="5:11">
      <c r="E69" s="54">
        <v>35</v>
      </c>
      <c r="F69" s="519" t="s">
        <v>1261</v>
      </c>
      <c r="G69" s="14" t="s">
        <v>1384</v>
      </c>
      <c r="H69" s="14" t="str">
        <f t="shared" si="5"/>
        <v>tetra-cosmic kily</v>
      </c>
      <c r="I69" s="14" t="s">
        <v>1867</v>
      </c>
      <c r="J69" s="14" t="s">
        <v>1867</v>
      </c>
      <c r="K69" s="14" t="s">
        <v>1868</v>
      </c>
    </row>
    <row r="70" spans="5:11">
      <c r="E70" s="54">
        <v>36</v>
      </c>
      <c r="F70" s="519" t="s">
        <v>1262</v>
      </c>
      <c r="G70" s="14" t="s">
        <v>1385</v>
      </c>
      <c r="H70" s="14" t="str">
        <f t="shared" si="5"/>
        <v>tetra-cosmic super</v>
      </c>
      <c r="I70" s="14" t="s">
        <v>1903</v>
      </c>
      <c r="J70" s="14" t="s">
        <v>1869</v>
      </c>
      <c r="K70" s="14" t="s">
        <v>1870</v>
      </c>
    </row>
    <row r="71" spans="5:11">
      <c r="E71" s="54">
        <v>37</v>
      </c>
      <c r="F71" s="519" t="s">
        <v>1263</v>
      </c>
      <c r="G71" s="14" t="s">
        <v>1386</v>
      </c>
      <c r="H71" s="14" t="str">
        <f t="shared" si="5"/>
        <v>penta-cosmic milly</v>
      </c>
      <c r="I71" s="14" t="s">
        <v>1847</v>
      </c>
      <c r="J71" s="14" t="s">
        <v>1847</v>
      </c>
      <c r="K71" s="14" t="s">
        <v>1848</v>
      </c>
    </row>
    <row r="72" spans="5:11">
      <c r="E72" s="54">
        <v>38</v>
      </c>
      <c r="F72" s="519" t="s">
        <v>1264</v>
      </c>
      <c r="G72" s="14" t="s">
        <v>1387</v>
      </c>
      <c r="H72" s="14" t="str">
        <f t="shared" si="5"/>
        <v>penta-cosmic centy</v>
      </c>
      <c r="I72" s="14" t="s">
        <v>1849</v>
      </c>
      <c r="J72" s="14" t="s">
        <v>1849</v>
      </c>
      <c r="K72" s="14" t="s">
        <v>1850</v>
      </c>
    </row>
    <row r="73" spans="5:11">
      <c r="E73" s="54">
        <v>39</v>
      </c>
      <c r="F73" s="519" t="s">
        <v>1265</v>
      </c>
      <c r="G73" s="14" t="s">
        <v>1388</v>
      </c>
      <c r="H73" s="14" t="str">
        <f t="shared" si="5"/>
        <v>penta-cosmic dour</v>
      </c>
      <c r="I73" s="14" t="s">
        <v>1851</v>
      </c>
      <c r="J73" s="14" t="s">
        <v>1851</v>
      </c>
      <c r="K73" s="14" t="s">
        <v>1852</v>
      </c>
    </row>
    <row r="74" spans="5:11">
      <c r="E74" s="54">
        <v>40</v>
      </c>
      <c r="F74" s="519" t="s">
        <v>1266</v>
      </c>
      <c r="G74" s="14" t="s">
        <v>1389</v>
      </c>
      <c r="H74" s="14" t="str">
        <f t="shared" si="5"/>
        <v>penta-cosmic</v>
      </c>
      <c r="I74" s="14" t="s">
        <v>1853</v>
      </c>
      <c r="J74" s="14" t="s">
        <v>1853</v>
      </c>
      <c r="K74" s="14" t="s">
        <v>1853</v>
      </c>
    </row>
    <row r="75" spans="5:11">
      <c r="E75" s="54">
        <v>41</v>
      </c>
      <c r="F75" s="519" t="s">
        <v>1267</v>
      </c>
      <c r="G75" s="14" t="s">
        <v>1390</v>
      </c>
      <c r="H75" s="14" t="str">
        <f t="shared" si="5"/>
        <v>penta-cosmic dirac</v>
      </c>
      <c r="I75" s="14" t="s">
        <v>1854</v>
      </c>
      <c r="J75" s="14" t="s">
        <v>1854</v>
      </c>
      <c r="K75" s="14" t="s">
        <v>1855</v>
      </c>
    </row>
  </sheetData>
  <mergeCells count="4">
    <mergeCell ref="F1:G1"/>
    <mergeCell ref="K1:O1"/>
    <mergeCell ref="A1:D1"/>
    <mergeCell ref="C39:D41"/>
  </mergeCells>
  <phoneticPr fontId="1"/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18" sqref="G18"/>
    </sheetView>
  </sheetViews>
  <sheetFormatPr defaultRowHeight="12"/>
  <cols>
    <col min="1" max="1" width="21.75" style="227" customWidth="1"/>
    <col min="2" max="2" width="4.375" style="227" customWidth="1"/>
    <col min="3" max="3" width="22.375" style="227" customWidth="1"/>
    <col min="4" max="4" width="27.625" style="227" customWidth="1"/>
    <col min="5" max="5" width="26.125" style="227" customWidth="1"/>
    <col min="6" max="16384" width="9" style="227"/>
  </cols>
  <sheetData>
    <row r="1" spans="1:5" ht="21" customHeight="1">
      <c r="A1" s="226" t="s">
        <v>243</v>
      </c>
      <c r="B1" s="226" t="s">
        <v>254</v>
      </c>
      <c r="C1" s="226" t="s">
        <v>236</v>
      </c>
      <c r="D1" s="226" t="s">
        <v>237</v>
      </c>
      <c r="E1" s="226" t="s">
        <v>614</v>
      </c>
    </row>
    <row r="2" spans="1:5">
      <c r="A2" s="228" t="s">
        <v>238</v>
      </c>
      <c r="B2" s="229" t="s">
        <v>110</v>
      </c>
      <c r="C2" s="230" t="s">
        <v>239</v>
      </c>
      <c r="D2" s="230" t="s">
        <v>240</v>
      </c>
      <c r="E2" s="230" t="s">
        <v>241</v>
      </c>
    </row>
    <row r="3" spans="1:5" ht="24.75" customHeight="1">
      <c r="A3" s="228" t="s">
        <v>242</v>
      </c>
      <c r="B3" s="229" t="s">
        <v>110</v>
      </c>
      <c r="C3" s="229" t="s">
        <v>244</v>
      </c>
      <c r="D3" s="228" t="s">
        <v>261</v>
      </c>
      <c r="E3" s="229" t="s">
        <v>615</v>
      </c>
    </row>
    <row r="4" spans="1:5" ht="24">
      <c r="A4" s="228" t="s">
        <v>256</v>
      </c>
      <c r="B4" s="229" t="s">
        <v>110</v>
      </c>
      <c r="C4" s="229" t="s">
        <v>257</v>
      </c>
      <c r="D4" s="229" t="s">
        <v>258</v>
      </c>
      <c r="E4" s="229" t="s">
        <v>616</v>
      </c>
    </row>
    <row r="5" spans="1:5" ht="24.75" customHeight="1">
      <c r="A5" s="228" t="s">
        <v>245</v>
      </c>
      <c r="B5" s="229" t="s">
        <v>110</v>
      </c>
      <c r="C5" s="229" t="s">
        <v>246</v>
      </c>
      <c r="D5" s="229" t="s">
        <v>247</v>
      </c>
      <c r="E5" s="229" t="s">
        <v>617</v>
      </c>
    </row>
    <row r="6" spans="1:5">
      <c r="A6" s="228" t="s">
        <v>251</v>
      </c>
      <c r="B6" s="229" t="s">
        <v>110</v>
      </c>
      <c r="C6" s="229" t="s">
        <v>248</v>
      </c>
      <c r="D6" s="229" t="s">
        <v>249</v>
      </c>
      <c r="E6" s="229" t="s">
        <v>250</v>
      </c>
    </row>
    <row r="7" spans="1:5">
      <c r="A7" s="228" t="s">
        <v>252</v>
      </c>
      <c r="B7" s="228" t="s">
        <v>57</v>
      </c>
      <c r="C7" s="231">
        <f>Rydberg!F3</f>
        <v>0.27210288326799098</v>
      </c>
      <c r="D7" s="231">
        <f>Clock!F3</f>
        <v>0.27235212567339145</v>
      </c>
      <c r="E7" s="231">
        <f>Clock_by_Rydberg!F3</f>
        <v>0.27235220593302245</v>
      </c>
    </row>
    <row r="8" spans="1:5">
      <c r="A8" s="228" t="s">
        <v>255</v>
      </c>
      <c r="B8" s="228" t="s">
        <v>56</v>
      </c>
      <c r="C8" s="231">
        <f>Rydberg!F4</f>
        <v>0.39026752045263524</v>
      </c>
      <c r="D8" s="231">
        <f>Clock!F4</f>
        <v>0.390625</v>
      </c>
      <c r="E8" s="231">
        <f>Clock_by_Rydberg!F4</f>
        <v>0.39062511511354381</v>
      </c>
    </row>
    <row r="9" spans="1:5">
      <c r="A9" s="228" t="s">
        <v>253</v>
      </c>
      <c r="B9" s="228" t="s">
        <v>61</v>
      </c>
      <c r="C9" s="231">
        <f>Rydberg!F8</f>
        <v>0.13195007973601611</v>
      </c>
      <c r="D9" s="231">
        <f>Clock!F8</f>
        <v>0.13182932593178243</v>
      </c>
      <c r="E9" s="231">
        <f>Clock_by_Rydberg!F8</f>
        <v>0.13182928708292121</v>
      </c>
    </row>
    <row r="10" spans="1:5">
      <c r="A10" s="229" t="s">
        <v>259</v>
      </c>
      <c r="B10" s="228" t="s">
        <v>56</v>
      </c>
      <c r="C10" s="232">
        <f>C8*128*12*12*12</f>
        <v>86320.931243795669</v>
      </c>
      <c r="D10" s="232">
        <f>D8*128*12*12*12</f>
        <v>86400</v>
      </c>
      <c r="E10" s="232">
        <f>E8*128*12*12*12</f>
        <v>86400.025461274068</v>
      </c>
    </row>
    <row r="11" spans="1:5" ht="14.25" customHeight="1">
      <c r="A11" s="229" t="s">
        <v>260</v>
      </c>
      <c r="B11" s="228" t="s">
        <v>229</v>
      </c>
      <c r="C11" s="232">
        <f>(C10-86400)*1000</f>
        <v>-79068.756204331294</v>
      </c>
      <c r="D11" s="232">
        <f>(D10-86400)*1000</f>
        <v>0</v>
      </c>
      <c r="E11" s="232">
        <f>(E10-86400)*1000</f>
        <v>25.461274068220519</v>
      </c>
    </row>
    <row r="12" spans="1:5" ht="21.75" customHeight="1">
      <c r="A12" s="228" t="s">
        <v>263</v>
      </c>
      <c r="B12" s="229" t="s">
        <v>110</v>
      </c>
      <c r="C12" s="232" t="s">
        <v>264</v>
      </c>
      <c r="D12" s="232" t="s">
        <v>262</v>
      </c>
      <c r="E12" s="232" t="s">
        <v>265</v>
      </c>
    </row>
    <row r="13" spans="1:5">
      <c r="C13" s="233">
        <f t="shared" ref="C13:D13" si="0">C11/1.7-1</f>
        <v>-46512.033061371352</v>
      </c>
      <c r="D13" s="233">
        <f t="shared" si="0"/>
        <v>-1</v>
      </c>
      <c r="E13" s="233">
        <f>E11/1.7-1</f>
        <v>13.977220040129717</v>
      </c>
    </row>
  </sheetData>
  <phoneticPr fontId="1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D5" sqref="D5"/>
    </sheetView>
  </sheetViews>
  <sheetFormatPr defaultColWidth="15.625" defaultRowHeight="11.25"/>
  <cols>
    <col min="1" max="4" width="15.625" style="1"/>
    <col min="5" max="5" width="7.875" style="1" customWidth="1"/>
    <col min="6" max="6" width="8.25" style="1" customWidth="1"/>
    <col min="7" max="7" width="7.375" style="1" customWidth="1"/>
    <col min="8" max="8" width="8.125" style="1" customWidth="1"/>
    <col min="9" max="10" width="8.625" style="1" customWidth="1"/>
    <col min="11" max="16384" width="15.625" style="1"/>
  </cols>
  <sheetData>
    <row r="1" spans="1:10" ht="12">
      <c r="A1" s="8"/>
      <c r="B1" s="9" t="s">
        <v>86</v>
      </c>
      <c r="C1" s="10" t="s">
        <v>89</v>
      </c>
      <c r="D1" s="9" t="s">
        <v>85</v>
      </c>
      <c r="E1" s="9" t="s">
        <v>87</v>
      </c>
      <c r="F1" s="793" t="s">
        <v>1420</v>
      </c>
      <c r="G1" s="793"/>
    </row>
    <row r="2" spans="1:10" ht="12">
      <c r="A2" s="8" t="s">
        <v>81</v>
      </c>
      <c r="B2" s="569">
        <f>Rydberg!F10</f>
        <v>0.23573169686892176</v>
      </c>
      <c r="C2" s="11">
        <f>35*POWER(12,40)*B2</f>
        <v>1.2126511100446699E+44</v>
      </c>
      <c r="D2" s="12">
        <f>POWER(c_0,4)/C2</f>
        <v>6.6611151766190507E-11</v>
      </c>
      <c r="E2" s="13">
        <f>(D2-D$28)/D$29</f>
        <v>-41.82201090628913</v>
      </c>
      <c r="F2" s="13"/>
      <c r="G2" s="13"/>
    </row>
    <row r="3" spans="1:10" ht="12">
      <c r="A3" s="8" t="s">
        <v>82</v>
      </c>
      <c r="B3" s="569">
        <f>Bohr!F10</f>
        <v>0.23410978999489726</v>
      </c>
      <c r="C3" s="11">
        <f t="shared" ref="C3:C6" si="0">35*POWER(12,40)*B3</f>
        <v>1.2043076959119979E+44</v>
      </c>
      <c r="D3" s="12">
        <f>POWER(c_0,4)/C3</f>
        <v>6.7072632189280161E-11</v>
      </c>
      <c r="E3" s="13">
        <f>(D3-D$28)/D$29</f>
        <v>107.04264170327664</v>
      </c>
      <c r="F3" s="13"/>
      <c r="G3" s="13"/>
    </row>
    <row r="4" spans="1:10" ht="12">
      <c r="A4" s="8" t="s">
        <v>83</v>
      </c>
      <c r="B4" s="569">
        <f>Clock!F10</f>
        <v>0.23530043568037093</v>
      </c>
      <c r="C4" s="11">
        <f t="shared" si="0"/>
        <v>1.2104326160281178E+44</v>
      </c>
      <c r="D4" s="12">
        <f>POWER(c_0,4)/C4</f>
        <v>6.6733237407036709E-11</v>
      </c>
      <c r="E4" s="13">
        <f>(D4-D$28)/D$29</f>
        <v>-2.4395461171917394</v>
      </c>
      <c r="F4" s="13">
        <v>0</v>
      </c>
      <c r="G4" s="13" t="s">
        <v>1418</v>
      </c>
    </row>
    <row r="5" spans="1:10" ht="12">
      <c r="A5" s="30" t="s">
        <v>84</v>
      </c>
      <c r="B5" s="570">
        <f>Clock_by_Rydberg!F10</f>
        <v>0.23530029699874513</v>
      </c>
      <c r="C5" s="560">
        <f t="shared" si="0"/>
        <v>1.2104319026220309E+44</v>
      </c>
      <c r="D5" s="561">
        <f>POWER(c_0,4)/C5</f>
        <v>6.673327673836768E-11</v>
      </c>
      <c r="E5" s="562">
        <f>(D5-D$28)/D$29</f>
        <v>-2.4268585910719018</v>
      </c>
      <c r="F5" s="562">
        <v>9.2994423006262927</v>
      </c>
      <c r="G5" s="562" t="s">
        <v>1418</v>
      </c>
      <c r="H5" s="559"/>
      <c r="I5" s="14">
        <f>-E5*12</f>
        <v>29.122303092862822</v>
      </c>
      <c r="J5" s="14">
        <f>(I5-7)*12</f>
        <v>265.46763711435386</v>
      </c>
    </row>
    <row r="6" spans="1:10" ht="12">
      <c r="A6" s="30" t="s">
        <v>1415</v>
      </c>
      <c r="B6" s="570">
        <f>Gravitic!F$10*POWER(12,-40)</f>
        <v>0.23527377310786454</v>
      </c>
      <c r="C6" s="560">
        <f t="shared" si="0"/>
        <v>1.2102954584096221E+44</v>
      </c>
      <c r="D6" s="561">
        <f>POWER(c_0,4)/C6</f>
        <v>6.674079999999999E-11</v>
      </c>
      <c r="E6" s="562">
        <f>(D6-D$28)/D$29</f>
        <v>-4.1692571197229216E-12</v>
      </c>
      <c r="F6" s="562">
        <f>Gravitic!G4</f>
        <v>29.800919207778851</v>
      </c>
      <c r="G6" s="562" t="s">
        <v>1419</v>
      </c>
      <c r="H6" s="793">
        <v>2014</v>
      </c>
      <c r="I6" s="14"/>
    </row>
    <row r="7" spans="1:10" ht="12">
      <c r="A7" s="565" t="s">
        <v>1416</v>
      </c>
      <c r="B7" s="571">
        <v>0.23528470169390567</v>
      </c>
      <c r="C7" s="566">
        <v>1.2103516772472667E+44</v>
      </c>
      <c r="D7" s="567">
        <v>6.6737699999999985E-11</v>
      </c>
      <c r="E7" s="568">
        <v>-1.0000000000060771</v>
      </c>
      <c r="F7" s="568">
        <v>17.58535959361982</v>
      </c>
      <c r="G7" s="568" t="s">
        <v>1419</v>
      </c>
      <c r="H7" s="793"/>
      <c r="I7" s="14"/>
    </row>
    <row r="8" spans="1:10" ht="12">
      <c r="A8" s="45" t="s">
        <v>1417</v>
      </c>
      <c r="B8" s="572">
        <v>0.23526284553700591</v>
      </c>
      <c r="C8" s="563">
        <v>1.2102392447942795E+44</v>
      </c>
      <c r="D8" s="507">
        <v>6.6743899999999983E-11</v>
      </c>
      <c r="E8" s="564">
        <v>0.99999999999356926</v>
      </c>
      <c r="F8" s="564">
        <v>42.016195128849041</v>
      </c>
      <c r="G8" s="564" t="s">
        <v>1419</v>
      </c>
      <c r="H8" s="793"/>
      <c r="I8" s="14"/>
    </row>
    <row r="9" spans="1:10" ht="12">
      <c r="A9" s="30" t="s">
        <v>1415</v>
      </c>
      <c r="B9" s="570">
        <v>0.23528223385992716</v>
      </c>
      <c r="C9" s="560">
        <v>1.2103389822145105E+44</v>
      </c>
      <c r="D9" s="561">
        <v>6.6738400000000014E-11</v>
      </c>
      <c r="E9" s="562">
        <v>1.615587133892632E-12</v>
      </c>
      <c r="F9" s="562">
        <v>20.325282763208502</v>
      </c>
      <c r="G9" s="562" t="s">
        <v>1419</v>
      </c>
      <c r="H9" s="793">
        <v>2010</v>
      </c>
      <c r="I9" s="14"/>
    </row>
    <row r="10" spans="1:10" ht="12">
      <c r="A10" s="565" t="s">
        <v>1416</v>
      </c>
      <c r="B10" s="571">
        <v>0.23531044076219179</v>
      </c>
      <c r="C10" s="566">
        <v>1.2104840841749022E+44</v>
      </c>
      <c r="D10" s="567">
        <v>6.673040000000001E-11</v>
      </c>
      <c r="E10" s="568">
        <v>-0.99999999999888489</v>
      </c>
      <c r="F10" s="568">
        <v>-11.199886455150754</v>
      </c>
      <c r="G10" s="568" t="s">
        <v>1419</v>
      </c>
      <c r="H10" s="793"/>
      <c r="I10" s="14"/>
    </row>
    <row r="11" spans="1:10" ht="12">
      <c r="A11" s="45" t="s">
        <v>1417</v>
      </c>
      <c r="B11" s="572">
        <v>0.23525403371923229</v>
      </c>
      <c r="C11" s="563">
        <v>1.2101939150369894E+44</v>
      </c>
      <c r="D11" s="507">
        <v>6.6746399999999992E-11</v>
      </c>
      <c r="E11" s="564">
        <v>0.99999999999888489</v>
      </c>
      <c r="F11" s="564">
        <v>51.848562561010453</v>
      </c>
      <c r="G11" s="564" t="s">
        <v>1419</v>
      </c>
      <c r="H11" s="793"/>
      <c r="I11" s="14"/>
    </row>
    <row r="12" spans="1:10" ht="12">
      <c r="A12" s="30" t="s">
        <v>1415</v>
      </c>
      <c r="B12" s="570">
        <v>0.23526672294595621</v>
      </c>
      <c r="C12" s="560">
        <v>1.2102591909632935E+44</v>
      </c>
      <c r="D12" s="561">
        <v>6.6742799999999995E-11</v>
      </c>
      <c r="E12" s="562">
        <v>1.615587133892632E-12</v>
      </c>
      <c r="F12" s="562">
        <v>37.663320446026667</v>
      </c>
      <c r="G12" s="562" t="s">
        <v>1422</v>
      </c>
      <c r="H12" s="793">
        <v>2006</v>
      </c>
      <c r="I12" s="14"/>
    </row>
    <row r="13" spans="1:10" ht="12">
      <c r="A13" s="565" t="s">
        <v>1416</v>
      </c>
      <c r="B13" s="571">
        <v>0.23529034265168877</v>
      </c>
      <c r="C13" s="566">
        <v>1.2103806954650469E+44</v>
      </c>
      <c r="D13" s="567">
        <v>6.6736099999999991E-11</v>
      </c>
      <c r="E13" s="568">
        <v>-0.99999999999888489</v>
      </c>
      <c r="F13" s="568">
        <v>11.261990145773828</v>
      </c>
      <c r="G13" s="568" t="s">
        <v>1422</v>
      </c>
      <c r="H13" s="793"/>
      <c r="I13" s="14"/>
    </row>
    <row r="14" spans="1:10" ht="12">
      <c r="A14" s="45" t="s">
        <v>1417</v>
      </c>
      <c r="B14" s="572">
        <v>0.23524310798189296</v>
      </c>
      <c r="C14" s="563">
        <v>1.2101377108536378E+44</v>
      </c>
      <c r="D14" s="507">
        <v>6.6749499999999998E-11</v>
      </c>
      <c r="E14" s="564">
        <v>0.99999999999888489</v>
      </c>
      <c r="F14" s="564">
        <v>64.063325626034683</v>
      </c>
      <c r="G14" s="564" t="s">
        <v>1422</v>
      </c>
      <c r="H14" s="793"/>
      <c r="I14" s="14"/>
    </row>
    <row r="15" spans="1:10" ht="12">
      <c r="A15" s="30" t="s">
        <v>1415</v>
      </c>
      <c r="B15" s="570">
        <v>0.23526954296001559</v>
      </c>
      <c r="C15" s="560">
        <v>1.2102736976809937E+44</v>
      </c>
      <c r="D15" s="561">
        <v>6.6742000000000011E-11</v>
      </c>
      <c r="E15" s="562">
        <v>1.615587133892632E-12</v>
      </c>
      <c r="F15" s="562">
        <v>34.510992467756267</v>
      </c>
      <c r="G15" s="562" t="s">
        <v>1422</v>
      </c>
      <c r="H15" s="793">
        <v>2002</v>
      </c>
      <c r="I15" s="14"/>
    </row>
    <row r="16" spans="1:10" ht="12">
      <c r="A16" s="565" t="s">
        <v>1423</v>
      </c>
      <c r="B16" s="571">
        <v>0.23530479884069655</v>
      </c>
      <c r="C16" s="566">
        <v>1.2104550609995937E+44</v>
      </c>
      <c r="D16" s="567">
        <v>6.6732000000000016E-11</v>
      </c>
      <c r="E16" s="568">
        <v>-0.99999999999888489</v>
      </c>
      <c r="F16" s="568">
        <v>-4.8947014415286452</v>
      </c>
      <c r="G16" s="568" t="s">
        <v>1422</v>
      </c>
      <c r="H16" s="793"/>
      <c r="I16" s="14"/>
    </row>
    <row r="17" spans="1:9" ht="12">
      <c r="A17" s="45" t="s">
        <v>1417</v>
      </c>
      <c r="B17" s="572">
        <v>0.23523429764257792</v>
      </c>
      <c r="C17" s="563">
        <v>1.2100923887018349E+44</v>
      </c>
      <c r="D17" s="507">
        <v>6.6752000000000019E-11</v>
      </c>
      <c r="E17" s="564">
        <v>0.99999999999888489</v>
      </c>
      <c r="F17" s="564">
        <v>73.913734396304577</v>
      </c>
      <c r="G17" s="564" t="s">
        <v>1422</v>
      </c>
      <c r="H17" s="793"/>
      <c r="I17" s="14"/>
    </row>
    <row r="18" spans="1:9" ht="12">
      <c r="A18" s="30" t="s">
        <v>1415</v>
      </c>
      <c r="B18" s="570">
        <v>0.23531185128483989</v>
      </c>
      <c r="C18" s="560">
        <v>1.2104913401861967E+44</v>
      </c>
      <c r="D18" s="561">
        <v>6.6729999999999999E-11</v>
      </c>
      <c r="E18" s="562">
        <v>1.615587133892632E-12</v>
      </c>
      <c r="F18" s="562">
        <v>-12.776194519444383</v>
      </c>
      <c r="G18" s="562" t="s">
        <v>1422</v>
      </c>
      <c r="H18" s="793">
        <v>1998</v>
      </c>
      <c r="I18" s="14"/>
    </row>
    <row r="19" spans="1:9" ht="12">
      <c r="A19" s="565" t="s">
        <v>1423</v>
      </c>
      <c r="B19" s="571">
        <v>0.23566501330087594</v>
      </c>
      <c r="C19" s="566">
        <v>1.2123080764013942E+44</v>
      </c>
      <c r="D19" s="567">
        <v>6.6630000000000007E-11</v>
      </c>
      <c r="E19" s="568">
        <v>-0.99999999999888489</v>
      </c>
      <c r="F19" s="568">
        <v>-407.00155072054054</v>
      </c>
      <c r="G19" s="568" t="s">
        <v>1422</v>
      </c>
      <c r="H19" s="793"/>
      <c r="I19" s="14"/>
    </row>
    <row r="20" spans="1:9" ht="12">
      <c r="A20" s="45" t="s">
        <v>1417</v>
      </c>
      <c r="B20" s="572">
        <v>0.23495974616545509</v>
      </c>
      <c r="C20" s="563">
        <v>1.2086800408592682E+44</v>
      </c>
      <c r="D20" s="507">
        <v>6.6830000000000003E-11</v>
      </c>
      <c r="E20" s="564">
        <v>0.99999999999888489</v>
      </c>
      <c r="F20" s="564">
        <v>381.15388378336343</v>
      </c>
      <c r="G20" s="564" t="s">
        <v>1422</v>
      </c>
      <c r="H20" s="793"/>
      <c r="I20" s="14"/>
    </row>
    <row r="21" spans="1:9" ht="12">
      <c r="A21" s="30" t="s">
        <v>1415</v>
      </c>
      <c r="B21" s="570">
        <v>0.23532631011702146</v>
      </c>
      <c r="C21" s="560">
        <v>1.2105657193177594E+44</v>
      </c>
      <c r="D21" s="561">
        <v>6.672590000000001E-11</v>
      </c>
      <c r="E21" s="562">
        <v>1.615587133892632E-12</v>
      </c>
      <c r="F21" s="562">
        <v>-28.933624579624613</v>
      </c>
      <c r="G21" s="562" t="s">
        <v>1422</v>
      </c>
      <c r="H21" s="793">
        <v>1986</v>
      </c>
      <c r="I21" s="14"/>
    </row>
    <row r="22" spans="1:9" ht="12">
      <c r="A22" s="565" t="s">
        <v>1424</v>
      </c>
      <c r="B22" s="571">
        <v>0.23535629140580072</v>
      </c>
      <c r="C22" s="566">
        <v>1.2107199490781254E+44</v>
      </c>
      <c r="D22" s="567">
        <v>6.6717399999999976E-11</v>
      </c>
      <c r="E22" s="568">
        <v>-0.99999999999888489</v>
      </c>
      <c r="F22" s="568">
        <v>-62.432317090197877</v>
      </c>
      <c r="G22" s="568" t="s">
        <v>1422</v>
      </c>
      <c r="H22" s="793"/>
      <c r="I22" s="14"/>
    </row>
    <row r="23" spans="1:9" ht="12">
      <c r="A23" s="45" t="s">
        <v>1417</v>
      </c>
      <c r="B23" s="572">
        <v>0.23529633646571133</v>
      </c>
      <c r="C23" s="563">
        <v>1.2104115288460659E+44</v>
      </c>
      <c r="D23" s="507">
        <v>6.6734399999999992E-11</v>
      </c>
      <c r="E23" s="564">
        <v>0.99999999999888489</v>
      </c>
      <c r="F23" s="564">
        <v>4.5629343527317792</v>
      </c>
      <c r="G23" s="564" t="s">
        <v>1422</v>
      </c>
      <c r="H23" s="793"/>
      <c r="I23" s="14"/>
    </row>
    <row r="24" spans="1:9" ht="12">
      <c r="A24" s="30" t="s">
        <v>1415</v>
      </c>
      <c r="B24" s="570">
        <v>0.23534711984768242</v>
      </c>
      <c r="C24" s="560">
        <v>1.2106727687443784E+44</v>
      </c>
      <c r="D24" s="561">
        <v>6.6719999999999977E-11</v>
      </c>
      <c r="E24" s="562">
        <v>1.615587133892632E-12</v>
      </c>
      <c r="F24" s="562">
        <v>-52.185431681407849</v>
      </c>
      <c r="G24" s="562" t="s">
        <v>1422</v>
      </c>
      <c r="H24" s="793">
        <v>1973</v>
      </c>
      <c r="I24" s="14"/>
    </row>
    <row r="25" spans="1:9" ht="12">
      <c r="A25" s="565" t="s">
        <v>1425</v>
      </c>
      <c r="B25" s="571">
        <v>0.23549183155472292</v>
      </c>
      <c r="C25" s="566">
        <v>1.2114171947783399E+44</v>
      </c>
      <c r="D25" s="567">
        <v>6.6678999999999975E-11</v>
      </c>
      <c r="E25" s="568">
        <v>-0.99999999999888489</v>
      </c>
      <c r="F25" s="568">
        <v>-213.79418944481114</v>
      </c>
      <c r="G25" s="568" t="s">
        <v>1422</v>
      </c>
      <c r="H25" s="793"/>
      <c r="I25" s="14"/>
    </row>
    <row r="26" spans="1:9" ht="12">
      <c r="A26" s="45" t="s">
        <v>1417</v>
      </c>
      <c r="B26" s="572">
        <v>0.23520258588453394</v>
      </c>
      <c r="C26" s="563">
        <v>1.2099292570606331E+44</v>
      </c>
      <c r="D26" s="507">
        <v>6.676099999999998E-11</v>
      </c>
      <c r="E26" s="564">
        <v>0.99999999999888489</v>
      </c>
      <c r="F26" s="564">
        <v>109.37367873669088</v>
      </c>
      <c r="G26" s="564" t="s">
        <v>1422</v>
      </c>
      <c r="H26" s="793"/>
      <c r="I26" s="14"/>
    </row>
    <row r="27" spans="1:9" ht="12">
      <c r="A27" s="14"/>
      <c r="B27" s="14"/>
      <c r="C27" s="14"/>
      <c r="D27" s="14"/>
      <c r="E27" s="14"/>
      <c r="F27" s="14"/>
      <c r="G27" s="14"/>
    </row>
    <row r="28" spans="1:9" ht="12">
      <c r="A28" s="14"/>
      <c r="B28" s="14"/>
      <c r="C28" s="15" t="s">
        <v>1787</v>
      </c>
      <c r="D28" s="12">
        <v>6.6740800000000003E-11</v>
      </c>
      <c r="E28" s="14"/>
      <c r="F28" s="14"/>
      <c r="G28" s="14"/>
    </row>
    <row r="29" spans="1:9" ht="12">
      <c r="A29" s="14"/>
      <c r="B29" s="14"/>
      <c r="C29" s="15" t="s">
        <v>88</v>
      </c>
      <c r="D29" s="16">
        <v>3.0999999999999999E-15</v>
      </c>
      <c r="E29" s="260">
        <f>D29/D28</f>
        <v>4.6448349435427798E-5</v>
      </c>
      <c r="F29" s="260"/>
      <c r="G29" s="260"/>
    </row>
    <row r="30" spans="1:9" ht="12">
      <c r="A30" s="14"/>
      <c r="B30" s="14"/>
      <c r="C30" s="14"/>
      <c r="D30" s="14"/>
      <c r="E30" s="14"/>
      <c r="F30" s="14"/>
      <c r="G30" s="14"/>
    </row>
    <row r="31" spans="1:9" ht="12">
      <c r="A31" s="14"/>
      <c r="B31" s="14"/>
      <c r="C31" s="14"/>
      <c r="D31" s="14">
        <f>D38*0.00000000001+E31*E38*0.0000000000000001</f>
        <v>6.674079999999999E-11</v>
      </c>
      <c r="E31" s="14">
        <v>0</v>
      </c>
      <c r="F31" s="558">
        <f>Gravitic!G4</f>
        <v>29.800919207778851</v>
      </c>
      <c r="G31" s="556" t="s">
        <v>1426</v>
      </c>
    </row>
    <row r="32" spans="1:9" ht="12">
      <c r="A32" s="8"/>
      <c r="B32" s="9" t="s">
        <v>90</v>
      </c>
      <c r="C32" s="10" t="s">
        <v>91</v>
      </c>
      <c r="D32" s="557">
        <v>6.6719999999999997</v>
      </c>
      <c r="E32" s="14">
        <v>410</v>
      </c>
      <c r="F32" s="14">
        <v>1973</v>
      </c>
      <c r="G32" s="558">
        <f t="shared" ref="G32:G36" si="1">(D$4*100000000000-D32)/(E32/100000)</f>
        <v>0.3228635862612263</v>
      </c>
    </row>
    <row r="33" spans="1:7" ht="12">
      <c r="A33" s="8" t="s">
        <v>81</v>
      </c>
      <c r="B33" s="8">
        <f>Rydberg!F$3/POWER(Rydberg!F$4,2)</f>
        <v>1.7865218220446306</v>
      </c>
      <c r="C33" s="11">
        <f>B33*(5.5-1/144)</f>
        <v>9.8134636197034908</v>
      </c>
      <c r="D33" s="557">
        <v>6.6725899999999996</v>
      </c>
      <c r="E33" s="14">
        <v>85</v>
      </c>
      <c r="F33" s="14">
        <v>1986</v>
      </c>
      <c r="G33" s="558">
        <f t="shared" si="1"/>
        <v>0.86322435726018787</v>
      </c>
    </row>
    <row r="34" spans="1:7" ht="12">
      <c r="A34" s="8" t="s">
        <v>82</v>
      </c>
      <c r="B34" s="8">
        <f>Bohr!F$3/POWER(Bohr!F$4,2)</f>
        <v>1.7803653031507065</v>
      </c>
      <c r="C34" s="11">
        <f t="shared" ref="C34:C36" si="2">B34*(5.5-1/144)</f>
        <v>9.7796455193903391</v>
      </c>
      <c r="D34" s="557">
        <v>6.673</v>
      </c>
      <c r="E34" s="14">
        <v>1000</v>
      </c>
      <c r="F34" s="14">
        <v>1998</v>
      </c>
      <c r="G34" s="558">
        <f t="shared" si="1"/>
        <v>3.2374070367069407E-2</v>
      </c>
    </row>
    <row r="35" spans="1:7" ht="12">
      <c r="A35" s="8" t="s">
        <v>83</v>
      </c>
      <c r="B35" s="8">
        <f>Clock!F$3/POWER(Clock!F$4,2)</f>
        <v>1.7848868908131383</v>
      </c>
      <c r="C35" s="11">
        <f t="shared" si="2"/>
        <v>9.804482851619392</v>
      </c>
      <c r="D35" s="557">
        <v>6.6741999999999999</v>
      </c>
      <c r="E35" s="14">
        <v>100</v>
      </c>
      <c r="F35" s="14">
        <v>2002</v>
      </c>
      <c r="G35" s="558">
        <f t="shared" si="1"/>
        <v>-0.87625929632917376</v>
      </c>
    </row>
    <row r="36" spans="1:7" ht="12">
      <c r="A36" s="8" t="s">
        <v>84</v>
      </c>
      <c r="B36" s="8">
        <f>Clock_by_Rydberg!F$3/POWER(Clock_by_Rydberg!F$4,2)</f>
        <v>1.7848863648237756</v>
      </c>
      <c r="C36" s="11">
        <f t="shared" si="2"/>
        <v>9.8044799623305998</v>
      </c>
      <c r="D36" s="557">
        <v>6.6742800000000004</v>
      </c>
      <c r="E36" s="14">
        <v>67</v>
      </c>
      <c r="F36" s="14">
        <v>2006</v>
      </c>
      <c r="G36" s="558">
        <f t="shared" si="1"/>
        <v>-1.4272526810891013</v>
      </c>
    </row>
    <row r="37" spans="1:7" ht="12">
      <c r="A37" s="8" t="s">
        <v>1414</v>
      </c>
      <c r="B37" s="8">
        <f>Gravitic!F$3/POWER(Gravitic!F$4,2)*POWER(12,-47)</f>
        <v>1.7847857626018544</v>
      </c>
      <c r="C37" s="11">
        <f t="shared" ref="C37" si="3">B37*(5.5-1/144)</f>
        <v>9.8039273487365755</v>
      </c>
      <c r="D37" s="557">
        <v>6.6738400000000002</v>
      </c>
      <c r="E37" s="14">
        <v>80</v>
      </c>
      <c r="F37" s="14">
        <v>2010</v>
      </c>
      <c r="G37" s="558">
        <f>(D$4*100000000000-D37)/(E37/100000)</f>
        <v>-0.64532412041184983</v>
      </c>
    </row>
    <row r="38" spans="1:7" ht="12">
      <c r="A38" s="247"/>
      <c r="B38" s="247"/>
      <c r="C38" s="258"/>
      <c r="D38" s="557">
        <v>6.67408</v>
      </c>
      <c r="E38" s="14">
        <v>31</v>
      </c>
      <c r="F38" s="14">
        <v>2014</v>
      </c>
      <c r="G38" s="558">
        <f>(D$4*100000000000-D38)/(E38/100000)</f>
        <v>-2.4395461171912123</v>
      </c>
    </row>
    <row r="39" spans="1:7" ht="12">
      <c r="D39" s="557">
        <v>6.6754499999999997</v>
      </c>
      <c r="E39" s="14">
        <v>18</v>
      </c>
      <c r="F39" s="14" t="s">
        <v>1666</v>
      </c>
      <c r="G39" s="558">
        <f>(D$4*100000000000-D39)/(E39/100000)</f>
        <v>-11.812551646271805</v>
      </c>
    </row>
    <row r="40" spans="1:7" ht="12">
      <c r="D40" s="557">
        <f>Rydberg!D100*100000000000</f>
        <v>6.674305564133145</v>
      </c>
      <c r="E40" s="14">
        <v>0</v>
      </c>
      <c r="F40" s="575" t="s">
        <v>1430</v>
      </c>
      <c r="G40" s="558"/>
    </row>
  </sheetData>
  <mergeCells count="8">
    <mergeCell ref="H21:H23"/>
    <mergeCell ref="H24:H26"/>
    <mergeCell ref="F1:G1"/>
    <mergeCell ref="H9:H11"/>
    <mergeCell ref="H12:H14"/>
    <mergeCell ref="H15:H17"/>
    <mergeCell ref="H18:H20"/>
    <mergeCell ref="H6:H8"/>
  </mergeCells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8" orientation="landscape" r:id="rId1"/>
  <headerFooter>
    <oddHeader>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8"/>
  <sheetViews>
    <sheetView workbookViewId="0">
      <selection activeCell="K78" sqref="K78"/>
    </sheetView>
  </sheetViews>
  <sheetFormatPr defaultRowHeight="12"/>
  <cols>
    <col min="1" max="1" width="2.75" style="14" customWidth="1"/>
    <col min="2" max="2" width="26" style="14" customWidth="1"/>
    <col min="3" max="3" width="8.625" style="14" customWidth="1"/>
    <col min="4" max="4" width="14.125" style="14" customWidth="1"/>
    <col min="5" max="5" width="3.5" style="14" customWidth="1"/>
    <col min="6" max="6" width="13.875" style="14" customWidth="1"/>
    <col min="7" max="7" width="13.125" style="14" customWidth="1"/>
    <col min="8" max="8" width="3.625" style="14" customWidth="1"/>
    <col min="9" max="9" width="9.125" style="14" customWidth="1"/>
    <col min="10" max="10" width="8.625" style="14" customWidth="1"/>
    <col min="11" max="11" width="3.125" style="14" customWidth="1"/>
    <col min="12" max="12" width="8.625" style="14" customWidth="1"/>
    <col min="13" max="13" width="3.125" style="14" customWidth="1"/>
    <col min="14" max="14" width="9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16384" width="9" style="14"/>
  </cols>
  <sheetData>
    <row r="1" spans="1:35" ht="11.25" customHeight="1">
      <c r="A1" s="718" t="s">
        <v>202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266</v>
      </c>
      <c r="H1" s="19"/>
      <c r="I1" s="20" t="s">
        <v>46</v>
      </c>
      <c r="J1" s="94"/>
    </row>
    <row r="2" spans="1:35" ht="13.5" customHeight="1">
      <c r="A2" s="719"/>
      <c r="B2" s="2" t="s">
        <v>31</v>
      </c>
      <c r="C2" s="2" t="s">
        <v>56</v>
      </c>
      <c r="D2" s="21"/>
      <c r="E2" s="8"/>
      <c r="F2" s="8"/>
      <c r="G2" s="8"/>
      <c r="H2" s="8"/>
      <c r="I2" s="22"/>
      <c r="J2" s="95"/>
      <c r="K2" s="23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>
      <c r="A3" s="719"/>
      <c r="B3" s="2" t="s">
        <v>17</v>
      </c>
      <c r="C3" s="2" t="s">
        <v>57</v>
      </c>
      <c r="D3" s="21"/>
      <c r="E3" s="8"/>
      <c r="F3" s="21">
        <f>IF(G$1="suffix u",Rydberg!F3,IF(G$1="suffix B",Bohr!F3,IF(G$1="suffix e",Clock!F3,Clock_by_Rydberg!F3)))</f>
        <v>0.27235220593302245</v>
      </c>
      <c r="G3" s="21"/>
      <c r="H3" s="8">
        <v>-3</v>
      </c>
      <c r="I3" s="27">
        <f>F3/POWER(10,H3)</f>
        <v>272.35220593302245</v>
      </c>
      <c r="J3" s="96"/>
      <c r="K3" s="23"/>
      <c r="L3" s="82">
        <f>-LOG(F3)/(LOG(12)-LOG(10))</f>
        <v>7.1338748880341774</v>
      </c>
      <c r="M3" s="24"/>
      <c r="N3" s="83">
        <f>POWER(12,L3)*F3/POWER(10,L3)</f>
        <v>0.99999999999999978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>
      <c r="A4" s="719"/>
      <c r="B4" s="2" t="s">
        <v>15</v>
      </c>
      <c r="C4" s="2" t="s">
        <v>56</v>
      </c>
      <c r="D4" s="21"/>
      <c r="E4" s="8"/>
      <c r="F4" s="21">
        <f>IF(G$1="suffix u",Rydberg!F4,IF(G$1="suffix B",Bohr!F4,IF(G$1="suffix e",Clock!F4,Clock_by_Rydberg!F4)))</f>
        <v>0.39062511511354381</v>
      </c>
      <c r="G4" s="21"/>
      <c r="H4" s="8">
        <v>-3</v>
      </c>
      <c r="I4" s="27">
        <f t="shared" ref="I4:I15" si="0">F4/POWER(10,H4)</f>
        <v>390.62511511354381</v>
      </c>
      <c r="J4" s="96"/>
      <c r="K4" s="23"/>
      <c r="L4" s="82">
        <f t="shared" ref="L4:L15" si="1">-LOG(F4)/(LOG(12)-LOG(10))</f>
        <v>5.1557642460412021</v>
      </c>
      <c r="M4" s="24"/>
      <c r="N4" s="83">
        <f t="shared" ref="N4:N15" si="2">POWER(12,L4)*F4/POWER(10,L4)</f>
        <v>0.99999999999999978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>
      <c r="A5" s="719"/>
      <c r="B5" s="2" t="s">
        <v>18</v>
      </c>
      <c r="C5" s="2" t="s">
        <v>58</v>
      </c>
      <c r="D5" s="21"/>
      <c r="E5" s="8"/>
      <c r="F5" s="21">
        <f>IF(G$1="suffix u",Rydberg!F5,IF(G$1="suffix B",Bohr!F5,IF(G$1="suffix e",Clock!F5,Clock_by_Rydberg!F5)))</f>
        <v>6.4084554944303582E-2</v>
      </c>
      <c r="G5" s="21"/>
      <c r="H5" s="8">
        <v>-3</v>
      </c>
      <c r="I5" s="27">
        <f t="shared" si="0"/>
        <v>64.084554944303576</v>
      </c>
      <c r="J5" s="96"/>
      <c r="K5" s="23"/>
      <c r="L5" s="82">
        <f t="shared" si="1"/>
        <v>15.06981371216164</v>
      </c>
      <c r="M5" s="24"/>
      <c r="N5" s="83">
        <f t="shared" si="2"/>
        <v>0.99999999999999611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>
      <c r="A6" s="719"/>
      <c r="B6" s="2" t="s">
        <v>19</v>
      </c>
      <c r="C6" s="2" t="s">
        <v>59</v>
      </c>
      <c r="D6" s="21"/>
      <c r="E6" s="8"/>
      <c r="F6" s="21">
        <f>IF(G$1="suffix u",Rydberg!F6,IF(G$1="suffix B",Bohr!F6,IF(G$1="suffix e",Clock!F6,Clock_by_Rydberg!F6)))</f>
        <v>5.8387561229892158E-5</v>
      </c>
      <c r="G6" s="21"/>
      <c r="H6" s="8">
        <v>0</v>
      </c>
      <c r="I6" s="27">
        <f t="shared" si="0"/>
        <v>5.8387561229892158E-5</v>
      </c>
      <c r="J6" s="96"/>
      <c r="K6" s="23"/>
      <c r="L6" s="82">
        <f t="shared" si="1"/>
        <v>53.468212178946835</v>
      </c>
      <c r="M6" s="24"/>
      <c r="N6" s="83">
        <f t="shared" si="2"/>
        <v>0.99999999999997724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>
      <c r="A7" s="719"/>
      <c r="B7" s="2" t="s">
        <v>16</v>
      </c>
      <c r="C7" s="2" t="s">
        <v>60</v>
      </c>
      <c r="D7" s="21"/>
      <c r="E7" s="8"/>
      <c r="F7" s="21">
        <f>IF(G$1="suffix u",Rydberg!F7,IF(G$1="suffix B",Bohr!F7,IF(G$1="suffix e",Clock!F7,Clock_by_Rydberg!F7)))</f>
        <v>132.00761837210354</v>
      </c>
      <c r="G7" s="21"/>
      <c r="H7" s="8">
        <v>0</v>
      </c>
      <c r="I7" s="27">
        <f t="shared" si="0"/>
        <v>132.00761837210354</v>
      </c>
      <c r="J7" s="96"/>
      <c r="K7" s="23"/>
      <c r="L7" s="82">
        <f t="shared" si="1"/>
        <v>-26.781581518521826</v>
      </c>
      <c r="M7" s="24"/>
      <c r="N7" s="83">
        <f t="shared" si="2"/>
        <v>1.0000000000000111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>
      <c r="A8" s="719"/>
      <c r="B8" s="2" t="s">
        <v>20</v>
      </c>
      <c r="C8" s="2" t="s">
        <v>217</v>
      </c>
      <c r="D8" s="21"/>
      <c r="E8" s="8"/>
      <c r="F8" s="21">
        <f>IF(G$1="suffix u",Rydberg!F8,IF(G$1="suffix B",Bohr!F8,IF(G$1="suffix e",Clock!F8,Clock_by_Rydberg!F8)))</f>
        <v>0.13182928708292121</v>
      </c>
      <c r="G8" s="21"/>
      <c r="H8" s="8">
        <v>-3</v>
      </c>
      <c r="I8" s="27">
        <f t="shared" si="0"/>
        <v>131.82928708292121</v>
      </c>
      <c r="J8" s="96"/>
      <c r="K8" s="23"/>
      <c r="L8" s="82">
        <f t="shared" si="1"/>
        <v>11.113592428175686</v>
      </c>
      <c r="M8" s="24"/>
      <c r="N8" s="83">
        <f t="shared" si="2"/>
        <v>0.99999999999999989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>
      <c r="A9" s="719"/>
      <c r="B9" s="2" t="s">
        <v>21</v>
      </c>
      <c r="C9" s="2" t="s">
        <v>62</v>
      </c>
      <c r="D9" s="21"/>
      <c r="E9" s="8"/>
      <c r="F9" s="21">
        <f>IF(G$1="suffix u",Rydberg!F9,IF(G$1="suffix B",Bohr!F9,IF(G$1="suffix e",Clock!F9,Clock_by_Rydberg!F9)))</f>
        <v>0.16405641231152276</v>
      </c>
      <c r="G9" s="21"/>
      <c r="H9" s="8">
        <v>-3</v>
      </c>
      <c r="I9" s="27">
        <f t="shared" si="0"/>
        <v>164.05641231152276</v>
      </c>
      <c r="J9" s="96"/>
      <c r="K9" s="23"/>
      <c r="L9" s="82">
        <f t="shared" si="1"/>
        <v>9.914049466120435</v>
      </c>
      <c r="M9" s="24"/>
      <c r="N9" s="83">
        <f t="shared" si="2"/>
        <v>0.99999999999999822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>
      <c r="A10" s="719"/>
      <c r="B10" s="2" t="s">
        <v>22</v>
      </c>
      <c r="C10" s="2" t="s">
        <v>63</v>
      </c>
      <c r="D10" s="21"/>
      <c r="E10" s="8"/>
      <c r="F10" s="21">
        <f>IF(G$1="suffix u",Rydberg!F10,IF(G$1="suffix B",Bohr!F10,IF(G$1="suffix e",Clock!F10,Clock_by_Rydberg!F10)))</f>
        <v>0.23530029699874513</v>
      </c>
      <c r="G10" s="21"/>
      <c r="H10" s="8">
        <v>-3</v>
      </c>
      <c r="I10" s="27">
        <f t="shared" si="0"/>
        <v>235.30029699874513</v>
      </c>
      <c r="J10" s="96"/>
      <c r="K10" s="23"/>
      <c r="L10" s="82">
        <f t="shared" si="1"/>
        <v>7.9359388241274607</v>
      </c>
      <c r="M10" s="24"/>
      <c r="N10" s="83">
        <f t="shared" si="2"/>
        <v>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>
      <c r="A11" s="719"/>
      <c r="B11" s="2" t="s">
        <v>23</v>
      </c>
      <c r="C11" s="2" t="s">
        <v>218</v>
      </c>
      <c r="D11" s="21"/>
      <c r="E11" s="8"/>
      <c r="F11" s="21">
        <f>IF(G$1="suffix u",Rydberg!F11,IF(G$1="suffix B",Bohr!F11,IF(G$1="suffix e",Clock!F11,Clock_by_Rydberg!F11)))</f>
        <v>3.1722008774165378</v>
      </c>
      <c r="G11" s="21"/>
      <c r="H11" s="8">
        <v>0</v>
      </c>
      <c r="I11" s="27">
        <f t="shared" si="0"/>
        <v>3.1722008774165378</v>
      </c>
      <c r="J11" s="96"/>
      <c r="K11" s="23"/>
      <c r="L11" s="82">
        <f t="shared" si="1"/>
        <v>-6.3318109519408949</v>
      </c>
      <c r="M11" s="24"/>
      <c r="N11" s="83">
        <f t="shared" si="2"/>
        <v>1.000000000000002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>
      <c r="A12" s="719"/>
      <c r="B12" s="2" t="s">
        <v>24</v>
      </c>
      <c r="C12" s="2" t="s">
        <v>65</v>
      </c>
      <c r="D12" s="21"/>
      <c r="E12" s="8"/>
      <c r="F12" s="21">
        <f>IF(G$1="suffix u",Rydberg!F12,IF(G$1="suffix B",Bohr!F12,IF(G$1="suffix e",Clock!F12,Clock_by_Rydberg!F12)))</f>
        <v>2.8896578034303969E-2</v>
      </c>
      <c r="G12" s="21"/>
      <c r="H12" s="8">
        <v>-3</v>
      </c>
      <c r="I12" s="27">
        <f t="shared" si="0"/>
        <v>28.896578034303968</v>
      </c>
      <c r="J12" s="96"/>
      <c r="K12" s="23"/>
      <c r="L12" s="82">
        <f t="shared" si="1"/>
        <v>19.438360226361592</v>
      </c>
      <c r="M12" s="24"/>
      <c r="N12" s="83">
        <f t="shared" si="2"/>
        <v>0.99999999999999423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>
      <c r="A13" s="719"/>
      <c r="B13" s="6" t="s">
        <v>25</v>
      </c>
      <c r="C13" s="6" t="s">
        <v>66</v>
      </c>
      <c r="D13" s="29"/>
      <c r="E13" s="30"/>
      <c r="F13" s="29">
        <f>IF(G$1="suffix u",Rydberg!F13,IF(G$1="suffix B",Bohr!F13,IF(G$1="suffix e",Clock!F13,Clock_by_Rydberg!F13)))</f>
        <v>7.3975217968011459E-2</v>
      </c>
      <c r="G13" s="29"/>
      <c r="H13" s="30">
        <v>-3</v>
      </c>
      <c r="I13" s="31">
        <f t="shared" si="0"/>
        <v>73.975217968011464</v>
      </c>
      <c r="J13" s="96"/>
      <c r="K13" s="23"/>
      <c r="L13" s="82">
        <f t="shared" si="1"/>
        <v>14.282595980320391</v>
      </c>
      <c r="M13" s="24"/>
      <c r="N13" s="83">
        <f t="shared" si="2"/>
        <v>0.99999999999999623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>
      <c r="A14" s="719"/>
      <c r="B14" s="2" t="s">
        <v>96</v>
      </c>
      <c r="C14" s="2" t="s">
        <v>216</v>
      </c>
      <c r="D14" s="21"/>
      <c r="E14" s="8"/>
      <c r="F14" s="21">
        <f>IF(G$1="suffix u",Rydberg!F16,IF(G$1="suffix B",Bohr!F16,IF(G$1="suffix e",Clock!F16,Clock_by_Rydberg!F16)))</f>
        <v>29.979245800000001</v>
      </c>
      <c r="G14" s="21"/>
      <c r="H14" s="8">
        <v>0</v>
      </c>
      <c r="I14" s="27">
        <f t="shared" si="0"/>
        <v>29.979245800000001</v>
      </c>
      <c r="J14" s="96"/>
      <c r="K14" s="23"/>
      <c r="L14" s="82">
        <f t="shared" si="1"/>
        <v>-18.651142494520347</v>
      </c>
      <c r="M14" s="24"/>
      <c r="N14" s="83">
        <f t="shared" si="2"/>
        <v>1.0000000000000056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thickBot="1">
      <c r="A15" s="720"/>
      <c r="B15" s="4" t="s">
        <v>77</v>
      </c>
      <c r="C15" s="4" t="s">
        <v>219</v>
      </c>
      <c r="D15" s="32"/>
      <c r="E15" s="33"/>
      <c r="F15" s="32">
        <f>IF(G$1="suffix u",Rydberg!F17,IF(G$1="suffix B",Bohr!F17,IF(G$1="suffix e",Clock!F17,Clock_by_Rydberg!F17)))</f>
        <v>2.2177212425715922</v>
      </c>
      <c r="G15" s="32"/>
      <c r="H15" s="33">
        <v>0</v>
      </c>
      <c r="I15" s="99">
        <f t="shared" si="0"/>
        <v>2.2177212425715922</v>
      </c>
      <c r="J15" s="97"/>
      <c r="K15" s="23"/>
      <c r="L15" s="82">
        <f t="shared" si="1"/>
        <v>-4.368546514199954</v>
      </c>
      <c r="M15" s="24"/>
      <c r="N15" s="83">
        <f t="shared" si="2"/>
        <v>1.0000000000000018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1.25" customHeight="1">
      <c r="A16" s="718" t="s">
        <v>201</v>
      </c>
      <c r="B16" s="17" t="s">
        <v>42</v>
      </c>
      <c r="C16" s="18" t="s">
        <v>95</v>
      </c>
      <c r="D16" s="17" t="s">
        <v>43</v>
      </c>
      <c r="E16" s="18" t="s">
        <v>54</v>
      </c>
      <c r="F16" s="17" t="s">
        <v>47</v>
      </c>
      <c r="G16" s="17" t="s">
        <v>45</v>
      </c>
      <c r="H16" s="713" t="s">
        <v>80</v>
      </c>
      <c r="I16" s="794"/>
      <c r="J16" s="94" t="s">
        <v>561</v>
      </c>
      <c r="K16" s="35">
        <v>0</v>
      </c>
      <c r="L16" s="36"/>
      <c r="M16" s="36">
        <f>K16+1</f>
        <v>1</v>
      </c>
      <c r="N16" s="36"/>
      <c r="O16" s="36">
        <f>M16+1</f>
        <v>2</v>
      </c>
      <c r="P16" s="36"/>
      <c r="Q16" s="36">
        <f>O16+1</f>
        <v>3</v>
      </c>
      <c r="R16" s="36"/>
      <c r="S16" s="36">
        <f>Q16+1</f>
        <v>4</v>
      </c>
      <c r="T16" s="36"/>
      <c r="U16" s="36">
        <f>S16+1</f>
        <v>5</v>
      </c>
      <c r="V16" s="36"/>
      <c r="W16" s="36">
        <f>U16+1</f>
        <v>6</v>
      </c>
      <c r="X16" s="36"/>
      <c r="Y16" s="36">
        <f>W16+1</f>
        <v>7</v>
      </c>
      <c r="Z16" s="36"/>
      <c r="AA16" s="36">
        <f>Y16+1</f>
        <v>8</v>
      </c>
      <c r="AB16" s="36"/>
      <c r="AC16" s="36">
        <f>AA16+1</f>
        <v>9</v>
      </c>
      <c r="AD16" s="36"/>
      <c r="AE16" s="36">
        <f>AC16+1</f>
        <v>10</v>
      </c>
      <c r="AF16" s="36"/>
      <c r="AG16" s="36">
        <f>AE16+1</f>
        <v>11</v>
      </c>
      <c r="AH16" s="36"/>
      <c r="AI16" s="36">
        <f>AG16+1</f>
        <v>12</v>
      </c>
    </row>
    <row r="17" spans="1:35" ht="14.25" customHeight="1">
      <c r="A17" s="719"/>
      <c r="B17" s="2" t="s">
        <v>118</v>
      </c>
      <c r="C17" s="2" t="s">
        <v>119</v>
      </c>
      <c r="D17" s="87">
        <v>0.30480000000000002</v>
      </c>
      <c r="E17" s="8">
        <v>9</v>
      </c>
      <c r="F17" s="87">
        <f>D17/F$3</f>
        <v>1.1191390903400915</v>
      </c>
      <c r="G17" s="37" t="str">
        <f>K17&amp;";"&amp;M17&amp;O17&amp;Q17&amp;S17&amp;U17&amp;W17&amp;Y17&amp;AA17&amp;AC17&amp;AE17&amp;AG17&amp;AI17</f>
        <v>1;151X57501</v>
      </c>
      <c r="H17" s="38">
        <v>0</v>
      </c>
      <c r="I17" s="39">
        <f t="shared" ref="I17:I30" si="3">F17/POWER(12,H17)</f>
        <v>1.1191390903400915</v>
      </c>
      <c r="J17" s="98" t="str">
        <f>INDEX(powers!$H$2:$H$75,33+H17)</f>
        <v xml:space="preserve"> </v>
      </c>
      <c r="K17" s="40" t="str">
        <f t="shared" ref="K17:K20" si="4">IF($E17&gt;=K$16,MID($H$16,IF($E17&gt;K$16,INT(I17),ROUND(I17,0))+1,1),"")</f>
        <v>1</v>
      </c>
      <c r="L17" s="24">
        <f>(I17-INT(I17))*12</f>
        <v>1.4296690840810982</v>
      </c>
      <c r="M17" s="41" t="str">
        <f t="shared" ref="M17:M20" si="5">IF($E17&gt;=M$16,MID($H$16,IF($E17&gt;M$16,INT(L17),ROUND(L17,0))+1,1),"")</f>
        <v>1</v>
      </c>
      <c r="N17" s="24">
        <f>(L17-INT(L17))*12</f>
        <v>5.156029008973178</v>
      </c>
      <c r="O17" s="41" t="str">
        <f t="shared" ref="O17:O20" si="6">IF($E17&gt;=O$16,MID($H$16,IF($E17&gt;O$16,INT(N17),ROUND(N17,0))+1,1),"")</f>
        <v>5</v>
      </c>
      <c r="P17" s="24">
        <f>(N17-INT(N17))*12</f>
        <v>1.8723481076781354</v>
      </c>
      <c r="Q17" s="41" t="str">
        <f t="shared" ref="Q17:Q20" si="7">IF($E17&gt;=Q$16,MID($H$16,IF($E17&gt;Q$16,INT(P17),ROUND(P17,0))+1,1),"")</f>
        <v>1</v>
      </c>
      <c r="R17" s="24">
        <f>(P17-INT(P17))*12</f>
        <v>10.468177292137625</v>
      </c>
      <c r="S17" s="41" t="str">
        <f t="shared" ref="S17:S20" si="8">IF($E17&gt;=S$16,MID($H$16,IF($E17&gt;S$16,INT(R17),ROUND(R17,0))+1,1),"")</f>
        <v>X</v>
      </c>
      <c r="T17" s="24">
        <f>(R17-INT(R17))*12</f>
        <v>5.6181275056515005</v>
      </c>
      <c r="U17" s="41" t="str">
        <f t="shared" ref="U17:U20" si="9">IF($E17&gt;=U$16,MID($H$16,IF($E17&gt;U$16,INT(T17),ROUND(T17,0))+1,1),"")</f>
        <v>5</v>
      </c>
      <c r="V17" s="24">
        <f>(T17-INT(T17))*12</f>
        <v>7.4175300678180065</v>
      </c>
      <c r="W17" s="41" t="str">
        <f t="shared" ref="W17:W20" si="10">IF($E17&gt;=W$16,MID($H$16,IF($E17&gt;W$16,INT(V17),ROUND(V17,0))+1,1),"")</f>
        <v>7</v>
      </c>
      <c r="X17" s="24">
        <f>(V17-INT(V17))*12</f>
        <v>5.010360813816078</v>
      </c>
      <c r="Y17" s="41" t="str">
        <f t="shared" ref="Y17:Y20" si="11">IF($E17&gt;=Y$16,MID($H$16,IF($E17&gt;Y$16,INT(X17),ROUND(X17,0))+1,1),"")</f>
        <v>5</v>
      </c>
      <c r="Z17" s="24">
        <f>(X17-INT(X17))*12</f>
        <v>0.12432976579293609</v>
      </c>
      <c r="AA17" s="41" t="str">
        <f t="shared" ref="AA17:AA20" si="12">IF($E17&gt;=AA$16,MID($H$16,IF($E17&gt;AA$16,INT(Z17),ROUND(Z17,0))+1,1),"")</f>
        <v>0</v>
      </c>
      <c r="AB17" s="24">
        <f>(Z17-INT(Z17))*12</f>
        <v>1.491957189515233</v>
      </c>
      <c r="AC17" s="41" t="str">
        <f t="shared" ref="AC17:AC20" si="13">IF($E17&gt;=AC$16,MID($H$16,IF($E17&gt;AC$16,INT(AB17),ROUND(AB17,0))+1,1),"")</f>
        <v>1</v>
      </c>
      <c r="AD17" s="24">
        <f>(AB17-INT(AB17))*12</f>
        <v>5.9034862741827965</v>
      </c>
      <c r="AE17" s="41" t="str">
        <f t="shared" ref="AE17:AE20" si="14">IF($E17&gt;=AE$16,MID($H$16,IF($E17&gt;AE$16,INT(AD17),ROUND(AD17,0))+1,1),"")</f>
        <v/>
      </c>
      <c r="AF17" s="24">
        <f>(AD17-INT(AD17))*12</f>
        <v>10.841835290193558</v>
      </c>
      <c r="AG17" s="41" t="str">
        <f t="shared" ref="AG17:AG20" si="15">IF($E17&gt;=AG$16,MID($H$16,IF($E17&gt;AG$16,INT(AF17),ROUND(AF17,0))+1,1),"")</f>
        <v/>
      </c>
      <c r="AH17" s="24">
        <f>(AF17-INT(AF17))*12</f>
        <v>10.102023482322693</v>
      </c>
      <c r="AI17" s="41" t="str">
        <f t="shared" ref="AI17:AI20" si="16">IF($E17&gt;=AI$16,MID($H$16,IF($E17&gt;AI$16,INT(AH17),ROUND(AH17,0))+1,1),"")</f>
        <v/>
      </c>
    </row>
    <row r="18" spans="1:35" ht="15" customHeight="1">
      <c r="A18" s="719"/>
      <c r="B18" s="3" t="s">
        <v>120</v>
      </c>
      <c r="C18" s="3" t="s">
        <v>121</v>
      </c>
      <c r="D18" s="87">
        <f>1/D17</f>
        <v>3.280839895013123</v>
      </c>
      <c r="E18" s="8">
        <v>9</v>
      </c>
      <c r="F18" s="89">
        <f>1/F17</f>
        <v>0.89354398271988988</v>
      </c>
      <c r="G18" s="21" t="str">
        <f t="shared" ref="G18:G20" si="17">K18&amp;";"&amp;M18&amp;O18&amp;Q18&amp;S18&amp;U18&amp;W18&amp;Y18&amp;AA18&amp;AC18&amp;AE18&amp;AG18&amp;AI18</f>
        <v>0;X88064052</v>
      </c>
      <c r="H18" s="8">
        <v>0</v>
      </c>
      <c r="I18" s="39">
        <f t="shared" si="3"/>
        <v>0.89354398271988988</v>
      </c>
      <c r="J18" s="98" t="str">
        <f>INDEX(powers!$H$2:$H$75,33+H18)</f>
        <v xml:space="preserve"> </v>
      </c>
      <c r="K18" s="40" t="str">
        <f t="shared" si="4"/>
        <v>0</v>
      </c>
      <c r="L18" s="24">
        <f t="shared" ref="L18:L20" si="18">(I18-INT(I18))*12</f>
        <v>10.72252779263868</v>
      </c>
      <c r="M18" s="41" t="str">
        <f t="shared" si="5"/>
        <v>X</v>
      </c>
      <c r="N18" s="24">
        <f t="shared" ref="N18:N20" si="19">(L18-INT(L18))*12</f>
        <v>8.670333511664154</v>
      </c>
      <c r="O18" s="41" t="str">
        <f t="shared" si="6"/>
        <v>8</v>
      </c>
      <c r="P18" s="24">
        <f t="shared" ref="P18:P20" si="20">(N18-INT(N18))*12</f>
        <v>8.044002139969848</v>
      </c>
      <c r="Q18" s="41" t="str">
        <f t="shared" si="7"/>
        <v>8</v>
      </c>
      <c r="R18" s="24">
        <f t="shared" ref="R18:R20" si="21">(P18-INT(P18))*12</f>
        <v>0.52802567963817637</v>
      </c>
      <c r="S18" s="41" t="str">
        <f t="shared" si="8"/>
        <v>0</v>
      </c>
      <c r="T18" s="24">
        <f t="shared" ref="T18:T20" si="22">(R18-INT(R18))*12</f>
        <v>6.3363081556581164</v>
      </c>
      <c r="U18" s="41" t="str">
        <f t="shared" si="9"/>
        <v>6</v>
      </c>
      <c r="V18" s="24">
        <f t="shared" ref="V18:V20" si="23">(T18-INT(T18))*12</f>
        <v>4.0356978678973974</v>
      </c>
      <c r="W18" s="41" t="str">
        <f t="shared" si="10"/>
        <v>4</v>
      </c>
      <c r="X18" s="24">
        <f t="shared" ref="X18:X20" si="24">(V18-INT(V18))*12</f>
        <v>0.42837441476876847</v>
      </c>
      <c r="Y18" s="41" t="str">
        <f t="shared" si="11"/>
        <v>0</v>
      </c>
      <c r="Z18" s="24">
        <f t="shared" ref="Z18:Z20" si="25">(X18-INT(X18))*12</f>
        <v>5.1404929772252217</v>
      </c>
      <c r="AA18" s="41" t="str">
        <f t="shared" si="12"/>
        <v>5</v>
      </c>
      <c r="AB18" s="24">
        <f t="shared" ref="AB18:AB20" si="26">(Z18-INT(Z18))*12</f>
        <v>1.6859157267026603</v>
      </c>
      <c r="AC18" s="41" t="str">
        <f t="shared" si="13"/>
        <v>2</v>
      </c>
      <c r="AD18" s="24">
        <f t="shared" ref="AD18:AD20" si="27">(AB18-INT(AB18))*12</f>
        <v>8.2309887204319239</v>
      </c>
      <c r="AE18" s="41" t="str">
        <f t="shared" si="14"/>
        <v/>
      </c>
      <c r="AF18" s="24">
        <f t="shared" ref="AF18:AF20" si="28">(AD18-INT(AD18))*12</f>
        <v>2.7718646451830864</v>
      </c>
      <c r="AG18" s="41" t="str">
        <f t="shared" si="15"/>
        <v/>
      </c>
      <c r="AH18" s="24">
        <f t="shared" ref="AH18:AH20" si="29">(AF18-INT(AF18))*12</f>
        <v>9.2623757421970367</v>
      </c>
      <c r="AI18" s="41" t="str">
        <f t="shared" si="16"/>
        <v/>
      </c>
    </row>
    <row r="19" spans="1:35" ht="15" customHeight="1">
      <c r="A19" s="719"/>
      <c r="B19" s="3" t="s">
        <v>122</v>
      </c>
      <c r="C19" s="3" t="s">
        <v>123</v>
      </c>
      <c r="D19" s="87">
        <f>D17*D17</f>
        <v>9.2903040000000006E-2</v>
      </c>
      <c r="E19" s="8">
        <v>9</v>
      </c>
      <c r="F19" s="87">
        <f>F17*F17</f>
        <v>1.2524723035272476</v>
      </c>
      <c r="G19" s="37" t="str">
        <f t="shared" si="17"/>
        <v>1;304332313</v>
      </c>
      <c r="H19" s="38">
        <v>0</v>
      </c>
      <c r="I19" s="39">
        <f t="shared" si="3"/>
        <v>1.2524723035272476</v>
      </c>
      <c r="J19" s="98" t="str">
        <f>INDEX(powers!$H$2:$H$75,33+H19)</f>
        <v xml:space="preserve"> </v>
      </c>
      <c r="K19" s="40" t="str">
        <f t="shared" si="4"/>
        <v>1</v>
      </c>
      <c r="L19" s="24">
        <f t="shared" si="18"/>
        <v>3.0296676423269711</v>
      </c>
      <c r="M19" s="41" t="str">
        <f t="shared" si="5"/>
        <v>3</v>
      </c>
      <c r="N19" s="24">
        <f t="shared" si="19"/>
        <v>0.35601170792365266</v>
      </c>
      <c r="O19" s="41" t="str">
        <f t="shared" si="6"/>
        <v>0</v>
      </c>
      <c r="P19" s="24">
        <f t="shared" si="20"/>
        <v>4.272140495083832</v>
      </c>
      <c r="Q19" s="41" t="str">
        <f t="shared" si="7"/>
        <v>4</v>
      </c>
      <c r="R19" s="24">
        <f t="shared" si="21"/>
        <v>3.2656859410059838</v>
      </c>
      <c r="S19" s="41" t="str">
        <f t="shared" si="8"/>
        <v>3</v>
      </c>
      <c r="T19" s="24">
        <f t="shared" si="22"/>
        <v>3.188231292071805</v>
      </c>
      <c r="U19" s="41" t="str">
        <f t="shared" si="9"/>
        <v>3</v>
      </c>
      <c r="V19" s="24">
        <f t="shared" si="23"/>
        <v>2.25877550486166</v>
      </c>
      <c r="W19" s="41" t="str">
        <f t="shared" si="10"/>
        <v>2</v>
      </c>
      <c r="X19" s="24">
        <f t="shared" si="24"/>
        <v>3.1053060583399201</v>
      </c>
      <c r="Y19" s="41" t="str">
        <f t="shared" si="11"/>
        <v>3</v>
      </c>
      <c r="Z19" s="24">
        <f t="shared" si="25"/>
        <v>1.2636727000790415</v>
      </c>
      <c r="AA19" s="41" t="str">
        <f t="shared" si="12"/>
        <v>1</v>
      </c>
      <c r="AB19" s="24">
        <f t="shared" si="26"/>
        <v>3.1640724009484984</v>
      </c>
      <c r="AC19" s="41" t="str">
        <f t="shared" si="13"/>
        <v>3</v>
      </c>
      <c r="AD19" s="24">
        <f t="shared" si="27"/>
        <v>1.9688688113819808</v>
      </c>
      <c r="AE19" s="41" t="str">
        <f t="shared" si="14"/>
        <v/>
      </c>
      <c r="AF19" s="24">
        <f t="shared" si="28"/>
        <v>11.626425736583769</v>
      </c>
      <c r="AG19" s="41" t="str">
        <f t="shared" si="15"/>
        <v/>
      </c>
      <c r="AH19" s="24">
        <f t="shared" si="29"/>
        <v>7.5171088390052319</v>
      </c>
      <c r="AI19" s="41" t="str">
        <f t="shared" si="16"/>
        <v/>
      </c>
    </row>
    <row r="20" spans="1:35" ht="15" customHeight="1">
      <c r="A20" s="719"/>
      <c r="B20" s="3" t="s">
        <v>124</v>
      </c>
      <c r="C20" s="3" t="s">
        <v>125</v>
      </c>
      <c r="D20" s="87">
        <f>1/D19</f>
        <v>10.763910416709722</v>
      </c>
      <c r="E20" s="8">
        <v>9</v>
      </c>
      <c r="F20" s="89">
        <f>1/F19</f>
        <v>0.79842084905492283</v>
      </c>
      <c r="G20" s="21" t="str">
        <f t="shared" si="17"/>
        <v>0;96E807X6X</v>
      </c>
      <c r="H20" s="8">
        <v>0</v>
      </c>
      <c r="I20" s="39">
        <f t="shared" si="3"/>
        <v>0.79842084905492283</v>
      </c>
      <c r="J20" s="98" t="str">
        <f>INDEX(powers!$H$2:$H$75,33+H20)</f>
        <v xml:space="preserve"> </v>
      </c>
      <c r="K20" s="40" t="str">
        <f t="shared" si="4"/>
        <v>0</v>
      </c>
      <c r="L20" s="24">
        <f t="shared" si="18"/>
        <v>9.5810501886590735</v>
      </c>
      <c r="M20" s="41" t="str">
        <f t="shared" si="5"/>
        <v>9</v>
      </c>
      <c r="N20" s="24">
        <f t="shared" si="19"/>
        <v>6.9726022639088825</v>
      </c>
      <c r="O20" s="41" t="str">
        <f t="shared" si="6"/>
        <v>6</v>
      </c>
      <c r="P20" s="24">
        <f t="shared" si="20"/>
        <v>11.67122716690659</v>
      </c>
      <c r="Q20" s="41" t="str">
        <f t="shared" si="7"/>
        <v>E</v>
      </c>
      <c r="R20" s="24">
        <f t="shared" si="21"/>
        <v>8.0547260028790788</v>
      </c>
      <c r="S20" s="41" t="str">
        <f t="shared" si="8"/>
        <v>8</v>
      </c>
      <c r="T20" s="24">
        <f t="shared" si="22"/>
        <v>0.65671203454894567</v>
      </c>
      <c r="U20" s="41" t="str">
        <f t="shared" si="9"/>
        <v>0</v>
      </c>
      <c r="V20" s="24">
        <f t="shared" si="23"/>
        <v>7.880544414587348</v>
      </c>
      <c r="W20" s="41" t="str">
        <f t="shared" si="10"/>
        <v>7</v>
      </c>
      <c r="X20" s="24">
        <f t="shared" si="24"/>
        <v>10.566532975048176</v>
      </c>
      <c r="Y20" s="41" t="str">
        <f t="shared" si="11"/>
        <v>X</v>
      </c>
      <c r="Z20" s="24">
        <f t="shared" si="25"/>
        <v>6.7983957005781122</v>
      </c>
      <c r="AA20" s="41" t="str">
        <f t="shared" si="12"/>
        <v>6</v>
      </c>
      <c r="AB20" s="24">
        <f t="shared" si="26"/>
        <v>9.5807484069373459</v>
      </c>
      <c r="AC20" s="41" t="str">
        <f t="shared" si="13"/>
        <v>X</v>
      </c>
      <c r="AD20" s="24">
        <f t="shared" si="27"/>
        <v>6.9689808832481503</v>
      </c>
      <c r="AE20" s="41" t="str">
        <f t="shared" si="14"/>
        <v/>
      </c>
      <c r="AF20" s="24">
        <f t="shared" si="28"/>
        <v>11.627770598977804</v>
      </c>
      <c r="AG20" s="41" t="str">
        <f t="shared" si="15"/>
        <v/>
      </c>
      <c r="AH20" s="24">
        <f t="shared" si="29"/>
        <v>7.5332471877336502</v>
      </c>
      <c r="AI20" s="41" t="str">
        <f t="shared" si="16"/>
        <v/>
      </c>
    </row>
    <row r="21" spans="1:35" ht="15" customHeight="1">
      <c r="A21" s="719"/>
      <c r="B21" s="3" t="s">
        <v>126</v>
      </c>
      <c r="C21" s="3" t="s">
        <v>128</v>
      </c>
      <c r="D21" s="87">
        <f>D19*D17</f>
        <v>2.8316846592000004E-2</v>
      </c>
      <c r="E21" s="8">
        <v>9</v>
      </c>
      <c r="F21" s="87">
        <f>F19*F17</f>
        <v>1.4016907144456427</v>
      </c>
      <c r="G21" s="37" t="str">
        <f t="shared" ref="G21:G22" si="30">K21&amp;";"&amp;M21&amp;O21&amp;Q21&amp;S21&amp;U21&amp;W21&amp;Y21&amp;AA21&amp;AC21&amp;AE21&amp;AG21&amp;AI21</f>
        <v>1;49X156068</v>
      </c>
      <c r="H21" s="38">
        <v>0</v>
      </c>
      <c r="I21" s="39">
        <f t="shared" si="3"/>
        <v>1.4016907144456427</v>
      </c>
      <c r="J21" s="98" t="str">
        <f>INDEX(powers!$H$2:$H$75,33+H21)</f>
        <v xml:space="preserve"> </v>
      </c>
      <c r="K21" s="40" t="str">
        <f t="shared" ref="K21:K28" si="31">IF($E21&gt;=K$16,MID($H$16,IF($E21&gt;K$16,INT(I21),ROUND(I21,0))+1,1),"")</f>
        <v>1</v>
      </c>
      <c r="L21" s="24">
        <f t="shared" ref="L21:L22" si="32">(I21-INT(I21))*12</f>
        <v>4.820288573347713</v>
      </c>
      <c r="M21" s="41" t="str">
        <f t="shared" ref="M21:M28" si="33">IF($E21&gt;=M$16,MID($H$16,IF($E21&gt;M$16,INT(L21),ROUND(L21,0))+1,1),"")</f>
        <v>4</v>
      </c>
      <c r="N21" s="24">
        <f t="shared" ref="N21:N22" si="34">(L21-INT(L21))*12</f>
        <v>9.8434628801725559</v>
      </c>
      <c r="O21" s="41" t="str">
        <f t="shared" ref="O21:O28" si="35">IF($E21&gt;=O$16,MID($H$16,IF($E21&gt;O$16,INT(N21),ROUND(N21,0))+1,1),"")</f>
        <v>9</v>
      </c>
      <c r="P21" s="24">
        <f t="shared" ref="P21:P22" si="36">(N21-INT(N21))*12</f>
        <v>10.121554562070671</v>
      </c>
      <c r="Q21" s="41" t="str">
        <f t="shared" ref="Q21:Q28" si="37">IF($E21&gt;=Q$16,MID($H$16,IF($E21&gt;Q$16,INT(P21),ROUND(P21,0))+1,1),"")</f>
        <v>X</v>
      </c>
      <c r="R21" s="24">
        <f t="shared" ref="R21:R22" si="38">(P21-INT(P21))*12</f>
        <v>1.4586547448480474</v>
      </c>
      <c r="S21" s="41" t="str">
        <f t="shared" ref="S21:S28" si="39">IF($E21&gt;=S$16,MID($H$16,IF($E21&gt;S$16,INT(R21),ROUND(R21,0))+1,1),"")</f>
        <v>1</v>
      </c>
      <c r="T21" s="24">
        <f t="shared" ref="T21:T22" si="40">(R21-INT(R21))*12</f>
        <v>5.5038569381765683</v>
      </c>
      <c r="U21" s="41" t="str">
        <f t="shared" ref="U21:U28" si="41">IF($E21&gt;=U$16,MID($H$16,IF($E21&gt;U$16,INT(T21),ROUND(T21,0))+1,1),"")</f>
        <v>5</v>
      </c>
      <c r="V21" s="24">
        <f t="shared" ref="V21:V22" si="42">(T21-INT(T21))*12</f>
        <v>6.0462832581188195</v>
      </c>
      <c r="W21" s="41" t="str">
        <f t="shared" ref="W21:W28" si="43">IF($E21&gt;=W$16,MID($H$16,IF($E21&gt;W$16,INT(V21),ROUND(V21,0))+1,1),"")</f>
        <v>6</v>
      </c>
      <c r="X21" s="24">
        <f t="shared" ref="X21:X22" si="44">(V21-INT(V21))*12</f>
        <v>0.55539909742583404</v>
      </c>
      <c r="Y21" s="41" t="str">
        <f t="shared" ref="Y21:Y28" si="45">IF($E21&gt;=Y$16,MID($H$16,IF($E21&gt;Y$16,INT(X21),ROUND(X21,0))+1,1),"")</f>
        <v>0</v>
      </c>
      <c r="Z21" s="24">
        <f t="shared" ref="Z21:Z22" si="46">(X21-INT(X21))*12</f>
        <v>6.6647891691100085</v>
      </c>
      <c r="AA21" s="41" t="str">
        <f t="shared" ref="AA21:AA28" si="47">IF($E21&gt;=AA$16,MID($H$16,IF($E21&gt;AA$16,INT(Z21),ROUND(Z21,0))+1,1),"")</f>
        <v>6</v>
      </c>
      <c r="AB21" s="24">
        <f t="shared" ref="AB21:AB22" si="48">(Z21-INT(Z21))*12</f>
        <v>7.9774700293201022</v>
      </c>
      <c r="AC21" s="41" t="str">
        <f t="shared" ref="AC21:AC28" si="49">IF($E21&gt;=AC$16,MID($H$16,IF($E21&gt;AC$16,INT(AB21),ROUND(AB21,0))+1,1),"")</f>
        <v>8</v>
      </c>
      <c r="AD21" s="24">
        <f t="shared" ref="AD21:AD22" si="50">(AB21-INT(AB21))*12</f>
        <v>11.729640351841226</v>
      </c>
      <c r="AE21" s="41" t="str">
        <f t="shared" ref="AE21:AE28" si="51">IF($E21&gt;=AE$16,MID($H$16,IF($E21&gt;AE$16,INT(AD21),ROUND(AD21,0))+1,1),"")</f>
        <v/>
      </c>
      <c r="AF21" s="24">
        <f t="shared" ref="AF21:AF22" si="52">(AD21-INT(AD21))*12</f>
        <v>8.7556842220947146</v>
      </c>
      <c r="AG21" s="41" t="str">
        <f t="shared" ref="AG21:AG28" si="53">IF($E21&gt;=AG$16,MID($H$16,IF($E21&gt;AG$16,INT(AF21),ROUND(AF21,0))+1,1),"")</f>
        <v/>
      </c>
      <c r="AH21" s="24">
        <f t="shared" ref="AH21:AH22" si="54">(AF21-INT(AF21))*12</f>
        <v>9.0682106651365757</v>
      </c>
      <c r="AI21" s="41" t="str">
        <f t="shared" ref="AI21:AI28" si="55">IF($E21&gt;=AI$16,MID($H$16,IF($E21&gt;AI$16,INT(AH21),ROUND(AH21,0))+1,1),"")</f>
        <v/>
      </c>
    </row>
    <row r="22" spans="1:35" ht="15" customHeight="1">
      <c r="A22" s="719"/>
      <c r="B22" s="3" t="s">
        <v>127</v>
      </c>
      <c r="C22" s="3" t="s">
        <v>129</v>
      </c>
      <c r="D22" s="87">
        <f>1/D21</f>
        <v>35.314666721488585</v>
      </c>
      <c r="E22" s="8">
        <v>9</v>
      </c>
      <c r="F22" s="89">
        <f>1/F21</f>
        <v>0.71342414535113174</v>
      </c>
      <c r="G22" s="21" t="str">
        <f t="shared" si="30"/>
        <v>0;8689690E</v>
      </c>
      <c r="H22" s="8">
        <v>0</v>
      </c>
      <c r="I22" s="39">
        <f t="shared" si="3"/>
        <v>0.71342414535113174</v>
      </c>
      <c r="J22" s="98" t="str">
        <f>INDEX(powers!$H$2:$H$75,33+H22)</f>
        <v xml:space="preserve"> </v>
      </c>
      <c r="K22" s="40" t="str">
        <f t="shared" si="31"/>
        <v>0</v>
      </c>
      <c r="L22" s="24">
        <f t="shared" si="32"/>
        <v>8.5610897442135805</v>
      </c>
      <c r="M22" s="41" t="str">
        <f t="shared" si="33"/>
        <v>8</v>
      </c>
      <c r="N22" s="24">
        <f t="shared" si="34"/>
        <v>6.7330769305629659</v>
      </c>
      <c r="O22" s="41" t="str">
        <f t="shared" si="35"/>
        <v>6</v>
      </c>
      <c r="P22" s="24">
        <f t="shared" si="36"/>
        <v>8.7969231667555903</v>
      </c>
      <c r="Q22" s="41" t="str">
        <f t="shared" si="37"/>
        <v>8</v>
      </c>
      <c r="R22" s="24">
        <f t="shared" si="38"/>
        <v>9.5630780010670833</v>
      </c>
      <c r="S22" s="41" t="str">
        <f t="shared" si="39"/>
        <v>9</v>
      </c>
      <c r="T22" s="24">
        <f t="shared" si="40"/>
        <v>6.7569360128049993</v>
      </c>
      <c r="U22" s="41" t="str">
        <f t="shared" si="41"/>
        <v>6</v>
      </c>
      <c r="V22" s="24">
        <f t="shared" si="42"/>
        <v>9.083232153659992</v>
      </c>
      <c r="W22" s="41" t="str">
        <f t="shared" si="43"/>
        <v>9</v>
      </c>
      <c r="X22" s="24">
        <f t="shared" si="44"/>
        <v>0.99878584391990444</v>
      </c>
      <c r="Y22" s="41" t="str">
        <f t="shared" si="45"/>
        <v>0</v>
      </c>
      <c r="Z22" s="24">
        <f t="shared" si="46"/>
        <v>11.985430127038853</v>
      </c>
      <c r="AA22" s="41" t="str">
        <f t="shared" si="47"/>
        <v>E</v>
      </c>
      <c r="AB22" s="24">
        <f t="shared" si="48"/>
        <v>11.825161524466239</v>
      </c>
      <c r="AC22" s="41" t="str">
        <f t="shared" si="49"/>
        <v/>
      </c>
      <c r="AD22" s="24">
        <f t="shared" si="50"/>
        <v>9.901938293594867</v>
      </c>
      <c r="AE22" s="41" t="str">
        <f t="shared" si="51"/>
        <v/>
      </c>
      <c r="AF22" s="24">
        <f t="shared" si="52"/>
        <v>10.823259523138404</v>
      </c>
      <c r="AG22" s="41" t="str">
        <f t="shared" si="53"/>
        <v/>
      </c>
      <c r="AH22" s="24">
        <f t="shared" si="54"/>
        <v>9.8791142776608467</v>
      </c>
      <c r="AI22" s="41" t="str">
        <f t="shared" si="55"/>
        <v/>
      </c>
    </row>
    <row r="23" spans="1:35" ht="14.25" customHeight="1">
      <c r="A23" s="719"/>
      <c r="B23" s="2" t="s">
        <v>184</v>
      </c>
      <c r="C23" s="2" t="s">
        <v>186</v>
      </c>
      <c r="D23" s="87">
        <v>0.30480000000000002</v>
      </c>
      <c r="E23" s="8">
        <v>9</v>
      </c>
      <c r="F23" s="87">
        <f>D23/(F$3/F$4)</f>
        <v>0.43716383599216491</v>
      </c>
      <c r="G23" s="37" t="str">
        <f>K23&amp;";"&amp;M23&amp;O23&amp;Q23&amp;S23&amp;U23&amp;W23&amp;Y23&amp;AA23&amp;AC23&amp;AE23&amp;AG23&amp;AI23</f>
        <v>0;52E504278</v>
      </c>
      <c r="H23" s="38">
        <v>0</v>
      </c>
      <c r="I23" s="39">
        <f t="shared" ref="I23:I24" si="56">F23/POWER(12,H23)</f>
        <v>0.43716383599216491</v>
      </c>
      <c r="J23" s="98" t="str">
        <f>INDEX(powers!$H$2:$H$75,33+H23)</f>
        <v xml:space="preserve"> </v>
      </c>
      <c r="K23" s="40" t="str">
        <f t="shared" si="31"/>
        <v>0</v>
      </c>
      <c r="L23" s="24">
        <f>(I23-INT(I23))*12</f>
        <v>5.2459660319059793</v>
      </c>
      <c r="M23" s="41" t="str">
        <f t="shared" si="33"/>
        <v>5</v>
      </c>
      <c r="N23" s="24">
        <f>(L23-INT(L23))*12</f>
        <v>2.9515923828717519</v>
      </c>
      <c r="O23" s="41" t="str">
        <f t="shared" si="35"/>
        <v>2</v>
      </c>
      <c r="P23" s="24">
        <f>(N23-INT(N23))*12</f>
        <v>11.419108594461022</v>
      </c>
      <c r="Q23" s="41" t="str">
        <f t="shared" si="37"/>
        <v>E</v>
      </c>
      <c r="R23" s="24">
        <f>(P23-INT(P23))*12</f>
        <v>5.0293031335322667</v>
      </c>
      <c r="S23" s="41" t="str">
        <f t="shared" si="39"/>
        <v>5</v>
      </c>
      <c r="T23" s="24">
        <f>(R23-INT(R23))*12</f>
        <v>0.35163760238719988</v>
      </c>
      <c r="U23" s="41" t="str">
        <f t="shared" si="41"/>
        <v>0</v>
      </c>
      <c r="V23" s="24">
        <f>(T23-INT(T23))*12</f>
        <v>4.2196512286463985</v>
      </c>
      <c r="W23" s="41" t="str">
        <f t="shared" si="43"/>
        <v>4</v>
      </c>
      <c r="X23" s="24">
        <f>(V23-INT(V23))*12</f>
        <v>2.6358147437567823</v>
      </c>
      <c r="Y23" s="41" t="str">
        <f t="shared" si="45"/>
        <v>2</v>
      </c>
      <c r="Z23" s="24">
        <f>(X23-INT(X23))*12</f>
        <v>7.6297769250813872</v>
      </c>
      <c r="AA23" s="41" t="str">
        <f t="shared" si="47"/>
        <v>7</v>
      </c>
      <c r="AB23" s="24">
        <f>(Z23-INT(Z23))*12</f>
        <v>7.5573231009766459</v>
      </c>
      <c r="AC23" s="41" t="str">
        <f t="shared" si="49"/>
        <v>8</v>
      </c>
      <c r="AD23" s="24">
        <f>(AB23-INT(AB23))*12</f>
        <v>6.6878772117197514</v>
      </c>
      <c r="AE23" s="41" t="str">
        <f t="shared" si="51"/>
        <v/>
      </c>
      <c r="AF23" s="24">
        <f>(AD23-INT(AD23))*12</f>
        <v>8.2545265406370163</v>
      </c>
      <c r="AG23" s="41" t="str">
        <f t="shared" si="53"/>
        <v/>
      </c>
      <c r="AH23" s="24">
        <f>(AF23-INT(AF23))*12</f>
        <v>3.0543184876441956</v>
      </c>
      <c r="AI23" s="41" t="str">
        <f t="shared" si="55"/>
        <v/>
      </c>
    </row>
    <row r="24" spans="1:35" ht="15" customHeight="1">
      <c r="A24" s="719"/>
      <c r="B24" s="3" t="s">
        <v>185</v>
      </c>
      <c r="C24" s="3" t="s">
        <v>187</v>
      </c>
      <c r="D24" s="87">
        <f>1/D23</f>
        <v>3.280839895013123</v>
      </c>
      <c r="E24" s="8">
        <v>9</v>
      </c>
      <c r="F24" s="89">
        <f>1/F23</f>
        <v>2.2874719216662802</v>
      </c>
      <c r="G24" s="21" t="str">
        <f t="shared" ref="G24" si="57">K24&amp;";"&amp;M24&amp;O24&amp;Q24&amp;S24&amp;U24&amp;W24&amp;Y24&amp;AA24&amp;AC24&amp;AE24&amp;AG24&amp;AI24</f>
        <v>2;354902685</v>
      </c>
      <c r="H24" s="8">
        <v>0</v>
      </c>
      <c r="I24" s="39">
        <f t="shared" si="56"/>
        <v>2.2874719216662802</v>
      </c>
      <c r="J24" s="98" t="str">
        <f>INDEX(powers!$H$2:$H$75,33+H24)</f>
        <v xml:space="preserve"> </v>
      </c>
      <c r="K24" s="40" t="str">
        <f t="shared" si="31"/>
        <v>2</v>
      </c>
      <c r="L24" s="24">
        <f t="shared" ref="L24" si="58">(I24-INT(I24))*12</f>
        <v>3.4496630599953626</v>
      </c>
      <c r="M24" s="41" t="str">
        <f t="shared" si="33"/>
        <v>3</v>
      </c>
      <c r="N24" s="24">
        <f t="shared" ref="N24" si="59">(L24-INT(L24))*12</f>
        <v>5.3959567199443512</v>
      </c>
      <c r="O24" s="41" t="str">
        <f t="shared" si="35"/>
        <v>5</v>
      </c>
      <c r="P24" s="24">
        <f t="shared" ref="P24" si="60">(N24-INT(N24))*12</f>
        <v>4.7514806393322147</v>
      </c>
      <c r="Q24" s="41" t="str">
        <f t="shared" si="37"/>
        <v>4</v>
      </c>
      <c r="R24" s="24">
        <f t="shared" ref="R24" si="61">(P24-INT(P24))*12</f>
        <v>9.0177676719865758</v>
      </c>
      <c r="S24" s="41" t="str">
        <f t="shared" si="39"/>
        <v>9</v>
      </c>
      <c r="T24" s="24">
        <f t="shared" ref="T24" si="62">(R24-INT(R24))*12</f>
        <v>0.21321206383890967</v>
      </c>
      <c r="U24" s="41" t="str">
        <f t="shared" si="41"/>
        <v>0</v>
      </c>
      <c r="V24" s="24">
        <f t="shared" ref="V24" si="63">(T24-INT(T24))*12</f>
        <v>2.5585447660669161</v>
      </c>
      <c r="W24" s="41" t="str">
        <f t="shared" si="43"/>
        <v>2</v>
      </c>
      <c r="X24" s="24">
        <f t="shared" ref="X24" si="64">(V24-INT(V24))*12</f>
        <v>6.7025371928029926</v>
      </c>
      <c r="Y24" s="41" t="str">
        <f t="shared" si="45"/>
        <v>6</v>
      </c>
      <c r="Z24" s="24">
        <f t="shared" ref="Z24" si="65">(X24-INT(X24))*12</f>
        <v>8.4304463136359118</v>
      </c>
      <c r="AA24" s="41" t="str">
        <f t="shared" si="47"/>
        <v>8</v>
      </c>
      <c r="AB24" s="24">
        <f t="shared" ref="AB24" si="66">(Z24-INT(Z24))*12</f>
        <v>5.1653557636309415</v>
      </c>
      <c r="AC24" s="41" t="str">
        <f t="shared" si="49"/>
        <v>5</v>
      </c>
      <c r="AD24" s="24">
        <f t="shared" ref="AD24" si="67">(AB24-INT(AB24))*12</f>
        <v>1.9842691635712981</v>
      </c>
      <c r="AE24" s="41" t="str">
        <f t="shared" si="51"/>
        <v/>
      </c>
      <c r="AF24" s="24">
        <f t="shared" ref="AF24" si="68">(AD24-INT(AD24))*12</f>
        <v>11.811229962855577</v>
      </c>
      <c r="AG24" s="41" t="str">
        <f t="shared" si="53"/>
        <v/>
      </c>
      <c r="AH24" s="24">
        <f t="shared" ref="AH24" si="69">(AF24-INT(AF24))*12</f>
        <v>9.7347595542669296</v>
      </c>
      <c r="AI24" s="41" t="str">
        <f t="shared" si="55"/>
        <v/>
      </c>
    </row>
    <row r="25" spans="1:35" ht="14.25" customHeight="1">
      <c r="A25" s="719"/>
      <c r="B25" s="2" t="s">
        <v>130</v>
      </c>
      <c r="C25" s="2" t="s">
        <v>136</v>
      </c>
      <c r="D25" s="87">
        <f>D$17/12</f>
        <v>2.5400000000000002E-2</v>
      </c>
      <c r="E25" s="8">
        <v>9</v>
      </c>
      <c r="F25" s="87">
        <f>D25/F$3</f>
        <v>9.3261590861674293E-2</v>
      </c>
      <c r="G25" s="37" t="str">
        <f>K25&amp;";"&amp;M25&amp;O25&amp;Q25&amp;S25&amp;U25&amp;W25&amp;Y25&amp;AA25&amp;AC25&amp;AE25&amp;AG25&amp;AI25</f>
        <v>0;1151X5750</v>
      </c>
      <c r="H25" s="38">
        <v>0</v>
      </c>
      <c r="I25" s="39">
        <f t="shared" si="3"/>
        <v>9.3261590861674293E-2</v>
      </c>
      <c r="J25" s="98" t="str">
        <f>INDEX(powers!$H$2:$H$75,33+H25)</f>
        <v xml:space="preserve"> </v>
      </c>
      <c r="K25" s="40" t="str">
        <f t="shared" si="31"/>
        <v>0</v>
      </c>
      <c r="L25" s="24">
        <f>(I25-INT(I25))*12</f>
        <v>1.1191390903400915</v>
      </c>
      <c r="M25" s="41" t="str">
        <f t="shared" si="33"/>
        <v>1</v>
      </c>
      <c r="N25" s="24">
        <f>(L25-INT(L25))*12</f>
        <v>1.4296690840810982</v>
      </c>
      <c r="O25" s="41" t="str">
        <f t="shared" si="35"/>
        <v>1</v>
      </c>
      <c r="P25" s="24">
        <f>(N25-INT(N25))*12</f>
        <v>5.156029008973178</v>
      </c>
      <c r="Q25" s="41" t="str">
        <f t="shared" si="37"/>
        <v>5</v>
      </c>
      <c r="R25" s="24">
        <f>(P25-INT(P25))*12</f>
        <v>1.8723481076781354</v>
      </c>
      <c r="S25" s="41" t="str">
        <f t="shared" si="39"/>
        <v>1</v>
      </c>
      <c r="T25" s="24">
        <f>(R25-INT(R25))*12</f>
        <v>10.468177292137625</v>
      </c>
      <c r="U25" s="41" t="str">
        <f t="shared" si="41"/>
        <v>X</v>
      </c>
      <c r="V25" s="24">
        <f>(T25-INT(T25))*12</f>
        <v>5.6181275056515005</v>
      </c>
      <c r="W25" s="41" t="str">
        <f t="shared" si="43"/>
        <v>5</v>
      </c>
      <c r="X25" s="24">
        <f>(V25-INT(V25))*12</f>
        <v>7.4175300678180065</v>
      </c>
      <c r="Y25" s="41" t="str">
        <f t="shared" si="45"/>
        <v>7</v>
      </c>
      <c r="Z25" s="24">
        <f>(X25-INT(X25))*12</f>
        <v>5.010360813816078</v>
      </c>
      <c r="AA25" s="41" t="str">
        <f t="shared" si="47"/>
        <v>5</v>
      </c>
      <c r="AB25" s="24">
        <f>(Z25-INT(Z25))*12</f>
        <v>0.12432976579293609</v>
      </c>
      <c r="AC25" s="41" t="str">
        <f t="shared" si="49"/>
        <v>0</v>
      </c>
      <c r="AD25" s="24">
        <f>(AB25-INT(AB25))*12</f>
        <v>1.491957189515233</v>
      </c>
      <c r="AE25" s="41" t="str">
        <f t="shared" si="51"/>
        <v/>
      </c>
      <c r="AF25" s="24">
        <f>(AD25-INT(AD25))*12</f>
        <v>5.9034862741827965</v>
      </c>
      <c r="AG25" s="41" t="str">
        <f t="shared" si="53"/>
        <v/>
      </c>
      <c r="AH25" s="24">
        <f>(AF25-INT(AF25))*12</f>
        <v>10.841835290193558</v>
      </c>
      <c r="AI25" s="41" t="str">
        <f t="shared" si="55"/>
        <v/>
      </c>
    </row>
    <row r="26" spans="1:35" ht="15" customHeight="1">
      <c r="A26" s="719"/>
      <c r="B26" s="3" t="s">
        <v>131</v>
      </c>
      <c r="C26" s="3" t="s">
        <v>137</v>
      </c>
      <c r="D26" s="87">
        <f>1/D25</f>
        <v>39.370078740157474</v>
      </c>
      <c r="E26" s="8">
        <v>9</v>
      </c>
      <c r="F26" s="89">
        <f>1/F25</f>
        <v>10.722527792638678</v>
      </c>
      <c r="G26" s="21" t="str">
        <f t="shared" ref="G26:G30" si="70">K26&amp;";"&amp;M26&amp;O26&amp;Q26&amp;S26&amp;U26&amp;W26&amp;Y26&amp;AA26&amp;AC26&amp;AE26&amp;AG26&amp;AI26</f>
        <v>X;880640518</v>
      </c>
      <c r="H26" s="8">
        <v>0</v>
      </c>
      <c r="I26" s="39">
        <f t="shared" si="3"/>
        <v>10.722527792638678</v>
      </c>
      <c r="J26" s="98" t="str">
        <f>INDEX(powers!$H$2:$H$75,33+H26)</f>
        <v xml:space="preserve"> </v>
      </c>
      <c r="K26" s="40" t="str">
        <f t="shared" si="31"/>
        <v>X</v>
      </c>
      <c r="L26" s="24">
        <f t="shared" ref="L26:L30" si="71">(I26-INT(I26))*12</f>
        <v>8.6703335116641327</v>
      </c>
      <c r="M26" s="41" t="str">
        <f t="shared" si="33"/>
        <v>8</v>
      </c>
      <c r="N26" s="24">
        <f t="shared" ref="N26:N30" si="72">(L26-INT(L26))*12</f>
        <v>8.0440021399695922</v>
      </c>
      <c r="O26" s="41" t="str">
        <f t="shared" si="35"/>
        <v>8</v>
      </c>
      <c r="P26" s="24">
        <f t="shared" ref="P26:P30" si="73">(N26-INT(N26))*12</f>
        <v>0.52802567963510683</v>
      </c>
      <c r="Q26" s="41" t="str">
        <f t="shared" si="37"/>
        <v>0</v>
      </c>
      <c r="R26" s="24">
        <f t="shared" ref="R26:R30" si="74">(P26-INT(P26))*12</f>
        <v>6.3363081556212819</v>
      </c>
      <c r="S26" s="41" t="str">
        <f t="shared" si="39"/>
        <v>6</v>
      </c>
      <c r="T26" s="24">
        <f t="shared" ref="T26:T30" si="75">(R26-INT(R26))*12</f>
        <v>4.0356978674553829</v>
      </c>
      <c r="U26" s="41" t="str">
        <f t="shared" si="41"/>
        <v>4</v>
      </c>
      <c r="V26" s="24">
        <f t="shared" ref="V26:V30" si="76">(T26-INT(T26))*12</f>
        <v>0.42837440946459537</v>
      </c>
      <c r="W26" s="41" t="str">
        <f t="shared" si="43"/>
        <v>0</v>
      </c>
      <c r="X26" s="24">
        <f t="shared" ref="X26:X30" si="77">(V26-INT(V26))*12</f>
        <v>5.1404929135751445</v>
      </c>
      <c r="Y26" s="41" t="str">
        <f t="shared" si="45"/>
        <v>5</v>
      </c>
      <c r="Z26" s="24">
        <f t="shared" ref="Z26:Z30" si="78">(X26-INT(X26))*12</f>
        <v>1.6859149629017338</v>
      </c>
      <c r="AA26" s="41" t="str">
        <f t="shared" si="47"/>
        <v>1</v>
      </c>
      <c r="AB26" s="24">
        <f t="shared" ref="AB26:AB30" si="79">(Z26-INT(Z26))*12</f>
        <v>8.2309795548208058</v>
      </c>
      <c r="AC26" s="41" t="str">
        <f t="shared" si="49"/>
        <v>8</v>
      </c>
      <c r="AD26" s="24">
        <f t="shared" ref="AD26:AD30" si="80">(AB26-INT(AB26))*12</f>
        <v>2.7717546578496695</v>
      </c>
      <c r="AE26" s="41" t="str">
        <f t="shared" si="51"/>
        <v/>
      </c>
      <c r="AF26" s="24">
        <f t="shared" ref="AF26:AF30" si="81">(AD26-INT(AD26))*12</f>
        <v>9.2610558941960335</v>
      </c>
      <c r="AG26" s="41" t="str">
        <f t="shared" si="53"/>
        <v/>
      </c>
      <c r="AH26" s="24">
        <f t="shared" ref="AH26:AH30" si="82">(AF26-INT(AF26))*12</f>
        <v>3.1326707303524017</v>
      </c>
      <c r="AI26" s="41" t="str">
        <f t="shared" si="55"/>
        <v/>
      </c>
    </row>
    <row r="27" spans="1:35" ht="15" customHeight="1">
      <c r="A27" s="719"/>
      <c r="B27" s="3" t="s">
        <v>132</v>
      </c>
      <c r="C27" s="3" t="s">
        <v>138</v>
      </c>
      <c r="D27" s="87">
        <f>D25*D25</f>
        <v>6.4516000000000009E-4</v>
      </c>
      <c r="E27" s="8">
        <v>9</v>
      </c>
      <c r="F27" s="87">
        <f>F25*F25</f>
        <v>8.6977243300503295E-3</v>
      </c>
      <c r="G27" s="37" t="str">
        <f t="shared" si="70"/>
        <v>1;304332313</v>
      </c>
      <c r="H27" s="38">
        <v>-2</v>
      </c>
      <c r="I27" s="39">
        <f t="shared" si="3"/>
        <v>1.2524723035272476</v>
      </c>
      <c r="J27" s="98" t="str">
        <f>INDEX(powers!$H$2:$H$75,33+H27)</f>
        <v>centy</v>
      </c>
      <c r="K27" s="40" t="str">
        <f t="shared" si="31"/>
        <v>1</v>
      </c>
      <c r="L27" s="24">
        <f t="shared" si="71"/>
        <v>3.0296676423269711</v>
      </c>
      <c r="M27" s="41" t="str">
        <f t="shared" si="33"/>
        <v>3</v>
      </c>
      <c r="N27" s="24">
        <f t="shared" si="72"/>
        <v>0.35601170792365266</v>
      </c>
      <c r="O27" s="41" t="str">
        <f t="shared" si="35"/>
        <v>0</v>
      </c>
      <c r="P27" s="24">
        <f t="shared" si="73"/>
        <v>4.272140495083832</v>
      </c>
      <c r="Q27" s="41" t="str">
        <f t="shared" si="37"/>
        <v>4</v>
      </c>
      <c r="R27" s="24">
        <f t="shared" si="74"/>
        <v>3.2656859410059838</v>
      </c>
      <c r="S27" s="41" t="str">
        <f t="shared" si="39"/>
        <v>3</v>
      </c>
      <c r="T27" s="24">
        <f t="shared" si="75"/>
        <v>3.188231292071805</v>
      </c>
      <c r="U27" s="41" t="str">
        <f t="shared" si="41"/>
        <v>3</v>
      </c>
      <c r="V27" s="24">
        <f t="shared" si="76"/>
        <v>2.25877550486166</v>
      </c>
      <c r="W27" s="41" t="str">
        <f t="shared" si="43"/>
        <v>2</v>
      </c>
      <c r="X27" s="24">
        <f t="shared" si="77"/>
        <v>3.1053060583399201</v>
      </c>
      <c r="Y27" s="41" t="str">
        <f t="shared" si="45"/>
        <v>3</v>
      </c>
      <c r="Z27" s="24">
        <f t="shared" si="78"/>
        <v>1.2636727000790415</v>
      </c>
      <c r="AA27" s="41" t="str">
        <f t="shared" si="47"/>
        <v>1</v>
      </c>
      <c r="AB27" s="24">
        <f t="shared" si="79"/>
        <v>3.1640724009484984</v>
      </c>
      <c r="AC27" s="41" t="str">
        <f t="shared" si="49"/>
        <v>3</v>
      </c>
      <c r="AD27" s="24">
        <f t="shared" si="80"/>
        <v>1.9688688113819808</v>
      </c>
      <c r="AE27" s="41" t="str">
        <f t="shared" si="51"/>
        <v/>
      </c>
      <c r="AF27" s="24">
        <f t="shared" si="81"/>
        <v>11.626425736583769</v>
      </c>
      <c r="AG27" s="41" t="str">
        <f t="shared" si="53"/>
        <v/>
      </c>
      <c r="AH27" s="24">
        <f t="shared" si="82"/>
        <v>7.5171088390052319</v>
      </c>
      <c r="AI27" s="41" t="str">
        <f t="shared" si="55"/>
        <v/>
      </c>
    </row>
    <row r="28" spans="1:35" ht="15" customHeight="1">
      <c r="A28" s="719"/>
      <c r="B28" s="3" t="s">
        <v>133</v>
      </c>
      <c r="C28" s="3" t="s">
        <v>139</v>
      </c>
      <c r="D28" s="87">
        <f>1/D27</f>
        <v>1550.0031000061997</v>
      </c>
      <c r="E28" s="8">
        <v>9</v>
      </c>
      <c r="F28" s="89">
        <f>1/F27</f>
        <v>114.9726022639089</v>
      </c>
      <c r="G28" s="21" t="str">
        <f t="shared" si="70"/>
        <v>0;96E807X6X</v>
      </c>
      <c r="H28" s="8">
        <v>2</v>
      </c>
      <c r="I28" s="39">
        <f t="shared" si="3"/>
        <v>0.79842084905492294</v>
      </c>
      <c r="J28" s="98" t="str">
        <f>INDEX(powers!$H$2:$H$75,33+H28)</f>
        <v>hecty</v>
      </c>
      <c r="K28" s="40" t="str">
        <f t="shared" si="31"/>
        <v>0</v>
      </c>
      <c r="L28" s="24">
        <f t="shared" si="71"/>
        <v>9.5810501886590753</v>
      </c>
      <c r="M28" s="41" t="str">
        <f t="shared" si="33"/>
        <v>9</v>
      </c>
      <c r="N28" s="24">
        <f t="shared" si="72"/>
        <v>6.9726022639089038</v>
      </c>
      <c r="O28" s="41" t="str">
        <f t="shared" si="35"/>
        <v>6</v>
      </c>
      <c r="P28" s="24">
        <f t="shared" si="73"/>
        <v>11.671227166906846</v>
      </c>
      <c r="Q28" s="41" t="str">
        <f t="shared" si="37"/>
        <v>E</v>
      </c>
      <c r="R28" s="24">
        <f t="shared" si="74"/>
        <v>8.0547260028821484</v>
      </c>
      <c r="S28" s="41" t="str">
        <f t="shared" si="39"/>
        <v>8</v>
      </c>
      <c r="T28" s="24">
        <f t="shared" si="75"/>
        <v>0.6567120345857802</v>
      </c>
      <c r="U28" s="41" t="str">
        <f t="shared" si="41"/>
        <v>0</v>
      </c>
      <c r="V28" s="24">
        <f t="shared" si="76"/>
        <v>7.8805444150293624</v>
      </c>
      <c r="W28" s="41" t="str">
        <f t="shared" si="43"/>
        <v>7</v>
      </c>
      <c r="X28" s="24">
        <f t="shared" si="77"/>
        <v>10.566532980352349</v>
      </c>
      <c r="Y28" s="41" t="str">
        <f t="shared" si="45"/>
        <v>X</v>
      </c>
      <c r="Z28" s="24">
        <f t="shared" si="78"/>
        <v>6.7983957642281894</v>
      </c>
      <c r="AA28" s="41" t="str">
        <f t="shared" si="47"/>
        <v>6</v>
      </c>
      <c r="AB28" s="24">
        <f t="shared" si="79"/>
        <v>9.5807491707382724</v>
      </c>
      <c r="AC28" s="41" t="str">
        <f t="shared" si="49"/>
        <v>X</v>
      </c>
      <c r="AD28" s="24">
        <f t="shared" si="80"/>
        <v>6.9689900488592684</v>
      </c>
      <c r="AE28" s="41" t="str">
        <f t="shared" si="51"/>
        <v/>
      </c>
      <c r="AF28" s="24">
        <f t="shared" si="81"/>
        <v>11.627880586311221</v>
      </c>
      <c r="AG28" s="41" t="str">
        <f t="shared" si="53"/>
        <v/>
      </c>
      <c r="AH28" s="24">
        <f t="shared" si="82"/>
        <v>7.5345670357346535</v>
      </c>
      <c r="AI28" s="41" t="str">
        <f t="shared" si="55"/>
        <v/>
      </c>
    </row>
    <row r="29" spans="1:35" ht="15" customHeight="1">
      <c r="A29" s="719"/>
      <c r="B29" s="3" t="s">
        <v>134</v>
      </c>
      <c r="C29" s="3" t="s">
        <v>140</v>
      </c>
      <c r="D29" s="87">
        <f>D27*D25</f>
        <v>1.6387064000000003E-5</v>
      </c>
      <c r="E29" s="8">
        <v>9</v>
      </c>
      <c r="F29" s="87">
        <f>F27*F25</f>
        <v>8.1116360789678396E-4</v>
      </c>
      <c r="G29" s="37" t="str">
        <f t="shared" si="70"/>
        <v>1;49X156068</v>
      </c>
      <c r="H29" s="38">
        <v>-3</v>
      </c>
      <c r="I29" s="39">
        <f t="shared" si="3"/>
        <v>1.4016907144456427</v>
      </c>
      <c r="J29" s="98" t="str">
        <f>INDEX(powers!$H$2:$H$75,33+H29)</f>
        <v>milly</v>
      </c>
      <c r="K29" s="40" t="str">
        <f t="shared" ref="K29:K34" si="83">IF($E29&gt;=K$16,MID($H$16,IF($E29&gt;K$16,INT(I29),ROUND(I29,0))+1,1),"")</f>
        <v>1</v>
      </c>
      <c r="L29" s="24">
        <f t="shared" si="71"/>
        <v>4.820288573347713</v>
      </c>
      <c r="M29" s="41" t="str">
        <f t="shared" ref="M29:M34" si="84">IF($E29&gt;=M$16,MID($H$16,IF($E29&gt;M$16,INT(L29),ROUND(L29,0))+1,1),"")</f>
        <v>4</v>
      </c>
      <c r="N29" s="24">
        <f t="shared" si="72"/>
        <v>9.8434628801725559</v>
      </c>
      <c r="O29" s="41" t="str">
        <f t="shared" ref="O29:O34" si="85">IF($E29&gt;=O$16,MID($H$16,IF($E29&gt;O$16,INT(N29),ROUND(N29,0))+1,1),"")</f>
        <v>9</v>
      </c>
      <c r="P29" s="24">
        <f t="shared" si="73"/>
        <v>10.121554562070671</v>
      </c>
      <c r="Q29" s="41" t="str">
        <f t="shared" ref="Q29:Q34" si="86">IF($E29&gt;=Q$16,MID($H$16,IF($E29&gt;Q$16,INT(P29),ROUND(P29,0))+1,1),"")</f>
        <v>X</v>
      </c>
      <c r="R29" s="24">
        <f t="shared" si="74"/>
        <v>1.4586547448480474</v>
      </c>
      <c r="S29" s="41" t="str">
        <f t="shared" ref="S29:S34" si="87">IF($E29&gt;=S$16,MID($H$16,IF($E29&gt;S$16,INT(R29),ROUND(R29,0))+1,1),"")</f>
        <v>1</v>
      </c>
      <c r="T29" s="24">
        <f t="shared" si="75"/>
        <v>5.5038569381765683</v>
      </c>
      <c r="U29" s="41" t="str">
        <f t="shared" ref="U29:U34" si="88">IF($E29&gt;=U$16,MID($H$16,IF($E29&gt;U$16,INT(T29),ROUND(T29,0))+1,1),"")</f>
        <v>5</v>
      </c>
      <c r="V29" s="24">
        <f t="shared" si="76"/>
        <v>6.0462832581188195</v>
      </c>
      <c r="W29" s="41" t="str">
        <f t="shared" ref="W29:W34" si="89">IF($E29&gt;=W$16,MID($H$16,IF($E29&gt;W$16,INT(V29),ROUND(V29,0))+1,1),"")</f>
        <v>6</v>
      </c>
      <c r="X29" s="24">
        <f t="shared" si="77"/>
        <v>0.55539909742583404</v>
      </c>
      <c r="Y29" s="41" t="str">
        <f t="shared" ref="Y29:Y34" si="90">IF($E29&gt;=Y$16,MID($H$16,IF($E29&gt;Y$16,INT(X29),ROUND(X29,0))+1,1),"")</f>
        <v>0</v>
      </c>
      <c r="Z29" s="24">
        <f t="shared" si="78"/>
        <v>6.6647891691100085</v>
      </c>
      <c r="AA29" s="41" t="str">
        <f t="shared" ref="AA29:AA34" si="91">IF($E29&gt;=AA$16,MID($H$16,IF($E29&gt;AA$16,INT(Z29),ROUND(Z29,0))+1,1),"")</f>
        <v>6</v>
      </c>
      <c r="AB29" s="24">
        <f t="shared" si="79"/>
        <v>7.9774700293201022</v>
      </c>
      <c r="AC29" s="41" t="str">
        <f t="shared" ref="AC29:AC34" si="92">IF($E29&gt;=AC$16,MID($H$16,IF($E29&gt;AC$16,INT(AB29),ROUND(AB29,0))+1,1),"")</f>
        <v>8</v>
      </c>
      <c r="AD29" s="24">
        <f t="shared" si="80"/>
        <v>11.729640351841226</v>
      </c>
      <c r="AE29" s="41" t="str">
        <f t="shared" ref="AE29:AE34" si="93">IF($E29&gt;=AE$16,MID($H$16,IF($E29&gt;AE$16,INT(AD29),ROUND(AD29,0))+1,1),"")</f>
        <v/>
      </c>
      <c r="AF29" s="24">
        <f t="shared" si="81"/>
        <v>8.7556842220947146</v>
      </c>
      <c r="AG29" s="41" t="str">
        <f t="shared" ref="AG29:AG34" si="94">IF($E29&gt;=AG$16,MID($H$16,IF($E29&gt;AG$16,INT(AF29),ROUND(AF29,0))+1,1),"")</f>
        <v/>
      </c>
      <c r="AH29" s="24">
        <f t="shared" si="82"/>
        <v>9.0682106651365757</v>
      </c>
      <c r="AI29" s="41" t="str">
        <f t="shared" ref="AI29:AI34" si="95">IF($E29&gt;=AI$16,MID($H$16,IF($E29&gt;AI$16,INT(AH29),ROUND(AH29,0))+1,1),"")</f>
        <v/>
      </c>
    </row>
    <row r="30" spans="1:35" ht="15" customHeight="1">
      <c r="A30" s="719"/>
      <c r="B30" s="3" t="s">
        <v>135</v>
      </c>
      <c r="C30" s="3" t="s">
        <v>141</v>
      </c>
      <c r="D30" s="87">
        <f>1/D29</f>
        <v>61023.744094732276</v>
      </c>
      <c r="E30" s="8">
        <v>9</v>
      </c>
      <c r="F30" s="89">
        <f>1/F29</f>
        <v>1232.7969231667557</v>
      </c>
      <c r="G30" s="21" t="str">
        <f t="shared" si="70"/>
        <v>0;8689690E</v>
      </c>
      <c r="H30" s="8">
        <v>3</v>
      </c>
      <c r="I30" s="39">
        <f t="shared" si="3"/>
        <v>0.71342414535113174</v>
      </c>
      <c r="J30" s="98" t="str">
        <f>INDEX(powers!$H$2:$H$75,33+H30)</f>
        <v>kily</v>
      </c>
      <c r="K30" s="40" t="str">
        <f t="shared" si="83"/>
        <v>0</v>
      </c>
      <c r="L30" s="24">
        <f t="shared" si="71"/>
        <v>8.5610897442135805</v>
      </c>
      <c r="M30" s="41" t="str">
        <f t="shared" si="84"/>
        <v>8</v>
      </c>
      <c r="N30" s="24">
        <f t="shared" si="72"/>
        <v>6.7330769305629659</v>
      </c>
      <c r="O30" s="41" t="str">
        <f t="shared" si="85"/>
        <v>6</v>
      </c>
      <c r="P30" s="24">
        <f t="shared" si="73"/>
        <v>8.7969231667555903</v>
      </c>
      <c r="Q30" s="41" t="str">
        <f t="shared" si="86"/>
        <v>8</v>
      </c>
      <c r="R30" s="24">
        <f t="shared" si="74"/>
        <v>9.5630780010670833</v>
      </c>
      <c r="S30" s="41" t="str">
        <f t="shared" si="87"/>
        <v>9</v>
      </c>
      <c r="T30" s="24">
        <f t="shared" si="75"/>
        <v>6.7569360128049993</v>
      </c>
      <c r="U30" s="41" t="str">
        <f t="shared" si="88"/>
        <v>6</v>
      </c>
      <c r="V30" s="24">
        <f t="shared" si="76"/>
        <v>9.083232153659992</v>
      </c>
      <c r="W30" s="41" t="str">
        <f t="shared" si="89"/>
        <v>9</v>
      </c>
      <c r="X30" s="24">
        <f t="shared" si="77"/>
        <v>0.99878584391990444</v>
      </c>
      <c r="Y30" s="41" t="str">
        <f t="shared" si="90"/>
        <v>0</v>
      </c>
      <c r="Z30" s="24">
        <f t="shared" si="78"/>
        <v>11.985430127038853</v>
      </c>
      <c r="AA30" s="41" t="str">
        <f t="shared" si="91"/>
        <v>E</v>
      </c>
      <c r="AB30" s="24">
        <f t="shared" si="79"/>
        <v>11.825161524466239</v>
      </c>
      <c r="AC30" s="41" t="str">
        <f t="shared" si="92"/>
        <v/>
      </c>
      <c r="AD30" s="24">
        <f t="shared" si="80"/>
        <v>9.901938293594867</v>
      </c>
      <c r="AE30" s="41" t="str">
        <f t="shared" si="93"/>
        <v/>
      </c>
      <c r="AF30" s="24">
        <f t="shared" si="81"/>
        <v>10.823259523138404</v>
      </c>
      <c r="AG30" s="41" t="str">
        <f t="shared" si="94"/>
        <v/>
      </c>
      <c r="AH30" s="24">
        <f t="shared" si="82"/>
        <v>9.8791142776608467</v>
      </c>
      <c r="AI30" s="41" t="str">
        <f t="shared" si="95"/>
        <v/>
      </c>
    </row>
    <row r="31" spans="1:35" ht="14.25" customHeight="1">
      <c r="A31" s="719"/>
      <c r="B31" s="2" t="s">
        <v>142</v>
      </c>
      <c r="C31" s="2" t="s">
        <v>147</v>
      </c>
      <c r="D31" s="87">
        <f>D$17*3</f>
        <v>0.9144000000000001</v>
      </c>
      <c r="E31" s="8">
        <v>9</v>
      </c>
      <c r="F31" s="87">
        <f>D31/F$3</f>
        <v>3.3574172710202745</v>
      </c>
      <c r="G31" s="37" t="str">
        <f>K31&amp;";"&amp;M31&amp;O31&amp;Q31&amp;S31&amp;U31&amp;W31&amp;Y31&amp;AA31&amp;AC31&amp;AE31&amp;AG31&amp;AI31</f>
        <v>3;43574X304</v>
      </c>
      <c r="H31" s="38">
        <v>0</v>
      </c>
      <c r="I31" s="39">
        <f t="shared" ref="I31:I36" si="96">F31/POWER(12,H31)</f>
        <v>3.3574172710202745</v>
      </c>
      <c r="J31" s="98" t="str">
        <f>INDEX(powers!$H$2:$H$75,33+H31)</f>
        <v xml:space="preserve"> </v>
      </c>
      <c r="K31" s="40" t="str">
        <f t="shared" si="83"/>
        <v>3</v>
      </c>
      <c r="L31" s="24">
        <f>(I31-INT(I31))*12</f>
        <v>4.2890072522432945</v>
      </c>
      <c r="M31" s="41" t="str">
        <f t="shared" si="84"/>
        <v>4</v>
      </c>
      <c r="N31" s="24">
        <f>(L31-INT(L31))*12</f>
        <v>3.4680870269195339</v>
      </c>
      <c r="O31" s="41" t="str">
        <f t="shared" si="85"/>
        <v>3</v>
      </c>
      <c r="P31" s="24">
        <f>(N31-INT(N31))*12</f>
        <v>5.6170443230344063</v>
      </c>
      <c r="Q31" s="41" t="str">
        <f t="shared" si="86"/>
        <v>5</v>
      </c>
      <c r="R31" s="24">
        <f>(P31-INT(P31))*12</f>
        <v>7.4045318764128751</v>
      </c>
      <c r="S31" s="41" t="str">
        <f t="shared" si="87"/>
        <v>7</v>
      </c>
      <c r="T31" s="24">
        <f>(R31-INT(R31))*12</f>
        <v>4.8543825169545016</v>
      </c>
      <c r="U31" s="41" t="str">
        <f t="shared" si="88"/>
        <v>4</v>
      </c>
      <c r="V31" s="24">
        <f>(T31-INT(T31))*12</f>
        <v>10.25259020345402</v>
      </c>
      <c r="W31" s="41" t="str">
        <f t="shared" si="89"/>
        <v>X</v>
      </c>
      <c r="X31" s="24">
        <f>(V31-INT(V31))*12</f>
        <v>3.031082441448234</v>
      </c>
      <c r="Y31" s="41" t="str">
        <f t="shared" si="90"/>
        <v>3</v>
      </c>
      <c r="Z31" s="24">
        <f>(X31-INT(X31))*12</f>
        <v>0.37298929737880826</v>
      </c>
      <c r="AA31" s="41" t="str">
        <f t="shared" si="91"/>
        <v>0</v>
      </c>
      <c r="AB31" s="24">
        <f>(Z31-INT(Z31))*12</f>
        <v>4.4758715685456991</v>
      </c>
      <c r="AC31" s="41" t="str">
        <f t="shared" si="92"/>
        <v>4</v>
      </c>
      <c r="AD31" s="24">
        <f>(AB31-INT(AB31))*12</f>
        <v>5.7104588225483894</v>
      </c>
      <c r="AE31" s="41" t="str">
        <f t="shared" si="93"/>
        <v/>
      </c>
      <c r="AF31" s="24">
        <f>(AD31-INT(AD31))*12</f>
        <v>8.5255058705806732</v>
      </c>
      <c r="AG31" s="41" t="str">
        <f t="shared" si="94"/>
        <v/>
      </c>
      <c r="AH31" s="24">
        <f>(AF31-INT(AF31))*12</f>
        <v>6.3060704469680786</v>
      </c>
      <c r="AI31" s="41" t="str">
        <f t="shared" si="95"/>
        <v/>
      </c>
    </row>
    <row r="32" spans="1:35" ht="15" customHeight="1">
      <c r="A32" s="719"/>
      <c r="B32" s="3" t="s">
        <v>143</v>
      </c>
      <c r="C32" s="3" t="s">
        <v>148</v>
      </c>
      <c r="D32" s="87">
        <f>1/D31</f>
        <v>1.0936132983377076</v>
      </c>
      <c r="E32" s="8">
        <v>9</v>
      </c>
      <c r="F32" s="89">
        <f>1/F31</f>
        <v>0.29784799423996328</v>
      </c>
      <c r="G32" s="21" t="str">
        <f t="shared" ref="G32:G36" si="97">K32&amp;";"&amp;M32&amp;O32&amp;Q32&amp;S32&amp;U32&amp;W32&amp;Y32&amp;AA32&amp;AC32&amp;AE32&amp;AG32&amp;AI32</f>
        <v>0;36X821419</v>
      </c>
      <c r="H32" s="8">
        <v>0</v>
      </c>
      <c r="I32" s="39">
        <f t="shared" si="96"/>
        <v>0.29784799423996328</v>
      </c>
      <c r="J32" s="98" t="str">
        <f>INDEX(powers!$H$2:$H$75,33+H32)</f>
        <v xml:space="preserve"> </v>
      </c>
      <c r="K32" s="40" t="str">
        <f t="shared" si="83"/>
        <v>0</v>
      </c>
      <c r="L32" s="24">
        <f t="shared" ref="L32:L36" si="98">(I32-INT(I32))*12</f>
        <v>3.5741759308795595</v>
      </c>
      <c r="M32" s="41" t="str">
        <f t="shared" si="84"/>
        <v>3</v>
      </c>
      <c r="N32" s="24">
        <f t="shared" ref="N32:N36" si="99">(L32-INT(L32))*12</f>
        <v>6.8901111705547144</v>
      </c>
      <c r="O32" s="41" t="str">
        <f t="shared" si="85"/>
        <v>6</v>
      </c>
      <c r="P32" s="24">
        <f t="shared" ref="P32:P36" si="100">(N32-INT(N32))*12</f>
        <v>10.681334046656573</v>
      </c>
      <c r="Q32" s="41" t="str">
        <f t="shared" si="86"/>
        <v>X</v>
      </c>
      <c r="R32" s="24">
        <f t="shared" ref="R32:R36" si="101">(P32-INT(P32))*12</f>
        <v>8.1760085598788805</v>
      </c>
      <c r="S32" s="41" t="str">
        <f t="shared" si="87"/>
        <v>8</v>
      </c>
      <c r="T32" s="24">
        <f t="shared" ref="T32:T36" si="102">(R32-INT(R32))*12</f>
        <v>2.1121027185465664</v>
      </c>
      <c r="U32" s="41" t="str">
        <f t="shared" si="88"/>
        <v>2</v>
      </c>
      <c r="V32" s="24">
        <f t="shared" ref="V32:V36" si="103">(T32-INT(T32))*12</f>
        <v>1.3452326225587967</v>
      </c>
      <c r="W32" s="41" t="str">
        <f t="shared" si="89"/>
        <v>1</v>
      </c>
      <c r="X32" s="24">
        <f t="shared" ref="X32:X36" si="104">(V32-INT(V32))*12</f>
        <v>4.1427914707055606</v>
      </c>
      <c r="Y32" s="41" t="str">
        <f t="shared" si="90"/>
        <v>4</v>
      </c>
      <c r="Z32" s="24">
        <f t="shared" ref="Z32:Z36" si="105">(X32-INT(X32))*12</f>
        <v>1.7134976484667277</v>
      </c>
      <c r="AA32" s="41" t="str">
        <f t="shared" si="91"/>
        <v>1</v>
      </c>
      <c r="AB32" s="24">
        <f t="shared" ref="AB32:AB36" si="106">(Z32-INT(Z32))*12</f>
        <v>8.5619717816007324</v>
      </c>
      <c r="AC32" s="41" t="str">
        <f t="shared" si="92"/>
        <v>9</v>
      </c>
      <c r="AD32" s="24">
        <f t="shared" ref="AD32:AD36" si="107">(AB32-INT(AB32))*12</f>
        <v>6.7436613792087883</v>
      </c>
      <c r="AE32" s="41" t="str">
        <f t="shared" si="93"/>
        <v/>
      </c>
      <c r="AF32" s="24">
        <f t="shared" ref="AF32:AF36" si="108">(AD32-INT(AD32))*12</f>
        <v>8.9239365505054593</v>
      </c>
      <c r="AG32" s="41" t="str">
        <f t="shared" si="94"/>
        <v/>
      </c>
      <c r="AH32" s="24">
        <f t="shared" ref="AH32:AH36" si="109">(AF32-INT(AF32))*12</f>
        <v>11.087238606065512</v>
      </c>
      <c r="AI32" s="41" t="str">
        <f t="shared" si="95"/>
        <v/>
      </c>
    </row>
    <row r="33" spans="1:35" ht="15" customHeight="1">
      <c r="A33" s="719"/>
      <c r="B33" s="3" t="s">
        <v>144</v>
      </c>
      <c r="C33" s="3" t="s">
        <v>149</v>
      </c>
      <c r="D33" s="87">
        <f>D31*D31</f>
        <v>0.83612736000000021</v>
      </c>
      <c r="E33" s="8">
        <v>9</v>
      </c>
      <c r="F33" s="87">
        <f>F31*F31</f>
        <v>11.272250731745228</v>
      </c>
      <c r="G33" s="37" t="str">
        <f t="shared" si="97"/>
        <v>E;3325483E4</v>
      </c>
      <c r="H33" s="38">
        <v>0</v>
      </c>
      <c r="I33" s="39">
        <f t="shared" si="96"/>
        <v>11.272250731745228</v>
      </c>
      <c r="J33" s="98" t="str">
        <f>INDEX(powers!$H$2:$H$75,33+H33)</f>
        <v xml:space="preserve"> </v>
      </c>
      <c r="K33" s="40" t="str">
        <f t="shared" si="83"/>
        <v>E</v>
      </c>
      <c r="L33" s="24">
        <f t="shared" si="98"/>
        <v>3.2670087809427315</v>
      </c>
      <c r="M33" s="41" t="str">
        <f t="shared" si="84"/>
        <v>3</v>
      </c>
      <c r="N33" s="24">
        <f t="shared" si="99"/>
        <v>3.2041053713127781</v>
      </c>
      <c r="O33" s="41" t="str">
        <f t="shared" si="85"/>
        <v>3</v>
      </c>
      <c r="P33" s="24">
        <f t="shared" si="100"/>
        <v>2.4492644557533367</v>
      </c>
      <c r="Q33" s="41" t="str">
        <f t="shared" si="86"/>
        <v>2</v>
      </c>
      <c r="R33" s="24">
        <f t="shared" si="101"/>
        <v>5.3911734690400408</v>
      </c>
      <c r="S33" s="41" t="str">
        <f t="shared" si="87"/>
        <v>5</v>
      </c>
      <c r="T33" s="24">
        <f t="shared" si="102"/>
        <v>4.6940816284804896</v>
      </c>
      <c r="U33" s="41" t="str">
        <f t="shared" si="88"/>
        <v>4</v>
      </c>
      <c r="V33" s="24">
        <f t="shared" si="103"/>
        <v>8.3289795417658752</v>
      </c>
      <c r="W33" s="41" t="str">
        <f t="shared" si="89"/>
        <v>8</v>
      </c>
      <c r="X33" s="24">
        <f t="shared" si="104"/>
        <v>3.9477545011905022</v>
      </c>
      <c r="Y33" s="41" t="str">
        <f t="shared" si="90"/>
        <v>3</v>
      </c>
      <c r="Z33" s="24">
        <f t="shared" si="105"/>
        <v>11.373054014286026</v>
      </c>
      <c r="AA33" s="41" t="str">
        <f t="shared" si="91"/>
        <v>E</v>
      </c>
      <c r="AB33" s="24">
        <f t="shared" si="106"/>
        <v>4.4766481714323163</v>
      </c>
      <c r="AC33" s="41" t="str">
        <f t="shared" si="92"/>
        <v>4</v>
      </c>
      <c r="AD33" s="24">
        <f t="shared" si="107"/>
        <v>5.7197780571877956</v>
      </c>
      <c r="AE33" s="41" t="str">
        <f t="shared" si="93"/>
        <v/>
      </c>
      <c r="AF33" s="24">
        <f t="shared" si="108"/>
        <v>8.6373366862535477</v>
      </c>
      <c r="AG33" s="41" t="str">
        <f t="shared" si="94"/>
        <v/>
      </c>
      <c r="AH33" s="24">
        <f t="shared" si="109"/>
        <v>7.648040235042572</v>
      </c>
      <c r="AI33" s="41" t="str">
        <f t="shared" si="95"/>
        <v/>
      </c>
    </row>
    <row r="34" spans="1:35" ht="15" customHeight="1">
      <c r="A34" s="719"/>
      <c r="B34" s="3" t="s">
        <v>157</v>
      </c>
      <c r="C34" s="3" t="s">
        <v>150</v>
      </c>
      <c r="D34" s="87">
        <f>1/D33</f>
        <v>1.19599004630108</v>
      </c>
      <c r="E34" s="8">
        <v>9</v>
      </c>
      <c r="F34" s="89">
        <f>1/F33</f>
        <v>8.8713427672769199E-2</v>
      </c>
      <c r="G34" s="21" t="str">
        <f t="shared" si="97"/>
        <v>1;09368X611</v>
      </c>
      <c r="H34" s="8">
        <v>-1</v>
      </c>
      <c r="I34" s="39">
        <f t="shared" si="96"/>
        <v>1.0645611320732304</v>
      </c>
      <c r="J34" s="98" t="str">
        <f>INDEX(powers!$H$2:$H$75,33+H34)</f>
        <v>dour</v>
      </c>
      <c r="K34" s="40" t="str">
        <f t="shared" si="83"/>
        <v>1</v>
      </c>
      <c r="L34" s="24">
        <f t="shared" si="98"/>
        <v>0.77473358487876531</v>
      </c>
      <c r="M34" s="41" t="str">
        <f t="shared" si="84"/>
        <v>0</v>
      </c>
      <c r="N34" s="24">
        <f t="shared" si="99"/>
        <v>9.2968030185451838</v>
      </c>
      <c r="O34" s="41" t="str">
        <f t="shared" si="85"/>
        <v>9</v>
      </c>
      <c r="P34" s="24">
        <f t="shared" si="100"/>
        <v>3.5616362225422051</v>
      </c>
      <c r="Q34" s="41" t="str">
        <f t="shared" si="86"/>
        <v>3</v>
      </c>
      <c r="R34" s="24">
        <f t="shared" si="101"/>
        <v>6.7396346705064616</v>
      </c>
      <c r="S34" s="41" t="str">
        <f t="shared" si="87"/>
        <v>6</v>
      </c>
      <c r="T34" s="24">
        <f t="shared" si="102"/>
        <v>8.8756160460775391</v>
      </c>
      <c r="U34" s="41" t="str">
        <f t="shared" si="88"/>
        <v>8</v>
      </c>
      <c r="V34" s="24">
        <f t="shared" si="103"/>
        <v>10.507392552930469</v>
      </c>
      <c r="W34" s="41" t="str">
        <f t="shared" si="89"/>
        <v>X</v>
      </c>
      <c r="X34" s="24">
        <f t="shared" si="104"/>
        <v>6.0887106351656257</v>
      </c>
      <c r="Y34" s="41" t="str">
        <f t="shared" si="90"/>
        <v>6</v>
      </c>
      <c r="Z34" s="24">
        <f t="shared" si="105"/>
        <v>1.0645276219875086</v>
      </c>
      <c r="AA34" s="41" t="str">
        <f t="shared" si="91"/>
        <v>1</v>
      </c>
      <c r="AB34" s="24">
        <f t="shared" si="106"/>
        <v>0.77433146385010332</v>
      </c>
      <c r="AC34" s="41" t="str">
        <f t="shared" si="92"/>
        <v>1</v>
      </c>
      <c r="AD34" s="24">
        <f t="shared" si="107"/>
        <v>9.2919775662012398</v>
      </c>
      <c r="AE34" s="41" t="str">
        <f t="shared" si="93"/>
        <v/>
      </c>
      <c r="AF34" s="24">
        <f t="shared" si="108"/>
        <v>3.5037307944148779</v>
      </c>
      <c r="AG34" s="41" t="str">
        <f t="shared" si="94"/>
        <v/>
      </c>
      <c r="AH34" s="24">
        <f t="shared" si="109"/>
        <v>6.0447695329785347</v>
      </c>
      <c r="AI34" s="41" t="str">
        <f t="shared" si="95"/>
        <v/>
      </c>
    </row>
    <row r="35" spans="1:35" ht="15" customHeight="1">
      <c r="A35" s="719"/>
      <c r="B35" s="3" t="s">
        <v>145</v>
      </c>
      <c r="C35" s="3" t="s">
        <v>151</v>
      </c>
      <c r="D35" s="87">
        <f>D33*D31</f>
        <v>0.76455485798400025</v>
      </c>
      <c r="E35" s="8">
        <v>9</v>
      </c>
      <c r="F35" s="87">
        <f>F33*F31</f>
        <v>37.845649290032355</v>
      </c>
      <c r="G35" s="37" t="str">
        <f t="shared" si="97"/>
        <v>0;31X193473</v>
      </c>
      <c r="H35" s="38">
        <v>2</v>
      </c>
      <c r="I35" s="39">
        <f t="shared" si="96"/>
        <v>0.26281700895855803</v>
      </c>
      <c r="J35" s="98" t="str">
        <f>INDEX(powers!$H$2:$H$75,33+H35)</f>
        <v>hecty</v>
      </c>
      <c r="K35" s="40" t="str">
        <f t="shared" ref="K35:K42" si="110">IF($E35&gt;=K$16,MID($H$16,IF($E35&gt;K$16,INT(I35),ROUND(I35,0))+1,1),"")</f>
        <v>0</v>
      </c>
      <c r="L35" s="24">
        <f t="shared" si="98"/>
        <v>3.1538041075026966</v>
      </c>
      <c r="M35" s="41" t="str">
        <f t="shared" ref="M35:M42" si="111">IF($E35&gt;=M$16,MID($H$16,IF($E35&gt;M$16,INT(L35),ROUND(L35,0))+1,1),"")</f>
        <v>3</v>
      </c>
      <c r="N35" s="24">
        <f t="shared" si="99"/>
        <v>1.8456492900323589</v>
      </c>
      <c r="O35" s="41" t="str">
        <f t="shared" ref="O35:O42" si="112">IF($E35&gt;=O$16,MID($H$16,IF($E35&gt;O$16,INT(N35),ROUND(N35,0))+1,1),"")</f>
        <v>1</v>
      </c>
      <c r="P35" s="24">
        <f t="shared" si="100"/>
        <v>10.147791480388307</v>
      </c>
      <c r="Q35" s="41" t="str">
        <f t="shared" ref="Q35:Q42" si="113">IF($E35&gt;=Q$16,MID($H$16,IF($E35&gt;Q$16,INT(P35),ROUND(P35,0))+1,1),"")</f>
        <v>X</v>
      </c>
      <c r="R35" s="24">
        <f t="shared" si="101"/>
        <v>1.7734977646596803</v>
      </c>
      <c r="S35" s="41" t="str">
        <f t="shared" ref="S35:S42" si="114">IF($E35&gt;=S$16,MID($H$16,IF($E35&gt;S$16,INT(R35),ROUND(R35,0))+1,1),"")</f>
        <v>1</v>
      </c>
      <c r="T35" s="24">
        <f t="shared" si="102"/>
        <v>9.2819731759161641</v>
      </c>
      <c r="U35" s="41" t="str">
        <f t="shared" ref="U35:U42" si="115">IF($E35&gt;=U$16,MID($H$16,IF($E35&gt;U$16,INT(T35),ROUND(T35,0))+1,1),"")</f>
        <v>9</v>
      </c>
      <c r="V35" s="24">
        <f t="shared" si="103"/>
        <v>3.3836781109939693</v>
      </c>
      <c r="W35" s="41" t="str">
        <f t="shared" ref="W35:W42" si="116">IF($E35&gt;=W$16,MID($H$16,IF($E35&gt;W$16,INT(V35),ROUND(V35,0))+1,1),"")</f>
        <v>3</v>
      </c>
      <c r="X35" s="24">
        <f t="shared" si="104"/>
        <v>4.6041373319276317</v>
      </c>
      <c r="Y35" s="41" t="str">
        <f t="shared" ref="Y35:Y42" si="117">IF($E35&gt;=Y$16,MID($H$16,IF($E35&gt;Y$16,INT(X35),ROUND(X35,0))+1,1),"")</f>
        <v>4</v>
      </c>
      <c r="Z35" s="24">
        <f t="shared" si="105"/>
        <v>7.249647983131581</v>
      </c>
      <c r="AA35" s="41" t="str">
        <f t="shared" ref="AA35:AA42" si="118">IF($E35&gt;=AA$16,MID($H$16,IF($E35&gt;AA$16,INT(Z35),ROUND(Z35,0))+1,1),"")</f>
        <v>7</v>
      </c>
      <c r="AB35" s="24">
        <f t="shared" si="106"/>
        <v>2.9957757975789718</v>
      </c>
      <c r="AC35" s="41" t="str">
        <f t="shared" ref="AC35:AC42" si="119">IF($E35&gt;=AC$16,MID($H$16,IF($E35&gt;AC$16,INT(AB35),ROUND(AB35,0))+1,1),"")</f>
        <v>3</v>
      </c>
      <c r="AD35" s="24">
        <f t="shared" si="107"/>
        <v>11.949309570947662</v>
      </c>
      <c r="AE35" s="41" t="str">
        <f t="shared" ref="AE35:AE42" si="120">IF($E35&gt;=AE$16,MID($H$16,IF($E35&gt;AE$16,INT(AD35),ROUND(AD35,0))+1,1),"")</f>
        <v/>
      </c>
      <c r="AF35" s="24">
        <f t="shared" si="108"/>
        <v>11.391714851371944</v>
      </c>
      <c r="AG35" s="41" t="str">
        <f t="shared" ref="AG35:AG42" si="121">IF($E35&gt;=AG$16,MID($H$16,IF($E35&gt;AG$16,INT(AF35),ROUND(AF35,0))+1,1),"")</f>
        <v/>
      </c>
      <c r="AH35" s="24">
        <f t="shared" si="109"/>
        <v>4.7005782164633274</v>
      </c>
      <c r="AI35" s="41" t="str">
        <f t="shared" ref="AI35:AI42" si="122">IF($E35&gt;=AI$16,MID($H$16,IF($E35&gt;AI$16,INT(AH35),ROUND(AH35,0))+1,1),"")</f>
        <v/>
      </c>
    </row>
    <row r="36" spans="1:35" ht="15" customHeight="1">
      <c r="A36" s="719"/>
      <c r="B36" s="3" t="s">
        <v>146</v>
      </c>
      <c r="C36" s="3" t="s">
        <v>152</v>
      </c>
      <c r="D36" s="87">
        <f>1/D35</f>
        <v>1.3079506193143917</v>
      </c>
      <c r="E36" s="8">
        <v>9</v>
      </c>
      <c r="F36" s="89">
        <f>1/F35</f>
        <v>2.6423116494486362E-2</v>
      </c>
      <c r="G36" s="21" t="str">
        <f t="shared" si="97"/>
        <v>3;97XE0053E</v>
      </c>
      <c r="H36" s="8">
        <v>-2</v>
      </c>
      <c r="I36" s="39">
        <f t="shared" si="96"/>
        <v>3.8049287752060361</v>
      </c>
      <c r="J36" s="98" t="str">
        <f>INDEX(powers!$H$2:$H$75,33+H36)</f>
        <v>centy</v>
      </c>
      <c r="K36" s="40" t="str">
        <f t="shared" si="110"/>
        <v>3</v>
      </c>
      <c r="L36" s="24">
        <f t="shared" si="98"/>
        <v>9.6591453024724334</v>
      </c>
      <c r="M36" s="41" t="str">
        <f t="shared" si="111"/>
        <v>9</v>
      </c>
      <c r="N36" s="24">
        <f t="shared" si="99"/>
        <v>7.909743629669201</v>
      </c>
      <c r="O36" s="41" t="str">
        <f t="shared" si="112"/>
        <v>7</v>
      </c>
      <c r="P36" s="24">
        <f t="shared" si="100"/>
        <v>10.916923556030412</v>
      </c>
      <c r="Q36" s="41" t="str">
        <f t="shared" si="113"/>
        <v>X</v>
      </c>
      <c r="R36" s="24">
        <f t="shared" si="101"/>
        <v>11.00308267236494</v>
      </c>
      <c r="S36" s="41" t="str">
        <f t="shared" si="114"/>
        <v>E</v>
      </c>
      <c r="T36" s="24">
        <f t="shared" si="102"/>
        <v>3.6992068379277043E-2</v>
      </c>
      <c r="U36" s="41" t="str">
        <f t="shared" si="115"/>
        <v>0</v>
      </c>
      <c r="V36" s="24">
        <f t="shared" si="103"/>
        <v>0.44390482055132452</v>
      </c>
      <c r="W36" s="41" t="str">
        <f t="shared" si="116"/>
        <v>0</v>
      </c>
      <c r="X36" s="24">
        <f t="shared" si="104"/>
        <v>5.3268578466158942</v>
      </c>
      <c r="Y36" s="41" t="str">
        <f t="shared" si="117"/>
        <v>5</v>
      </c>
      <c r="Z36" s="24">
        <f t="shared" si="105"/>
        <v>3.9222941593907308</v>
      </c>
      <c r="AA36" s="41" t="str">
        <f t="shared" si="118"/>
        <v>3</v>
      </c>
      <c r="AB36" s="24">
        <f t="shared" si="106"/>
        <v>11.067529912688769</v>
      </c>
      <c r="AC36" s="41" t="str">
        <f t="shared" si="119"/>
        <v>E</v>
      </c>
      <c r="AD36" s="24">
        <f t="shared" si="107"/>
        <v>0.8103589522652328</v>
      </c>
      <c r="AE36" s="41" t="str">
        <f t="shared" si="120"/>
        <v/>
      </c>
      <c r="AF36" s="24">
        <f t="shared" si="108"/>
        <v>9.7243074271827936</v>
      </c>
      <c r="AG36" s="41" t="str">
        <f t="shared" si="121"/>
        <v/>
      </c>
      <c r="AH36" s="24">
        <f t="shared" si="109"/>
        <v>8.6916891261935234</v>
      </c>
      <c r="AI36" s="41" t="str">
        <f t="shared" si="122"/>
        <v/>
      </c>
    </row>
    <row r="37" spans="1:35" ht="14.25" customHeight="1">
      <c r="A37" s="719"/>
      <c r="B37" s="2" t="s">
        <v>153</v>
      </c>
      <c r="C37" s="2" t="s">
        <v>158</v>
      </c>
      <c r="D37" s="87">
        <f>D$31*1760</f>
        <v>1609.3440000000003</v>
      </c>
      <c r="E37" s="8">
        <v>9</v>
      </c>
      <c r="F37" s="87">
        <f>D37/F$3</f>
        <v>5909.0543969956834</v>
      </c>
      <c r="G37" s="37" t="str">
        <f>K37&amp;";"&amp;M37&amp;O37&amp;Q37&amp;S37&amp;U37&amp;W37&amp;Y37&amp;AA37&amp;AC37&amp;AE37&amp;AG37&amp;AI37</f>
        <v>3;505079EE9</v>
      </c>
      <c r="H37" s="38">
        <v>3</v>
      </c>
      <c r="I37" s="39">
        <f t="shared" ref="I37:I42" si="123">F37/POWER(12,H37)</f>
        <v>3.4195916649280576</v>
      </c>
      <c r="J37" s="98" t="str">
        <f>INDEX(powers!$H$2:$H$75,33+H37)</f>
        <v>kily</v>
      </c>
      <c r="K37" s="40" t="str">
        <f t="shared" si="110"/>
        <v>3</v>
      </c>
      <c r="L37" s="24">
        <f>(I37-INT(I37))*12</f>
        <v>5.0350999791366906</v>
      </c>
      <c r="M37" s="41" t="str">
        <f t="shared" si="111"/>
        <v>5</v>
      </c>
      <c r="N37" s="24">
        <f>(L37-INT(L37))*12</f>
        <v>0.42119974964028728</v>
      </c>
      <c r="O37" s="41" t="str">
        <f t="shared" si="112"/>
        <v>0</v>
      </c>
      <c r="P37" s="24">
        <f>(N37-INT(N37))*12</f>
        <v>5.0543969956834474</v>
      </c>
      <c r="Q37" s="41" t="str">
        <f t="shared" si="113"/>
        <v>5</v>
      </c>
      <c r="R37" s="24">
        <f>(P37-INT(P37))*12</f>
        <v>0.65276394820136829</v>
      </c>
      <c r="S37" s="41" t="str">
        <f t="shared" si="114"/>
        <v>0</v>
      </c>
      <c r="T37" s="24">
        <f>(R37-INT(R37))*12</f>
        <v>7.8331673784164195</v>
      </c>
      <c r="U37" s="41" t="str">
        <f t="shared" si="115"/>
        <v>7</v>
      </c>
      <c r="V37" s="24">
        <f>(T37-INT(T37))*12</f>
        <v>9.9980085409970343</v>
      </c>
      <c r="W37" s="41" t="str">
        <f t="shared" si="116"/>
        <v>9</v>
      </c>
      <c r="X37" s="24">
        <f>(V37-INT(V37))*12</f>
        <v>11.976102491964411</v>
      </c>
      <c r="Y37" s="41" t="str">
        <f t="shared" si="117"/>
        <v>E</v>
      </c>
      <c r="Z37" s="24">
        <f>(X37-INT(X37))*12</f>
        <v>11.713229903572937</v>
      </c>
      <c r="AA37" s="41" t="str">
        <f t="shared" si="118"/>
        <v>E</v>
      </c>
      <c r="AB37" s="24">
        <f>(Z37-INT(Z37))*12</f>
        <v>8.5587588428752497</v>
      </c>
      <c r="AC37" s="41" t="str">
        <f t="shared" si="119"/>
        <v>9</v>
      </c>
      <c r="AD37" s="24">
        <f>(AB37-INT(AB37))*12</f>
        <v>6.7051061145029962</v>
      </c>
      <c r="AE37" s="41" t="str">
        <f t="shared" si="120"/>
        <v/>
      </c>
      <c r="AF37" s="24">
        <f>(AD37-INT(AD37))*12</f>
        <v>8.4612733740359545</v>
      </c>
      <c r="AG37" s="41" t="str">
        <f t="shared" si="121"/>
        <v/>
      </c>
      <c r="AH37" s="24">
        <f>(AF37-INT(AF37))*12</f>
        <v>5.5352804884314537</v>
      </c>
      <c r="AI37" s="41" t="str">
        <f t="shared" si="122"/>
        <v/>
      </c>
    </row>
    <row r="38" spans="1:35" ht="15" customHeight="1">
      <c r="A38" s="719"/>
      <c r="B38" s="3" t="s">
        <v>154</v>
      </c>
      <c r="C38" s="3" t="s">
        <v>159</v>
      </c>
      <c r="D38" s="87">
        <f>1/D37</f>
        <v>6.2137119223733381E-4</v>
      </c>
      <c r="E38" s="8">
        <v>9</v>
      </c>
      <c r="F38" s="89">
        <f>1/F37</f>
        <v>1.6923181490907004E-4</v>
      </c>
      <c r="G38" s="21" t="str">
        <f t="shared" ref="G38:G40" si="124">K38&amp;";"&amp;M38&amp;O38&amp;Q38&amp;S38&amp;U38&amp;W38&amp;Y38&amp;AA38&amp;AC38&amp;AE38&amp;AG38&amp;AI38</f>
        <v>0;3613X6EE1</v>
      </c>
      <c r="H38" s="8">
        <v>-3</v>
      </c>
      <c r="I38" s="39">
        <f t="shared" si="123"/>
        <v>0.29243257616287305</v>
      </c>
      <c r="J38" s="98" t="str">
        <f>INDEX(powers!$H$2:$H$75,33+H38)</f>
        <v>milly</v>
      </c>
      <c r="K38" s="40" t="str">
        <f t="shared" si="110"/>
        <v>0</v>
      </c>
      <c r="L38" s="24">
        <f t="shared" ref="L38:L40" si="125">(I38-INT(I38))*12</f>
        <v>3.5091909139544768</v>
      </c>
      <c r="M38" s="41" t="str">
        <f t="shared" si="111"/>
        <v>3</v>
      </c>
      <c r="N38" s="24">
        <f t="shared" ref="N38:N40" si="126">(L38-INT(L38))*12</f>
        <v>6.1102909674537216</v>
      </c>
      <c r="O38" s="41" t="str">
        <f t="shared" si="112"/>
        <v>6</v>
      </c>
      <c r="P38" s="24">
        <f t="shared" ref="P38:P40" si="127">(N38-INT(N38))*12</f>
        <v>1.3234916094446589</v>
      </c>
      <c r="Q38" s="41" t="str">
        <f t="shared" si="113"/>
        <v>1</v>
      </c>
      <c r="R38" s="24">
        <f t="shared" ref="R38:R40" si="128">(P38-INT(P38))*12</f>
        <v>3.8818993133359072</v>
      </c>
      <c r="S38" s="41" t="str">
        <f t="shared" si="114"/>
        <v>3</v>
      </c>
      <c r="T38" s="24">
        <f t="shared" ref="T38:T40" si="129">(R38-INT(R38))*12</f>
        <v>10.582791760030887</v>
      </c>
      <c r="U38" s="41" t="str">
        <f t="shared" si="115"/>
        <v>X</v>
      </c>
      <c r="V38" s="24">
        <f t="shared" ref="V38:V40" si="130">(T38-INT(T38))*12</f>
        <v>6.9935011203706381</v>
      </c>
      <c r="W38" s="41" t="str">
        <f t="shared" si="116"/>
        <v>6</v>
      </c>
      <c r="X38" s="24">
        <f t="shared" ref="X38:X40" si="131">(V38-INT(V38))*12</f>
        <v>11.922013444447657</v>
      </c>
      <c r="Y38" s="41" t="str">
        <f t="shared" si="117"/>
        <v>E</v>
      </c>
      <c r="Z38" s="24">
        <f t="shared" ref="Z38:Z40" si="132">(X38-INT(X38))*12</f>
        <v>11.064161333371885</v>
      </c>
      <c r="AA38" s="41" t="str">
        <f t="shared" si="118"/>
        <v>E</v>
      </c>
      <c r="AB38" s="24">
        <f t="shared" ref="AB38:AB40" si="133">(Z38-INT(Z38))*12</f>
        <v>0.76993600046262145</v>
      </c>
      <c r="AC38" s="41" t="str">
        <f t="shared" si="119"/>
        <v>1</v>
      </c>
      <c r="AD38" s="24">
        <f t="shared" ref="AD38:AD40" si="134">(AB38-INT(AB38))*12</f>
        <v>9.2392320055514574</v>
      </c>
      <c r="AE38" s="41" t="str">
        <f t="shared" si="120"/>
        <v/>
      </c>
      <c r="AF38" s="24">
        <f t="shared" ref="AF38:AF40" si="135">(AD38-INT(AD38))*12</f>
        <v>2.8707840666174889</v>
      </c>
      <c r="AG38" s="41" t="str">
        <f t="shared" si="121"/>
        <v/>
      </c>
      <c r="AH38" s="24">
        <f t="shared" ref="AH38:AH40" si="136">(AF38-INT(AF38))*12</f>
        <v>10.449408799409866</v>
      </c>
      <c r="AI38" s="41" t="str">
        <f t="shared" si="122"/>
        <v/>
      </c>
    </row>
    <row r="39" spans="1:35" ht="15" customHeight="1">
      <c r="A39" s="719"/>
      <c r="B39" s="3" t="s">
        <v>155</v>
      </c>
      <c r="C39" s="3" t="s">
        <v>160</v>
      </c>
      <c r="D39" s="87">
        <f>D37*D37</f>
        <v>2589988.110336001</v>
      </c>
      <c r="E39" s="8">
        <v>9</v>
      </c>
      <c r="F39" s="87">
        <f>F37*F37</f>
        <v>34916923.866654016</v>
      </c>
      <c r="G39" s="37" t="str">
        <f t="shared" si="124"/>
        <v>0;E83X677X5</v>
      </c>
      <c r="H39" s="38">
        <v>7</v>
      </c>
      <c r="I39" s="39">
        <f t="shared" si="123"/>
        <v>0.97446726290378693</v>
      </c>
      <c r="J39" s="98" t="str">
        <f>INDEX(powers!$H$2:$H$75,33+H39)</f>
        <v>cosmic dour</v>
      </c>
      <c r="K39" s="40" t="str">
        <f t="shared" si="110"/>
        <v>0</v>
      </c>
      <c r="L39" s="24">
        <f t="shared" si="125"/>
        <v>11.693607154845443</v>
      </c>
      <c r="M39" s="41" t="str">
        <f t="shared" si="111"/>
        <v>E</v>
      </c>
      <c r="N39" s="24">
        <f t="shared" si="126"/>
        <v>8.3232858581453186</v>
      </c>
      <c r="O39" s="41" t="str">
        <f t="shared" si="112"/>
        <v>8</v>
      </c>
      <c r="P39" s="24">
        <f t="shared" si="127"/>
        <v>3.8794302977438235</v>
      </c>
      <c r="Q39" s="41" t="str">
        <f t="shared" si="113"/>
        <v>3</v>
      </c>
      <c r="R39" s="24">
        <f t="shared" si="128"/>
        <v>10.553163572925882</v>
      </c>
      <c r="S39" s="41" t="str">
        <f t="shared" si="114"/>
        <v>X</v>
      </c>
      <c r="T39" s="24">
        <f t="shared" si="129"/>
        <v>6.6379628751105884</v>
      </c>
      <c r="U39" s="41" t="str">
        <f t="shared" si="115"/>
        <v>6</v>
      </c>
      <c r="V39" s="24">
        <f t="shared" si="130"/>
        <v>7.6555545013270603</v>
      </c>
      <c r="W39" s="41" t="str">
        <f t="shared" si="116"/>
        <v>7</v>
      </c>
      <c r="X39" s="24">
        <f t="shared" si="131"/>
        <v>7.8666540159247234</v>
      </c>
      <c r="Y39" s="41" t="str">
        <f t="shared" si="117"/>
        <v>7</v>
      </c>
      <c r="Z39" s="24">
        <f t="shared" si="132"/>
        <v>10.39984819109668</v>
      </c>
      <c r="AA39" s="41" t="str">
        <f t="shared" si="118"/>
        <v>X</v>
      </c>
      <c r="AB39" s="24">
        <f t="shared" si="133"/>
        <v>4.7981782931601629</v>
      </c>
      <c r="AC39" s="41" t="str">
        <f t="shared" si="119"/>
        <v>5</v>
      </c>
      <c r="AD39" s="24">
        <f t="shared" si="134"/>
        <v>9.5781395179219544</v>
      </c>
      <c r="AE39" s="41" t="str">
        <f t="shared" si="120"/>
        <v/>
      </c>
      <c r="AF39" s="24">
        <f t="shared" si="135"/>
        <v>6.9376742150634527</v>
      </c>
      <c r="AG39" s="41" t="str">
        <f t="shared" si="121"/>
        <v/>
      </c>
      <c r="AH39" s="24">
        <f t="shared" si="136"/>
        <v>11.252090580761433</v>
      </c>
      <c r="AI39" s="41" t="str">
        <f t="shared" si="122"/>
        <v/>
      </c>
    </row>
    <row r="40" spans="1:35" ht="15" customHeight="1">
      <c r="A40" s="719"/>
      <c r="B40" s="3" t="s">
        <v>156</v>
      </c>
      <c r="C40" s="3" t="s">
        <v>161</v>
      </c>
      <c r="D40" s="87">
        <f>1/D39</f>
        <v>3.8610215854244571E-7</v>
      </c>
      <c r="E40" s="8">
        <v>9</v>
      </c>
      <c r="F40" s="89">
        <f>1/F39</f>
        <v>2.8639407177417744E-8</v>
      </c>
      <c r="G40" s="21" t="str">
        <f t="shared" si="124"/>
        <v>1;039339E83</v>
      </c>
      <c r="H40" s="8">
        <v>-7</v>
      </c>
      <c r="I40" s="39">
        <f t="shared" si="123"/>
        <v>1.0262017392150546</v>
      </c>
      <c r="J40" s="98" t="str">
        <f>INDEX(powers!$H$2:$H$75,33+H40)</f>
        <v>atomic dirac</v>
      </c>
      <c r="K40" s="40" t="str">
        <f t="shared" si="110"/>
        <v>1</v>
      </c>
      <c r="L40" s="24">
        <f t="shared" si="125"/>
        <v>0.31442087058065571</v>
      </c>
      <c r="M40" s="41" t="str">
        <f t="shared" si="111"/>
        <v>0</v>
      </c>
      <c r="N40" s="24">
        <f t="shared" si="126"/>
        <v>3.7730504469678685</v>
      </c>
      <c r="O40" s="41" t="str">
        <f t="shared" si="112"/>
        <v>3</v>
      </c>
      <c r="P40" s="24">
        <f t="shared" si="127"/>
        <v>9.2766053636144221</v>
      </c>
      <c r="Q40" s="41" t="str">
        <f t="shared" si="113"/>
        <v>9</v>
      </c>
      <c r="R40" s="24">
        <f t="shared" si="128"/>
        <v>3.3192643633730654</v>
      </c>
      <c r="S40" s="41" t="str">
        <f t="shared" si="114"/>
        <v>3</v>
      </c>
      <c r="T40" s="24">
        <f t="shared" si="129"/>
        <v>3.8311723604767849</v>
      </c>
      <c r="U40" s="41" t="str">
        <f t="shared" si="115"/>
        <v>3</v>
      </c>
      <c r="V40" s="24">
        <f t="shared" si="130"/>
        <v>9.9740683257214187</v>
      </c>
      <c r="W40" s="41" t="str">
        <f t="shared" si="116"/>
        <v>9</v>
      </c>
      <c r="X40" s="24">
        <f t="shared" si="131"/>
        <v>11.688819908657024</v>
      </c>
      <c r="Y40" s="41" t="str">
        <f t="shared" si="117"/>
        <v>E</v>
      </c>
      <c r="Z40" s="24">
        <f t="shared" si="132"/>
        <v>8.265838903884287</v>
      </c>
      <c r="AA40" s="41" t="str">
        <f t="shared" si="118"/>
        <v>8</v>
      </c>
      <c r="AB40" s="24">
        <f t="shared" si="133"/>
        <v>3.1900668466114439</v>
      </c>
      <c r="AC40" s="41" t="str">
        <f t="shared" si="119"/>
        <v>3</v>
      </c>
      <c r="AD40" s="24">
        <f t="shared" si="134"/>
        <v>2.2808021593373269</v>
      </c>
      <c r="AE40" s="41" t="str">
        <f t="shared" si="120"/>
        <v/>
      </c>
      <c r="AF40" s="24">
        <f t="shared" si="135"/>
        <v>3.3696259120479226</v>
      </c>
      <c r="AG40" s="41" t="str">
        <f t="shared" si="121"/>
        <v/>
      </c>
      <c r="AH40" s="24">
        <f t="shared" si="136"/>
        <v>4.4355109445750713</v>
      </c>
      <c r="AI40" s="41" t="str">
        <f t="shared" si="122"/>
        <v/>
      </c>
    </row>
    <row r="41" spans="1:35" ht="14.25" customHeight="1">
      <c r="A41" s="719"/>
      <c r="B41" s="2" t="s">
        <v>188</v>
      </c>
      <c r="C41" s="2" t="s">
        <v>190</v>
      </c>
      <c r="D41" s="87">
        <f>D37/3600</f>
        <v>0.4470400000000001</v>
      </c>
      <c r="E41" s="8">
        <v>9</v>
      </c>
      <c r="F41" s="87">
        <f>D41/(F$3/F$4)</f>
        <v>0.64117362612184203</v>
      </c>
      <c r="G41" s="37" t="str">
        <f>K41&amp;";"&amp;M41&amp;O41&amp;Q41&amp;S41&amp;U41&amp;W41&amp;Y41&amp;AA41&amp;AC41&amp;AE41&amp;AG41&amp;AI41</f>
        <v>0;783E46232</v>
      </c>
      <c r="H41" s="38">
        <v>0</v>
      </c>
      <c r="I41" s="39">
        <f t="shared" si="123"/>
        <v>0.64117362612184203</v>
      </c>
      <c r="J41" s="98" t="str">
        <f>INDEX(powers!$H$2:$H$75,33+H41)</f>
        <v xml:space="preserve"> </v>
      </c>
      <c r="K41" s="40" t="str">
        <f t="shared" si="110"/>
        <v>0</v>
      </c>
      <c r="L41" s="24">
        <f>(I41-INT(I41))*12</f>
        <v>7.694083513462104</v>
      </c>
      <c r="M41" s="41" t="str">
        <f t="shared" si="111"/>
        <v>7</v>
      </c>
      <c r="N41" s="24">
        <f>(L41-INT(L41))*12</f>
        <v>8.3290021615452474</v>
      </c>
      <c r="O41" s="41" t="str">
        <f t="shared" si="112"/>
        <v>8</v>
      </c>
      <c r="P41" s="24">
        <f>(N41-INT(N41))*12</f>
        <v>3.948025938542969</v>
      </c>
      <c r="Q41" s="41" t="str">
        <f t="shared" si="113"/>
        <v>3</v>
      </c>
      <c r="R41" s="24">
        <f>(P41-INT(P41))*12</f>
        <v>11.376311262515628</v>
      </c>
      <c r="S41" s="41" t="str">
        <f t="shared" si="114"/>
        <v>E</v>
      </c>
      <c r="T41" s="24">
        <f>(R41-INT(R41))*12</f>
        <v>4.5157351501875382</v>
      </c>
      <c r="U41" s="41" t="str">
        <f t="shared" si="115"/>
        <v>4</v>
      </c>
      <c r="V41" s="24">
        <f>(T41-INT(T41))*12</f>
        <v>6.1888218022504589</v>
      </c>
      <c r="W41" s="41" t="str">
        <f t="shared" si="116"/>
        <v>6</v>
      </c>
      <c r="X41" s="24">
        <f>(V41-INT(V41))*12</f>
        <v>2.2658616270055063</v>
      </c>
      <c r="Y41" s="41" t="str">
        <f t="shared" si="117"/>
        <v>2</v>
      </c>
      <c r="Z41" s="24">
        <f>(X41-INT(X41))*12</f>
        <v>3.1903395240660757</v>
      </c>
      <c r="AA41" s="41" t="str">
        <f t="shared" si="118"/>
        <v>3</v>
      </c>
      <c r="AB41" s="24">
        <f>(Z41-INT(Z41))*12</f>
        <v>2.2840742887929082</v>
      </c>
      <c r="AC41" s="41" t="str">
        <f t="shared" si="119"/>
        <v>2</v>
      </c>
      <c r="AD41" s="24">
        <f>(AB41-INT(AB41))*12</f>
        <v>3.4088914655148983</v>
      </c>
      <c r="AE41" s="41" t="str">
        <f t="shared" si="120"/>
        <v/>
      </c>
      <c r="AF41" s="24">
        <f>(AD41-INT(AD41))*12</f>
        <v>4.9066975861787796</v>
      </c>
      <c r="AG41" s="41" t="str">
        <f t="shared" si="121"/>
        <v/>
      </c>
      <c r="AH41" s="24">
        <f>(AF41-INT(AF41))*12</f>
        <v>10.880371034145355</v>
      </c>
      <c r="AI41" s="41" t="str">
        <f t="shared" si="122"/>
        <v/>
      </c>
    </row>
    <row r="42" spans="1:35" ht="15" customHeight="1">
      <c r="A42" s="719"/>
      <c r="B42" s="3" t="s">
        <v>189</v>
      </c>
      <c r="C42" s="3" t="s">
        <v>191</v>
      </c>
      <c r="D42" s="87">
        <f>1/D41</f>
        <v>2.2369362920544016</v>
      </c>
      <c r="E42" s="8">
        <v>9</v>
      </c>
      <c r="F42" s="89">
        <f>1/F41</f>
        <v>1.5596399465906452</v>
      </c>
      <c r="G42" s="21" t="str">
        <f t="shared" ref="G42" si="137">K42&amp;";"&amp;M42&amp;O42&amp;Q42&amp;S42&amp;U42&amp;W42&amp;Y42&amp;AA42&amp;AC42&amp;AE42&amp;AG42&amp;AI42</f>
        <v>1;687083E15</v>
      </c>
      <c r="H42" s="8">
        <v>0</v>
      </c>
      <c r="I42" s="39">
        <f t="shared" si="123"/>
        <v>1.5596399465906452</v>
      </c>
      <c r="J42" s="98" t="str">
        <f>INDEX(powers!$H$2:$H$75,33+H42)</f>
        <v xml:space="preserve"> </v>
      </c>
      <c r="K42" s="40" t="str">
        <f t="shared" si="110"/>
        <v>1</v>
      </c>
      <c r="L42" s="24">
        <f t="shared" ref="L42" si="138">(I42-INT(I42))*12</f>
        <v>6.7156793590877424</v>
      </c>
      <c r="M42" s="41" t="str">
        <f t="shared" si="111"/>
        <v>6</v>
      </c>
      <c r="N42" s="24">
        <f t="shared" ref="N42" si="139">(L42-INT(L42))*12</f>
        <v>8.5881523090529086</v>
      </c>
      <c r="O42" s="41" t="str">
        <f t="shared" si="112"/>
        <v>8</v>
      </c>
      <c r="P42" s="24">
        <f t="shared" ref="P42" si="140">(N42-INT(N42))*12</f>
        <v>7.0578277086349033</v>
      </c>
      <c r="Q42" s="41" t="str">
        <f t="shared" si="113"/>
        <v>7</v>
      </c>
      <c r="R42" s="24">
        <f t="shared" ref="R42" si="141">(P42-INT(P42))*12</f>
        <v>0.69393250361883929</v>
      </c>
      <c r="S42" s="41" t="str">
        <f t="shared" si="114"/>
        <v>0</v>
      </c>
      <c r="T42" s="24">
        <f t="shared" ref="T42" si="142">(R42-INT(R42))*12</f>
        <v>8.3271900434260715</v>
      </c>
      <c r="U42" s="41" t="str">
        <f t="shared" si="115"/>
        <v>8</v>
      </c>
      <c r="V42" s="24">
        <f t="shared" ref="V42" si="143">(T42-INT(T42))*12</f>
        <v>3.926280521112858</v>
      </c>
      <c r="W42" s="41" t="str">
        <f t="shared" si="116"/>
        <v>3</v>
      </c>
      <c r="X42" s="24">
        <f t="shared" ref="X42" si="144">(V42-INT(V42))*12</f>
        <v>11.115366253354296</v>
      </c>
      <c r="Y42" s="41" t="str">
        <f t="shared" si="117"/>
        <v>E</v>
      </c>
      <c r="Z42" s="24">
        <f t="shared" ref="Z42" si="145">(X42-INT(X42))*12</f>
        <v>1.3843950402515475</v>
      </c>
      <c r="AA42" s="41" t="str">
        <f t="shared" si="118"/>
        <v>1</v>
      </c>
      <c r="AB42" s="24">
        <f t="shared" ref="AB42" si="146">(Z42-INT(Z42))*12</f>
        <v>4.6127404830185696</v>
      </c>
      <c r="AC42" s="41" t="str">
        <f t="shared" si="119"/>
        <v>5</v>
      </c>
      <c r="AD42" s="24">
        <f t="shared" ref="AD42" si="147">(AB42-INT(AB42))*12</f>
        <v>7.3528857962228358</v>
      </c>
      <c r="AE42" s="41" t="str">
        <f t="shared" si="120"/>
        <v/>
      </c>
      <c r="AF42" s="24">
        <f t="shared" ref="AF42" si="148">(AD42-INT(AD42))*12</f>
        <v>4.2346295546740294</v>
      </c>
      <c r="AG42" s="41" t="str">
        <f t="shared" si="121"/>
        <v/>
      </c>
      <c r="AH42" s="24">
        <f t="shared" ref="AH42" si="149">(AF42-INT(AF42))*12</f>
        <v>2.8155546560883522</v>
      </c>
      <c r="AI42" s="41" t="str">
        <f t="shared" si="122"/>
        <v/>
      </c>
    </row>
    <row r="43" spans="1:35" ht="14.25" customHeight="1">
      <c r="A43" s="719"/>
      <c r="B43" s="2" t="s">
        <v>162</v>
      </c>
      <c r="C43" s="2" t="s">
        <v>164</v>
      </c>
      <c r="D43" s="87">
        <f>D$33*4840</f>
        <v>4046.8564224000011</v>
      </c>
      <c r="E43" s="8">
        <v>9</v>
      </c>
      <c r="F43" s="87">
        <f>D43/(F$3*F$3)</f>
        <v>54557.693541646906</v>
      </c>
      <c r="G43" s="37" t="str">
        <f>K43&amp;";"&amp;M43&amp;O43&amp;Q43&amp;S43&amp;U43&amp;W43&amp;Y43&amp;AA43&amp;AC43&amp;AE43&amp;AG43&amp;AI43</f>
        <v>2;76X583X53</v>
      </c>
      <c r="H43" s="38">
        <v>4</v>
      </c>
      <c r="I43" s="39">
        <f t="shared" ref="I43:I44" si="150">F43/POWER(12,H43)</f>
        <v>2.6310616098402249</v>
      </c>
      <c r="J43" s="98" t="str">
        <f>INDEX(powers!$H$2:$H$75,33+H43)</f>
        <v>super</v>
      </c>
      <c r="K43" s="40" t="str">
        <f t="shared" ref="K43:K44" si="151">IF($E43&gt;=K$16,MID($H$16,IF($E43&gt;K$16,INT(I43),ROUND(I43,0))+1,1),"")</f>
        <v>2</v>
      </c>
      <c r="L43" s="24">
        <f>(I43-INT(I43))*12</f>
        <v>7.5727393180826983</v>
      </c>
      <c r="M43" s="41" t="str">
        <f t="shared" ref="M43:M44" si="152">IF($E43&gt;=M$16,MID($H$16,IF($E43&gt;M$16,INT(L43),ROUND(L43,0))+1,1),"")</f>
        <v>7</v>
      </c>
      <c r="N43" s="24">
        <f>(L43-INT(L43))*12</f>
        <v>6.8728718169923795</v>
      </c>
      <c r="O43" s="41" t="str">
        <f t="shared" ref="O43:O44" si="153">IF($E43&gt;=O$16,MID($H$16,IF($E43&gt;O$16,INT(N43),ROUND(N43,0))+1,1),"")</f>
        <v>6</v>
      </c>
      <c r="P43" s="24">
        <f>(N43-INT(N43))*12</f>
        <v>10.474461803908554</v>
      </c>
      <c r="Q43" s="41" t="str">
        <f t="shared" ref="Q43:Q44" si="154">IF($E43&gt;=Q$16,MID($H$16,IF($E43&gt;Q$16,INT(P43),ROUND(P43,0))+1,1),"")</f>
        <v>X</v>
      </c>
      <c r="R43" s="24">
        <f>(P43-INT(P43))*12</f>
        <v>5.693541646902645</v>
      </c>
      <c r="S43" s="41" t="str">
        <f t="shared" ref="S43:S44" si="155">IF($E43&gt;=S$16,MID($H$16,IF($E43&gt;S$16,INT(R43),ROUND(R43,0))+1,1),"")</f>
        <v>5</v>
      </c>
      <c r="T43" s="24">
        <f>(R43-INT(R43))*12</f>
        <v>8.3224997628317396</v>
      </c>
      <c r="U43" s="41" t="str">
        <f t="shared" ref="U43:U44" si="156">IF($E43&gt;=U$16,MID($H$16,IF($E43&gt;U$16,INT(T43),ROUND(T43,0))+1,1),"")</f>
        <v>8</v>
      </c>
      <c r="V43" s="24">
        <f>(T43-INT(T43))*12</f>
        <v>3.8699971539808757</v>
      </c>
      <c r="W43" s="41" t="str">
        <f t="shared" ref="W43:W44" si="157">IF($E43&gt;=W$16,MID($H$16,IF($E43&gt;W$16,INT(V43),ROUND(V43,0))+1,1),"")</f>
        <v>3</v>
      </c>
      <c r="X43" s="24">
        <f>(V43-INT(V43))*12</f>
        <v>10.439965847770509</v>
      </c>
      <c r="Y43" s="41" t="str">
        <f t="shared" ref="Y43:Y44" si="158">IF($E43&gt;=Y$16,MID($H$16,IF($E43&gt;Y$16,INT(X43),ROUND(X43,0))+1,1),"")</f>
        <v>X</v>
      </c>
      <c r="Z43" s="24">
        <f>(X43-INT(X43))*12</f>
        <v>5.2795901732461061</v>
      </c>
      <c r="AA43" s="41" t="str">
        <f t="shared" ref="AA43:AA44" si="159">IF($E43&gt;=AA$16,MID($H$16,IF($E43&gt;AA$16,INT(Z43),ROUND(Z43,0))+1,1),"")</f>
        <v>5</v>
      </c>
      <c r="AB43" s="24">
        <f>(Z43-INT(Z43))*12</f>
        <v>3.3550820789532736</v>
      </c>
      <c r="AC43" s="41" t="str">
        <f t="shared" ref="AC43:AC44" si="160">IF($E43&gt;=AC$16,MID($H$16,IF($E43&gt;AC$16,INT(AB43),ROUND(AB43,0))+1,1),"")</f>
        <v>3</v>
      </c>
      <c r="AD43" s="24">
        <f>(AB43-INT(AB43))*12</f>
        <v>4.2609849474392831</v>
      </c>
      <c r="AE43" s="41" t="str">
        <f t="shared" ref="AE43:AE44" si="161">IF($E43&gt;=AE$16,MID($H$16,IF($E43&gt;AE$16,INT(AD43),ROUND(AD43,0))+1,1),"")</f>
        <v/>
      </c>
      <c r="AF43" s="24">
        <f>(AD43-INT(AD43))*12</f>
        <v>3.1318193692713976</v>
      </c>
      <c r="AG43" s="41" t="str">
        <f t="shared" ref="AG43:AG44" si="162">IF($E43&gt;=AG$16,MID($H$16,IF($E43&gt;AG$16,INT(AF43),ROUND(AF43,0))+1,1),"")</f>
        <v/>
      </c>
      <c r="AH43" s="24">
        <f>(AF43-INT(AF43))*12</f>
        <v>1.5818324312567711</v>
      </c>
      <c r="AI43" s="41" t="str">
        <f t="shared" ref="AI43:AI44" si="163">IF($E43&gt;=AI$16,MID($H$16,IF($E43&gt;AI$16,INT(AH43),ROUND(AH43,0))+1,1),"")</f>
        <v/>
      </c>
    </row>
    <row r="44" spans="1:35" ht="15" customHeight="1">
      <c r="A44" s="719"/>
      <c r="B44" s="3" t="s">
        <v>163</v>
      </c>
      <c r="C44" s="3" t="s">
        <v>165</v>
      </c>
      <c r="D44" s="87">
        <f>1/D43</f>
        <v>2.4710538146716527E-4</v>
      </c>
      <c r="E44" s="8">
        <v>9</v>
      </c>
      <c r="F44" s="89">
        <f>1/F43</f>
        <v>1.8329220593547355E-5</v>
      </c>
      <c r="G44" s="21" t="str">
        <f t="shared" ref="G44" si="164">K44&amp;";"&amp;M44&amp;O44&amp;Q44&amp;S44&amp;U44&amp;W44&amp;Y44&amp;AA44&amp;AC44&amp;AE44&amp;AG44&amp;AI44</f>
        <v>0;46892903E</v>
      </c>
      <c r="H44" s="8">
        <v>-4</v>
      </c>
      <c r="I44" s="39">
        <f t="shared" si="150"/>
        <v>0.38007471822779798</v>
      </c>
      <c r="J44" s="98" t="str">
        <f>INDEX(powers!$H$2:$H$75,33+H44)</f>
        <v>sub</v>
      </c>
      <c r="K44" s="40" t="str">
        <f t="shared" si="151"/>
        <v>0</v>
      </c>
      <c r="L44" s="24">
        <f t="shared" ref="L44" si="165">(I44-INT(I44))*12</f>
        <v>4.560896618733576</v>
      </c>
      <c r="M44" s="41" t="str">
        <f t="shared" si="152"/>
        <v>4</v>
      </c>
      <c r="N44" s="24">
        <f t="shared" ref="N44" si="166">(L44-INT(L44))*12</f>
        <v>6.7307594248029119</v>
      </c>
      <c r="O44" s="41" t="str">
        <f t="shared" si="153"/>
        <v>6</v>
      </c>
      <c r="P44" s="24">
        <f t="shared" ref="P44" si="167">(N44-INT(N44))*12</f>
        <v>8.7691130976349427</v>
      </c>
      <c r="Q44" s="41" t="str">
        <f t="shared" si="154"/>
        <v>8</v>
      </c>
      <c r="R44" s="24">
        <f t="shared" ref="R44" si="168">(P44-INT(P44))*12</f>
        <v>9.2293571716193128</v>
      </c>
      <c r="S44" s="41" t="str">
        <f t="shared" si="155"/>
        <v>9</v>
      </c>
      <c r="T44" s="24">
        <f t="shared" ref="T44" si="169">(R44-INT(R44))*12</f>
        <v>2.7522860594317535</v>
      </c>
      <c r="U44" s="41" t="str">
        <f t="shared" si="156"/>
        <v>2</v>
      </c>
      <c r="V44" s="24">
        <f t="shared" ref="V44" si="170">(T44-INT(T44))*12</f>
        <v>9.0274327131810423</v>
      </c>
      <c r="W44" s="41" t="str">
        <f t="shared" si="157"/>
        <v>9</v>
      </c>
      <c r="X44" s="24">
        <f t="shared" ref="X44" si="171">(V44-INT(V44))*12</f>
        <v>0.32919255817250814</v>
      </c>
      <c r="Y44" s="41" t="str">
        <f t="shared" si="158"/>
        <v>0</v>
      </c>
      <c r="Z44" s="24">
        <f t="shared" ref="Z44" si="172">(X44-INT(X44))*12</f>
        <v>3.9503106980700977</v>
      </c>
      <c r="AA44" s="41" t="str">
        <f t="shared" si="159"/>
        <v>3</v>
      </c>
      <c r="AB44" s="24">
        <f t="shared" ref="AB44" si="173">(Z44-INT(Z44))*12</f>
        <v>11.403728376841173</v>
      </c>
      <c r="AC44" s="41" t="str">
        <f t="shared" si="160"/>
        <v>E</v>
      </c>
      <c r="AD44" s="24">
        <f t="shared" ref="AD44" si="174">(AB44-INT(AB44))*12</f>
        <v>4.8447405220940709</v>
      </c>
      <c r="AE44" s="41" t="str">
        <f t="shared" si="161"/>
        <v/>
      </c>
      <c r="AF44" s="24">
        <f t="shared" ref="AF44" si="175">(AD44-INT(AD44))*12</f>
        <v>10.136886265128851</v>
      </c>
      <c r="AG44" s="41" t="str">
        <f t="shared" si="162"/>
        <v/>
      </c>
      <c r="AH44" s="24">
        <f t="shared" ref="AH44" si="176">(AF44-INT(AF44))*12</f>
        <v>1.6426351815462112</v>
      </c>
      <c r="AI44" s="41" t="str">
        <f t="shared" si="163"/>
        <v/>
      </c>
    </row>
    <row r="45" spans="1:35" ht="14.25" customHeight="1">
      <c r="A45" s="719"/>
      <c r="B45" s="2" t="s">
        <v>168</v>
      </c>
      <c r="C45" s="2" t="s">
        <v>166</v>
      </c>
      <c r="D45" s="88">
        <v>4.54609E-3</v>
      </c>
      <c r="E45" s="8">
        <v>9</v>
      </c>
      <c r="F45" s="87">
        <f>D45/(F$3*F$3*F$3)</f>
        <v>0.22503254800393099</v>
      </c>
      <c r="G45" s="37" t="str">
        <f>K45&amp;";"&amp;M45&amp;O45&amp;Q45&amp;S45&amp;U45&amp;W45&amp;Y45&amp;AA45&amp;AC45&amp;AE45&amp;AG45&amp;AI45</f>
        <v>2;84X337079</v>
      </c>
      <c r="H45" s="38">
        <v>-1</v>
      </c>
      <c r="I45" s="39">
        <f t="shared" ref="I45:I46" si="177">F45/POWER(12,H45)</f>
        <v>2.7003905760471723</v>
      </c>
      <c r="J45" s="98" t="str">
        <f>INDEX(powers!$H$2:$H$75,33+H45)</f>
        <v>dour</v>
      </c>
      <c r="K45" s="40" t="str">
        <f t="shared" ref="K45:K46" si="178">IF($E45&gt;=K$16,MID($H$16,IF($E45&gt;K$16,INT(I45),ROUND(I45,0))+1,1),"")</f>
        <v>2</v>
      </c>
      <c r="L45" s="24">
        <f>(I45-INT(I45))*12</f>
        <v>8.404686912566067</v>
      </c>
      <c r="M45" s="41" t="str">
        <f t="shared" ref="M45:M46" si="179">IF($E45&gt;=M$16,MID($H$16,IF($E45&gt;M$16,INT(L45),ROUND(L45,0))+1,1),"")</f>
        <v>8</v>
      </c>
      <c r="N45" s="24">
        <f>(L45-INT(L45))*12</f>
        <v>4.8562429507928044</v>
      </c>
      <c r="O45" s="41" t="str">
        <f t="shared" ref="O45:O46" si="180">IF($E45&gt;=O$16,MID($H$16,IF($E45&gt;O$16,INT(N45),ROUND(N45,0))+1,1),"")</f>
        <v>4</v>
      </c>
      <c r="P45" s="24">
        <f>(N45-INT(N45))*12</f>
        <v>10.274915409513653</v>
      </c>
      <c r="Q45" s="41" t="str">
        <f t="shared" ref="Q45:Q46" si="181">IF($E45&gt;=Q$16,MID($H$16,IF($E45&gt;Q$16,INT(P45),ROUND(P45,0))+1,1),"")</f>
        <v>X</v>
      </c>
      <c r="R45" s="24">
        <f>(P45-INT(P45))*12</f>
        <v>3.2989849141638388</v>
      </c>
      <c r="S45" s="41" t="str">
        <f t="shared" ref="S45:S46" si="182">IF($E45&gt;=S$16,MID($H$16,IF($E45&gt;S$16,INT(R45),ROUND(R45,0))+1,1),"")</f>
        <v>3</v>
      </c>
      <c r="T45" s="24">
        <f>(R45-INT(R45))*12</f>
        <v>3.5878189699660652</v>
      </c>
      <c r="U45" s="41" t="str">
        <f t="shared" ref="U45:U46" si="183">IF($E45&gt;=U$16,MID($H$16,IF($E45&gt;U$16,INT(T45),ROUND(T45,0))+1,1),"")</f>
        <v>3</v>
      </c>
      <c r="V45" s="24">
        <f>(T45-INT(T45))*12</f>
        <v>7.0538276395927824</v>
      </c>
      <c r="W45" s="41" t="str">
        <f t="shared" ref="W45:W46" si="184">IF($E45&gt;=W$16,MID($H$16,IF($E45&gt;W$16,INT(V45),ROUND(V45,0))+1,1),"")</f>
        <v>7</v>
      </c>
      <c r="X45" s="24">
        <f>(V45-INT(V45))*12</f>
        <v>0.64593167511338834</v>
      </c>
      <c r="Y45" s="41" t="str">
        <f t="shared" ref="Y45:Y46" si="185">IF($E45&gt;=Y$16,MID($H$16,IF($E45&gt;Y$16,INT(X45),ROUND(X45,0))+1,1),"")</f>
        <v>0</v>
      </c>
      <c r="Z45" s="24">
        <f>(X45-INT(X45))*12</f>
        <v>7.75118010136066</v>
      </c>
      <c r="AA45" s="41" t="str">
        <f t="shared" ref="AA45:AA46" si="186">IF($E45&gt;=AA$16,MID($H$16,IF($E45&gt;AA$16,INT(Z45),ROUND(Z45,0))+1,1),"")</f>
        <v>7</v>
      </c>
      <c r="AB45" s="24">
        <f>(Z45-INT(Z45))*12</f>
        <v>9.0141612163279206</v>
      </c>
      <c r="AC45" s="41" t="str">
        <f t="shared" ref="AC45:AC46" si="187">IF($E45&gt;=AC$16,MID($H$16,IF($E45&gt;AC$16,INT(AB45),ROUND(AB45,0))+1,1),"")</f>
        <v>9</v>
      </c>
      <c r="AD45" s="24">
        <f>(AB45-INT(AB45))*12</f>
        <v>0.16993459593504667</v>
      </c>
      <c r="AE45" s="41" t="str">
        <f t="shared" ref="AE45:AE46" si="188">IF($E45&gt;=AE$16,MID($H$16,IF($E45&gt;AE$16,INT(AD45),ROUND(AD45,0))+1,1),"")</f>
        <v/>
      </c>
      <c r="AF45" s="24">
        <f>(AD45-INT(AD45))*12</f>
        <v>2.0392151512205601</v>
      </c>
      <c r="AG45" s="41" t="str">
        <f t="shared" ref="AG45:AG46" si="189">IF($E45&gt;=AG$16,MID($H$16,IF($E45&gt;AG$16,INT(AF45),ROUND(AF45,0))+1,1),"")</f>
        <v/>
      </c>
      <c r="AH45" s="24">
        <f>(AF45-INT(AF45))*12</f>
        <v>0.47058181464672089</v>
      </c>
      <c r="AI45" s="41" t="str">
        <f t="shared" ref="AI45:AI46" si="190">IF($E45&gt;=AI$16,MID($H$16,IF($E45&gt;AI$16,INT(AH45),ROUND(AH45,0))+1,1),"")</f>
        <v/>
      </c>
    </row>
    <row r="46" spans="1:35" ht="15" customHeight="1">
      <c r="A46" s="719"/>
      <c r="B46" s="3" t="s">
        <v>169</v>
      </c>
      <c r="C46" s="3" t="s">
        <v>167</v>
      </c>
      <c r="D46" s="87">
        <f>1/D45</f>
        <v>219.96924829908778</v>
      </c>
      <c r="E46" s="8">
        <v>9</v>
      </c>
      <c r="F46" s="89">
        <f>1/F45</f>
        <v>4.4438016139004546</v>
      </c>
      <c r="G46" s="21" t="str">
        <f t="shared" ref="G46" si="191">K46&amp;";"&amp;M46&amp;O46&amp;Q46&amp;S46&amp;U46&amp;W46&amp;Y46&amp;AA46&amp;AC46&amp;AE46&amp;AG46&amp;AI46</f>
        <v>0;453XX8063</v>
      </c>
      <c r="H46" s="8">
        <v>1</v>
      </c>
      <c r="I46" s="39">
        <f t="shared" si="177"/>
        <v>0.37031680115837123</v>
      </c>
      <c r="J46" s="98" t="str">
        <f>INDEX(powers!$H$2:$H$75,33+H46)</f>
        <v>dirac</v>
      </c>
      <c r="K46" s="40" t="str">
        <f t="shared" si="178"/>
        <v>0</v>
      </c>
      <c r="L46" s="24">
        <f t="shared" ref="L46" si="192">(I46-INT(I46))*12</f>
        <v>4.4438016139004546</v>
      </c>
      <c r="M46" s="41" t="str">
        <f t="shared" si="179"/>
        <v>4</v>
      </c>
      <c r="N46" s="24">
        <f t="shared" ref="N46" si="193">(L46-INT(L46))*12</f>
        <v>5.325619366805455</v>
      </c>
      <c r="O46" s="41" t="str">
        <f t="shared" si="180"/>
        <v>5</v>
      </c>
      <c r="P46" s="24">
        <f t="shared" ref="P46" si="194">(N46-INT(N46))*12</f>
        <v>3.90743240166546</v>
      </c>
      <c r="Q46" s="41" t="str">
        <f t="shared" si="181"/>
        <v>3</v>
      </c>
      <c r="R46" s="24">
        <f t="shared" ref="R46" si="195">(P46-INT(P46))*12</f>
        <v>10.88918881998552</v>
      </c>
      <c r="S46" s="41" t="str">
        <f t="shared" si="182"/>
        <v>X</v>
      </c>
      <c r="T46" s="24">
        <f t="shared" ref="T46" si="196">(R46-INT(R46))*12</f>
        <v>10.670265839826243</v>
      </c>
      <c r="U46" s="41" t="str">
        <f t="shared" si="183"/>
        <v>X</v>
      </c>
      <c r="V46" s="24">
        <f t="shared" ref="V46" si="197">(T46-INT(T46))*12</f>
        <v>8.0431900779149146</v>
      </c>
      <c r="W46" s="41" t="str">
        <f t="shared" si="184"/>
        <v>8</v>
      </c>
      <c r="X46" s="24">
        <f t="shared" ref="X46" si="198">(V46-INT(V46))*12</f>
        <v>0.51828093497897498</v>
      </c>
      <c r="Y46" s="41" t="str">
        <f t="shared" si="185"/>
        <v>0</v>
      </c>
      <c r="Z46" s="24">
        <f t="shared" ref="Z46" si="199">(X46-INT(X46))*12</f>
        <v>6.2193712197476998</v>
      </c>
      <c r="AA46" s="41" t="str">
        <f t="shared" si="186"/>
        <v>6</v>
      </c>
      <c r="AB46" s="24">
        <f t="shared" ref="AB46" si="200">(Z46-INT(Z46))*12</f>
        <v>2.6324546369723976</v>
      </c>
      <c r="AC46" s="41" t="str">
        <f t="shared" si="187"/>
        <v>3</v>
      </c>
      <c r="AD46" s="24">
        <f t="shared" ref="AD46" si="201">(AB46-INT(AB46))*12</f>
        <v>7.5894556436687708</v>
      </c>
      <c r="AE46" s="41" t="str">
        <f t="shared" si="188"/>
        <v/>
      </c>
      <c r="AF46" s="24">
        <f t="shared" ref="AF46" si="202">(AD46-INT(AD46))*12</f>
        <v>7.0734677240252495</v>
      </c>
      <c r="AG46" s="41" t="str">
        <f t="shared" si="189"/>
        <v/>
      </c>
      <c r="AH46" s="24">
        <f t="shared" ref="AH46" si="203">(AF46-INT(AF46))*12</f>
        <v>0.88161268830299377</v>
      </c>
      <c r="AI46" s="41" t="str">
        <f t="shared" si="190"/>
        <v/>
      </c>
    </row>
    <row r="47" spans="1:35" ht="14.25" customHeight="1">
      <c r="A47" s="719"/>
      <c r="B47" s="2" t="s">
        <v>170</v>
      </c>
      <c r="C47" s="2" t="s">
        <v>166</v>
      </c>
      <c r="D47" s="88">
        <v>3.7854117840000001E-3</v>
      </c>
      <c r="E47" s="8">
        <v>9</v>
      </c>
      <c r="F47" s="87">
        <f>D47/(F$3*F$3*F$3)</f>
        <v>0.18737879342415706</v>
      </c>
      <c r="G47" s="37" t="str">
        <f>K47&amp;";"&amp;M47&amp;O47&amp;Q47&amp;S47&amp;U47&amp;W47&amp;Y47&amp;AA47&amp;AC47&amp;AE47&amp;AG47&amp;AI47</f>
        <v>2;2E95X0E48</v>
      </c>
      <c r="H47" s="38">
        <v>-1</v>
      </c>
      <c r="I47" s="39">
        <f t="shared" ref="I47:I50" si="204">F47/POWER(12,H47)</f>
        <v>2.248545521089885</v>
      </c>
      <c r="J47" s="98" t="str">
        <f>INDEX(powers!$H$2:$H$75,33+H47)</f>
        <v>dour</v>
      </c>
      <c r="K47" s="40" t="str">
        <f t="shared" ref="K47:K50" si="205">IF($E47&gt;=K$16,MID($H$16,IF($E47&gt;K$16,INT(I47),ROUND(I47,0))+1,1),"")</f>
        <v>2</v>
      </c>
      <c r="L47" s="24">
        <f>(I47-INT(I47))*12</f>
        <v>2.9825462530786204</v>
      </c>
      <c r="M47" s="41" t="str">
        <f t="shared" ref="M47:M50" si="206">IF($E47&gt;=M$16,MID($H$16,IF($E47&gt;M$16,INT(L47),ROUND(L47,0))+1,1),"")</f>
        <v>2</v>
      </c>
      <c r="N47" s="24">
        <f>(L47-INT(L47))*12</f>
        <v>11.790555036943445</v>
      </c>
      <c r="O47" s="41" t="str">
        <f t="shared" ref="O47:O50" si="207">IF($E47&gt;=O$16,MID($H$16,IF($E47&gt;O$16,INT(N47),ROUND(N47,0))+1,1),"")</f>
        <v>E</v>
      </c>
      <c r="P47" s="24">
        <f>(N47-INT(N47))*12</f>
        <v>9.4866604433213411</v>
      </c>
      <c r="Q47" s="41" t="str">
        <f t="shared" ref="Q47:Q50" si="208">IF($E47&gt;=Q$16,MID($H$16,IF($E47&gt;Q$16,INT(P47),ROUND(P47,0))+1,1),"")</f>
        <v>9</v>
      </c>
      <c r="R47" s="24">
        <f>(P47-INT(P47))*12</f>
        <v>5.8399253198560928</v>
      </c>
      <c r="S47" s="41" t="str">
        <f t="shared" ref="S47:S50" si="209">IF($E47&gt;=S$16,MID($H$16,IF($E47&gt;S$16,INT(R47),ROUND(R47,0))+1,1),"")</f>
        <v>5</v>
      </c>
      <c r="T47" s="24">
        <f>(R47-INT(R47))*12</f>
        <v>10.079103838273113</v>
      </c>
      <c r="U47" s="41" t="str">
        <f t="shared" ref="U47:U50" si="210">IF($E47&gt;=U$16,MID($H$16,IF($E47&gt;U$16,INT(T47),ROUND(T47,0))+1,1),"")</f>
        <v>X</v>
      </c>
      <c r="V47" s="24">
        <f>(T47-INT(T47))*12</f>
        <v>0.94924605927735684</v>
      </c>
      <c r="W47" s="41" t="str">
        <f t="shared" ref="W47:W50" si="211">IF($E47&gt;=W$16,MID($H$16,IF($E47&gt;W$16,INT(V47),ROUND(V47,0))+1,1),"")</f>
        <v>0</v>
      </c>
      <c r="X47" s="24">
        <f>(V47-INT(V47))*12</f>
        <v>11.390952711328282</v>
      </c>
      <c r="Y47" s="41" t="str">
        <f t="shared" ref="Y47:Y50" si="212">IF($E47&gt;=Y$16,MID($H$16,IF($E47&gt;Y$16,INT(X47),ROUND(X47,0))+1,1),"")</f>
        <v>E</v>
      </c>
      <c r="Z47" s="24">
        <f>(X47-INT(X47))*12</f>
        <v>4.6914325359393843</v>
      </c>
      <c r="AA47" s="41" t="str">
        <f t="shared" ref="AA47:AA50" si="213">IF($E47&gt;=AA$16,MID($H$16,IF($E47&gt;AA$16,INT(Z47),ROUND(Z47,0))+1,1),"")</f>
        <v>4</v>
      </c>
      <c r="AB47" s="24">
        <f>(Z47-INT(Z47))*12</f>
        <v>8.297190431272611</v>
      </c>
      <c r="AC47" s="41" t="str">
        <f t="shared" ref="AC47:AC50" si="214">IF($E47&gt;=AC$16,MID($H$16,IF($E47&gt;AC$16,INT(AB47),ROUND(AB47,0))+1,1),"")</f>
        <v>8</v>
      </c>
      <c r="AD47" s="24">
        <f>(AB47-INT(AB47))*12</f>
        <v>3.5662851752713323</v>
      </c>
      <c r="AE47" s="41" t="str">
        <f t="shared" ref="AE47:AE50" si="215">IF($E47&gt;=AE$16,MID($H$16,IF($E47&gt;AE$16,INT(AD47),ROUND(AD47,0))+1,1),"")</f>
        <v/>
      </c>
      <c r="AF47" s="24">
        <f>(AD47-INT(AD47))*12</f>
        <v>6.7954221032559872</v>
      </c>
      <c r="AG47" s="41" t="str">
        <f t="shared" ref="AG47:AG50" si="216">IF($E47&gt;=AG$16,MID($H$16,IF($E47&gt;AG$16,INT(AF47),ROUND(AF47,0))+1,1),"")</f>
        <v/>
      </c>
      <c r="AH47" s="24">
        <f>(AF47-INT(AF47))*12</f>
        <v>9.545065239071846</v>
      </c>
      <c r="AI47" s="41" t="str">
        <f t="shared" ref="AI47:AI50" si="217">IF($E47&gt;=AI$16,MID($H$16,IF($E47&gt;AI$16,INT(AH47),ROUND(AH47,0))+1,1),"")</f>
        <v/>
      </c>
    </row>
    <row r="48" spans="1:35" ht="15" customHeight="1">
      <c r="A48" s="719"/>
      <c r="B48" s="3" t="s">
        <v>171</v>
      </c>
      <c r="C48" s="3" t="s">
        <v>167</v>
      </c>
      <c r="D48" s="87">
        <f>1/D47</f>
        <v>264.17205235814839</v>
      </c>
      <c r="E48" s="8">
        <v>9</v>
      </c>
      <c r="F48" s="89">
        <f>1/F47</f>
        <v>5.3367832171721039</v>
      </c>
      <c r="G48" s="21" t="str">
        <f t="shared" ref="G48" si="218">K48&amp;";"&amp;M48&amp;O48&amp;Q48&amp;S48&amp;U48&amp;W48&amp;Y48&amp;AA48&amp;AC48&amp;AE48&amp;AG48&amp;AI48</f>
        <v>0;5405E6537</v>
      </c>
      <c r="H48" s="8">
        <v>1</v>
      </c>
      <c r="I48" s="39">
        <f t="shared" si="204"/>
        <v>0.44473193476434197</v>
      </c>
      <c r="J48" s="98" t="str">
        <f>INDEX(powers!$H$2:$H$75,33+H48)</f>
        <v>dirac</v>
      </c>
      <c r="K48" s="40" t="str">
        <f t="shared" si="205"/>
        <v>0</v>
      </c>
      <c r="L48" s="24">
        <f t="shared" ref="L48" si="219">(I48-INT(I48))*12</f>
        <v>5.3367832171721039</v>
      </c>
      <c r="M48" s="41" t="str">
        <f t="shared" si="206"/>
        <v>5</v>
      </c>
      <c r="N48" s="24">
        <f t="shared" ref="N48" si="220">(L48-INT(L48))*12</f>
        <v>4.0413986060652469</v>
      </c>
      <c r="O48" s="41" t="str">
        <f t="shared" si="207"/>
        <v>4</v>
      </c>
      <c r="P48" s="24">
        <f t="shared" ref="P48" si="221">(N48-INT(N48))*12</f>
        <v>0.49678327278296308</v>
      </c>
      <c r="Q48" s="41" t="str">
        <f t="shared" si="208"/>
        <v>0</v>
      </c>
      <c r="R48" s="24">
        <f t="shared" ref="R48" si="222">(P48-INT(P48))*12</f>
        <v>5.961399273395557</v>
      </c>
      <c r="S48" s="41" t="str">
        <f t="shared" si="209"/>
        <v>5</v>
      </c>
      <c r="T48" s="24">
        <f t="shared" ref="T48" si="223">(R48-INT(R48))*12</f>
        <v>11.536791280746684</v>
      </c>
      <c r="U48" s="41" t="str">
        <f t="shared" si="210"/>
        <v>E</v>
      </c>
      <c r="V48" s="24">
        <f t="shared" ref="V48" si="224">(T48-INT(T48))*12</f>
        <v>6.4414953689602044</v>
      </c>
      <c r="W48" s="41" t="str">
        <f t="shared" si="211"/>
        <v>6</v>
      </c>
      <c r="X48" s="24">
        <f t="shared" ref="X48" si="225">(V48-INT(V48))*12</f>
        <v>5.2979444275224523</v>
      </c>
      <c r="Y48" s="41" t="str">
        <f t="shared" si="212"/>
        <v>5</v>
      </c>
      <c r="Z48" s="24">
        <f t="shared" ref="Z48" si="226">(X48-INT(X48))*12</f>
        <v>3.5753331302694278</v>
      </c>
      <c r="AA48" s="41" t="str">
        <f t="shared" si="213"/>
        <v>3</v>
      </c>
      <c r="AB48" s="24">
        <f t="shared" ref="AB48" si="227">(Z48-INT(Z48))*12</f>
        <v>6.9039975632331334</v>
      </c>
      <c r="AC48" s="41" t="str">
        <f t="shared" si="214"/>
        <v>7</v>
      </c>
      <c r="AD48" s="24">
        <f t="shared" ref="AD48" si="228">(AB48-INT(AB48))*12</f>
        <v>10.847970758797601</v>
      </c>
      <c r="AE48" s="41" t="str">
        <f t="shared" si="215"/>
        <v/>
      </c>
      <c r="AF48" s="24">
        <f t="shared" ref="AF48" si="229">(AD48-INT(AD48))*12</f>
        <v>10.17564910557121</v>
      </c>
      <c r="AG48" s="41" t="str">
        <f t="shared" si="216"/>
        <v/>
      </c>
      <c r="AH48" s="24">
        <f t="shared" ref="AH48" si="230">(AF48-INT(AF48))*12</f>
        <v>2.1077892668545246</v>
      </c>
      <c r="AI48" s="41" t="str">
        <f t="shared" si="217"/>
        <v/>
      </c>
    </row>
    <row r="49" spans="1:35" ht="14.25" customHeight="1">
      <c r="A49" s="719"/>
      <c r="B49" s="2" t="s">
        <v>172</v>
      </c>
      <c r="C49" s="2" t="s">
        <v>174</v>
      </c>
      <c r="D49" s="87">
        <v>0.45359237000000002</v>
      </c>
      <c r="E49" s="8">
        <v>9</v>
      </c>
      <c r="F49" s="87">
        <f>D49/F$8</f>
        <v>3.4407556927368375</v>
      </c>
      <c r="G49" s="37" t="str">
        <f>K49&amp;";"&amp;M49&amp;O49&amp;Q49&amp;S49&amp;U49&amp;W49&amp;Y49&amp;AA49&amp;AC49&amp;AE49&amp;AG49&amp;AI49</f>
        <v>3;535761543</v>
      </c>
      <c r="H49" s="38">
        <v>0</v>
      </c>
      <c r="I49" s="39">
        <f t="shared" si="204"/>
        <v>3.4407556927368375</v>
      </c>
      <c r="J49" s="98" t="str">
        <f>INDEX(powers!$H$2:$H$75,33+H49)</f>
        <v xml:space="preserve"> </v>
      </c>
      <c r="K49" s="40" t="str">
        <f t="shared" si="205"/>
        <v>3</v>
      </c>
      <c r="L49" s="24">
        <f>(I49-INT(I49))*12</f>
        <v>5.2890683128420495</v>
      </c>
      <c r="M49" s="41" t="str">
        <f t="shared" si="206"/>
        <v>5</v>
      </c>
      <c r="N49" s="24">
        <f>(L49-INT(L49))*12</f>
        <v>3.4688197541045938</v>
      </c>
      <c r="O49" s="41" t="str">
        <f t="shared" si="207"/>
        <v>3</v>
      </c>
      <c r="P49" s="24">
        <f>(N49-INT(N49))*12</f>
        <v>5.6258370492551251</v>
      </c>
      <c r="Q49" s="41" t="str">
        <f t="shared" si="208"/>
        <v>5</v>
      </c>
      <c r="R49" s="24">
        <f>(P49-INT(P49))*12</f>
        <v>7.5100445910615008</v>
      </c>
      <c r="S49" s="41" t="str">
        <f t="shared" si="209"/>
        <v>7</v>
      </c>
      <c r="T49" s="24">
        <f>(R49-INT(R49))*12</f>
        <v>6.1205350927380096</v>
      </c>
      <c r="U49" s="41" t="str">
        <f t="shared" si="210"/>
        <v>6</v>
      </c>
      <c r="V49" s="24">
        <f>(T49-INT(T49))*12</f>
        <v>1.4464211128561146</v>
      </c>
      <c r="W49" s="41" t="str">
        <f t="shared" si="211"/>
        <v>1</v>
      </c>
      <c r="X49" s="24">
        <f>(V49-INT(V49))*12</f>
        <v>5.3570533542733756</v>
      </c>
      <c r="Y49" s="41" t="str">
        <f t="shared" si="212"/>
        <v>5</v>
      </c>
      <c r="Z49" s="24">
        <f>(X49-INT(X49))*12</f>
        <v>4.2846402512805071</v>
      </c>
      <c r="AA49" s="41" t="str">
        <f t="shared" si="213"/>
        <v>4</v>
      </c>
      <c r="AB49" s="24">
        <f>(Z49-INT(Z49))*12</f>
        <v>3.4156830153660849</v>
      </c>
      <c r="AC49" s="41" t="str">
        <f t="shared" si="214"/>
        <v>3</v>
      </c>
      <c r="AD49" s="24">
        <f>(AB49-INT(AB49))*12</f>
        <v>4.9881961843930185</v>
      </c>
      <c r="AE49" s="41" t="str">
        <f t="shared" si="215"/>
        <v/>
      </c>
      <c r="AF49" s="24">
        <f>(AD49-INT(AD49))*12</f>
        <v>11.858354212716222</v>
      </c>
      <c r="AG49" s="41" t="str">
        <f t="shared" si="216"/>
        <v/>
      </c>
      <c r="AH49" s="24">
        <f>(AF49-INT(AF49))*12</f>
        <v>10.300250552594662</v>
      </c>
      <c r="AI49" s="41" t="str">
        <f t="shared" si="217"/>
        <v/>
      </c>
    </row>
    <row r="50" spans="1:35" ht="15" customHeight="1">
      <c r="A50" s="719"/>
      <c r="B50" s="3" t="s">
        <v>173</v>
      </c>
      <c r="C50" s="3" t="s">
        <v>175</v>
      </c>
      <c r="D50" s="87">
        <f>1/D49</f>
        <v>2.2046226218487757</v>
      </c>
      <c r="E50" s="8">
        <v>9</v>
      </c>
      <c r="F50" s="89">
        <f>1/F49</f>
        <v>0.2906338285252047</v>
      </c>
      <c r="G50" s="21" t="str">
        <f t="shared" ref="G50" si="231">K50&amp;";"&amp;M50&amp;O50&amp;Q50&amp;S50&amp;U50&amp;W50&amp;Y50&amp;AA50&amp;AC50&amp;AE50&amp;AG50&amp;AI50</f>
        <v>0;35X26EE66</v>
      </c>
      <c r="H50" s="8">
        <v>0</v>
      </c>
      <c r="I50" s="39">
        <f t="shared" si="204"/>
        <v>0.2906338285252047</v>
      </c>
      <c r="J50" s="98" t="str">
        <f>INDEX(powers!$H$2:$H$75,33+H50)</f>
        <v xml:space="preserve"> </v>
      </c>
      <c r="K50" s="40" t="str">
        <f t="shared" si="205"/>
        <v>0</v>
      </c>
      <c r="L50" s="24">
        <f t="shared" ref="L50" si="232">(I50-INT(I50))*12</f>
        <v>3.4876059423024564</v>
      </c>
      <c r="M50" s="41" t="str">
        <f t="shared" si="206"/>
        <v>3</v>
      </c>
      <c r="N50" s="24">
        <f t="shared" ref="N50" si="233">(L50-INT(L50))*12</f>
        <v>5.8512713076294762</v>
      </c>
      <c r="O50" s="41" t="str">
        <f t="shared" si="207"/>
        <v>5</v>
      </c>
      <c r="P50" s="24">
        <f t="shared" ref="P50" si="234">(N50-INT(N50))*12</f>
        <v>10.215255691553715</v>
      </c>
      <c r="Q50" s="41" t="str">
        <f t="shared" si="208"/>
        <v>X</v>
      </c>
      <c r="R50" s="24">
        <f t="shared" ref="R50" si="235">(P50-INT(P50))*12</f>
        <v>2.5830682986445765</v>
      </c>
      <c r="S50" s="41" t="str">
        <f t="shared" si="209"/>
        <v>2</v>
      </c>
      <c r="T50" s="24">
        <f t="shared" ref="T50" si="236">(R50-INT(R50))*12</f>
        <v>6.9968195837349185</v>
      </c>
      <c r="U50" s="41" t="str">
        <f t="shared" si="210"/>
        <v>6</v>
      </c>
      <c r="V50" s="24">
        <f t="shared" ref="V50" si="237">(T50-INT(T50))*12</f>
        <v>11.961835004819022</v>
      </c>
      <c r="W50" s="41" t="str">
        <f t="shared" si="211"/>
        <v>E</v>
      </c>
      <c r="X50" s="24">
        <f t="shared" ref="X50" si="238">(V50-INT(V50))*12</f>
        <v>11.542020057828267</v>
      </c>
      <c r="Y50" s="41" t="str">
        <f t="shared" si="212"/>
        <v>E</v>
      </c>
      <c r="Z50" s="24">
        <f t="shared" ref="Z50" si="239">(X50-INT(X50))*12</f>
        <v>6.5042406939392095</v>
      </c>
      <c r="AA50" s="41" t="str">
        <f t="shared" si="213"/>
        <v>6</v>
      </c>
      <c r="AB50" s="24">
        <f t="shared" ref="AB50" si="240">(Z50-INT(Z50))*12</f>
        <v>6.0508883272705134</v>
      </c>
      <c r="AC50" s="41" t="str">
        <f t="shared" si="214"/>
        <v>6</v>
      </c>
      <c r="AD50" s="24">
        <f t="shared" ref="AD50" si="241">(AB50-INT(AB50))*12</f>
        <v>0.61065992724616081</v>
      </c>
      <c r="AE50" s="41" t="str">
        <f t="shared" si="215"/>
        <v/>
      </c>
      <c r="AF50" s="24">
        <f t="shared" ref="AF50" si="242">(AD50-INT(AD50))*12</f>
        <v>7.3279191269539297</v>
      </c>
      <c r="AG50" s="41" t="str">
        <f t="shared" si="216"/>
        <v/>
      </c>
      <c r="AH50" s="24">
        <f t="shared" ref="AH50" si="243">(AF50-INT(AF50))*12</f>
        <v>3.935029523447156</v>
      </c>
      <c r="AI50" s="41" t="str">
        <f t="shared" si="217"/>
        <v/>
      </c>
    </row>
    <row r="51" spans="1:35" ht="14.25" customHeight="1">
      <c r="A51" s="719"/>
      <c r="B51" s="2" t="s">
        <v>176</v>
      </c>
      <c r="C51" s="2" t="s">
        <v>178</v>
      </c>
      <c r="D51" s="87">
        <f>D49/16</f>
        <v>2.8349523125000001E-2</v>
      </c>
      <c r="E51" s="8">
        <v>9</v>
      </c>
      <c r="F51" s="87">
        <f>D51/F$8</f>
        <v>0.21504723079605234</v>
      </c>
      <c r="G51" s="37" t="str">
        <f>K51&amp;";"&amp;M51&amp;O51&amp;Q51&amp;S51&amp;U51&amp;W51&amp;Y51&amp;AA51&amp;AC51&amp;AE51&amp;AG51&amp;AI51</f>
        <v>0;26E727710</v>
      </c>
      <c r="H51" s="38">
        <v>0</v>
      </c>
      <c r="I51" s="39">
        <f t="shared" ref="I51:I56" si="244">F51/POWER(12,H51)</f>
        <v>0.21504723079605234</v>
      </c>
      <c r="J51" s="98" t="str">
        <f>INDEX(powers!$H$2:$H$75,33+H51)</f>
        <v xml:space="preserve"> </v>
      </c>
      <c r="K51" s="40" t="str">
        <f t="shared" ref="K51:K56" si="245">IF($E51&gt;=K$16,MID($H$16,IF($E51&gt;K$16,INT(I51),ROUND(I51,0))+1,1),"")</f>
        <v>0</v>
      </c>
      <c r="L51" s="24">
        <f>(I51-INT(I51))*12</f>
        <v>2.580566769552628</v>
      </c>
      <c r="M51" s="41" t="str">
        <f t="shared" ref="M51:M56" si="246">IF($E51&gt;=M$16,MID($H$16,IF($E51&gt;M$16,INT(L51),ROUND(L51,0))+1,1),"")</f>
        <v>2</v>
      </c>
      <c r="N51" s="24">
        <f>(L51-INT(L51))*12</f>
        <v>6.9668012346315358</v>
      </c>
      <c r="O51" s="41" t="str">
        <f t="shared" ref="O51:O56" si="247">IF($E51&gt;=O$16,MID($H$16,IF($E51&gt;O$16,INT(N51),ROUND(N51,0))+1,1),"")</f>
        <v>6</v>
      </c>
      <c r="P51" s="24">
        <f>(N51-INT(N51))*12</f>
        <v>11.601614815578429</v>
      </c>
      <c r="Q51" s="41" t="str">
        <f t="shared" ref="Q51:Q56" si="248">IF($E51&gt;=Q$16,MID($H$16,IF($E51&gt;Q$16,INT(P51),ROUND(P51,0))+1,1),"")</f>
        <v>E</v>
      </c>
      <c r="R51" s="24">
        <f>(P51-INT(P51))*12</f>
        <v>7.219377786941152</v>
      </c>
      <c r="S51" s="41" t="str">
        <f t="shared" ref="S51:S56" si="249">IF($E51&gt;=S$16,MID($H$16,IF($E51&gt;S$16,INT(R51),ROUND(R51,0))+1,1),"")</f>
        <v>7</v>
      </c>
      <c r="T51" s="24">
        <f>(R51-INT(R51))*12</f>
        <v>2.6325334432938234</v>
      </c>
      <c r="U51" s="41" t="str">
        <f t="shared" ref="U51:U56" si="250">IF($E51&gt;=U$16,MID($H$16,IF($E51&gt;U$16,INT(T51),ROUND(T51,0))+1,1),"")</f>
        <v>2</v>
      </c>
      <c r="V51" s="24">
        <f>(T51-INT(T51))*12</f>
        <v>7.5904013195258813</v>
      </c>
      <c r="W51" s="41" t="str">
        <f t="shared" ref="W51:W56" si="251">IF($E51&gt;=W$16,MID($H$16,IF($E51&gt;W$16,INT(V51),ROUND(V51,0))+1,1),"")</f>
        <v>7</v>
      </c>
      <c r="X51" s="24">
        <f>(V51-INT(V51))*12</f>
        <v>7.0848158343105752</v>
      </c>
      <c r="Y51" s="41" t="str">
        <f t="shared" ref="Y51:Y56" si="252">IF($E51&gt;=Y$16,MID($H$16,IF($E51&gt;Y$16,INT(X51),ROUND(X51,0))+1,1),"")</f>
        <v>7</v>
      </c>
      <c r="Z51" s="24">
        <f>(X51-INT(X51))*12</f>
        <v>1.0177900117269019</v>
      </c>
      <c r="AA51" s="41" t="str">
        <f t="shared" ref="AA51:AA56" si="253">IF($E51&gt;=AA$16,MID($H$16,IF($E51&gt;AA$16,INT(Z51),ROUND(Z51,0))+1,1),"")</f>
        <v>1</v>
      </c>
      <c r="AB51" s="24">
        <f>(Z51-INT(Z51))*12</f>
        <v>0.2134801407228224</v>
      </c>
      <c r="AC51" s="41" t="str">
        <f t="shared" ref="AC51:AC56" si="254">IF($E51&gt;=AC$16,MID($H$16,IF($E51&gt;AC$16,INT(AB51),ROUND(AB51,0))+1,1),"")</f>
        <v>0</v>
      </c>
      <c r="AD51" s="24">
        <f>(AB51-INT(AB51))*12</f>
        <v>2.5617616886738688</v>
      </c>
      <c r="AE51" s="41" t="str">
        <f t="shared" ref="AE51:AE56" si="255">IF($E51&gt;=AE$16,MID($H$16,IF($E51&gt;AE$16,INT(AD51),ROUND(AD51,0))+1,1),"")</f>
        <v/>
      </c>
      <c r="AF51" s="24">
        <f>(AD51-INT(AD51))*12</f>
        <v>6.7411402640864253</v>
      </c>
      <c r="AG51" s="41" t="str">
        <f t="shared" ref="AG51:AG56" si="256">IF($E51&gt;=AG$16,MID($H$16,IF($E51&gt;AG$16,INT(AF51),ROUND(AF51,0))+1,1),"")</f>
        <v/>
      </c>
      <c r="AH51" s="24">
        <f>(AF51-INT(AF51))*12</f>
        <v>8.8936831690371037</v>
      </c>
      <c r="AI51" s="41" t="str">
        <f t="shared" ref="AI51:AI56" si="257">IF($E51&gt;=AI$16,MID($H$16,IF($E51&gt;AI$16,INT(AH51),ROUND(AH51,0))+1,1),"")</f>
        <v/>
      </c>
    </row>
    <row r="52" spans="1:35" ht="15" customHeight="1">
      <c r="A52" s="719"/>
      <c r="B52" s="3" t="s">
        <v>177</v>
      </c>
      <c r="C52" s="3" t="s">
        <v>179</v>
      </c>
      <c r="D52" s="87">
        <f>1/D51</f>
        <v>35.273961949580411</v>
      </c>
      <c r="E52" s="8">
        <v>9</v>
      </c>
      <c r="F52" s="89">
        <f>1/F51</f>
        <v>4.6501412564032751</v>
      </c>
      <c r="G52" s="21" t="str">
        <f t="shared" ref="G52" si="258">K52&amp;";"&amp;M52&amp;O52&amp;Q52&amp;S52&amp;U52&amp;W52&amp;Y52&amp;AA52&amp;AC52&amp;AE52&amp;AG52&amp;AI52</f>
        <v>4;79753E481</v>
      </c>
      <c r="H52" s="8">
        <v>0</v>
      </c>
      <c r="I52" s="39">
        <f t="shared" si="244"/>
        <v>4.6501412564032751</v>
      </c>
      <c r="J52" s="98" t="str">
        <f>INDEX(powers!$H$2:$H$75,33+H52)</f>
        <v xml:space="preserve"> </v>
      </c>
      <c r="K52" s="40" t="str">
        <f t="shared" si="245"/>
        <v>4</v>
      </c>
      <c r="L52" s="24">
        <f t="shared" ref="L52" si="259">(I52-INT(I52))*12</f>
        <v>7.8016950768393016</v>
      </c>
      <c r="M52" s="41" t="str">
        <f t="shared" si="246"/>
        <v>7</v>
      </c>
      <c r="N52" s="24">
        <f t="shared" ref="N52" si="260">(L52-INT(L52))*12</f>
        <v>9.6203409220716196</v>
      </c>
      <c r="O52" s="41" t="str">
        <f t="shared" si="247"/>
        <v>9</v>
      </c>
      <c r="P52" s="24">
        <f t="shared" ref="P52" si="261">(N52-INT(N52))*12</f>
        <v>7.4440910648594354</v>
      </c>
      <c r="Q52" s="41" t="str">
        <f t="shared" si="248"/>
        <v>7</v>
      </c>
      <c r="R52" s="24">
        <f t="shared" ref="R52" si="262">(P52-INT(P52))*12</f>
        <v>5.3290927783132247</v>
      </c>
      <c r="S52" s="41" t="str">
        <f t="shared" si="249"/>
        <v>5</v>
      </c>
      <c r="T52" s="24">
        <f t="shared" ref="T52" si="263">(R52-INT(R52))*12</f>
        <v>3.9491133397586964</v>
      </c>
      <c r="U52" s="41" t="str">
        <f t="shared" si="250"/>
        <v>3</v>
      </c>
      <c r="V52" s="24">
        <f t="shared" ref="V52" si="264">(T52-INT(T52))*12</f>
        <v>11.389360077104357</v>
      </c>
      <c r="W52" s="41" t="str">
        <f t="shared" si="251"/>
        <v>E</v>
      </c>
      <c r="X52" s="24">
        <f t="shared" ref="X52" si="265">(V52-INT(V52))*12</f>
        <v>4.6723209252522793</v>
      </c>
      <c r="Y52" s="41" t="str">
        <f t="shared" si="252"/>
        <v>4</v>
      </c>
      <c r="Z52" s="24">
        <f t="shared" ref="Z52" si="266">(X52-INT(X52))*12</f>
        <v>8.0678511030273512</v>
      </c>
      <c r="AA52" s="41" t="str">
        <f t="shared" si="253"/>
        <v>8</v>
      </c>
      <c r="AB52" s="24">
        <f t="shared" ref="AB52" si="267">(Z52-INT(Z52))*12</f>
        <v>0.81421323632821441</v>
      </c>
      <c r="AC52" s="41" t="str">
        <f t="shared" si="254"/>
        <v>1</v>
      </c>
      <c r="AD52" s="24">
        <f t="shared" ref="AD52" si="268">(AB52-INT(AB52))*12</f>
        <v>9.7705588359385729</v>
      </c>
      <c r="AE52" s="41" t="str">
        <f t="shared" si="255"/>
        <v/>
      </c>
      <c r="AF52" s="24">
        <f t="shared" ref="AF52" si="269">(AD52-INT(AD52))*12</f>
        <v>9.2467060312628746</v>
      </c>
      <c r="AG52" s="41" t="str">
        <f t="shared" si="256"/>
        <v/>
      </c>
      <c r="AH52" s="24">
        <f t="shared" ref="AH52" si="270">(AF52-INT(AF52))*12</f>
        <v>2.9604723751544952</v>
      </c>
      <c r="AI52" s="41" t="str">
        <f t="shared" si="257"/>
        <v/>
      </c>
    </row>
    <row r="53" spans="1:35" ht="14.25" customHeight="1">
      <c r="A53" s="719"/>
      <c r="B53" s="2" t="s">
        <v>206</v>
      </c>
      <c r="C53" s="2" t="s">
        <v>209</v>
      </c>
      <c r="D53" s="87">
        <f>D49*480/7000</f>
        <v>3.1103476800000002E-2</v>
      </c>
      <c r="E53" s="8">
        <v>9</v>
      </c>
      <c r="F53" s="87">
        <f>D53/F$8</f>
        <v>0.23593753321624028</v>
      </c>
      <c r="G53" s="37" t="str">
        <f>K53&amp;";"&amp;M53&amp;O53&amp;Q53&amp;S53&amp;U53&amp;W53&amp;Y53&amp;AA53&amp;AC53&amp;AE53&amp;AG53&amp;AI53</f>
        <v>0;29E849848</v>
      </c>
      <c r="H53" s="38">
        <v>0</v>
      </c>
      <c r="I53" s="39">
        <f t="shared" ref="I53:I54" si="271">F53/POWER(12,H53)</f>
        <v>0.23593753321624028</v>
      </c>
      <c r="J53" s="98" t="str">
        <f>INDEX(powers!$H$2:$H$75,33+H53)</f>
        <v xml:space="preserve"> </v>
      </c>
      <c r="K53" s="40" t="str">
        <f t="shared" ref="K53:K54" si="272">IF($E53&gt;=K$16,MID($H$16,IF($E53&gt;K$16,INT(I53),ROUND(I53,0))+1,1),"")</f>
        <v>0</v>
      </c>
      <c r="L53" s="24">
        <f>(I53-INT(I53))*12</f>
        <v>2.8312503985948831</v>
      </c>
      <c r="M53" s="41" t="str">
        <f t="shared" ref="M53:M54" si="273">IF($E53&gt;=M$16,MID($H$16,IF($E53&gt;M$16,INT(L53),ROUND(L53,0))+1,1),"")</f>
        <v>2</v>
      </c>
      <c r="N53" s="24">
        <f>(L53-INT(L53))*12</f>
        <v>9.9750047831385977</v>
      </c>
      <c r="O53" s="41" t="str">
        <f t="shared" ref="O53:O54" si="274">IF($E53&gt;=O$16,MID($H$16,IF($E53&gt;O$16,INT(N53),ROUND(N53,0))+1,1),"")</f>
        <v>9</v>
      </c>
      <c r="P53" s="24">
        <f>(N53-INT(N53))*12</f>
        <v>11.700057397663173</v>
      </c>
      <c r="Q53" s="41" t="str">
        <f t="shared" ref="Q53:Q54" si="275">IF($E53&gt;=Q$16,MID($H$16,IF($E53&gt;Q$16,INT(P53),ROUND(P53,0))+1,1),"")</f>
        <v>E</v>
      </c>
      <c r="R53" s="24">
        <f>(P53-INT(P53))*12</f>
        <v>8.4006887719580732</v>
      </c>
      <c r="S53" s="41" t="str">
        <f t="shared" ref="S53:S54" si="276">IF($E53&gt;=S$16,MID($H$16,IF($E53&gt;S$16,INT(R53),ROUND(R53,0))+1,1),"")</f>
        <v>8</v>
      </c>
      <c r="T53" s="24">
        <f>(R53-INT(R53))*12</f>
        <v>4.8082652634968781</v>
      </c>
      <c r="U53" s="41" t="str">
        <f t="shared" ref="U53:U54" si="277">IF($E53&gt;=U$16,MID($H$16,IF($E53&gt;U$16,INT(T53),ROUND(T53,0))+1,1),"")</f>
        <v>4</v>
      </c>
      <c r="V53" s="24">
        <f>(T53-INT(T53))*12</f>
        <v>9.6991831619625373</v>
      </c>
      <c r="W53" s="41" t="str">
        <f t="shared" ref="W53:W54" si="278">IF($E53&gt;=W$16,MID($H$16,IF($E53&gt;W$16,INT(V53),ROUND(V53,0))+1,1),"")</f>
        <v>9</v>
      </c>
      <c r="X53" s="24">
        <f>(V53-INT(V53))*12</f>
        <v>8.3901979435504472</v>
      </c>
      <c r="Y53" s="41" t="str">
        <f t="shared" ref="Y53:Y54" si="279">IF($E53&gt;=Y$16,MID($H$16,IF($E53&gt;Y$16,INT(X53),ROUND(X53,0))+1,1),"")</f>
        <v>8</v>
      </c>
      <c r="Z53" s="24">
        <f>(X53-INT(X53))*12</f>
        <v>4.6823753226053668</v>
      </c>
      <c r="AA53" s="41" t="str">
        <f t="shared" ref="AA53:AA54" si="280">IF($E53&gt;=AA$16,MID($H$16,IF($E53&gt;AA$16,INT(Z53),ROUND(Z53,0))+1,1),"")</f>
        <v>4</v>
      </c>
      <c r="AB53" s="24">
        <f>(Z53-INT(Z53))*12</f>
        <v>8.1885038712644018</v>
      </c>
      <c r="AC53" s="41" t="str">
        <f t="shared" ref="AC53:AC54" si="281">IF($E53&gt;=AC$16,MID($H$16,IF($E53&gt;AC$16,INT(AB53),ROUND(AB53,0))+1,1),"")</f>
        <v>8</v>
      </c>
      <c r="AD53" s="24">
        <f>(AB53-INT(AB53))*12</f>
        <v>2.2620464551728219</v>
      </c>
      <c r="AE53" s="41" t="str">
        <f t="shared" ref="AE53:AE54" si="282">IF($E53&gt;=AE$16,MID($H$16,IF($E53&gt;AE$16,INT(AD53),ROUND(AD53,0))+1,1),"")</f>
        <v/>
      </c>
      <c r="AF53" s="24">
        <f>(AD53-INT(AD53))*12</f>
        <v>3.1445574620738626</v>
      </c>
      <c r="AG53" s="41" t="str">
        <f t="shared" ref="AG53:AG54" si="283">IF($E53&gt;=AG$16,MID($H$16,IF($E53&gt;AG$16,INT(AF53),ROUND(AF53,0))+1,1),"")</f>
        <v/>
      </c>
      <c r="AH53" s="24">
        <f>(AF53-INT(AF53))*12</f>
        <v>1.7346895448863506</v>
      </c>
      <c r="AI53" s="41" t="str">
        <f t="shared" ref="AI53:AI54" si="284">IF($E53&gt;=AI$16,MID($H$16,IF($E53&gt;AI$16,INT(AH53),ROUND(AH53,0))+1,1),"")</f>
        <v/>
      </c>
    </row>
    <row r="54" spans="1:35" ht="15" customHeight="1">
      <c r="A54" s="719"/>
      <c r="B54" s="3" t="s">
        <v>207</v>
      </c>
      <c r="C54" s="3" t="s">
        <v>210</v>
      </c>
      <c r="D54" s="87">
        <f>1/D53</f>
        <v>32.15074656862798</v>
      </c>
      <c r="E54" s="8">
        <v>9</v>
      </c>
      <c r="F54" s="89">
        <f>1/F53</f>
        <v>4.2384099993259019</v>
      </c>
      <c r="G54" s="21" t="str">
        <f t="shared" ref="G54" si="285">K54&amp;";"&amp;M54&amp;O54&amp;Q54&amp;S54&amp;U54&amp;W54&amp;Y54&amp;AA54&amp;AC54&amp;AE54&amp;AG54&amp;AI54</f>
        <v>4;2X3E8053X</v>
      </c>
      <c r="H54" s="8">
        <v>0</v>
      </c>
      <c r="I54" s="39">
        <f t="shared" si="271"/>
        <v>4.2384099993259019</v>
      </c>
      <c r="J54" s="98" t="str">
        <f>INDEX(powers!$H$2:$H$75,33+H54)</f>
        <v xml:space="preserve"> </v>
      </c>
      <c r="K54" s="40" t="str">
        <f t="shared" si="272"/>
        <v>4</v>
      </c>
      <c r="L54" s="24">
        <f t="shared" ref="L54" si="286">(I54-INT(I54))*12</f>
        <v>2.8609199919108228</v>
      </c>
      <c r="M54" s="41" t="str">
        <f t="shared" si="273"/>
        <v>2</v>
      </c>
      <c r="N54" s="24">
        <f t="shared" ref="N54" si="287">(L54-INT(L54))*12</f>
        <v>10.331039902929874</v>
      </c>
      <c r="O54" s="41" t="str">
        <f t="shared" si="274"/>
        <v>X</v>
      </c>
      <c r="P54" s="24">
        <f t="shared" ref="P54" si="288">(N54-INT(N54))*12</f>
        <v>3.9724788351584834</v>
      </c>
      <c r="Q54" s="41" t="str">
        <f t="shared" si="275"/>
        <v>3</v>
      </c>
      <c r="R54" s="24">
        <f t="shared" ref="R54" si="289">(P54-INT(P54))*12</f>
        <v>11.669746021901801</v>
      </c>
      <c r="S54" s="41" t="str">
        <f t="shared" si="276"/>
        <v>E</v>
      </c>
      <c r="T54" s="24">
        <f t="shared" ref="T54" si="290">(R54-INT(R54))*12</f>
        <v>8.0369522628216146</v>
      </c>
      <c r="U54" s="41" t="str">
        <f t="shared" si="277"/>
        <v>8</v>
      </c>
      <c r="V54" s="24">
        <f t="shared" ref="V54" si="291">(T54-INT(T54))*12</f>
        <v>0.44342715385937481</v>
      </c>
      <c r="W54" s="41" t="str">
        <f t="shared" si="278"/>
        <v>0</v>
      </c>
      <c r="X54" s="24">
        <f t="shared" ref="X54" si="292">(V54-INT(V54))*12</f>
        <v>5.3211258463124977</v>
      </c>
      <c r="Y54" s="41" t="str">
        <f t="shared" si="279"/>
        <v>5</v>
      </c>
      <c r="Z54" s="24">
        <f t="shared" ref="Z54" si="293">(X54-INT(X54))*12</f>
        <v>3.8535101557499729</v>
      </c>
      <c r="AA54" s="41" t="str">
        <f t="shared" si="280"/>
        <v>3</v>
      </c>
      <c r="AB54" s="24">
        <f t="shared" ref="AB54" si="294">(Z54-INT(Z54))*12</f>
        <v>10.242121868999675</v>
      </c>
      <c r="AC54" s="41" t="str">
        <f t="shared" si="281"/>
        <v>X</v>
      </c>
      <c r="AD54" s="24">
        <f t="shared" ref="AD54" si="295">(AB54-INT(AB54))*12</f>
        <v>2.905462427996099</v>
      </c>
      <c r="AE54" s="41" t="str">
        <f t="shared" si="282"/>
        <v/>
      </c>
      <c r="AF54" s="24">
        <f t="shared" ref="AF54" si="296">(AD54-INT(AD54))*12</f>
        <v>10.865549135953188</v>
      </c>
      <c r="AG54" s="41" t="str">
        <f t="shared" si="283"/>
        <v/>
      </c>
      <c r="AH54" s="24">
        <f t="shared" ref="AH54" si="297">(AF54-INT(AF54))*12</f>
        <v>10.386589631438255</v>
      </c>
      <c r="AI54" s="41" t="str">
        <f t="shared" si="284"/>
        <v/>
      </c>
    </row>
    <row r="55" spans="1:35" ht="14.25" customHeight="1">
      <c r="A55" s="719"/>
      <c r="B55" s="2" t="s">
        <v>180</v>
      </c>
      <c r="C55" s="2" t="s">
        <v>182</v>
      </c>
      <c r="D55" s="87">
        <f>D49*Rydberg!D63</f>
        <v>4.4482216152604996</v>
      </c>
      <c r="E55" s="8">
        <v>9</v>
      </c>
      <c r="F55" s="87">
        <f>D55/F$10</f>
        <v>18.904445391686956</v>
      </c>
      <c r="G55" s="37" t="str">
        <f>K55&amp;";"&amp;M55&amp;O55&amp;Q55&amp;S55&amp;U55&amp;W55&amp;Y55&amp;AA55&amp;AC55&amp;AE55&amp;AG55&amp;AI55</f>
        <v>1;6XX2X6E57</v>
      </c>
      <c r="H55" s="38">
        <v>1</v>
      </c>
      <c r="I55" s="39">
        <f t="shared" si="244"/>
        <v>1.5753704493072462</v>
      </c>
      <c r="J55" s="98" t="str">
        <f>INDEX(powers!$H$2:$H$75,33+H55)</f>
        <v>dirac</v>
      </c>
      <c r="K55" s="40" t="str">
        <f t="shared" si="245"/>
        <v>1</v>
      </c>
      <c r="L55" s="24">
        <f>(I55-INT(I55))*12</f>
        <v>6.9044453916869548</v>
      </c>
      <c r="M55" s="41" t="str">
        <f t="shared" si="246"/>
        <v>6</v>
      </c>
      <c r="N55" s="24">
        <f>(L55-INT(L55))*12</f>
        <v>10.853344700243458</v>
      </c>
      <c r="O55" s="41" t="str">
        <f t="shared" si="247"/>
        <v>X</v>
      </c>
      <c r="P55" s="24">
        <f>(N55-INT(N55))*12</f>
        <v>10.240136402921493</v>
      </c>
      <c r="Q55" s="41" t="str">
        <f t="shared" si="248"/>
        <v>X</v>
      </c>
      <c r="R55" s="24">
        <f>(P55-INT(P55))*12</f>
        <v>2.8816368350579182</v>
      </c>
      <c r="S55" s="41" t="str">
        <f t="shared" si="249"/>
        <v>2</v>
      </c>
      <c r="T55" s="24">
        <f>(R55-INT(R55))*12</f>
        <v>10.579642020695019</v>
      </c>
      <c r="U55" s="41" t="str">
        <f t="shared" si="250"/>
        <v>X</v>
      </c>
      <c r="V55" s="24">
        <f>(T55-INT(T55))*12</f>
        <v>6.9557042483402256</v>
      </c>
      <c r="W55" s="41" t="str">
        <f t="shared" si="251"/>
        <v>6</v>
      </c>
      <c r="X55" s="24">
        <f>(V55-INT(V55))*12</f>
        <v>11.468450980082707</v>
      </c>
      <c r="Y55" s="41" t="str">
        <f t="shared" si="252"/>
        <v>E</v>
      </c>
      <c r="Z55" s="24">
        <f>(X55-INT(X55))*12</f>
        <v>5.621411760992487</v>
      </c>
      <c r="AA55" s="41" t="str">
        <f t="shared" si="253"/>
        <v>5</v>
      </c>
      <c r="AB55" s="24">
        <f>(Z55-INT(Z55))*12</f>
        <v>7.4569411319098435</v>
      </c>
      <c r="AC55" s="41" t="str">
        <f t="shared" si="254"/>
        <v>7</v>
      </c>
      <c r="AD55" s="24">
        <f>(AB55-INT(AB55))*12</f>
        <v>5.4832935829181224</v>
      </c>
      <c r="AE55" s="41" t="str">
        <f t="shared" si="255"/>
        <v/>
      </c>
      <c r="AF55" s="24">
        <f>(AD55-INT(AD55))*12</f>
        <v>5.7995229950174689</v>
      </c>
      <c r="AG55" s="41" t="str">
        <f t="shared" si="256"/>
        <v/>
      </c>
      <c r="AH55" s="24">
        <f>(AF55-INT(AF55))*12</f>
        <v>9.5942759402096272</v>
      </c>
      <c r="AI55" s="41" t="str">
        <f t="shared" si="257"/>
        <v/>
      </c>
    </row>
    <row r="56" spans="1:35" ht="15" customHeight="1">
      <c r="A56" s="719"/>
      <c r="B56" s="3" t="s">
        <v>181</v>
      </c>
      <c r="C56" s="3" t="s">
        <v>183</v>
      </c>
      <c r="D56" s="87">
        <f>1/D55</f>
        <v>0.2248089430997105</v>
      </c>
      <c r="E56" s="8">
        <v>9</v>
      </c>
      <c r="F56" s="89">
        <f>1/F55</f>
        <v>5.2897611079335875E-2</v>
      </c>
      <c r="G56" s="21" t="str">
        <f t="shared" ref="G56" si="298">K56&amp;";"&amp;M56&amp;O56&amp;Q56&amp;S56&amp;U56&amp;W56&amp;Y56&amp;AA56&amp;AC56&amp;AE56&amp;AG56&amp;AI56</f>
        <v>0;774X75064</v>
      </c>
      <c r="H56" s="8">
        <v>-1</v>
      </c>
      <c r="I56" s="39">
        <f t="shared" si="244"/>
        <v>0.63477133295203059</v>
      </c>
      <c r="J56" s="98" t="str">
        <f>INDEX(powers!$H$2:$H$75,33+H56)</f>
        <v>dour</v>
      </c>
      <c r="K56" s="40" t="str">
        <f t="shared" si="245"/>
        <v>0</v>
      </c>
      <c r="L56" s="24">
        <f t="shared" ref="L56" si="299">(I56-INT(I56))*12</f>
        <v>7.617255995424367</v>
      </c>
      <c r="M56" s="41" t="str">
        <f t="shared" si="246"/>
        <v>7</v>
      </c>
      <c r="N56" s="24">
        <f t="shared" ref="N56" si="300">(L56-INT(L56))*12</f>
        <v>7.4070719450924045</v>
      </c>
      <c r="O56" s="41" t="str">
        <f t="shared" si="247"/>
        <v>7</v>
      </c>
      <c r="P56" s="24">
        <f t="shared" ref="P56" si="301">(N56-INT(N56))*12</f>
        <v>4.8848633411088542</v>
      </c>
      <c r="Q56" s="41" t="str">
        <f t="shared" si="248"/>
        <v>4</v>
      </c>
      <c r="R56" s="24">
        <f t="shared" ref="R56" si="302">(P56-INT(P56))*12</f>
        <v>10.618360093306251</v>
      </c>
      <c r="S56" s="41" t="str">
        <f t="shared" si="249"/>
        <v>X</v>
      </c>
      <c r="T56" s="24">
        <f t="shared" ref="T56" si="303">(R56-INT(R56))*12</f>
        <v>7.420321119675009</v>
      </c>
      <c r="U56" s="41" t="str">
        <f t="shared" si="250"/>
        <v>7</v>
      </c>
      <c r="V56" s="24">
        <f t="shared" ref="V56" si="304">(T56-INT(T56))*12</f>
        <v>5.0438534361001075</v>
      </c>
      <c r="W56" s="41" t="str">
        <f t="shared" si="251"/>
        <v>5</v>
      </c>
      <c r="X56" s="24">
        <f t="shared" ref="X56" si="305">(V56-INT(V56))*12</f>
        <v>0.52624123320129002</v>
      </c>
      <c r="Y56" s="41" t="str">
        <f t="shared" si="252"/>
        <v>0</v>
      </c>
      <c r="Z56" s="24">
        <f t="shared" ref="Z56" si="306">(X56-INT(X56))*12</f>
        <v>6.3148947984154802</v>
      </c>
      <c r="AA56" s="41" t="str">
        <f t="shared" si="253"/>
        <v>6</v>
      </c>
      <c r="AB56" s="24">
        <f t="shared" ref="AB56" si="307">(Z56-INT(Z56))*12</f>
        <v>3.7787375809857622</v>
      </c>
      <c r="AC56" s="41" t="str">
        <f t="shared" si="254"/>
        <v>4</v>
      </c>
      <c r="AD56" s="24">
        <f t="shared" ref="AD56" si="308">(AB56-INT(AB56))*12</f>
        <v>9.3448509718291461</v>
      </c>
      <c r="AE56" s="41" t="str">
        <f t="shared" si="255"/>
        <v/>
      </c>
      <c r="AF56" s="24">
        <f t="shared" ref="AF56" si="309">(AD56-INT(AD56))*12</f>
        <v>4.1382116619497538</v>
      </c>
      <c r="AG56" s="41" t="str">
        <f t="shared" si="256"/>
        <v/>
      </c>
      <c r="AH56" s="24">
        <f t="shared" ref="AH56" si="310">(AF56-INT(AF56))*12</f>
        <v>1.6585399433970451</v>
      </c>
      <c r="AI56" s="41" t="str">
        <f t="shared" si="257"/>
        <v/>
      </c>
    </row>
    <row r="57" spans="1:35" ht="14.25" customHeight="1">
      <c r="A57" s="719"/>
      <c r="B57" s="2" t="s">
        <v>192</v>
      </c>
      <c r="C57" s="90" t="s">
        <v>59</v>
      </c>
      <c r="D57" s="87">
        <v>273.14999999999998</v>
      </c>
      <c r="E57" s="8">
        <v>9</v>
      </c>
      <c r="F57" s="87">
        <f>D57/F$6</f>
        <v>4678222.4543428579</v>
      </c>
      <c r="G57" s="37" t="str">
        <f>K57&amp;";"&amp;M57&amp;O57&amp;Q57&amp;S57&amp;U57&amp;W57&amp;Y57&amp;AA57&amp;AC57&amp;AE57&amp;AG57&amp;AI57</f>
        <v>1;69737X555</v>
      </c>
      <c r="H57" s="38">
        <v>6</v>
      </c>
      <c r="I57" s="39">
        <f t="shared" ref="I57:I58" si="311">F57/POWER(12,H57)</f>
        <v>1.5667272344201637</v>
      </c>
      <c r="J57" s="98" t="str">
        <f>INDEX(powers!$H$2:$H$75,33+H57)</f>
        <v>cosmic centy</v>
      </c>
      <c r="K57" s="40" t="str">
        <f t="shared" ref="K57:K58" si="312">IF($E57&gt;=K$16,MID($H$16,IF($E57&gt;K$16,INT(I57),ROUND(I57,0))+1,1),"")</f>
        <v>1</v>
      </c>
      <c r="L57" s="24">
        <f>(I57-INT(I57))*12</f>
        <v>6.8007268130419645</v>
      </c>
      <c r="M57" s="41" t="str">
        <f t="shared" ref="M57:M58" si="313">IF($E57&gt;=M$16,MID($H$16,IF($E57&gt;M$16,INT(L57),ROUND(L57,0))+1,1),"")</f>
        <v>6</v>
      </c>
      <c r="N57" s="24">
        <f>(L57-INT(L57))*12</f>
        <v>9.6087217565035736</v>
      </c>
      <c r="O57" s="41" t="str">
        <f t="shared" ref="O57:O58" si="314">IF($E57&gt;=O$16,MID($H$16,IF($E57&gt;O$16,INT(N57),ROUND(N57,0))+1,1),"")</f>
        <v>9</v>
      </c>
      <c r="P57" s="24">
        <f>(N57-INT(N57))*12</f>
        <v>7.3046610780428836</v>
      </c>
      <c r="Q57" s="41" t="str">
        <f t="shared" ref="Q57:Q58" si="315">IF($E57&gt;=Q$16,MID($H$16,IF($E57&gt;Q$16,INT(P57),ROUND(P57,0))+1,1),"")</f>
        <v>7</v>
      </c>
      <c r="R57" s="24">
        <f>(P57-INT(P57))*12</f>
        <v>3.6559329365146027</v>
      </c>
      <c r="S57" s="41" t="str">
        <f t="shared" ref="S57:S58" si="316">IF($E57&gt;=S$16,MID($H$16,IF($E57&gt;S$16,INT(R57),ROUND(R57,0))+1,1),"")</f>
        <v>3</v>
      </c>
      <c r="T57" s="24">
        <f>(R57-INT(R57))*12</f>
        <v>7.8711952381752326</v>
      </c>
      <c r="U57" s="41" t="str">
        <f t="shared" ref="U57:U58" si="317">IF($E57&gt;=U$16,MID($H$16,IF($E57&gt;U$16,INT(T57),ROUND(T57,0))+1,1),"")</f>
        <v>7</v>
      </c>
      <c r="V57" s="24">
        <f>(T57-INT(T57))*12</f>
        <v>10.454342858102791</v>
      </c>
      <c r="W57" s="41" t="str">
        <f t="shared" ref="W57:W58" si="318">IF($E57&gt;=W$16,MID($H$16,IF($E57&gt;W$16,INT(V57),ROUND(V57,0))+1,1),"")</f>
        <v>X</v>
      </c>
      <c r="X57" s="24">
        <f>(V57-INT(V57))*12</f>
        <v>5.4521142972334928</v>
      </c>
      <c r="Y57" s="41" t="str">
        <f t="shared" ref="Y57:Y58" si="319">IF($E57&gt;=Y$16,MID($H$16,IF($E57&gt;Y$16,INT(X57),ROUND(X57,0))+1,1),"")</f>
        <v>5</v>
      </c>
      <c r="Z57" s="24">
        <f>(X57-INT(X57))*12</f>
        <v>5.425371566801914</v>
      </c>
      <c r="AA57" s="41" t="str">
        <f t="shared" ref="AA57:AA58" si="320">IF($E57&gt;=AA$16,MID($H$16,IF($E57&gt;AA$16,INT(Z57),ROUND(Z57,0))+1,1),"")</f>
        <v>5</v>
      </c>
      <c r="AB57" s="24">
        <f>(Z57-INT(Z57))*12</f>
        <v>5.1044588016229682</v>
      </c>
      <c r="AC57" s="41" t="str">
        <f t="shared" ref="AC57:AC58" si="321">IF($E57&gt;=AC$16,MID($H$16,IF($E57&gt;AC$16,INT(AB57),ROUND(AB57,0))+1,1),"")</f>
        <v>5</v>
      </c>
      <c r="AD57" s="24">
        <f>(AB57-INT(AB57))*12</f>
        <v>1.253505619475618</v>
      </c>
      <c r="AE57" s="41" t="str">
        <f t="shared" ref="AE57:AE58" si="322">IF($E57&gt;=AE$16,MID($H$16,IF($E57&gt;AE$16,INT(AD57),ROUND(AD57,0))+1,1),"")</f>
        <v/>
      </c>
      <c r="AF57" s="24">
        <f>(AD57-INT(AD57))*12</f>
        <v>3.0420674337074161</v>
      </c>
      <c r="AG57" s="41" t="str">
        <f t="shared" ref="AG57:AG58" si="323">IF($E57&gt;=AG$16,MID($H$16,IF($E57&gt;AG$16,INT(AF57),ROUND(AF57,0))+1,1),"")</f>
        <v/>
      </c>
      <c r="AH57" s="24">
        <f>(AF57-INT(AF57))*12</f>
        <v>0.50480920448899269</v>
      </c>
      <c r="AI57" s="41" t="str">
        <f t="shared" ref="AI57:AI58" si="324">IF($E57&gt;=AI$16,MID($H$16,IF($E57&gt;AI$16,INT(AH57),ROUND(AH57,0))+1,1),"")</f>
        <v/>
      </c>
    </row>
    <row r="58" spans="1:35" ht="15" customHeight="1">
      <c r="A58" s="719"/>
      <c r="B58" s="3" t="s">
        <v>193</v>
      </c>
      <c r="C58" s="3" t="s">
        <v>194</v>
      </c>
      <c r="D58" s="87">
        <f>1/D57</f>
        <v>3.6609921288669233E-3</v>
      </c>
      <c r="E58" s="8">
        <v>9</v>
      </c>
      <c r="F58" s="89">
        <f>1/F57</f>
        <v>2.1375640208637071E-7</v>
      </c>
      <c r="G58" s="21" t="str">
        <f t="shared" ref="G58" si="325">K58&amp;";"&amp;M58&amp;O58&amp;Q58&amp;S58&amp;U58&amp;W58&amp;Y58&amp;AA58&amp;AC58&amp;AE58&amp;AG58&amp;AI58</f>
        <v>0;77XE29677</v>
      </c>
      <c r="H58" s="8">
        <v>-6</v>
      </c>
      <c r="I58" s="39">
        <f t="shared" si="311"/>
        <v>0.63827319652746961</v>
      </c>
      <c r="J58" s="98" t="str">
        <f>INDEX(powers!$H$2:$H$75,33+H58)</f>
        <v>atomic hecty</v>
      </c>
      <c r="K58" s="40" t="str">
        <f t="shared" si="312"/>
        <v>0</v>
      </c>
      <c r="L58" s="24">
        <f t="shared" ref="L58" si="326">(I58-INT(I58))*12</f>
        <v>7.6592783583296349</v>
      </c>
      <c r="M58" s="41" t="str">
        <f t="shared" si="313"/>
        <v>7</v>
      </c>
      <c r="N58" s="24">
        <f t="shared" ref="N58" si="327">(L58-INT(L58))*12</f>
        <v>7.9113402999556186</v>
      </c>
      <c r="O58" s="41" t="str">
        <f t="shared" si="314"/>
        <v>7</v>
      </c>
      <c r="P58" s="24">
        <f t="shared" ref="P58" si="328">(N58-INT(N58))*12</f>
        <v>10.936083599467423</v>
      </c>
      <c r="Q58" s="41" t="str">
        <f t="shared" si="315"/>
        <v>X</v>
      </c>
      <c r="R58" s="24">
        <f t="shared" ref="R58" si="329">(P58-INT(P58))*12</f>
        <v>11.233003193609079</v>
      </c>
      <c r="S58" s="41" t="str">
        <f t="shared" si="316"/>
        <v>E</v>
      </c>
      <c r="T58" s="24">
        <f t="shared" ref="T58" si="330">(R58-INT(R58))*12</f>
        <v>2.7960383233089487</v>
      </c>
      <c r="U58" s="41" t="str">
        <f t="shared" si="317"/>
        <v>2</v>
      </c>
      <c r="V58" s="24">
        <f t="shared" ref="V58" si="331">(T58-INT(T58))*12</f>
        <v>9.552459879707385</v>
      </c>
      <c r="W58" s="41" t="str">
        <f t="shared" si="318"/>
        <v>9</v>
      </c>
      <c r="X58" s="24">
        <f t="shared" ref="X58" si="332">(V58-INT(V58))*12</f>
        <v>6.6295185564886197</v>
      </c>
      <c r="Y58" s="41" t="str">
        <f t="shared" si="319"/>
        <v>6</v>
      </c>
      <c r="Z58" s="24">
        <f t="shared" ref="Z58" si="333">(X58-INT(X58))*12</f>
        <v>7.5542226778634358</v>
      </c>
      <c r="AA58" s="41" t="str">
        <f t="shared" si="320"/>
        <v>7</v>
      </c>
      <c r="AB58" s="24">
        <f t="shared" ref="AB58" si="334">(Z58-INT(Z58))*12</f>
        <v>6.6506721343612298</v>
      </c>
      <c r="AC58" s="41" t="str">
        <f t="shared" si="321"/>
        <v>7</v>
      </c>
      <c r="AD58" s="24">
        <f t="shared" ref="AD58" si="335">(AB58-INT(AB58))*12</f>
        <v>7.808065612334758</v>
      </c>
      <c r="AE58" s="41" t="str">
        <f t="shared" si="322"/>
        <v/>
      </c>
      <c r="AF58" s="24">
        <f t="shared" ref="AF58" si="336">(AD58-INT(AD58))*12</f>
        <v>9.6967873480170965</v>
      </c>
      <c r="AG58" s="41" t="str">
        <f t="shared" si="323"/>
        <v/>
      </c>
      <c r="AH58" s="24">
        <f t="shared" ref="AH58" si="337">(AF58-INT(AF58))*12</f>
        <v>8.3614481762051582</v>
      </c>
      <c r="AI58" s="41" t="str">
        <f t="shared" si="324"/>
        <v/>
      </c>
    </row>
    <row r="59" spans="1:35" ht="14.25" customHeight="1">
      <c r="A59" s="719"/>
      <c r="B59" s="2" t="s">
        <v>195</v>
      </c>
      <c r="C59" s="90" t="s">
        <v>59</v>
      </c>
      <c r="D59" s="87">
        <v>373.15</v>
      </c>
      <c r="E59" s="8">
        <v>9</v>
      </c>
      <c r="F59" s="87">
        <f>D59/F$6</f>
        <v>6390916.0125866281</v>
      </c>
      <c r="G59" s="37" t="str">
        <f>K59&amp;";"&amp;M59&amp;O59&amp;Q59&amp;S59&amp;U59&amp;W59&amp;Y59&amp;AA59&amp;AC59&amp;AE59&amp;AG59&amp;AI59</f>
        <v>2;18254401X</v>
      </c>
      <c r="H59" s="38">
        <v>6</v>
      </c>
      <c r="I59" s="39">
        <f t="shared" ref="I59:I62" si="338">F59/POWER(12,H59)</f>
        <v>2.1403048417495296</v>
      </c>
      <c r="J59" s="98" t="str">
        <f>INDEX(powers!$H$2:$H$75,33+H59)</f>
        <v>cosmic centy</v>
      </c>
      <c r="K59" s="40" t="str">
        <f t="shared" ref="K59:K62" si="339">IF($E59&gt;=K$16,MID($H$16,IF($E59&gt;K$16,INT(I59),ROUND(I59,0))+1,1),"")</f>
        <v>2</v>
      </c>
      <c r="L59" s="24">
        <f>(I59-INT(I59))*12</f>
        <v>1.6836581009943554</v>
      </c>
      <c r="M59" s="41" t="str">
        <f t="shared" ref="M59:M62" si="340">IF($E59&gt;=M$16,MID($H$16,IF($E59&gt;M$16,INT(L59),ROUND(L59,0))+1,1),"")</f>
        <v>1</v>
      </c>
      <c r="N59" s="24">
        <f>(L59-INT(L59))*12</f>
        <v>8.2038972119322651</v>
      </c>
      <c r="O59" s="41" t="str">
        <f t="shared" ref="O59:O62" si="341">IF($E59&gt;=O$16,MID($H$16,IF($E59&gt;O$16,INT(N59),ROUND(N59,0))+1,1),"")</f>
        <v>8</v>
      </c>
      <c r="P59" s="24">
        <f>(N59-INT(N59))*12</f>
        <v>2.4467665431871808</v>
      </c>
      <c r="Q59" s="41" t="str">
        <f t="shared" ref="Q59:Q62" si="342">IF($E59&gt;=Q$16,MID($H$16,IF($E59&gt;Q$16,INT(P59),ROUND(P59,0))+1,1),"")</f>
        <v>2</v>
      </c>
      <c r="R59" s="24">
        <f>(P59-INT(P59))*12</f>
        <v>5.3611985182461694</v>
      </c>
      <c r="S59" s="41" t="str">
        <f t="shared" ref="S59:S62" si="343">IF($E59&gt;=S$16,MID($H$16,IF($E59&gt;S$16,INT(R59),ROUND(R59,0))+1,1),"")</f>
        <v>5</v>
      </c>
      <c r="T59" s="24">
        <f>(R59-INT(R59))*12</f>
        <v>4.3343822189540333</v>
      </c>
      <c r="U59" s="41" t="str">
        <f t="shared" ref="U59:U62" si="344">IF($E59&gt;=U$16,MID($H$16,IF($E59&gt;U$16,INT(T59),ROUND(T59,0))+1,1),"")</f>
        <v>4</v>
      </c>
      <c r="V59" s="24">
        <f>(T59-INT(T59))*12</f>
        <v>4.0125866274483997</v>
      </c>
      <c r="W59" s="41" t="str">
        <f t="shared" ref="W59:W62" si="345">IF($E59&gt;=W$16,MID($H$16,IF($E59&gt;W$16,INT(V59),ROUND(V59,0))+1,1),"")</f>
        <v>4</v>
      </c>
      <c r="X59" s="24">
        <f>(V59-INT(V59))*12</f>
        <v>0.15103952938079601</v>
      </c>
      <c r="Y59" s="41" t="str">
        <f t="shared" ref="Y59:Y62" si="346">IF($E59&gt;=Y$16,MID($H$16,IF($E59&gt;Y$16,INT(X59),ROUND(X59,0))+1,1),"")</f>
        <v>0</v>
      </c>
      <c r="Z59" s="24">
        <f>(X59-INT(X59))*12</f>
        <v>1.8124743525695521</v>
      </c>
      <c r="AA59" s="41" t="str">
        <f t="shared" ref="AA59:AA62" si="347">IF($E59&gt;=AA$16,MID($H$16,IF($E59&gt;AA$16,INT(Z59),ROUND(Z59,0))+1,1),"")</f>
        <v>1</v>
      </c>
      <c r="AB59" s="24">
        <f>(Z59-INT(Z59))*12</f>
        <v>9.7496922308346257</v>
      </c>
      <c r="AC59" s="41" t="str">
        <f t="shared" ref="AC59:AC62" si="348">IF($E59&gt;=AC$16,MID($H$16,IF($E59&gt;AC$16,INT(AB59),ROUND(AB59,0))+1,1),"")</f>
        <v>X</v>
      </c>
      <c r="AD59" s="24">
        <f>(AB59-INT(AB59))*12</f>
        <v>8.9963067700155079</v>
      </c>
      <c r="AE59" s="41" t="str">
        <f t="shared" ref="AE59:AE62" si="349">IF($E59&gt;=AE$16,MID($H$16,IF($E59&gt;AE$16,INT(AD59),ROUND(AD59,0))+1,1),"")</f>
        <v/>
      </c>
      <c r="AF59" s="24">
        <f>(AD59-INT(AD59))*12</f>
        <v>11.955681240186095</v>
      </c>
      <c r="AG59" s="41" t="str">
        <f t="shared" ref="AG59:AG62" si="350">IF($E59&gt;=AG$16,MID($H$16,IF($E59&gt;AG$16,INT(AF59),ROUND(AF59,0))+1,1),"")</f>
        <v/>
      </c>
      <c r="AH59" s="24">
        <f>(AF59-INT(AF59))*12</f>
        <v>11.468174882233143</v>
      </c>
      <c r="AI59" s="41" t="str">
        <f t="shared" ref="AI59:AI62" si="351">IF($E59&gt;=AI$16,MID($H$16,IF($E59&gt;AI$16,INT(AH59),ROUND(AH59,0))+1,1),"")</f>
        <v/>
      </c>
    </row>
    <row r="60" spans="1:35" ht="15" customHeight="1">
      <c r="A60" s="719"/>
      <c r="B60" s="3" t="s">
        <v>196</v>
      </c>
      <c r="C60" s="3" t="s">
        <v>194</v>
      </c>
      <c r="D60" s="87">
        <f>1/D59</f>
        <v>2.6798874447273215E-3</v>
      </c>
      <c r="E60" s="8">
        <v>9</v>
      </c>
      <c r="F60" s="89">
        <f>1/F59</f>
        <v>1.5647209226823571E-7</v>
      </c>
      <c r="G60" s="21" t="str">
        <f t="shared" ref="G60" si="352">K60&amp;";"&amp;M60&amp;O60&amp;Q60&amp;S60&amp;U60&amp;W60&amp;Y60&amp;AA60&amp;AC60&amp;AE60&amp;AG60&amp;AI60</f>
        <v>0;573440X85</v>
      </c>
      <c r="H60" s="8">
        <v>-6</v>
      </c>
      <c r="I60" s="39">
        <f t="shared" si="338"/>
        <v>0.46722316395947555</v>
      </c>
      <c r="J60" s="98" t="str">
        <f>INDEX(powers!$H$2:$H$75,33+H60)</f>
        <v>atomic hecty</v>
      </c>
      <c r="K60" s="40" t="str">
        <f t="shared" si="339"/>
        <v>0</v>
      </c>
      <c r="L60" s="24">
        <f t="shared" ref="L60" si="353">(I60-INT(I60))*12</f>
        <v>5.6066779675137068</v>
      </c>
      <c r="M60" s="41" t="str">
        <f t="shared" si="340"/>
        <v>5</v>
      </c>
      <c r="N60" s="24">
        <f t="shared" ref="N60" si="354">(L60-INT(L60))*12</f>
        <v>7.2801356101644821</v>
      </c>
      <c r="O60" s="41" t="str">
        <f t="shared" si="341"/>
        <v>7</v>
      </c>
      <c r="P60" s="24">
        <f t="shared" ref="P60" si="355">(N60-INT(N60))*12</f>
        <v>3.3616273219737849</v>
      </c>
      <c r="Q60" s="41" t="str">
        <f t="shared" si="342"/>
        <v>3</v>
      </c>
      <c r="R60" s="24">
        <f t="shared" ref="R60" si="356">(P60-INT(P60))*12</f>
        <v>4.3395278636854187</v>
      </c>
      <c r="S60" s="41" t="str">
        <f t="shared" si="343"/>
        <v>4</v>
      </c>
      <c r="T60" s="24">
        <f t="shared" ref="T60" si="357">(R60-INT(R60))*12</f>
        <v>4.0743343642250238</v>
      </c>
      <c r="U60" s="41" t="str">
        <f t="shared" si="344"/>
        <v>4</v>
      </c>
      <c r="V60" s="24">
        <f t="shared" ref="V60" si="358">(T60-INT(T60))*12</f>
        <v>0.89201237070028583</v>
      </c>
      <c r="W60" s="41" t="str">
        <f t="shared" si="345"/>
        <v>0</v>
      </c>
      <c r="X60" s="24">
        <f t="shared" ref="X60" si="359">(V60-INT(V60))*12</f>
        <v>10.70414844840343</v>
      </c>
      <c r="Y60" s="41" t="str">
        <f t="shared" si="346"/>
        <v>X</v>
      </c>
      <c r="Z60" s="24">
        <f t="shared" ref="Z60" si="360">(X60-INT(X60))*12</f>
        <v>8.4497813808411593</v>
      </c>
      <c r="AA60" s="41" t="str">
        <f t="shared" si="347"/>
        <v>8</v>
      </c>
      <c r="AB60" s="24">
        <f t="shared" ref="AB60" si="361">(Z60-INT(Z60))*12</f>
        <v>5.3973765700939111</v>
      </c>
      <c r="AC60" s="41" t="str">
        <f t="shared" si="348"/>
        <v>5</v>
      </c>
      <c r="AD60" s="24">
        <f t="shared" ref="AD60" si="362">(AB60-INT(AB60))*12</f>
        <v>4.7685188411269337</v>
      </c>
      <c r="AE60" s="41" t="str">
        <f t="shared" si="349"/>
        <v/>
      </c>
      <c r="AF60" s="24">
        <f t="shared" ref="AF60" si="363">(AD60-INT(AD60))*12</f>
        <v>9.2222260935232043</v>
      </c>
      <c r="AG60" s="41" t="str">
        <f t="shared" si="350"/>
        <v/>
      </c>
      <c r="AH60" s="24">
        <f t="shared" ref="AH60" si="364">(AF60-INT(AF60))*12</f>
        <v>2.6667131222784519</v>
      </c>
      <c r="AI60" s="41" t="str">
        <f t="shared" si="351"/>
        <v/>
      </c>
    </row>
    <row r="61" spans="1:35" ht="14.25" customHeight="1">
      <c r="A61" s="719"/>
      <c r="B61" s="2" t="s">
        <v>197</v>
      </c>
      <c r="C61" s="90" t="s">
        <v>59</v>
      </c>
      <c r="D61" s="87">
        <f>(0-32)*5/9+273.15</f>
        <v>255.37222222222221</v>
      </c>
      <c r="E61" s="8">
        <v>9</v>
      </c>
      <c r="F61" s="87">
        <f>D61/F$6</f>
        <v>4373743.5995439654</v>
      </c>
      <c r="G61" s="37" t="str">
        <f>K61&amp;";"&amp;M61&amp;O61&amp;Q61&amp;S61&amp;U61&amp;W61&amp;Y61&amp;AA61&amp;AC61&amp;AE61&amp;AG61&amp;AI61</f>
        <v>1;56E127724</v>
      </c>
      <c r="H61" s="38">
        <v>6</v>
      </c>
      <c r="I61" s="39">
        <f t="shared" si="338"/>
        <v>1.4647578820060541</v>
      </c>
      <c r="J61" s="98" t="str">
        <f>INDEX(powers!$H$2:$H$75,33+H61)</f>
        <v>cosmic centy</v>
      </c>
      <c r="K61" s="40" t="str">
        <f t="shared" si="339"/>
        <v>1</v>
      </c>
      <c r="L61" s="24">
        <f>(I61-INT(I61))*12</f>
        <v>5.5770945840726487</v>
      </c>
      <c r="M61" s="41" t="str">
        <f t="shared" si="340"/>
        <v>5</v>
      </c>
      <c r="N61" s="24">
        <f>(L61-INT(L61))*12</f>
        <v>6.9251350088717842</v>
      </c>
      <c r="O61" s="41" t="str">
        <f t="shared" si="341"/>
        <v>6</v>
      </c>
      <c r="P61" s="24">
        <f>(N61-INT(N61))*12</f>
        <v>11.101620106461411</v>
      </c>
      <c r="Q61" s="41" t="str">
        <f t="shared" si="342"/>
        <v>E</v>
      </c>
      <c r="R61" s="24">
        <f>(P61-INT(P61))*12</f>
        <v>1.2194412775369301</v>
      </c>
      <c r="S61" s="41" t="str">
        <f t="shared" si="343"/>
        <v>1</v>
      </c>
      <c r="T61" s="24">
        <f>(R61-INT(R61))*12</f>
        <v>2.6332953304431612</v>
      </c>
      <c r="U61" s="41" t="str">
        <f t="shared" si="344"/>
        <v>2</v>
      </c>
      <c r="V61" s="24">
        <f>(T61-INT(T61))*12</f>
        <v>7.5995439653179346</v>
      </c>
      <c r="W61" s="41" t="str">
        <f t="shared" si="345"/>
        <v>7</v>
      </c>
      <c r="X61" s="24">
        <f>(V61-INT(V61))*12</f>
        <v>7.1945275838152156</v>
      </c>
      <c r="Y61" s="41" t="str">
        <f t="shared" si="346"/>
        <v>7</v>
      </c>
      <c r="Z61" s="24">
        <f>(X61-INT(X61))*12</f>
        <v>2.3343310057825875</v>
      </c>
      <c r="AA61" s="41" t="str">
        <f t="shared" si="347"/>
        <v>2</v>
      </c>
      <c r="AB61" s="24">
        <f>(Z61-INT(Z61))*12</f>
        <v>4.0119720693910494</v>
      </c>
      <c r="AC61" s="41" t="str">
        <f t="shared" si="348"/>
        <v>4</v>
      </c>
      <c r="AD61" s="24">
        <f>(AB61-INT(AB61))*12</f>
        <v>0.14366483269259334</v>
      </c>
      <c r="AE61" s="41" t="str">
        <f t="shared" si="349"/>
        <v/>
      </c>
      <c r="AF61" s="24">
        <f>(AD61-INT(AD61))*12</f>
        <v>1.72397799231112</v>
      </c>
      <c r="AG61" s="41" t="str">
        <f t="shared" si="350"/>
        <v/>
      </c>
      <c r="AH61" s="24">
        <f>(AF61-INT(AF61))*12</f>
        <v>8.6877359077334404</v>
      </c>
      <c r="AI61" s="41" t="str">
        <f t="shared" si="351"/>
        <v/>
      </c>
    </row>
    <row r="62" spans="1:35" ht="15" customHeight="1">
      <c r="A62" s="719"/>
      <c r="B62" s="3" t="s">
        <v>198</v>
      </c>
      <c r="C62" s="3" t="s">
        <v>194</v>
      </c>
      <c r="D62" s="87">
        <f>1/D61</f>
        <v>3.9158526769204E-3</v>
      </c>
      <c r="E62" s="8">
        <v>9</v>
      </c>
      <c r="F62" s="89">
        <f>1/F61</f>
        <v>2.2863708794092696E-7</v>
      </c>
      <c r="G62" s="21" t="str">
        <f t="shared" ref="G62" si="365">K62&amp;";"&amp;M62&amp;O62&amp;Q62&amp;S62&amp;U62&amp;W62&amp;Y62&amp;AA62&amp;AC62&amp;AE62&amp;AG62&amp;AI62</f>
        <v>0;8238732XE</v>
      </c>
      <c r="H62" s="8">
        <v>-6</v>
      </c>
      <c r="I62" s="39">
        <f t="shared" si="338"/>
        <v>0.68270668639820087</v>
      </c>
      <c r="J62" s="98" t="str">
        <f>INDEX(powers!$H$2:$H$75,33+H62)</f>
        <v>atomic hecty</v>
      </c>
      <c r="K62" s="40" t="str">
        <f t="shared" si="339"/>
        <v>0</v>
      </c>
      <c r="L62" s="24">
        <f t="shared" ref="L62" si="366">(I62-INT(I62))*12</f>
        <v>8.19248023677841</v>
      </c>
      <c r="M62" s="41" t="str">
        <f t="shared" si="340"/>
        <v>8</v>
      </c>
      <c r="N62" s="24">
        <f t="shared" ref="N62" si="367">(L62-INT(L62))*12</f>
        <v>2.3097628413409197</v>
      </c>
      <c r="O62" s="41" t="str">
        <f t="shared" si="341"/>
        <v>2</v>
      </c>
      <c r="P62" s="24">
        <f t="shared" ref="P62" si="368">(N62-INT(N62))*12</f>
        <v>3.7171540960910363</v>
      </c>
      <c r="Q62" s="41" t="str">
        <f t="shared" si="342"/>
        <v>3</v>
      </c>
      <c r="R62" s="24">
        <f t="shared" ref="R62" si="369">(P62-INT(P62))*12</f>
        <v>8.6058491530924357</v>
      </c>
      <c r="S62" s="41" t="str">
        <f t="shared" si="343"/>
        <v>8</v>
      </c>
      <c r="T62" s="24">
        <f t="shared" ref="T62" si="370">(R62-INT(R62))*12</f>
        <v>7.2701898371092284</v>
      </c>
      <c r="U62" s="41" t="str">
        <f t="shared" si="344"/>
        <v>7</v>
      </c>
      <c r="V62" s="24">
        <f t="shared" ref="V62" si="371">(T62-INT(T62))*12</f>
        <v>3.2422780453107407</v>
      </c>
      <c r="W62" s="41" t="str">
        <f t="shared" si="345"/>
        <v>3</v>
      </c>
      <c r="X62" s="24">
        <f t="shared" ref="X62" si="372">(V62-INT(V62))*12</f>
        <v>2.9073365437288885</v>
      </c>
      <c r="Y62" s="41" t="str">
        <f t="shared" si="346"/>
        <v>2</v>
      </c>
      <c r="Z62" s="24">
        <f t="shared" ref="Z62" si="373">(X62-INT(X62))*12</f>
        <v>10.888038524746662</v>
      </c>
      <c r="AA62" s="41" t="str">
        <f t="shared" si="347"/>
        <v>X</v>
      </c>
      <c r="AB62" s="24">
        <f t="shared" ref="AB62" si="374">(Z62-INT(Z62))*12</f>
        <v>10.656462296959944</v>
      </c>
      <c r="AC62" s="41" t="str">
        <f t="shared" si="348"/>
        <v>E</v>
      </c>
      <c r="AD62" s="24">
        <f t="shared" ref="AD62" si="375">(AB62-INT(AB62))*12</f>
        <v>7.8775475635193288</v>
      </c>
      <c r="AE62" s="41" t="str">
        <f t="shared" si="349"/>
        <v/>
      </c>
      <c r="AF62" s="24">
        <f t="shared" ref="AF62" si="376">(AD62-INT(AD62))*12</f>
        <v>10.530570762231946</v>
      </c>
      <c r="AG62" s="41" t="str">
        <f t="shared" si="350"/>
        <v/>
      </c>
      <c r="AH62" s="24">
        <f t="shared" ref="AH62" si="377">(AF62-INT(AF62))*12</f>
        <v>6.3668491467833519</v>
      </c>
      <c r="AI62" s="41" t="str">
        <f t="shared" si="351"/>
        <v/>
      </c>
    </row>
    <row r="63" spans="1:35" ht="14.25" customHeight="1">
      <c r="A63" s="719"/>
      <c r="B63" s="2" t="s">
        <v>199</v>
      </c>
      <c r="C63" s="90" t="s">
        <v>59</v>
      </c>
      <c r="D63" s="87">
        <f>(100-32)*5/9+273.15</f>
        <v>310.92777777777775</v>
      </c>
      <c r="E63" s="8">
        <v>9</v>
      </c>
      <c r="F63" s="87">
        <f>D63/F$6</f>
        <v>5325240.0207905043</v>
      </c>
      <c r="G63" s="37" t="str">
        <f>K63&amp;";"&amp;M63&amp;O63&amp;Q63&amp;S63&amp;U63&amp;W63&amp;Y63&amp;AA63&amp;AC63&amp;AE63&amp;AG63&amp;AI63</f>
        <v>1;9498X002</v>
      </c>
      <c r="H63" s="38">
        <v>6</v>
      </c>
      <c r="I63" s="39">
        <f t="shared" ref="I63:I64" si="378">F63/POWER(12,H63)</f>
        <v>1.7834121083001464</v>
      </c>
      <c r="J63" s="98" t="str">
        <f>INDEX(powers!$H$2:$H$75,33+H63)</f>
        <v>cosmic centy</v>
      </c>
      <c r="K63" s="40" t="str">
        <f t="shared" ref="K63:K64" si="379">IF($E63&gt;=K$16,MID($H$16,IF($E63&gt;K$16,INT(I63),ROUND(I63,0))+1,1),"")</f>
        <v>1</v>
      </c>
      <c r="L63" s="24">
        <f>(I63-INT(I63))*12</f>
        <v>9.4009452996017568</v>
      </c>
      <c r="M63" s="41" t="str">
        <f t="shared" ref="M63:M64" si="380">IF($E63&gt;=M$16,MID($H$16,IF($E63&gt;M$16,INT(L63),ROUND(L63,0))+1,1),"")</f>
        <v>9</v>
      </c>
      <c r="N63" s="24">
        <f>(L63-INT(L63))*12</f>
        <v>4.8113435952210821</v>
      </c>
      <c r="O63" s="41" t="str">
        <f t="shared" ref="O63:O64" si="381">IF($E63&gt;=O$16,MID($H$16,IF($E63&gt;O$16,INT(N63),ROUND(N63,0))+1,1),"")</f>
        <v>4</v>
      </c>
      <c r="P63" s="24">
        <f>(N63-INT(N63))*12</f>
        <v>9.7361231426529855</v>
      </c>
      <c r="Q63" s="41" t="str">
        <f t="shared" ref="Q63:Q64" si="382">IF($E63&gt;=Q$16,MID($H$16,IF($E63&gt;Q$16,INT(P63),ROUND(P63,0))+1,1),"")</f>
        <v>9</v>
      </c>
      <c r="R63" s="24">
        <f>(P63-INT(P63))*12</f>
        <v>8.8334777118358261</v>
      </c>
      <c r="S63" s="41" t="str">
        <f t="shared" ref="S63:S64" si="383">IF($E63&gt;=S$16,MID($H$16,IF($E63&gt;S$16,INT(R63),ROUND(R63,0))+1,1),"")</f>
        <v>8</v>
      </c>
      <c r="T63" s="24">
        <f>(R63-INT(R63))*12</f>
        <v>10.001732542029913</v>
      </c>
      <c r="U63" s="41" t="str">
        <f t="shared" ref="U63:U64" si="384">IF($E63&gt;=U$16,MID($H$16,IF($E63&gt;U$16,INT(T63),ROUND(T63,0))+1,1),"")</f>
        <v>X</v>
      </c>
      <c r="V63" s="24">
        <f>(T63-INT(T63))*12</f>
        <v>2.0790504358956241E-2</v>
      </c>
      <c r="W63" s="41" t="str">
        <f t="shared" ref="W63:W64" si="385">IF($E63&gt;=W$16,MID($H$16,IF($E63&gt;W$16,INT(V63),ROUND(V63,0))+1,1),"")</f>
        <v>0</v>
      </c>
      <c r="X63" s="24">
        <f>(V63-INT(V63))*12</f>
        <v>0.24948605230747489</v>
      </c>
      <c r="Y63" s="41" t="str">
        <f t="shared" ref="Y63:Y64" si="386">IF($E63&gt;=Y$16,MID($H$16,IF($E63&gt;Y$16,INT(X63),ROUND(X63,0))+1,1),"")</f>
        <v>0</v>
      </c>
      <c r="Z63" s="24">
        <f>(X63-INT(X63))*12</f>
        <v>2.9938326276896987</v>
      </c>
      <c r="AA63" s="41" t="str">
        <f t="shared" ref="AA63:AA64" si="387">IF($E63&gt;=AA$16,MID($H$16,IF($E63&gt;AA$16,INT(Z63),ROUND(Z63,0))+1,1),"")</f>
        <v>2</v>
      </c>
      <c r="AB63" s="24">
        <f>(Z63-INT(Z63))*12</f>
        <v>11.925991532276385</v>
      </c>
      <c r="AC63" s="41" t="str">
        <f t="shared" ref="AC63:AC64" si="388">IF($E63&gt;=AC$16,MID($H$16,IF($E63&gt;AC$16,INT(AB63),ROUND(AB63,0))+1,1),"")</f>
        <v/>
      </c>
      <c r="AD63" s="24">
        <f>(AB63-INT(AB63))*12</f>
        <v>11.111898387316614</v>
      </c>
      <c r="AE63" s="41" t="str">
        <f t="shared" ref="AE63:AE64" si="389">IF($E63&gt;=AE$16,MID($H$16,IF($E63&gt;AE$16,INT(AD63),ROUND(AD63,0))+1,1),"")</f>
        <v/>
      </c>
      <c r="AF63" s="24">
        <f>(AD63-INT(AD63))*12</f>
        <v>1.3427806477993727</v>
      </c>
      <c r="AG63" s="41" t="str">
        <f t="shared" ref="AG63:AG64" si="390">IF($E63&gt;=AG$16,MID($H$16,IF($E63&gt;AG$16,INT(AF63),ROUND(AF63,0))+1,1),"")</f>
        <v/>
      </c>
      <c r="AH63" s="24">
        <f>(AF63-INT(AF63))*12</f>
        <v>4.1133677735924721</v>
      </c>
      <c r="AI63" s="41" t="str">
        <f t="shared" ref="AI63:AI64" si="391">IF($E63&gt;=AI$16,MID($H$16,IF($E63&gt;AI$16,INT(AH63),ROUND(AH63,0))+1,1),"")</f>
        <v/>
      </c>
    </row>
    <row r="64" spans="1:35" ht="15" customHeight="1" thickBot="1">
      <c r="A64" s="720"/>
      <c r="B64" s="91" t="s">
        <v>200</v>
      </c>
      <c r="C64" s="91" t="s">
        <v>194</v>
      </c>
      <c r="D64" s="92">
        <f>1/D63</f>
        <v>3.2161809637822293E-3</v>
      </c>
      <c r="E64" s="33">
        <v>9</v>
      </c>
      <c r="F64" s="93">
        <f>1/F63</f>
        <v>1.8778496294924847E-7</v>
      </c>
      <c r="G64" s="32" t="str">
        <f t="shared" ref="G64" si="392">K64&amp;";"&amp;M64&amp;O64&amp;Q64&amp;S64&amp;U64&amp;W64&amp;Y64&amp;AA64&amp;AC64&amp;AE64&amp;AG64&amp;AI64</f>
        <v>0;688E19714</v>
      </c>
      <c r="H64" s="33">
        <v>-6</v>
      </c>
      <c r="I64" s="49">
        <f t="shared" si="378"/>
        <v>0.56072289480704873</v>
      </c>
      <c r="J64" s="98" t="str">
        <f>INDEX(powers!$H$2:$H$75,33+H64)</f>
        <v>atomic hecty</v>
      </c>
      <c r="K64" s="40" t="str">
        <f t="shared" si="379"/>
        <v>0</v>
      </c>
      <c r="L64" s="24">
        <f t="shared" ref="L64" si="393">(I64-INT(I64))*12</f>
        <v>6.7286747376845852</v>
      </c>
      <c r="M64" s="41" t="str">
        <f t="shared" si="380"/>
        <v>6</v>
      </c>
      <c r="N64" s="24">
        <f t="shared" ref="N64" si="394">(L64-INT(L64))*12</f>
        <v>8.7440968522150229</v>
      </c>
      <c r="O64" s="41" t="str">
        <f t="shared" si="381"/>
        <v>8</v>
      </c>
      <c r="P64" s="24">
        <f t="shared" ref="P64" si="395">(N64-INT(N64))*12</f>
        <v>8.9291622265802744</v>
      </c>
      <c r="Q64" s="41" t="str">
        <f t="shared" si="382"/>
        <v>8</v>
      </c>
      <c r="R64" s="24">
        <f t="shared" ref="R64" si="396">(P64-INT(P64))*12</f>
        <v>11.149946718963292</v>
      </c>
      <c r="S64" s="41" t="str">
        <f t="shared" si="383"/>
        <v>E</v>
      </c>
      <c r="T64" s="24">
        <f t="shared" ref="T64" si="397">(R64-INT(R64))*12</f>
        <v>1.7993606275595084</v>
      </c>
      <c r="U64" s="41" t="str">
        <f t="shared" si="384"/>
        <v>1</v>
      </c>
      <c r="V64" s="24">
        <f t="shared" ref="V64" si="398">(T64-INT(T64))*12</f>
        <v>9.5923275307141012</v>
      </c>
      <c r="W64" s="41" t="str">
        <f t="shared" si="385"/>
        <v>9</v>
      </c>
      <c r="X64" s="24">
        <f t="shared" ref="X64" si="399">(V64-INT(V64))*12</f>
        <v>7.1079303685692139</v>
      </c>
      <c r="Y64" s="41" t="str">
        <f t="shared" si="386"/>
        <v>7</v>
      </c>
      <c r="Z64" s="24">
        <f t="shared" ref="Z64" si="400">(X64-INT(X64))*12</f>
        <v>1.2951644228305668</v>
      </c>
      <c r="AA64" s="41" t="str">
        <f t="shared" si="387"/>
        <v>1</v>
      </c>
      <c r="AB64" s="24">
        <f t="shared" ref="AB64" si="401">(Z64-INT(Z64))*12</f>
        <v>3.5419730739668012</v>
      </c>
      <c r="AC64" s="41" t="str">
        <f t="shared" si="388"/>
        <v>4</v>
      </c>
      <c r="AD64" s="24">
        <f t="shared" ref="AD64" si="402">(AB64-INT(AB64))*12</f>
        <v>6.503676887601614</v>
      </c>
      <c r="AE64" s="41" t="str">
        <f t="shared" si="389"/>
        <v/>
      </c>
      <c r="AF64" s="24">
        <f t="shared" ref="AF64" si="403">(AD64-INT(AD64))*12</f>
        <v>6.044122651219368</v>
      </c>
      <c r="AG64" s="41" t="str">
        <f t="shared" si="390"/>
        <v/>
      </c>
      <c r="AH64" s="24">
        <f t="shared" ref="AH64" si="404">(AF64-INT(AF64))*12</f>
        <v>0.52947181463241577</v>
      </c>
      <c r="AI64" s="41" t="str">
        <f t="shared" si="391"/>
        <v/>
      </c>
    </row>
    <row r="65" spans="2:35" ht="12.75" thickBot="1"/>
    <row r="66" spans="2:35" ht="12.75" thickBot="1">
      <c r="B66" s="68" t="s">
        <v>609</v>
      </c>
      <c r="C66" s="114" t="s">
        <v>208</v>
      </c>
      <c r="D66" s="69">
        <f>F53*3*12*12*12</f>
        <v>1223.1001721929897</v>
      </c>
      <c r="E66" s="69">
        <v>7</v>
      </c>
      <c r="F66" s="69">
        <f>D66/F53</f>
        <v>5184</v>
      </c>
      <c r="G66" s="71" t="str">
        <f>K66&amp;";"&amp;M66&amp;O66&amp;Q66&amp;S66&amp;U66&amp;W66&amp;Y66&amp;AA66&amp;AC66&amp;AE66&amp;AG66&amp;AI66</f>
        <v>3;0000000</v>
      </c>
      <c r="H66" s="72">
        <v>3</v>
      </c>
      <c r="I66" s="74">
        <f>F66/POWER(12,H66)+0.00000000001</f>
        <v>3.00000000001</v>
      </c>
      <c r="J66" s="98" t="str">
        <f>INDEX(powers!$H$2:$H$75,33+H66)</f>
        <v>kily</v>
      </c>
      <c r="K66" s="40" t="str">
        <f t="shared" ref="K66" si="405">IF($E66&gt;=K$16,MID($H$16,IF($E66&gt;K$16,INT(I66),ROUND(I66,0))+1,1),"")</f>
        <v>3</v>
      </c>
      <c r="L66" s="24">
        <f>(I66-INT(I66))*12</f>
        <v>1.2000000992884452E-10</v>
      </c>
      <c r="M66" s="41" t="str">
        <f t="shared" ref="M66" si="406">IF($E66&gt;=M$16,MID($H$16,IF($E66&gt;M$16,INT(L66),ROUND(L66,0))+1,1),"")</f>
        <v>0</v>
      </c>
      <c r="N66" s="24">
        <f>(L66-INT(L66))*12</f>
        <v>1.4400001191461342E-9</v>
      </c>
      <c r="O66" s="41" t="str">
        <f t="shared" ref="O66" si="407">IF($E66&gt;=O$16,MID($H$16,IF($E66&gt;O$16,INT(N66),ROUND(N66,0))+1,1),"")</f>
        <v>0</v>
      </c>
      <c r="P66" s="24">
        <f>(N66-INT(N66))*12</f>
        <v>1.7280001429753611E-8</v>
      </c>
      <c r="Q66" s="41" t="str">
        <f t="shared" ref="Q66" si="408">IF($E66&gt;=Q$16,MID($H$16,IF($E66&gt;Q$16,INT(P66),ROUND(P66,0))+1,1),"")</f>
        <v>0</v>
      </c>
      <c r="R66" s="24">
        <f>(P66-INT(P66))*12</f>
        <v>2.0736001715704333E-7</v>
      </c>
      <c r="S66" s="41" t="str">
        <f t="shared" ref="S66" si="409">IF($E66&gt;=S$16,MID($H$16,IF($E66&gt;S$16,INT(R66),ROUND(R66,0))+1,1),"")</f>
        <v>0</v>
      </c>
      <c r="T66" s="24">
        <f>(R66-INT(R66))*12</f>
        <v>2.48832020588452E-6</v>
      </c>
      <c r="U66" s="41" t="str">
        <f t="shared" ref="U66" si="410">IF($E66&gt;=U$16,MID($H$16,IF($E66&gt;U$16,INT(T66),ROUND(T66,0))+1,1),"")</f>
        <v>0</v>
      </c>
      <c r="V66" s="24">
        <f>(T66-INT(T66))*12</f>
        <v>2.985984247061424E-5</v>
      </c>
      <c r="W66" s="41" t="str">
        <f t="shared" ref="W66" si="411">IF($E66&gt;=W$16,MID($H$16,IF($E66&gt;W$16,INT(V66),ROUND(V66,0))+1,1),"")</f>
        <v>0</v>
      </c>
      <c r="X66" s="24">
        <f>(V66-INT(V66))*12</f>
        <v>3.5831810964737087E-4</v>
      </c>
      <c r="Y66" s="41" t="str">
        <f t="shared" ref="Y66" si="412">IF($E66&gt;=Y$16,MID($H$16,IF($E66&gt;Y$16,INT(X66),ROUND(X66,0))+1,1),"")</f>
        <v>0</v>
      </c>
      <c r="Z66" s="24">
        <f>(X66-INT(X66))*12</f>
        <v>4.2998173157684505E-3</v>
      </c>
      <c r="AA66" s="41" t="str">
        <f t="shared" ref="AA66" si="413">IF($E66&gt;=AA$16,MID($H$16,IF($E66&gt;AA$16,INT(Z66),ROUND(Z66,0))+1,1),"")</f>
        <v/>
      </c>
      <c r="AB66" s="24">
        <f>(Z66-INT(Z66))*12</f>
        <v>5.1597807789221406E-2</v>
      </c>
      <c r="AC66" s="41" t="str">
        <f t="shared" ref="AC66" si="414">IF($E66&gt;=AC$16,MID($H$16,IF($E66&gt;AC$16,INT(AB66),ROUND(AB66,0))+1,1),"")</f>
        <v/>
      </c>
      <c r="AD66" s="24">
        <f>(AB66-INT(AB66))*12</f>
        <v>0.61917369347065687</v>
      </c>
      <c r="AE66" s="41" t="str">
        <f t="shared" ref="AE66" si="415">IF($E66&gt;=AE$16,MID($H$16,IF($E66&gt;AE$16,INT(AD66),ROUND(AD66,0))+1,1),"")</f>
        <v/>
      </c>
      <c r="AF66" s="24">
        <f>(AD66-INT(AD66))*12</f>
        <v>7.4300843216478825</v>
      </c>
      <c r="AG66" s="41" t="str">
        <f t="shared" ref="AG66" si="416">IF($E66&gt;=AG$16,MID($H$16,IF($E66&gt;AG$16,INT(AF66),ROUND(AF66,0))+1,1),"")</f>
        <v/>
      </c>
      <c r="AH66" s="24">
        <f>(AF66-INT(AF66))*12</f>
        <v>5.1610118597745895</v>
      </c>
      <c r="AI66" s="41" t="str">
        <f t="shared" ref="AI66" si="417">IF($E66&gt;=AI$16,MID($H$16,IF($E66&gt;AI$16,INT(AH66),ROUND(AH66,0))+1,1),"")</f>
        <v/>
      </c>
    </row>
    <row r="67" spans="2:35">
      <c r="B67" s="247"/>
      <c r="C67" s="246"/>
      <c r="D67" s="247"/>
      <c r="E67" s="247"/>
      <c r="F67" s="247"/>
      <c r="G67" s="249"/>
      <c r="H67" s="250"/>
      <c r="I67" s="251"/>
      <c r="J67" s="251"/>
      <c r="K67" s="252"/>
      <c r="L67" s="247"/>
      <c r="M67" s="252"/>
      <c r="N67" s="247"/>
      <c r="O67" s="252"/>
      <c r="P67" s="247"/>
      <c r="Q67" s="252"/>
      <c r="R67" s="247"/>
      <c r="S67" s="252"/>
      <c r="T67" s="247"/>
      <c r="U67" s="252"/>
      <c r="V67" s="247"/>
      <c r="W67" s="252"/>
      <c r="X67" s="247"/>
      <c r="Y67" s="252"/>
      <c r="Z67" s="247"/>
      <c r="AA67" s="252"/>
      <c r="AB67" s="247"/>
      <c r="AC67" s="252"/>
      <c r="AD67" s="247"/>
      <c r="AE67" s="252"/>
      <c r="AF67" s="247"/>
      <c r="AG67" s="252"/>
      <c r="AH67" s="247"/>
      <c r="AI67" s="252"/>
    </row>
    <row r="68" spans="2:35">
      <c r="D68" s="578" t="s">
        <v>1473</v>
      </c>
      <c r="F68" s="14" t="s">
        <v>1463</v>
      </c>
      <c r="I68" s="578" t="s">
        <v>1464</v>
      </c>
    </row>
    <row r="69" spans="2:35">
      <c r="D69" s="14" t="s">
        <v>1452</v>
      </c>
      <c r="E69" s="141" t="s">
        <v>1453</v>
      </c>
      <c r="F69" s="14" t="s">
        <v>1454</v>
      </c>
      <c r="I69" s="579">
        <f>8*D17/(9*F3)-1</f>
        <v>-5.2096974754741732E-3</v>
      </c>
      <c r="J69" s="579"/>
    </row>
    <row r="70" spans="2:35">
      <c r="D70" s="14" t="s">
        <v>1455</v>
      </c>
      <c r="E70" s="141" t="s">
        <v>1453</v>
      </c>
      <c r="F70" s="14" t="s">
        <v>1456</v>
      </c>
      <c r="I70" s="579">
        <f>9*2*3600/(8*POWER(12,4)*F4)-1</f>
        <v>-2.9469058526743197E-7</v>
      </c>
      <c r="J70" s="579"/>
    </row>
    <row r="71" spans="2:35">
      <c r="D71" s="14" t="s">
        <v>1457</v>
      </c>
      <c r="E71" s="141" t="s">
        <v>1453</v>
      </c>
      <c r="F71" s="14" t="s">
        <v>1458</v>
      </c>
      <c r="I71" s="579">
        <f>14*D51/(3*F8)-1</f>
        <v>3.5537437149109063E-3</v>
      </c>
      <c r="J71" s="579"/>
    </row>
    <row r="72" spans="2:35">
      <c r="D72" s="14" t="s">
        <v>1465</v>
      </c>
      <c r="E72" s="141" t="s">
        <v>1453</v>
      </c>
      <c r="F72" s="14" t="s">
        <v>1466</v>
      </c>
      <c r="I72" s="579">
        <f>3*D43/8/POWER(12*12*F3,2)-1</f>
        <v>-1.3351896309915401E-2</v>
      </c>
      <c r="J72" s="579"/>
    </row>
    <row r="73" spans="2:35">
      <c r="D73" s="14" t="s">
        <v>1474</v>
      </c>
      <c r="E73" s="141" t="s">
        <v>1453</v>
      </c>
      <c r="F73" s="14" t="s">
        <v>1475</v>
      </c>
      <c r="I73" s="579">
        <f>0.00454609*40/(POWER(F3,3)*9)-1</f>
        <v>1.4465779524885924E-4</v>
      </c>
    </row>
    <row r="74" spans="2:35">
      <c r="D74" s="14" t="s">
        <v>1472</v>
      </c>
      <c r="E74" s="141" t="s">
        <v>1453</v>
      </c>
      <c r="F74" s="14" t="s">
        <v>1471</v>
      </c>
      <c r="I74" s="579">
        <f>0.0044048428032*16/(POWER(F3,3)*3.5)-1</f>
        <v>-3.242158616431956E-3</v>
      </c>
    </row>
    <row r="75" spans="2:35">
      <c r="D75" s="14" t="s">
        <v>1468</v>
      </c>
      <c r="E75" s="141" t="s">
        <v>1453</v>
      </c>
      <c r="F75" s="14" t="s">
        <v>1467</v>
      </c>
      <c r="I75" s="579">
        <f>16*D47/(3*POWER(F3,3))-1</f>
        <v>-6.4643507116235455E-4</v>
      </c>
      <c r="J75" s="579"/>
    </row>
    <row r="76" spans="2:35">
      <c r="D76" s="14" t="s">
        <v>1460</v>
      </c>
      <c r="E76" s="141" t="s">
        <v>1453</v>
      </c>
      <c r="F76" s="14" t="s">
        <v>1459</v>
      </c>
      <c r="I76" s="579">
        <f>D47/(POWER(F3,3)*0.5*0.5*0.75)-1</f>
        <v>-6.4643507116235455E-4</v>
      </c>
      <c r="J76" s="579"/>
    </row>
    <row r="77" spans="2:35">
      <c r="D77" s="14" t="s">
        <v>1469</v>
      </c>
      <c r="E77" s="141" t="s">
        <v>1453</v>
      </c>
      <c r="F77" s="14" t="s">
        <v>1470</v>
      </c>
      <c r="I77" s="579">
        <f>0.000001/(POWER(12,-4)*POWER(F3,3))-1</f>
        <v>2.6436985499520116E-2</v>
      </c>
      <c r="J77" s="579"/>
      <c r="P77" s="579"/>
    </row>
    <row r="78" spans="2:35">
      <c r="D78" s="14" t="s">
        <v>1461</v>
      </c>
      <c r="E78" s="141" t="s">
        <v>1453</v>
      </c>
      <c r="F78" s="14" t="s">
        <v>1462</v>
      </c>
      <c r="I78" s="579">
        <f>40*1.001/30/((3+5/12)*F4)-1</f>
        <v>2.3119936660931373E-5</v>
      </c>
    </row>
  </sheetData>
  <mergeCells count="3">
    <mergeCell ref="A1:A15"/>
    <mergeCell ref="H16:I16"/>
    <mergeCell ref="A16:A6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  <headerFooter>
    <oddHeader>&amp;A</oddHeader>
  </headerFooter>
  <webPublishItems count="1">
    <webPublishItem id="32002" divId="condensed_32002" sourceType="range" sourceRef="D68:I76" destinationFile="C:\Users\suchowan\root\unit\condensed.htm"/>
  </webPublishItem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9"/>
  <sheetViews>
    <sheetView workbookViewId="0">
      <selection activeCell="F24" sqref="F24"/>
    </sheetView>
  </sheetViews>
  <sheetFormatPr defaultRowHeight="12"/>
  <cols>
    <col min="1" max="1" width="2.75" style="14" customWidth="1"/>
    <col min="2" max="2" width="26" style="14" customWidth="1"/>
    <col min="3" max="3" width="8.625" style="14" customWidth="1"/>
    <col min="4" max="4" width="14.125" style="14" customWidth="1"/>
    <col min="5" max="5" width="3.5" style="14" customWidth="1"/>
    <col min="6" max="6" width="14.625" style="14" customWidth="1"/>
    <col min="7" max="7" width="13.625" style="14" customWidth="1"/>
    <col min="8" max="8" width="3.625" style="14" customWidth="1"/>
    <col min="9" max="9" width="9.625" style="14" customWidth="1"/>
    <col min="10" max="10" width="14.625" style="14" customWidth="1"/>
    <col min="11" max="11" width="3.125" style="14" customWidth="1"/>
    <col min="12" max="12" width="8.625" style="14" customWidth="1"/>
    <col min="13" max="13" width="3.125" style="14" customWidth="1"/>
    <col min="14" max="14" width="9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10.25" style="14" customWidth="1"/>
    <col min="37" max="37" width="10.125" style="14" customWidth="1"/>
    <col min="38" max="16384" width="9" style="14"/>
  </cols>
  <sheetData>
    <row r="1" spans="1:35" ht="11.25" customHeight="1">
      <c r="A1" s="718" t="s">
        <v>26</v>
      </c>
      <c r="B1" s="270" t="s">
        <v>42</v>
      </c>
      <c r="C1" s="18" t="str">
        <f>Rydberg!C1</f>
        <v>Unit Symbol</v>
      </c>
      <c r="D1" s="270" t="s">
        <v>43</v>
      </c>
      <c r="E1" s="18" t="s">
        <v>44</v>
      </c>
      <c r="F1" s="270" t="s">
        <v>55</v>
      </c>
      <c r="G1" s="270" t="s">
        <v>203</v>
      </c>
      <c r="H1" s="19"/>
      <c r="I1" s="269" t="s">
        <v>46</v>
      </c>
      <c r="J1" s="271"/>
      <c r="K1" s="729"/>
      <c r="L1" s="730"/>
      <c r="M1" s="730"/>
      <c r="N1" s="730"/>
      <c r="O1" s="730"/>
      <c r="P1" s="730"/>
    </row>
    <row r="2" spans="1:35" ht="13.5" customHeight="1">
      <c r="A2" s="719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306"/>
      <c r="L2" s="305"/>
      <c r="M2" s="302"/>
      <c r="N2" s="303"/>
      <c r="O2" s="302"/>
      <c r="P2" s="30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>
      <c r="A3" s="719"/>
      <c r="B3" s="2" t="str">
        <f>Rydberg!B3</f>
        <v>Length</v>
      </c>
      <c r="C3" s="7" t="s">
        <v>713</v>
      </c>
      <c r="D3" s="277"/>
      <c r="E3" s="278"/>
      <c r="F3" s="279">
        <f>D31 * F4 / (176024043 + 1/18)</f>
        <v>0.29568291258759627</v>
      </c>
      <c r="G3" s="280"/>
      <c r="H3" s="278">
        <v>-3</v>
      </c>
      <c r="I3" s="281">
        <f>F3/POWER(10,H3)</f>
        <v>295.68291258759626</v>
      </c>
      <c r="J3" s="282" t="str">
        <f>Rydberg!L3</f>
        <v>mm</v>
      </c>
      <c r="K3" s="23"/>
      <c r="L3" s="82">
        <f>-LOG(F3)/(LOG(12)-LOG(10))</f>
        <v>6.6830695257951787</v>
      </c>
      <c r="M3" s="24"/>
      <c r="N3" s="83">
        <f>POWER(12,L3)*F3/POWER(10,L3)</f>
        <v>0.99999999999999978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>
      <c r="A4" s="719"/>
      <c r="B4" s="2" t="str">
        <f>Rydberg!B4</f>
        <v>Time</v>
      </c>
      <c r="C4" s="7" t="s">
        <v>714</v>
      </c>
      <c r="D4" s="28"/>
      <c r="E4" s="278"/>
      <c r="F4" s="279">
        <f>86400/2/POWER(12,5)</f>
        <v>0.1736111111111111</v>
      </c>
      <c r="G4" s="283"/>
      <c r="H4" s="278">
        <v>-3</v>
      </c>
      <c r="I4" s="281">
        <f t="shared" ref="I4:I25" si="0">F4/POWER(10,H4)</f>
        <v>173.61111111111111</v>
      </c>
      <c r="J4" s="282" t="str">
        <f>Rydberg!L4</f>
        <v>ms</v>
      </c>
      <c r="K4" s="23"/>
      <c r="L4" s="82">
        <f t="shared" ref="L4:L25" si="1">-LOG(F4)/(LOG(12)-LOG(10))</f>
        <v>9.6035680338478535</v>
      </c>
      <c r="M4" s="24"/>
      <c r="N4" s="83">
        <f t="shared" ref="N4:N25" si="2">POWER(12,L4)*F4/POWER(10,L4)</f>
        <v>0.99999999999999722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>
      <c r="A5" s="719"/>
      <c r="B5" s="2" t="str">
        <f>Rydberg!B5</f>
        <v>Energy</v>
      </c>
      <c r="C5" s="2" t="s">
        <v>722</v>
      </c>
      <c r="D5" s="21"/>
      <c r="E5" s="278"/>
      <c r="F5" s="279">
        <f>F17*F20*F3*F3/F16</f>
        <v>74.983195487443439</v>
      </c>
      <c r="G5" s="279"/>
      <c r="H5" s="278">
        <v>0</v>
      </c>
      <c r="I5" s="281">
        <f t="shared" si="0"/>
        <v>74.983195487443439</v>
      </c>
      <c r="J5" s="282" t="s">
        <v>683</v>
      </c>
      <c r="K5" s="23"/>
      <c r="L5" s="82">
        <f t="shared" si="1"/>
        <v>-23.679394275591264</v>
      </c>
      <c r="M5" s="24"/>
      <c r="N5" s="83">
        <f t="shared" si="2"/>
        <v>1.0000000000000095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>
      <c r="A6" s="719"/>
      <c r="B6" s="2" t="str">
        <f>Rydberg!B6</f>
        <v>Temperature</v>
      </c>
      <c r="C6" s="2" t="s">
        <v>736</v>
      </c>
      <c r="D6" s="21"/>
      <c r="E6" s="278"/>
      <c r="F6" s="279">
        <f>0.1/144</f>
        <v>6.9444444444444447E-4</v>
      </c>
      <c r="G6" s="279"/>
      <c r="H6" s="278">
        <v>-3</v>
      </c>
      <c r="I6" s="281">
        <f t="shared" si="0"/>
        <v>0.69444444444444442</v>
      </c>
      <c r="J6" s="282" t="s">
        <v>1137</v>
      </c>
      <c r="K6" s="23"/>
      <c r="L6" s="82">
        <f t="shared" si="1"/>
        <v>39.887759409539981</v>
      </c>
      <c r="M6" s="24"/>
      <c r="N6" s="83">
        <f t="shared" si="2"/>
        <v>0.99999999999999312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>
      <c r="A7" s="719"/>
      <c r="B7" s="2" t="str">
        <f>Rydberg!B7</f>
        <v>Amount of substance</v>
      </c>
      <c r="C7" s="2" t="s">
        <v>731</v>
      </c>
      <c r="D7" s="21"/>
      <c r="E7" s="278"/>
      <c r="F7" s="279">
        <f>F8*1000</f>
        <v>25850.355649436216</v>
      </c>
      <c r="G7" s="279"/>
      <c r="H7" s="278">
        <v>3</v>
      </c>
      <c r="I7" s="281">
        <f t="shared" si="0"/>
        <v>25.850355649436217</v>
      </c>
      <c r="J7" s="282" t="s">
        <v>684</v>
      </c>
      <c r="K7" s="23"/>
      <c r="L7" s="82">
        <f t="shared" si="1"/>
        <v>-55.72615666902589</v>
      </c>
      <c r="M7" s="24"/>
      <c r="N7" s="83">
        <f t="shared" si="2"/>
        <v>1.0000000000000258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>
      <c r="A8" s="719"/>
      <c r="B8" s="2" t="str">
        <f>Rydberg!B8</f>
        <v>Mass</v>
      </c>
      <c r="C8" s="2" t="s">
        <v>715</v>
      </c>
      <c r="D8" s="21"/>
      <c r="E8" s="278"/>
      <c r="F8" s="279">
        <f>F5/POWER(F3/F4,2)</f>
        <v>25.850355649436217</v>
      </c>
      <c r="G8" s="279"/>
      <c r="H8" s="278">
        <v>0</v>
      </c>
      <c r="I8" s="281">
        <f t="shared" si="0"/>
        <v>25.850355649436217</v>
      </c>
      <c r="J8" s="282" t="s">
        <v>685</v>
      </c>
      <c r="K8" s="23"/>
      <c r="L8" s="82">
        <f t="shared" si="1"/>
        <v>-17.838397259485916</v>
      </c>
      <c r="M8" s="24"/>
      <c r="N8" s="83">
        <f t="shared" si="2"/>
        <v>1.0000000000000113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>
      <c r="A9" s="719"/>
      <c r="B9" s="2" t="str">
        <f>Rydberg!B9</f>
        <v>Power</v>
      </c>
      <c r="C9" s="2" t="s">
        <v>721</v>
      </c>
      <c r="D9" s="21"/>
      <c r="E9" s="8"/>
      <c r="F9" s="21">
        <f>F5/F4</f>
        <v>431.90320600767421</v>
      </c>
      <c r="G9" s="21"/>
      <c r="H9" s="8">
        <v>0</v>
      </c>
      <c r="I9" s="58">
        <f t="shared" si="0"/>
        <v>431.90320600767421</v>
      </c>
      <c r="J9" s="122" t="s">
        <v>686</v>
      </c>
      <c r="K9" s="23"/>
      <c r="L9" s="82">
        <f t="shared" si="1"/>
        <v>-33.282962309439121</v>
      </c>
      <c r="M9" s="24"/>
      <c r="N9" s="83">
        <f t="shared" si="2"/>
        <v>1.0000000000000122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>
      <c r="A10" s="719"/>
      <c r="B10" s="2" t="str">
        <f>Rydberg!B10</f>
        <v>Force</v>
      </c>
      <c r="C10" s="2" t="s">
        <v>716</v>
      </c>
      <c r="D10" s="21"/>
      <c r="E10" s="8"/>
      <c r="F10" s="21">
        <f>F5/F3</f>
        <v>253.59326594576078</v>
      </c>
      <c r="G10" s="21"/>
      <c r="H10" s="8">
        <v>0</v>
      </c>
      <c r="I10" s="58">
        <f t="shared" si="0"/>
        <v>253.59326594576078</v>
      </c>
      <c r="J10" s="122" t="s">
        <v>687</v>
      </c>
      <c r="K10" s="23"/>
      <c r="L10" s="82">
        <f t="shared" si="1"/>
        <v>-30.362463801386443</v>
      </c>
      <c r="M10" s="24"/>
      <c r="N10" s="83">
        <f t="shared" si="2"/>
        <v>1.000000000000006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>
      <c r="A11" s="719"/>
      <c r="B11" s="2" t="str">
        <f>Rydberg!B11</f>
        <v>Pressure</v>
      </c>
      <c r="C11" s="2" t="s">
        <v>717</v>
      </c>
      <c r="D11" s="21"/>
      <c r="E11" s="8"/>
      <c r="F11" s="21">
        <f>F5/POWER(F3,3)</f>
        <v>2900.5827630998288</v>
      </c>
      <c r="G11" s="21"/>
      <c r="H11" s="8">
        <v>3</v>
      </c>
      <c r="I11" s="58">
        <f t="shared" si="0"/>
        <v>2.9005827630998287</v>
      </c>
      <c r="J11" s="122" t="s">
        <v>688</v>
      </c>
      <c r="K11" s="23"/>
      <c r="L11" s="82">
        <f t="shared" si="1"/>
        <v>-43.728602852976799</v>
      </c>
      <c r="M11" s="24"/>
      <c r="N11" s="83">
        <f t="shared" si="2"/>
        <v>1.0000000000000135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>
      <c r="A12" s="719"/>
      <c r="B12" s="2" t="str">
        <f>Rydberg!B12</f>
        <v>Charge</v>
      </c>
      <c r="C12" s="2" t="s">
        <v>720</v>
      </c>
      <c r="D12" s="21"/>
      <c r="E12" s="8"/>
      <c r="F12" s="21">
        <f>F13*F4</f>
        <v>8.6062859150155005E-2</v>
      </c>
      <c r="G12" s="21"/>
      <c r="H12" s="8">
        <v>-3</v>
      </c>
      <c r="I12" s="58">
        <f t="shared" si="0"/>
        <v>86.062859150155006</v>
      </c>
      <c r="J12" s="122" t="str">
        <f>Rydberg!L12</f>
        <v>mC</v>
      </c>
      <c r="K12" s="23"/>
      <c r="L12" s="82">
        <f t="shared" si="1"/>
        <v>13.452481278129918</v>
      </c>
      <c r="M12" s="24"/>
      <c r="N12" s="83">
        <f t="shared" si="2"/>
        <v>0.99999999999999789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>
      <c r="A13" s="719"/>
      <c r="B13" s="2" t="str">
        <f>Rydberg!B13</f>
        <v>Electric current</v>
      </c>
      <c r="C13" s="2" t="s">
        <v>718</v>
      </c>
      <c r="D13" s="21"/>
      <c r="E13" s="8"/>
      <c r="F13" s="21">
        <f>F17/F16</f>
        <v>0.49572206870489288</v>
      </c>
      <c r="G13" s="21"/>
      <c r="H13" s="8">
        <v>-3</v>
      </c>
      <c r="I13" s="58">
        <f t="shared" si="0"/>
        <v>495.72206870489288</v>
      </c>
      <c r="J13" s="122" t="str">
        <f>Rydberg!L13</f>
        <v>mA</v>
      </c>
      <c r="K13" s="23"/>
      <c r="L13" s="82">
        <f t="shared" si="1"/>
        <v>3.8489132442820648</v>
      </c>
      <c r="M13" s="24"/>
      <c r="N13" s="83">
        <f t="shared" si="2"/>
        <v>0.99999999999999922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>
      <c r="A14" s="719"/>
      <c r="B14" s="2" t="str">
        <f>Rydberg!B14</f>
        <v>Field Strength</v>
      </c>
      <c r="C14" s="2" t="s">
        <v>737</v>
      </c>
      <c r="D14" s="21"/>
      <c r="E14" s="8"/>
      <c r="F14" s="21">
        <f>F13/F3</f>
        <v>1.676532689585283</v>
      </c>
      <c r="G14" s="21"/>
      <c r="H14" s="8">
        <v>0</v>
      </c>
      <c r="I14" s="58">
        <f t="shared" si="0"/>
        <v>1.676532689585283</v>
      </c>
      <c r="J14" s="122" t="s">
        <v>689</v>
      </c>
      <c r="K14" s="23"/>
      <c r="L14" s="82">
        <f t="shared" si="1"/>
        <v>-2.8341562815131138</v>
      </c>
      <c r="M14" s="24"/>
      <c r="N14" s="83">
        <f t="shared" si="2"/>
        <v>1.0000000000000011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>
      <c r="A15" s="719"/>
      <c r="B15" s="2" t="str">
        <f>Rydberg!B15</f>
        <v>Flux density</v>
      </c>
      <c r="C15" s="2" t="s">
        <v>738</v>
      </c>
      <c r="D15" s="21"/>
      <c r="E15" s="8"/>
      <c r="F15" s="21">
        <f>F12/POWER(F3,2)</f>
        <v>0.98438120926846717</v>
      </c>
      <c r="G15" s="21"/>
      <c r="H15" s="8">
        <v>-3</v>
      </c>
      <c r="I15" s="58">
        <f t="shared" si="0"/>
        <v>984.38120926846716</v>
      </c>
      <c r="J15" s="122" t="str">
        <f>Rydberg!L15</f>
        <v>mC/m^2</v>
      </c>
      <c r="K15" s="23"/>
      <c r="L15" s="82">
        <f t="shared" si="1"/>
        <v>8.6342226539562333E-2</v>
      </c>
      <c r="M15" s="24"/>
      <c r="N15" s="83">
        <f t="shared" si="2"/>
        <v>1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>
      <c r="A16" s="719"/>
      <c r="B16" s="2" t="str">
        <f>Rydberg!B16</f>
        <v>Impedance</v>
      </c>
      <c r="C16" s="2" t="s">
        <v>723</v>
      </c>
      <c r="D16" s="21"/>
      <c r="E16" s="8"/>
      <c r="F16" s="21">
        <f>F3/F4*R15</f>
        <v>1757.559032975938</v>
      </c>
      <c r="G16" s="21"/>
      <c r="H16" s="8">
        <v>3</v>
      </c>
      <c r="I16" s="58">
        <f t="shared" si="0"/>
        <v>1.7575590329759379</v>
      </c>
      <c r="J16" s="122" t="s">
        <v>691</v>
      </c>
      <c r="K16" s="23"/>
      <c r="L16" s="82">
        <f t="shared" si="1"/>
        <v>-40.980788798003253</v>
      </c>
      <c r="M16" s="24"/>
      <c r="N16" s="83">
        <f t="shared" si="2"/>
        <v>1.0000000000000104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>
      <c r="A17" s="719"/>
      <c r="B17" s="2" t="str">
        <f>Rydberg!B17</f>
        <v>Electric potential difference</v>
      </c>
      <c r="C17" s="2" t="s">
        <v>730</v>
      </c>
      <c r="D17" s="21"/>
      <c r="E17" s="8"/>
      <c r="F17" s="21">
        <f>F3*F3*F20/F4</f>
        <v>871.26079969780301</v>
      </c>
      <c r="G17" s="21"/>
      <c r="H17" s="8">
        <v>0</v>
      </c>
      <c r="I17" s="58">
        <f t="shared" si="0"/>
        <v>871.26079969780301</v>
      </c>
      <c r="J17" s="122" t="str">
        <f>Rydberg!L17</f>
        <v>V</v>
      </c>
      <c r="K17" s="23"/>
      <c r="L17" s="82">
        <f t="shared" si="1"/>
        <v>-37.131875553721187</v>
      </c>
      <c r="M17" s="24"/>
      <c r="N17" s="83">
        <f t="shared" si="2"/>
        <v>1.0000000000000115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>
      <c r="A18" s="719"/>
      <c r="B18" s="2" t="str">
        <f>Rydberg!B18</f>
        <v>Electric capacitance</v>
      </c>
      <c r="C18" s="2" t="s">
        <v>726</v>
      </c>
      <c r="D18" s="21"/>
      <c r="E18" s="8"/>
      <c r="F18" s="21">
        <f>F4/F16</f>
        <v>9.8779675591976511E-5</v>
      </c>
      <c r="G18" s="21"/>
      <c r="H18" s="8">
        <v>-6</v>
      </c>
      <c r="I18" s="58">
        <f t="shared" si="0"/>
        <v>98.779675591976513</v>
      </c>
      <c r="J18" s="122" t="str">
        <f>Rydberg!L18</f>
        <v>mF</v>
      </c>
      <c r="K18" s="119"/>
      <c r="L18" s="120">
        <f t="shared" si="1"/>
        <v>50.584356831851103</v>
      </c>
      <c r="M18" s="76"/>
      <c r="N18" s="121">
        <f t="shared" si="2"/>
        <v>0.99999999999998657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>
      <c r="A19" s="719"/>
      <c r="B19" s="2" t="str">
        <f>Rydberg!B19</f>
        <v>Magnetic flux</v>
      </c>
      <c r="C19" s="2" t="s">
        <v>727</v>
      </c>
      <c r="D19" s="21"/>
      <c r="E19" s="8"/>
      <c r="F19" s="21">
        <f>F12*F16</f>
        <v>151.26055550309079</v>
      </c>
      <c r="G19" s="21"/>
      <c r="H19" s="8">
        <v>0</v>
      </c>
      <c r="I19" s="58">
        <f t="shared" si="0"/>
        <v>151.26055550309079</v>
      </c>
      <c r="J19" s="122" t="str">
        <f>Rydberg!L19</f>
        <v>Wb</v>
      </c>
      <c r="K19" s="119"/>
      <c r="L19" s="120">
        <f t="shared" si="1"/>
        <v>-27.52830751987333</v>
      </c>
      <c r="M19" s="76"/>
      <c r="N19" s="121">
        <f t="shared" si="2"/>
        <v>1.0000000000000013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>
      <c r="A20" s="719"/>
      <c r="B20" s="2" t="str">
        <f>Rydberg!B20</f>
        <v>Magnetic flux density</v>
      </c>
      <c r="C20" s="2" t="s">
        <v>728</v>
      </c>
      <c r="D20" s="21"/>
      <c r="E20" s="8"/>
      <c r="F20" s="21">
        <f>SQRT(1/0.001000028 *F3/F4*F16)</f>
        <v>1730.1080862415718</v>
      </c>
      <c r="G20" s="21"/>
      <c r="H20" s="8">
        <v>3</v>
      </c>
      <c r="I20" s="58">
        <f t="shared" si="0"/>
        <v>1.7301080862415719</v>
      </c>
      <c r="J20" s="122" t="s">
        <v>690</v>
      </c>
      <c r="K20" s="119"/>
      <c r="L20" s="120">
        <f t="shared" si="1"/>
        <v>-40.894446571463689</v>
      </c>
      <c r="M20" s="76"/>
      <c r="N20" s="121">
        <f t="shared" si="2"/>
        <v>1.000000000000016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>
      <c r="A21" s="719"/>
      <c r="B21" s="6" t="str">
        <f>Rydberg!B21</f>
        <v>Inductance</v>
      </c>
      <c r="C21" s="6" t="s">
        <v>729</v>
      </c>
      <c r="D21" s="29"/>
      <c r="E21" s="30"/>
      <c r="F21" s="29">
        <f>F4*F16</f>
        <v>305.13177655832254</v>
      </c>
      <c r="G21" s="29"/>
      <c r="H21" s="30">
        <v>0</v>
      </c>
      <c r="I21" s="59">
        <f t="shared" si="0"/>
        <v>305.13177655832254</v>
      </c>
      <c r="J21" s="123" t="str">
        <f>Rydberg!L21</f>
        <v>H</v>
      </c>
      <c r="K21" s="119"/>
      <c r="L21" s="120">
        <f t="shared" si="1"/>
        <v>-31.377220764155393</v>
      </c>
      <c r="M21" s="76"/>
      <c r="N21" s="121">
        <f t="shared" si="2"/>
        <v>1.0000000000000073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>
      <c r="A22" s="719"/>
      <c r="B22" s="2" t="s">
        <v>709</v>
      </c>
      <c r="C22" s="2" t="s">
        <v>732</v>
      </c>
      <c r="D22" s="29"/>
      <c r="E22" s="30"/>
      <c r="F22" s="29">
        <f>1/F4</f>
        <v>5.76</v>
      </c>
      <c r="G22" s="21"/>
      <c r="H22" s="8">
        <v>0</v>
      </c>
      <c r="I22" s="58">
        <f t="shared" si="0"/>
        <v>5.76</v>
      </c>
      <c r="J22" s="122" t="s">
        <v>711</v>
      </c>
      <c r="K22" s="23"/>
      <c r="L22" s="82">
        <f t="shared" si="1"/>
        <v>-9.6035680338478535</v>
      </c>
      <c r="M22" s="24"/>
      <c r="N22" s="83">
        <f t="shared" si="2"/>
        <v>1.0000000000000027</v>
      </c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</row>
    <row r="23" spans="1:35" ht="14.25" customHeight="1">
      <c r="A23" s="719"/>
      <c r="B23" s="2" t="s">
        <v>695</v>
      </c>
      <c r="C23" s="2" t="s">
        <v>733</v>
      </c>
      <c r="D23" s="21"/>
      <c r="E23" s="8"/>
      <c r="F23" s="21">
        <f>679.6*F9/POWER(12,5)</f>
        <v>1.1795967512330223</v>
      </c>
      <c r="G23" s="21"/>
      <c r="H23" s="8">
        <v>0</v>
      </c>
      <c r="I23" s="58">
        <f t="shared" si="0"/>
        <v>1.1795967512330223</v>
      </c>
      <c r="J23" s="122" t="s">
        <v>696</v>
      </c>
      <c r="K23" s="23"/>
      <c r="L23" s="82">
        <f t="shared" si="1"/>
        <v>-0.90594138583349437</v>
      </c>
      <c r="M23" s="24"/>
      <c r="N23" s="83">
        <f t="shared" si="2"/>
        <v>1.0000000000000004</v>
      </c>
      <c r="O23" s="24"/>
      <c r="P23" s="297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>
      <c r="A24" s="719"/>
      <c r="B24" s="6" t="s">
        <v>697</v>
      </c>
      <c r="C24" s="2" t="s">
        <v>735</v>
      </c>
      <c r="D24" s="21"/>
      <c r="E24" s="8"/>
      <c r="F24" s="21">
        <f>F23</f>
        <v>1.1795967512330223</v>
      </c>
      <c r="G24" s="21"/>
      <c r="H24" s="8">
        <v>0</v>
      </c>
      <c r="I24" s="58">
        <f t="shared" si="0"/>
        <v>1.1795967512330223</v>
      </c>
      <c r="J24" s="122" t="s">
        <v>699</v>
      </c>
      <c r="K24" s="23"/>
      <c r="L24" s="82">
        <f t="shared" si="1"/>
        <v>-0.90594138583349437</v>
      </c>
      <c r="M24" s="24"/>
      <c r="N24" s="83">
        <f t="shared" si="2"/>
        <v>1.0000000000000004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>
      <c r="A25" s="719"/>
      <c r="B25" s="6" t="s">
        <v>701</v>
      </c>
      <c r="C25" s="6" t="s">
        <v>734</v>
      </c>
      <c r="D25" s="29"/>
      <c r="E25" s="30"/>
      <c r="F25" s="29">
        <f>F23/F3/F3</f>
        <v>13.492148505106066</v>
      </c>
      <c r="G25" s="29"/>
      <c r="H25" s="30">
        <v>0</v>
      </c>
      <c r="I25" s="59">
        <f t="shared" si="0"/>
        <v>13.492148505106066</v>
      </c>
      <c r="J25" s="123" t="s">
        <v>712</v>
      </c>
      <c r="K25" s="23"/>
      <c r="L25" s="82">
        <f t="shared" si="1"/>
        <v>-14.272080437423851</v>
      </c>
      <c r="M25" s="24"/>
      <c r="N25" s="83">
        <f t="shared" si="2"/>
        <v>1.0000000000000058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>
      <c r="A26" s="720"/>
      <c r="B26" s="4" t="s">
        <v>1138</v>
      </c>
      <c r="C26" s="4" t="s">
        <v>1139</v>
      </c>
      <c r="D26" s="32"/>
      <c r="E26" s="33"/>
      <c r="F26" s="32">
        <f>F3/F4/F4</f>
        <v>9.8100494006662338</v>
      </c>
      <c r="G26" s="32"/>
      <c r="H26" s="33">
        <v>0</v>
      </c>
      <c r="I26" s="60">
        <f t="shared" ref="I26" si="3">F26/POWER(10,H26)</f>
        <v>9.8100494006662338</v>
      </c>
      <c r="J26" s="128" t="s">
        <v>1182</v>
      </c>
      <c r="K26" s="23"/>
      <c r="L26" s="82">
        <f t="shared" ref="L26" si="4">-LOG(F26)/(LOG(12)-LOG(10))</f>
        <v>-12.524066541900529</v>
      </c>
      <c r="M26" s="24"/>
      <c r="N26" s="83">
        <f t="shared" ref="N26" si="5">POWER(12,L26)*F26/POWER(10,L26)</f>
        <v>1.0000000000000056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>
      <c r="A27" s="718" t="s">
        <v>27</v>
      </c>
      <c r="B27" s="34" t="s">
        <v>42</v>
      </c>
      <c r="C27" s="52" t="str">
        <f>Rydberg!C31</f>
        <v>Unit Symbol</v>
      </c>
      <c r="D27" s="34" t="s">
        <v>43</v>
      </c>
      <c r="E27" s="52" t="s">
        <v>54</v>
      </c>
      <c r="F27" s="34" t="s">
        <v>47</v>
      </c>
      <c r="G27" s="34" t="s">
        <v>92</v>
      </c>
      <c r="H27" s="721" t="str">
        <f>Rydberg!J31</f>
        <v>0123456789XE</v>
      </c>
      <c r="I27" s="722">
        <f>Rydberg!K31</f>
        <v>0</v>
      </c>
      <c r="J27" s="124" t="str">
        <f>Rydberg!L31</f>
        <v>Prefix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>
      <c r="A28" s="719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6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7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8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9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10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11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12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3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4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5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6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7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8">IF($E28&gt;=AI$27,MID($H$27,IF($E28&gt;AI$27,INT(AH28),ROUND(AH28,0))+1,1),"")</f>
        <v/>
      </c>
    </row>
    <row r="29" spans="1:35" ht="15" customHeight="1">
      <c r="A29" s="719"/>
      <c r="B29" s="268" t="str">
        <f>Rydberg!B33</f>
        <v>Avogadro constant</v>
      </c>
      <c r="C29" s="268" t="str">
        <f>Rydberg!C33</f>
        <v>1/mol</v>
      </c>
      <c r="D29" s="21">
        <f>Rydberg!D33</f>
        <v>6.0221408570000002E+23</v>
      </c>
      <c r="E29" s="8">
        <v>7</v>
      </c>
      <c r="F29" s="279">
        <f>D29/(1/F$7)</f>
        <v>1.5567448292445061E+28</v>
      </c>
      <c r="G29" s="142" t="str">
        <f t="shared" ref="G29:G61" si="19">K29&amp;";"&amp;M29&amp;O29&amp;Q29&amp;S29&amp;U29&amp;W29&amp;Y29&amp;AA29&amp;AC29&amp;AE29&amp;AG29&amp;AI29</f>
        <v>1;439X916</v>
      </c>
      <c r="H29" s="284">
        <v>26</v>
      </c>
      <c r="I29" s="285">
        <f>F29/POWER(12,H29)+0.000000000001</f>
        <v>1.3598939280212685</v>
      </c>
      <c r="J29" s="286"/>
      <c r="K29" s="40" t="str">
        <f t="shared" si="6"/>
        <v>1</v>
      </c>
      <c r="L29" s="24">
        <f t="shared" ref="L29:L61" si="20">(I29-INT(I29))*12</f>
        <v>4.3187271362552222</v>
      </c>
      <c r="M29" s="41" t="str">
        <f t="shared" si="7"/>
        <v>4</v>
      </c>
      <c r="N29" s="24">
        <f t="shared" ref="N29:N61" si="21">(L29-INT(L29))*12</f>
        <v>3.8247256350626664</v>
      </c>
      <c r="O29" s="41" t="str">
        <f t="shared" si="8"/>
        <v>3</v>
      </c>
      <c r="P29" s="24">
        <f t="shared" ref="P29:P61" si="22">(N29-INT(N29))*12</f>
        <v>9.8967076207519966</v>
      </c>
      <c r="Q29" s="41" t="str">
        <f t="shared" si="9"/>
        <v>9</v>
      </c>
      <c r="R29" s="24">
        <f t="shared" ref="R29:R61" si="23">(P29-INT(P29))*12</f>
        <v>10.760491449023959</v>
      </c>
      <c r="S29" s="41" t="str">
        <f t="shared" si="10"/>
        <v>X</v>
      </c>
      <c r="T29" s="24">
        <f t="shared" ref="T29:T61" si="24">(R29-INT(R29))*12</f>
        <v>9.1258973882875125</v>
      </c>
      <c r="U29" s="41" t="str">
        <f t="shared" si="11"/>
        <v>9</v>
      </c>
      <c r="V29" s="24">
        <f t="shared" ref="V29:V61" si="25">(T29-INT(T29))*12</f>
        <v>1.5107686594501502</v>
      </c>
      <c r="W29" s="41" t="str">
        <f t="shared" si="12"/>
        <v>1</v>
      </c>
      <c r="X29" s="24">
        <f t="shared" ref="X29:X61" si="26">(V29-INT(V29))*12</f>
        <v>6.1292239134018018</v>
      </c>
      <c r="Y29" s="41" t="str">
        <f t="shared" si="13"/>
        <v>6</v>
      </c>
      <c r="Z29" s="24">
        <f t="shared" ref="Z29:Z61" si="27">(X29-INT(X29))*12</f>
        <v>1.5506869608216221</v>
      </c>
      <c r="AA29" s="41" t="str">
        <f t="shared" si="14"/>
        <v/>
      </c>
      <c r="AB29" s="24">
        <f t="shared" ref="AB29:AB61" si="28">(Z29-INT(Z29))*12</f>
        <v>6.6082435298594646</v>
      </c>
      <c r="AC29" s="41" t="str">
        <f t="shared" si="15"/>
        <v/>
      </c>
      <c r="AD29" s="24">
        <f t="shared" ref="AD29:AD61" si="29">(AB29-INT(AB29))*12</f>
        <v>7.2989223583135754</v>
      </c>
      <c r="AE29" s="41" t="str">
        <f t="shared" si="16"/>
        <v/>
      </c>
      <c r="AF29" s="24">
        <f t="shared" ref="AF29:AF61" si="30">(AD29-INT(AD29))*12</f>
        <v>3.5870682997629046</v>
      </c>
      <c r="AG29" s="41" t="str">
        <f t="shared" si="17"/>
        <v/>
      </c>
      <c r="AH29" s="24">
        <f t="shared" ref="AH29:AH61" si="31">(AF29-INT(AF29))*12</f>
        <v>7.0448195971548557</v>
      </c>
      <c r="AI29" s="41" t="str">
        <f t="shared" si="18"/>
        <v/>
      </c>
    </row>
    <row r="30" spans="1:35" ht="15" customHeight="1">
      <c r="A30" s="719"/>
      <c r="B30" s="268" t="str">
        <f>Rydberg!B34</f>
        <v>Rydberg constant</v>
      </c>
      <c r="C30" s="268" t="str">
        <f>Rydberg!C34</f>
        <v>Ω_1/m</v>
      </c>
      <c r="D30" s="21">
        <f>Rydberg!D34</f>
        <v>10973731.568507999</v>
      </c>
      <c r="E30" s="8">
        <v>12</v>
      </c>
      <c r="F30" s="279">
        <f>D30/(1/F$3)</f>
        <v>3244744.9121308965</v>
      </c>
      <c r="G30" s="142" t="str">
        <f t="shared" si="19"/>
        <v>1;1058E4XE41E4</v>
      </c>
      <c r="H30" s="284">
        <v>6</v>
      </c>
      <c r="I30" s="285">
        <f>F30/POWER(12,H30)</f>
        <v>1.0866585059166078</v>
      </c>
      <c r="J30" s="286"/>
      <c r="K30" s="40" t="str">
        <f t="shared" si="6"/>
        <v>1</v>
      </c>
      <c r="L30" s="24">
        <f t="shared" si="20"/>
        <v>1.0399020709992941</v>
      </c>
      <c r="M30" s="41" t="str">
        <f t="shared" si="7"/>
        <v>1</v>
      </c>
      <c r="N30" s="24">
        <f t="shared" si="21"/>
        <v>0.47882485199152924</v>
      </c>
      <c r="O30" s="41" t="str">
        <f t="shared" si="8"/>
        <v>0</v>
      </c>
      <c r="P30" s="24">
        <f t="shared" si="22"/>
        <v>5.7458982238983509</v>
      </c>
      <c r="Q30" s="41" t="str">
        <f t="shared" si="9"/>
        <v>5</v>
      </c>
      <c r="R30" s="24">
        <f t="shared" si="23"/>
        <v>8.950778686780211</v>
      </c>
      <c r="S30" s="41" t="str">
        <f t="shared" si="10"/>
        <v>8</v>
      </c>
      <c r="T30" s="24">
        <f t="shared" si="24"/>
        <v>11.409344241362533</v>
      </c>
      <c r="U30" s="41" t="str">
        <f t="shared" si="11"/>
        <v>E</v>
      </c>
      <c r="V30" s="24">
        <f t="shared" si="25"/>
        <v>4.9121308963503907</v>
      </c>
      <c r="W30" s="41" t="str">
        <f t="shared" si="12"/>
        <v>4</v>
      </c>
      <c r="X30" s="24">
        <f t="shared" si="26"/>
        <v>10.945570756204688</v>
      </c>
      <c r="Y30" s="41" t="str">
        <f t="shared" si="13"/>
        <v>X</v>
      </c>
      <c r="Z30" s="24">
        <f t="shared" si="27"/>
        <v>11.346849074456259</v>
      </c>
      <c r="AA30" s="41" t="str">
        <f t="shared" si="14"/>
        <v>E</v>
      </c>
      <c r="AB30" s="24">
        <f t="shared" si="28"/>
        <v>4.1621888934751041</v>
      </c>
      <c r="AC30" s="41" t="str">
        <f t="shared" si="15"/>
        <v>4</v>
      </c>
      <c r="AD30" s="24">
        <f t="shared" si="29"/>
        <v>1.9462667217012495</v>
      </c>
      <c r="AE30" s="41" t="str">
        <f t="shared" si="16"/>
        <v>1</v>
      </c>
      <c r="AF30" s="24">
        <f t="shared" si="30"/>
        <v>11.355200660414994</v>
      </c>
      <c r="AG30" s="41" t="str">
        <f t="shared" si="17"/>
        <v>E</v>
      </c>
      <c r="AH30" s="24">
        <f t="shared" si="31"/>
        <v>4.2624079249799252</v>
      </c>
      <c r="AI30" s="41" t="str">
        <f t="shared" si="18"/>
        <v>4</v>
      </c>
    </row>
    <row r="31" spans="1:35" ht="15" customHeight="1">
      <c r="A31" s="719"/>
      <c r="B31" s="268" t="str">
        <f>Rydberg!B35</f>
        <v>Speed of light in vacuum</v>
      </c>
      <c r="C31" s="268" t="str">
        <f>Rydberg!C35</f>
        <v>m/s</v>
      </c>
      <c r="D31" s="21">
        <f>Rydberg!D35</f>
        <v>299792458</v>
      </c>
      <c r="E31" s="8">
        <v>12</v>
      </c>
      <c r="F31" s="279">
        <f>D31/(F$3/F$4)</f>
        <v>176024043.05555552</v>
      </c>
      <c r="G31" s="142" t="str">
        <f t="shared" si="19"/>
        <v>4;XE4992307EE</v>
      </c>
      <c r="H31" s="284">
        <v>7</v>
      </c>
      <c r="I31" s="285">
        <f>F31/POWER(12,H31)</f>
        <v>4.9125079888671968</v>
      </c>
      <c r="J31" s="286"/>
      <c r="K31" s="40" t="str">
        <f t="shared" si="6"/>
        <v>4</v>
      </c>
      <c r="L31" s="24">
        <f t="shared" si="20"/>
        <v>10.950095866406361</v>
      </c>
      <c r="M31" s="41" t="str">
        <f t="shared" si="7"/>
        <v>X</v>
      </c>
      <c r="N31" s="24">
        <f t="shared" si="21"/>
        <v>11.401150396876332</v>
      </c>
      <c r="O31" s="41" t="str">
        <f t="shared" si="8"/>
        <v>E</v>
      </c>
      <c r="P31" s="24">
        <f t="shared" si="22"/>
        <v>4.8138047625159857</v>
      </c>
      <c r="Q31" s="41" t="str">
        <f t="shared" si="9"/>
        <v>4</v>
      </c>
      <c r="R31" s="24">
        <f t="shared" si="23"/>
        <v>9.7656571501918279</v>
      </c>
      <c r="S31" s="41" t="str">
        <f t="shared" si="10"/>
        <v>9</v>
      </c>
      <c r="T31" s="24">
        <f t="shared" si="24"/>
        <v>9.1878858023019347</v>
      </c>
      <c r="U31" s="41" t="str">
        <f t="shared" si="11"/>
        <v>9</v>
      </c>
      <c r="V31" s="24">
        <f t="shared" si="25"/>
        <v>2.2546296276232169</v>
      </c>
      <c r="W31" s="41" t="str">
        <f t="shared" si="12"/>
        <v>2</v>
      </c>
      <c r="X31" s="24">
        <f t="shared" si="26"/>
        <v>3.0555555314786034</v>
      </c>
      <c r="Y31" s="41" t="str">
        <f t="shared" si="13"/>
        <v>3</v>
      </c>
      <c r="Z31" s="24">
        <f t="shared" si="27"/>
        <v>0.66666637774324045</v>
      </c>
      <c r="AA31" s="41" t="str">
        <f t="shared" si="14"/>
        <v>0</v>
      </c>
      <c r="AB31" s="24">
        <f t="shared" si="28"/>
        <v>7.9999965329188854</v>
      </c>
      <c r="AC31" s="41" t="str">
        <f t="shared" si="15"/>
        <v>7</v>
      </c>
      <c r="AD31" s="24">
        <f t="shared" si="29"/>
        <v>11.999958395026624</v>
      </c>
      <c r="AE31" s="41" t="str">
        <f t="shared" si="16"/>
        <v>E</v>
      </c>
      <c r="AF31" s="24">
        <f t="shared" si="30"/>
        <v>11.99950074031949</v>
      </c>
      <c r="AG31" s="41" t="str">
        <f t="shared" si="17"/>
        <v>E</v>
      </c>
      <c r="AH31" s="24">
        <f t="shared" si="31"/>
        <v>11.994008883833885</v>
      </c>
      <c r="AI31" s="41" t="str">
        <f t="shared" si="18"/>
        <v/>
      </c>
    </row>
    <row r="32" spans="1:35" ht="15" customHeight="1">
      <c r="A32" s="719"/>
      <c r="B32" s="268" t="str">
        <f>Rydberg!B36</f>
        <v>Quantum of action</v>
      </c>
      <c r="C32" s="268" t="str">
        <f>Rydberg!C36</f>
        <v>Js</v>
      </c>
      <c r="D32" s="21">
        <f>Rydberg!D36</f>
        <v>1.0545718E-34</v>
      </c>
      <c r="E32" s="8">
        <v>7</v>
      </c>
      <c r="F32" s="279">
        <f>D32/(F$5*F$4)</f>
        <v>8.1009265189521002E-36</v>
      </c>
      <c r="G32" s="142" t="str">
        <f t="shared" si="19"/>
        <v>3;3X5E50E</v>
      </c>
      <c r="H32" s="284">
        <v>-33</v>
      </c>
      <c r="I32" s="285">
        <f>F32/POWER(12,H32)+0.000000000001</f>
        <v>3.3228888343468923</v>
      </c>
      <c r="J32" s="286"/>
      <c r="K32" s="40" t="str">
        <f t="shared" si="6"/>
        <v>3</v>
      </c>
      <c r="L32" s="24">
        <f t="shared" si="20"/>
        <v>3.8746660121627077</v>
      </c>
      <c r="M32" s="41" t="str">
        <f t="shared" si="7"/>
        <v>3</v>
      </c>
      <c r="N32" s="24">
        <f t="shared" si="21"/>
        <v>10.495992145952492</v>
      </c>
      <c r="O32" s="41" t="str">
        <f t="shared" si="8"/>
        <v>X</v>
      </c>
      <c r="P32" s="24">
        <f t="shared" si="22"/>
        <v>5.951905751429905</v>
      </c>
      <c r="Q32" s="41" t="str">
        <f t="shared" si="9"/>
        <v>5</v>
      </c>
      <c r="R32" s="24">
        <f t="shared" si="23"/>
        <v>11.42286901715886</v>
      </c>
      <c r="S32" s="41" t="str">
        <f t="shared" si="10"/>
        <v>E</v>
      </c>
      <c r="T32" s="24">
        <f t="shared" si="24"/>
        <v>5.0744282059063153</v>
      </c>
      <c r="U32" s="41" t="str">
        <f t="shared" si="11"/>
        <v>5</v>
      </c>
      <c r="V32" s="24">
        <f t="shared" si="25"/>
        <v>0.89313847087578324</v>
      </c>
      <c r="W32" s="41" t="str">
        <f t="shared" si="12"/>
        <v>0</v>
      </c>
      <c r="X32" s="24">
        <f t="shared" si="26"/>
        <v>10.717661650509399</v>
      </c>
      <c r="Y32" s="41" t="str">
        <f t="shared" si="13"/>
        <v>E</v>
      </c>
      <c r="Z32" s="24">
        <f t="shared" si="27"/>
        <v>8.6119398061127868</v>
      </c>
      <c r="AA32" s="41" t="str">
        <f t="shared" si="14"/>
        <v/>
      </c>
      <c r="AB32" s="24">
        <f t="shared" si="28"/>
        <v>7.3432776733534411</v>
      </c>
      <c r="AC32" s="41" t="str">
        <f t="shared" si="15"/>
        <v/>
      </c>
      <c r="AD32" s="24">
        <f t="shared" si="29"/>
        <v>4.1193320802412927</v>
      </c>
      <c r="AE32" s="41" t="str">
        <f t="shared" si="16"/>
        <v/>
      </c>
      <c r="AF32" s="24">
        <f t="shared" si="30"/>
        <v>1.4319849628955126</v>
      </c>
      <c r="AG32" s="41" t="str">
        <f t="shared" si="17"/>
        <v/>
      </c>
      <c r="AH32" s="24">
        <f t="shared" si="31"/>
        <v>5.183819554746151</v>
      </c>
      <c r="AI32" s="41" t="str">
        <f t="shared" si="18"/>
        <v/>
      </c>
    </row>
    <row r="33" spans="1:35" ht="15" customHeight="1">
      <c r="A33" s="719"/>
      <c r="B33" s="268" t="str">
        <f>Rydberg!B37</f>
        <v>Boltzmann constant</v>
      </c>
      <c r="C33" s="268" t="str">
        <f>Rydberg!C37</f>
        <v>J/K</v>
      </c>
      <c r="D33" s="21">
        <f>Rydberg!D37</f>
        <v>1.3806485199999999E-23</v>
      </c>
      <c r="E33" s="8">
        <v>6</v>
      </c>
      <c r="F33" s="279">
        <f>D33/(F$5/F$6)</f>
        <v>1.2786647570988099E-28</v>
      </c>
      <c r="G33" s="142" t="str">
        <f t="shared" si="19"/>
        <v>1;569458</v>
      </c>
      <c r="H33" s="284">
        <v>-26</v>
      </c>
      <c r="I33" s="285">
        <f t="shared" ref="I33:I61" si="32">F33/POWER(12,H33)</f>
        <v>1.4637573622000075</v>
      </c>
      <c r="J33" s="286"/>
      <c r="K33" s="40" t="str">
        <f t="shared" si="6"/>
        <v>1</v>
      </c>
      <c r="L33" s="24">
        <f t="shared" si="20"/>
        <v>5.5650883464000902</v>
      </c>
      <c r="M33" s="41" t="str">
        <f t="shared" si="7"/>
        <v>5</v>
      </c>
      <c r="N33" s="24">
        <f t="shared" si="21"/>
        <v>6.7810601568010824</v>
      </c>
      <c r="O33" s="41" t="str">
        <f t="shared" si="8"/>
        <v>6</v>
      </c>
      <c r="P33" s="24">
        <f t="shared" si="22"/>
        <v>9.3727218816129891</v>
      </c>
      <c r="Q33" s="41" t="str">
        <f t="shared" si="9"/>
        <v>9</v>
      </c>
      <c r="R33" s="24">
        <f t="shared" si="23"/>
        <v>4.4726625793558696</v>
      </c>
      <c r="S33" s="41" t="str">
        <f t="shared" si="10"/>
        <v>4</v>
      </c>
      <c r="T33" s="24">
        <f t="shared" si="24"/>
        <v>5.6719509522704357</v>
      </c>
      <c r="U33" s="41" t="str">
        <f t="shared" si="11"/>
        <v>5</v>
      </c>
      <c r="V33" s="24">
        <f t="shared" si="25"/>
        <v>8.063411427245228</v>
      </c>
      <c r="W33" s="41" t="str">
        <f t="shared" si="12"/>
        <v>8</v>
      </c>
      <c r="X33" s="24">
        <f t="shared" si="26"/>
        <v>0.76093712694273563</v>
      </c>
      <c r="Y33" s="41" t="str">
        <f t="shared" si="13"/>
        <v/>
      </c>
      <c r="Z33" s="24">
        <f t="shared" si="27"/>
        <v>9.1312455233128276</v>
      </c>
      <c r="AA33" s="41" t="str">
        <f t="shared" si="14"/>
        <v/>
      </c>
      <c r="AB33" s="24">
        <f t="shared" si="28"/>
        <v>1.5749462797539309</v>
      </c>
      <c r="AC33" s="41" t="str">
        <f t="shared" si="15"/>
        <v/>
      </c>
      <c r="AD33" s="24">
        <f t="shared" si="29"/>
        <v>6.8993553570471704</v>
      </c>
      <c r="AE33" s="41" t="str">
        <f t="shared" si="16"/>
        <v/>
      </c>
      <c r="AF33" s="24">
        <f t="shared" si="30"/>
        <v>10.792264284566045</v>
      </c>
      <c r="AG33" s="41" t="str">
        <f t="shared" si="17"/>
        <v/>
      </c>
      <c r="AH33" s="24">
        <f t="shared" si="31"/>
        <v>9.5071714147925377</v>
      </c>
      <c r="AI33" s="41" t="str">
        <f t="shared" si="18"/>
        <v/>
      </c>
    </row>
    <row r="34" spans="1:35" ht="15" customHeight="1">
      <c r="A34" s="719"/>
      <c r="B34" s="268" t="str">
        <f>Rydberg!B38</f>
        <v>Gas constant</v>
      </c>
      <c r="C34" s="268" t="str">
        <f>Rydberg!C38</f>
        <v>J/(mol K)</v>
      </c>
      <c r="D34" s="21">
        <f>Rydberg!D38</f>
        <v>8.3144598614485812</v>
      </c>
      <c r="E34" s="8">
        <v>6</v>
      </c>
      <c r="F34" s="279">
        <f>D34/(F$5/F$6/F$7)</f>
        <v>1.9905547489507549</v>
      </c>
      <c r="G34" s="142" t="str">
        <f t="shared" si="19"/>
        <v>1;EX7819</v>
      </c>
      <c r="H34" s="284">
        <v>0</v>
      </c>
      <c r="I34" s="285">
        <f t="shared" si="32"/>
        <v>1.9905547489507549</v>
      </c>
      <c r="J34" s="286"/>
      <c r="K34" s="40" t="str">
        <f t="shared" si="6"/>
        <v>1</v>
      </c>
      <c r="L34" s="24">
        <f t="shared" si="20"/>
        <v>11.886656987409058</v>
      </c>
      <c r="M34" s="41" t="str">
        <f t="shared" si="7"/>
        <v>E</v>
      </c>
      <c r="N34" s="24">
        <f t="shared" si="21"/>
        <v>10.639883848908696</v>
      </c>
      <c r="O34" s="41" t="str">
        <f t="shared" si="8"/>
        <v>X</v>
      </c>
      <c r="P34" s="24">
        <f t="shared" si="22"/>
        <v>7.6786061869043465</v>
      </c>
      <c r="Q34" s="41" t="str">
        <f t="shared" si="9"/>
        <v>7</v>
      </c>
      <c r="R34" s="24">
        <f t="shared" si="23"/>
        <v>8.1432742428521578</v>
      </c>
      <c r="S34" s="41" t="str">
        <f t="shared" si="10"/>
        <v>8</v>
      </c>
      <c r="T34" s="24">
        <f t="shared" si="24"/>
        <v>1.7192909142258941</v>
      </c>
      <c r="U34" s="41" t="str">
        <f t="shared" si="11"/>
        <v>1</v>
      </c>
      <c r="V34" s="24">
        <f t="shared" si="25"/>
        <v>8.631490970710729</v>
      </c>
      <c r="W34" s="41" t="str">
        <f t="shared" si="12"/>
        <v>9</v>
      </c>
      <c r="X34" s="24">
        <f t="shared" si="26"/>
        <v>7.5778916485287482</v>
      </c>
      <c r="Y34" s="41" t="str">
        <f t="shared" si="13"/>
        <v/>
      </c>
      <c r="Z34" s="24">
        <f t="shared" si="27"/>
        <v>6.9346997823449783</v>
      </c>
      <c r="AA34" s="41" t="str">
        <f t="shared" si="14"/>
        <v/>
      </c>
      <c r="AB34" s="24">
        <f t="shared" si="28"/>
        <v>11.21639738813974</v>
      </c>
      <c r="AC34" s="41" t="str">
        <f t="shared" si="15"/>
        <v/>
      </c>
      <c r="AD34" s="24">
        <f t="shared" si="29"/>
        <v>2.5967686576768756</v>
      </c>
      <c r="AE34" s="41" t="str">
        <f t="shared" si="16"/>
        <v/>
      </c>
      <c r="AF34" s="24">
        <f t="shared" si="30"/>
        <v>7.1612238921225071</v>
      </c>
      <c r="AG34" s="41" t="str">
        <f t="shared" si="17"/>
        <v/>
      </c>
      <c r="AH34" s="24">
        <f t="shared" si="31"/>
        <v>1.9346867054700851</v>
      </c>
      <c r="AI34" s="41" t="str">
        <f t="shared" si="18"/>
        <v/>
      </c>
    </row>
    <row r="35" spans="1:35" ht="15" customHeight="1">
      <c r="A35" s="719"/>
      <c r="B35" s="268" t="str">
        <f>Rydberg!B39</f>
        <v>Unified atomic mass unit</v>
      </c>
      <c r="C35" s="268" t="str">
        <f>Rydberg!C39</f>
        <v>kg</v>
      </c>
      <c r="D35" s="21">
        <f>Rydberg!D39</f>
        <v>1.6605390399999999E-27</v>
      </c>
      <c r="E35" s="8">
        <v>7</v>
      </c>
      <c r="F35" s="279">
        <f>D35/F$8</f>
        <v>6.4236603260667923E-29</v>
      </c>
      <c r="G35" s="142" t="str">
        <f t="shared" si="19"/>
        <v>8;9X82E88</v>
      </c>
      <c r="H35" s="284">
        <v>-27</v>
      </c>
      <c r="I35" s="285">
        <f t="shared" si="32"/>
        <v>8.824217646432654</v>
      </c>
      <c r="J35" s="286"/>
      <c r="K35" s="40" t="str">
        <f t="shared" si="6"/>
        <v>8</v>
      </c>
      <c r="L35" s="24">
        <f t="shared" si="20"/>
        <v>9.8906117571918486</v>
      </c>
      <c r="M35" s="41" t="str">
        <f t="shared" si="7"/>
        <v>9</v>
      </c>
      <c r="N35" s="24">
        <f t="shared" si="21"/>
        <v>10.687341086302183</v>
      </c>
      <c r="O35" s="41" t="str">
        <f t="shared" si="8"/>
        <v>X</v>
      </c>
      <c r="P35" s="24">
        <f t="shared" si="22"/>
        <v>8.2480930356261979</v>
      </c>
      <c r="Q35" s="41" t="str">
        <f t="shared" si="9"/>
        <v>8</v>
      </c>
      <c r="R35" s="24">
        <f t="shared" si="23"/>
        <v>2.9771164275143747</v>
      </c>
      <c r="S35" s="41" t="str">
        <f t="shared" si="10"/>
        <v>2</v>
      </c>
      <c r="T35" s="24">
        <f t="shared" si="24"/>
        <v>11.725397130172496</v>
      </c>
      <c r="U35" s="41" t="str">
        <f t="shared" si="11"/>
        <v>E</v>
      </c>
      <c r="V35" s="24">
        <f t="shared" si="25"/>
        <v>8.7047655620699516</v>
      </c>
      <c r="W35" s="41" t="str">
        <f t="shared" si="12"/>
        <v>8</v>
      </c>
      <c r="X35" s="24">
        <f t="shared" si="26"/>
        <v>8.4571867448394187</v>
      </c>
      <c r="Y35" s="41" t="str">
        <f t="shared" si="13"/>
        <v>8</v>
      </c>
      <c r="Z35" s="24">
        <f t="shared" si="27"/>
        <v>5.4862409380730242</v>
      </c>
      <c r="AA35" s="41" t="str">
        <f t="shared" si="14"/>
        <v/>
      </c>
      <c r="AB35" s="24">
        <f t="shared" si="28"/>
        <v>5.8348912568762898</v>
      </c>
      <c r="AC35" s="41" t="str">
        <f t="shared" si="15"/>
        <v/>
      </c>
      <c r="AD35" s="24">
        <f t="shared" si="29"/>
        <v>10.018695082515478</v>
      </c>
      <c r="AE35" s="41" t="str">
        <f t="shared" si="16"/>
        <v/>
      </c>
      <c r="AF35" s="24">
        <f t="shared" si="30"/>
        <v>0.22434099018573761</v>
      </c>
      <c r="AG35" s="41" t="str">
        <f t="shared" si="17"/>
        <v/>
      </c>
      <c r="AH35" s="24">
        <f t="shared" si="31"/>
        <v>2.6920918822288513</v>
      </c>
      <c r="AI35" s="41" t="str">
        <f t="shared" si="18"/>
        <v/>
      </c>
    </row>
    <row r="36" spans="1:35" ht="15" customHeight="1">
      <c r="A36" s="719"/>
      <c r="B36" s="268" t="str">
        <f>Rydberg!B40</f>
        <v>Bohr Radius</v>
      </c>
      <c r="C36" s="268" t="str">
        <f>Rydberg!C40</f>
        <v>m</v>
      </c>
      <c r="D36" s="21">
        <f>Rydberg!D40</f>
        <v>5.2917721067E-11</v>
      </c>
      <c r="E36" s="8">
        <v>9</v>
      </c>
      <c r="F36" s="279">
        <f>D36/F$3</f>
        <v>1.7896780237959503E-10</v>
      </c>
      <c r="G36" s="142" t="str">
        <f t="shared" si="19"/>
        <v>E;0E8409614</v>
      </c>
      <c r="H36" s="284">
        <v>-10</v>
      </c>
      <c r="I36" s="285">
        <f t="shared" si="32"/>
        <v>11.08121460430624</v>
      </c>
      <c r="J36" s="286"/>
      <c r="K36" s="40" t="str">
        <f t="shared" si="6"/>
        <v>E</v>
      </c>
      <c r="L36" s="24">
        <f t="shared" si="20"/>
        <v>0.97457525167487802</v>
      </c>
      <c r="M36" s="41" t="str">
        <f t="shared" si="7"/>
        <v>0</v>
      </c>
      <c r="N36" s="24">
        <f t="shared" si="21"/>
        <v>11.694903020098536</v>
      </c>
      <c r="O36" s="41" t="str">
        <f t="shared" si="8"/>
        <v>E</v>
      </c>
      <c r="P36" s="24">
        <f t="shared" si="22"/>
        <v>8.3388362411824346</v>
      </c>
      <c r="Q36" s="41" t="str">
        <f t="shared" si="9"/>
        <v>8</v>
      </c>
      <c r="R36" s="24">
        <f t="shared" si="23"/>
        <v>4.0660348941892153</v>
      </c>
      <c r="S36" s="41" t="str">
        <f t="shared" si="10"/>
        <v>4</v>
      </c>
      <c r="T36" s="24">
        <f t="shared" si="24"/>
        <v>0.79241873027058318</v>
      </c>
      <c r="U36" s="41" t="str">
        <f t="shared" si="11"/>
        <v>0</v>
      </c>
      <c r="V36" s="24">
        <f t="shared" si="25"/>
        <v>9.5090247632469982</v>
      </c>
      <c r="W36" s="41" t="str">
        <f t="shared" si="12"/>
        <v>9</v>
      </c>
      <c r="X36" s="24">
        <f t="shared" si="26"/>
        <v>6.1082971589639783</v>
      </c>
      <c r="Y36" s="41" t="str">
        <f t="shared" si="13"/>
        <v>6</v>
      </c>
      <c r="Z36" s="24">
        <f t="shared" si="27"/>
        <v>1.2995659075677395</v>
      </c>
      <c r="AA36" s="41" t="str">
        <f t="shared" si="14"/>
        <v>1</v>
      </c>
      <c r="AB36" s="24">
        <f t="shared" si="28"/>
        <v>3.5947908908128738</v>
      </c>
      <c r="AC36" s="41" t="str">
        <f t="shared" si="15"/>
        <v>4</v>
      </c>
      <c r="AD36" s="24">
        <f t="shared" si="29"/>
        <v>7.1374906897544861</v>
      </c>
      <c r="AE36" s="41" t="str">
        <f t="shared" si="16"/>
        <v/>
      </c>
      <c r="AF36" s="24">
        <f t="shared" si="30"/>
        <v>1.649888277053833</v>
      </c>
      <c r="AG36" s="41" t="str">
        <f t="shared" si="17"/>
        <v/>
      </c>
      <c r="AH36" s="24">
        <f t="shared" si="31"/>
        <v>7.7986593246459961</v>
      </c>
      <c r="AI36" s="41" t="str">
        <f t="shared" si="18"/>
        <v/>
      </c>
    </row>
    <row r="37" spans="1:35" ht="15" customHeight="1">
      <c r="A37" s="719"/>
      <c r="B37" s="268" t="str">
        <f>Rydberg!B41</f>
        <v>Elementary electric charge</v>
      </c>
      <c r="C37" s="268" t="str">
        <f>Rydberg!C41</f>
        <v>C</v>
      </c>
      <c r="D37" s="21">
        <f>Rydberg!D41</f>
        <v>1.6021766207155676E-19</v>
      </c>
      <c r="E37" s="8">
        <v>9</v>
      </c>
      <c r="F37" s="279">
        <f>D37/F$12</f>
        <v>1.8616353634268983E-18</v>
      </c>
      <c r="G37" s="142" t="str">
        <f t="shared" si="19"/>
        <v>4;169091205</v>
      </c>
      <c r="H37" s="284">
        <v>-17</v>
      </c>
      <c r="I37" s="285">
        <f t="shared" si="32"/>
        <v>4.1302448939996861</v>
      </c>
      <c r="J37" s="286"/>
      <c r="K37" s="40" t="str">
        <f t="shared" si="6"/>
        <v>4</v>
      </c>
      <c r="L37" s="24">
        <f t="shared" si="20"/>
        <v>1.562938727996233</v>
      </c>
      <c r="M37" s="41" t="str">
        <f t="shared" si="7"/>
        <v>1</v>
      </c>
      <c r="N37" s="24">
        <f t="shared" si="21"/>
        <v>6.7552647359547962</v>
      </c>
      <c r="O37" s="41" t="str">
        <f t="shared" si="8"/>
        <v>6</v>
      </c>
      <c r="P37" s="24">
        <f t="shared" si="22"/>
        <v>9.0631768314575538</v>
      </c>
      <c r="Q37" s="41" t="str">
        <f t="shared" si="9"/>
        <v>9</v>
      </c>
      <c r="R37" s="24">
        <f t="shared" si="23"/>
        <v>0.7581219774906458</v>
      </c>
      <c r="S37" s="41" t="str">
        <f t="shared" si="10"/>
        <v>0</v>
      </c>
      <c r="T37" s="24">
        <f t="shared" si="24"/>
        <v>9.0974637298877497</v>
      </c>
      <c r="U37" s="41" t="str">
        <f t="shared" si="11"/>
        <v>9</v>
      </c>
      <c r="V37" s="24">
        <f t="shared" si="25"/>
        <v>1.1695647586529958</v>
      </c>
      <c r="W37" s="41" t="str">
        <f t="shared" si="12"/>
        <v>1</v>
      </c>
      <c r="X37" s="24">
        <f t="shared" si="26"/>
        <v>2.0347771038359497</v>
      </c>
      <c r="Y37" s="41" t="str">
        <f t="shared" si="13"/>
        <v>2</v>
      </c>
      <c r="Z37" s="24">
        <f t="shared" si="27"/>
        <v>0.41732524603139609</v>
      </c>
      <c r="AA37" s="41" t="str">
        <f t="shared" si="14"/>
        <v>0</v>
      </c>
      <c r="AB37" s="24">
        <f t="shared" si="28"/>
        <v>5.0079029523767531</v>
      </c>
      <c r="AC37" s="41" t="str">
        <f t="shared" si="15"/>
        <v>5</v>
      </c>
      <c r="AD37" s="24">
        <f t="shared" si="29"/>
        <v>9.4835428521037102E-2</v>
      </c>
      <c r="AE37" s="41" t="str">
        <f t="shared" si="16"/>
        <v/>
      </c>
      <c r="AF37" s="24">
        <f t="shared" si="30"/>
        <v>1.1380251422524452</v>
      </c>
      <c r="AG37" s="41" t="str">
        <f t="shared" si="17"/>
        <v/>
      </c>
      <c r="AH37" s="24">
        <f t="shared" si="31"/>
        <v>1.6563017070293427</v>
      </c>
      <c r="AI37" s="41" t="str">
        <f t="shared" si="18"/>
        <v/>
      </c>
    </row>
    <row r="38" spans="1:35" ht="15" customHeight="1">
      <c r="A38" s="719"/>
      <c r="B38" s="268" t="str">
        <f>Rydberg!B42</f>
        <v>Electron mass</v>
      </c>
      <c r="C38" s="268" t="str">
        <f>Rydberg!C42</f>
        <v>kg</v>
      </c>
      <c r="D38" s="21">
        <f>Rydberg!D42</f>
        <v>9.1093835599999998E-31</v>
      </c>
      <c r="E38" s="8">
        <v>7</v>
      </c>
      <c r="F38" s="279">
        <f>D38/F$8</f>
        <v>3.5238909992322176E-32</v>
      </c>
      <c r="G38" s="142" t="str">
        <f t="shared" si="19"/>
        <v>8;4466256</v>
      </c>
      <c r="H38" s="284">
        <v>-30</v>
      </c>
      <c r="I38" s="285">
        <f t="shared" si="32"/>
        <v>8.3648825562993121</v>
      </c>
      <c r="J38" s="286"/>
      <c r="K38" s="40" t="str">
        <f t="shared" si="6"/>
        <v>8</v>
      </c>
      <c r="L38" s="24">
        <f t="shared" si="20"/>
        <v>4.3785906755917452</v>
      </c>
      <c r="M38" s="41" t="str">
        <f t="shared" si="7"/>
        <v>4</v>
      </c>
      <c r="N38" s="24">
        <f t="shared" si="21"/>
        <v>4.5430881071009424</v>
      </c>
      <c r="O38" s="41" t="str">
        <f t="shared" si="8"/>
        <v>4</v>
      </c>
      <c r="P38" s="24">
        <f t="shared" si="22"/>
        <v>6.5170572852113082</v>
      </c>
      <c r="Q38" s="41" t="str">
        <f t="shared" si="9"/>
        <v>6</v>
      </c>
      <c r="R38" s="24">
        <f t="shared" si="23"/>
        <v>6.2046874225356987</v>
      </c>
      <c r="S38" s="41" t="str">
        <f t="shared" si="10"/>
        <v>6</v>
      </c>
      <c r="T38" s="24">
        <f t="shared" si="24"/>
        <v>2.4562490704283846</v>
      </c>
      <c r="U38" s="41" t="str">
        <f t="shared" si="11"/>
        <v>2</v>
      </c>
      <c r="V38" s="24">
        <f t="shared" si="25"/>
        <v>5.474988845140615</v>
      </c>
      <c r="W38" s="41" t="str">
        <f t="shared" si="12"/>
        <v>5</v>
      </c>
      <c r="X38" s="24">
        <f t="shared" si="26"/>
        <v>5.6998661416873801</v>
      </c>
      <c r="Y38" s="41" t="str">
        <f t="shared" si="13"/>
        <v>6</v>
      </c>
      <c r="Z38" s="24">
        <f t="shared" si="27"/>
        <v>8.3983937002485618</v>
      </c>
      <c r="AA38" s="41" t="str">
        <f t="shared" si="14"/>
        <v/>
      </c>
      <c r="AB38" s="24">
        <f t="shared" si="28"/>
        <v>4.7807244029827416</v>
      </c>
      <c r="AC38" s="41" t="str">
        <f t="shared" si="15"/>
        <v/>
      </c>
      <c r="AD38" s="24">
        <f t="shared" si="29"/>
        <v>9.3686928357928991</v>
      </c>
      <c r="AE38" s="41" t="str">
        <f t="shared" si="16"/>
        <v/>
      </c>
      <c r="AF38" s="24">
        <f t="shared" si="30"/>
        <v>4.4243140295147896</v>
      </c>
      <c r="AG38" s="41" t="str">
        <f t="shared" si="17"/>
        <v/>
      </c>
      <c r="AH38" s="24">
        <f t="shared" si="31"/>
        <v>5.091768354177475</v>
      </c>
      <c r="AI38" s="41" t="str">
        <f t="shared" si="18"/>
        <v/>
      </c>
    </row>
    <row r="39" spans="1:35" ht="15" customHeight="1">
      <c r="A39" s="719"/>
      <c r="B39" s="268" t="str">
        <f>Rydberg!B44</f>
        <v>Newtonian constant of gravitation</v>
      </c>
      <c r="C39" s="268" t="str">
        <f>Rydberg!C44</f>
        <v>(m/s)^4/N</v>
      </c>
      <c r="D39" s="21">
        <f>Rydberg!D44</f>
        <v>6.674079999999999E-11</v>
      </c>
      <c r="E39" s="8">
        <v>4</v>
      </c>
      <c r="F39" s="279">
        <f>D39/(POWER(F$3/F$4,4)/F$10)</f>
        <v>2.0115659755354004E-9</v>
      </c>
      <c r="G39" s="142" t="str">
        <f t="shared" si="19"/>
        <v>X;4674</v>
      </c>
      <c r="H39" s="284">
        <v>-9</v>
      </c>
      <c r="I39" s="285">
        <f t="shared" si="32"/>
        <v>10.379238597319272</v>
      </c>
      <c r="J39" s="286"/>
      <c r="K39" s="40" t="str">
        <f t="shared" si="6"/>
        <v>X</v>
      </c>
      <c r="L39" s="24">
        <f t="shared" si="20"/>
        <v>4.5508631678312668</v>
      </c>
      <c r="M39" s="41" t="str">
        <f t="shared" si="7"/>
        <v>4</v>
      </c>
      <c r="N39" s="24">
        <f t="shared" si="21"/>
        <v>6.6103580139752012</v>
      </c>
      <c r="O39" s="41" t="str">
        <f t="shared" si="8"/>
        <v>6</v>
      </c>
      <c r="P39" s="24">
        <f t="shared" si="22"/>
        <v>7.3242961677024141</v>
      </c>
      <c r="Q39" s="41" t="str">
        <f t="shared" si="9"/>
        <v>7</v>
      </c>
      <c r="R39" s="24">
        <f t="shared" si="23"/>
        <v>3.8915540124289691</v>
      </c>
      <c r="S39" s="41" t="str">
        <f t="shared" si="10"/>
        <v>4</v>
      </c>
      <c r="T39" s="24">
        <f t="shared" si="24"/>
        <v>10.69864814914763</v>
      </c>
      <c r="U39" s="41" t="str">
        <f t="shared" si="11"/>
        <v/>
      </c>
      <c r="V39" s="24">
        <f t="shared" si="25"/>
        <v>8.3837777897715569</v>
      </c>
      <c r="W39" s="41" t="str">
        <f t="shared" si="12"/>
        <v/>
      </c>
      <c r="X39" s="24">
        <f t="shared" si="26"/>
        <v>4.6053334772586823</v>
      </c>
      <c r="Y39" s="41" t="str">
        <f t="shared" si="13"/>
        <v/>
      </c>
      <c r="Z39" s="24">
        <f t="shared" si="27"/>
        <v>7.264001727104187</v>
      </c>
      <c r="AA39" s="41" t="str">
        <f t="shared" si="14"/>
        <v/>
      </c>
      <c r="AB39" s="24">
        <f t="shared" si="28"/>
        <v>3.1680207252502441</v>
      </c>
      <c r="AC39" s="41" t="str">
        <f t="shared" si="15"/>
        <v/>
      </c>
      <c r="AD39" s="24">
        <f t="shared" si="29"/>
        <v>2.0162487030029297</v>
      </c>
      <c r="AE39" s="41" t="str">
        <f t="shared" si="16"/>
        <v/>
      </c>
      <c r="AF39" s="24">
        <f t="shared" si="30"/>
        <v>0.19498443603515625</v>
      </c>
      <c r="AG39" s="41" t="str">
        <f t="shared" si="17"/>
        <v/>
      </c>
      <c r="AH39" s="24">
        <f t="shared" si="31"/>
        <v>2.339813232421875</v>
      </c>
      <c r="AI39" s="41" t="str">
        <f t="shared" si="18"/>
        <v/>
      </c>
    </row>
    <row r="40" spans="1:35" ht="15" customHeight="1">
      <c r="A40" s="719"/>
      <c r="B40" s="268" t="str">
        <f>Rydberg!B45</f>
        <v>Planck force</v>
      </c>
      <c r="C40" s="268" t="str">
        <f>Rydberg!C45</f>
        <v>N</v>
      </c>
      <c r="D40" s="21">
        <f>Rydberg!D45</f>
        <v>1.2102954584096223E+44</v>
      </c>
      <c r="E40" s="8">
        <v>4</v>
      </c>
      <c r="F40" s="279">
        <f>D40/F$10</f>
        <v>4.7725851626852092E+41</v>
      </c>
      <c r="G40" s="142" t="str">
        <f t="shared" si="19"/>
        <v>4;813</v>
      </c>
      <c r="H40" s="284">
        <v>38</v>
      </c>
      <c r="I40" s="285">
        <f t="shared" si="32"/>
        <v>4.6759120832382646</v>
      </c>
      <c r="J40" s="286"/>
      <c r="K40" s="40" t="str">
        <f t="shared" si="6"/>
        <v>4</v>
      </c>
      <c r="L40" s="24">
        <f t="shared" si="20"/>
        <v>8.1109449988591749</v>
      </c>
      <c r="M40" s="41" t="str">
        <f t="shared" si="7"/>
        <v>8</v>
      </c>
      <c r="N40" s="24">
        <f t="shared" si="21"/>
        <v>1.3313399863100983</v>
      </c>
      <c r="O40" s="41" t="str">
        <f t="shared" si="8"/>
        <v>1</v>
      </c>
      <c r="P40" s="24">
        <f t="shared" si="22"/>
        <v>3.9760798357211797</v>
      </c>
      <c r="Q40" s="41" t="str">
        <f t="shared" si="9"/>
        <v>3</v>
      </c>
      <c r="R40" s="24">
        <f t="shared" si="23"/>
        <v>11.712958028654157</v>
      </c>
      <c r="S40" s="41" t="str">
        <f t="shared" si="10"/>
        <v/>
      </c>
      <c r="T40" s="24">
        <f t="shared" si="24"/>
        <v>8.5554963438498817</v>
      </c>
      <c r="U40" s="41" t="str">
        <f t="shared" si="11"/>
        <v/>
      </c>
      <c r="V40" s="24">
        <f t="shared" si="25"/>
        <v>6.66595612619858</v>
      </c>
      <c r="W40" s="41" t="str">
        <f t="shared" si="12"/>
        <v/>
      </c>
      <c r="X40" s="24">
        <f t="shared" si="26"/>
        <v>7.9914735143829603</v>
      </c>
      <c r="Y40" s="41" t="str">
        <f t="shared" si="13"/>
        <v/>
      </c>
      <c r="Z40" s="24">
        <f t="shared" si="27"/>
        <v>11.897682172595523</v>
      </c>
      <c r="AA40" s="41" t="str">
        <f t="shared" si="14"/>
        <v/>
      </c>
      <c r="AB40" s="24">
        <f t="shared" si="28"/>
        <v>10.77218607114628</v>
      </c>
      <c r="AC40" s="41" t="str">
        <f t="shared" si="15"/>
        <v/>
      </c>
      <c r="AD40" s="24">
        <f t="shared" si="29"/>
        <v>9.2662328537553549</v>
      </c>
      <c r="AE40" s="41" t="str">
        <f t="shared" si="16"/>
        <v/>
      </c>
      <c r="AF40" s="24">
        <f t="shared" si="30"/>
        <v>3.1947942450642586</v>
      </c>
      <c r="AG40" s="41" t="str">
        <f t="shared" si="17"/>
        <v/>
      </c>
      <c r="AH40" s="24">
        <f t="shared" si="31"/>
        <v>2.3375309407711029</v>
      </c>
      <c r="AI40" s="41" t="str">
        <f t="shared" si="18"/>
        <v/>
      </c>
    </row>
    <row r="41" spans="1:35" ht="15" customHeight="1">
      <c r="A41" s="719"/>
      <c r="B41" s="268" t="str">
        <f>Rydberg!B46</f>
        <v>Gravitic meter</v>
      </c>
      <c r="C41" s="268" t="str">
        <f>Rydberg!C46</f>
        <v>m</v>
      </c>
      <c r="D41" s="21">
        <f>Rydberg!D46</f>
        <v>9.5617360022251509E-35</v>
      </c>
      <c r="E41" s="8">
        <v>4</v>
      </c>
      <c r="F41" s="279">
        <f>D41/F$3</f>
        <v>3.2337803759263499E-34</v>
      </c>
      <c r="G41" s="142" t="str">
        <f t="shared" si="19"/>
        <v>;78X</v>
      </c>
      <c r="H41" s="284">
        <v>-33</v>
      </c>
      <c r="I41" s="285">
        <f t="shared" si="32"/>
        <v>132.64523111959446</v>
      </c>
      <c r="J41" s="286"/>
      <c r="K41" s="40" t="str">
        <f t="shared" si="6"/>
        <v/>
      </c>
      <c r="L41" s="24">
        <f t="shared" si="20"/>
        <v>7.742773435133472</v>
      </c>
      <c r="M41" s="41" t="str">
        <f t="shared" si="7"/>
        <v>7</v>
      </c>
      <c r="N41" s="24">
        <f t="shared" si="21"/>
        <v>8.9132812216016646</v>
      </c>
      <c r="O41" s="41" t="str">
        <f t="shared" si="8"/>
        <v>8</v>
      </c>
      <c r="P41" s="24">
        <f t="shared" si="22"/>
        <v>10.959374659219975</v>
      </c>
      <c r="Q41" s="41" t="str">
        <f t="shared" si="9"/>
        <v>X</v>
      </c>
      <c r="R41" s="24">
        <f t="shared" si="23"/>
        <v>11.5124959106397</v>
      </c>
      <c r="S41" s="41" t="str">
        <f t="shared" si="10"/>
        <v/>
      </c>
      <c r="T41" s="24">
        <f t="shared" si="24"/>
        <v>6.1499509276764002</v>
      </c>
      <c r="U41" s="41" t="str">
        <f t="shared" si="11"/>
        <v/>
      </c>
      <c r="V41" s="24">
        <f t="shared" si="25"/>
        <v>1.799411132116802</v>
      </c>
      <c r="W41" s="41" t="str">
        <f t="shared" si="12"/>
        <v/>
      </c>
      <c r="X41" s="24">
        <f t="shared" si="26"/>
        <v>9.5929335854016244</v>
      </c>
      <c r="Y41" s="41" t="str">
        <f t="shared" si="13"/>
        <v/>
      </c>
      <c r="Z41" s="24">
        <f t="shared" si="27"/>
        <v>7.1152030248194933</v>
      </c>
      <c r="AA41" s="41" t="str">
        <f t="shared" si="14"/>
        <v/>
      </c>
      <c r="AB41" s="24">
        <f t="shared" si="28"/>
        <v>1.3824362978339195</v>
      </c>
      <c r="AC41" s="41" t="str">
        <f t="shared" si="15"/>
        <v/>
      </c>
      <c r="AD41" s="24">
        <f t="shared" si="29"/>
        <v>4.5892355740070343</v>
      </c>
      <c r="AE41" s="41" t="str">
        <f t="shared" si="16"/>
        <v/>
      </c>
      <c r="AF41" s="24">
        <f t="shared" si="30"/>
        <v>7.0708268880844116</v>
      </c>
      <c r="AG41" s="41" t="str">
        <f t="shared" si="17"/>
        <v/>
      </c>
      <c r="AH41" s="24">
        <f t="shared" si="31"/>
        <v>0.84992265701293945</v>
      </c>
      <c r="AI41" s="41" t="str">
        <f t="shared" si="18"/>
        <v/>
      </c>
    </row>
    <row r="42" spans="1:35" ht="15" customHeight="1">
      <c r="A42" s="719"/>
      <c r="B42" s="268" t="str">
        <f>Rydberg!B47</f>
        <v>Planck length</v>
      </c>
      <c r="C42" s="268" t="str">
        <f>Rydberg!C47</f>
        <v>m</v>
      </c>
      <c r="D42" s="21">
        <f>Rydberg!D47</f>
        <v>1.6162283729742846E-35</v>
      </c>
      <c r="E42" s="8">
        <v>4</v>
      </c>
      <c r="F42" s="279">
        <f>D42/F$3</f>
        <v>5.466086487143472E-35</v>
      </c>
      <c r="G42" s="142" t="str">
        <f t="shared" si="19"/>
        <v>1;X508</v>
      </c>
      <c r="H42" s="284">
        <v>-32</v>
      </c>
      <c r="I42" s="285">
        <f t="shared" si="32"/>
        <v>1.8684280241695443</v>
      </c>
      <c r="J42" s="286"/>
      <c r="K42" s="40" t="str">
        <f t="shared" si="6"/>
        <v>1</v>
      </c>
      <c r="L42" s="24">
        <f t="shared" si="20"/>
        <v>10.421136290034532</v>
      </c>
      <c r="M42" s="41" t="str">
        <f t="shared" si="7"/>
        <v>X</v>
      </c>
      <c r="N42" s="24">
        <f t="shared" si="21"/>
        <v>5.0536354804143855</v>
      </c>
      <c r="O42" s="41" t="str">
        <f t="shared" si="8"/>
        <v>5</v>
      </c>
      <c r="P42" s="24">
        <f t="shared" si="22"/>
        <v>0.6436257649726258</v>
      </c>
      <c r="Q42" s="41" t="str">
        <f t="shared" si="9"/>
        <v>0</v>
      </c>
      <c r="R42" s="24">
        <f t="shared" si="23"/>
        <v>7.7235091796715096</v>
      </c>
      <c r="S42" s="41" t="str">
        <f t="shared" si="10"/>
        <v>8</v>
      </c>
      <c r="T42" s="24">
        <f t="shared" si="24"/>
        <v>8.6821101560581155</v>
      </c>
      <c r="U42" s="41" t="str">
        <f t="shared" si="11"/>
        <v/>
      </c>
      <c r="V42" s="24">
        <f t="shared" si="25"/>
        <v>8.1853218726973864</v>
      </c>
      <c r="W42" s="41" t="str">
        <f t="shared" si="12"/>
        <v/>
      </c>
      <c r="X42" s="24">
        <f t="shared" si="26"/>
        <v>2.2238624723686371</v>
      </c>
      <c r="Y42" s="41" t="str">
        <f t="shared" si="13"/>
        <v/>
      </c>
      <c r="Z42" s="24">
        <f t="shared" si="27"/>
        <v>2.6863496684236452</v>
      </c>
      <c r="AA42" s="41" t="str">
        <f t="shared" si="14"/>
        <v/>
      </c>
      <c r="AB42" s="24">
        <f t="shared" si="28"/>
        <v>8.2361960210837424</v>
      </c>
      <c r="AC42" s="41" t="str">
        <f t="shared" si="15"/>
        <v/>
      </c>
      <c r="AD42" s="24">
        <f t="shared" si="29"/>
        <v>2.8343522530049086</v>
      </c>
      <c r="AE42" s="41" t="str">
        <f t="shared" si="16"/>
        <v/>
      </c>
      <c r="AF42" s="24">
        <f t="shared" si="30"/>
        <v>10.012227036058903</v>
      </c>
      <c r="AG42" s="41" t="str">
        <f t="shared" si="17"/>
        <v/>
      </c>
      <c r="AH42" s="24">
        <f t="shared" si="31"/>
        <v>0.14672443270683289</v>
      </c>
      <c r="AI42" s="41" t="str">
        <f t="shared" si="18"/>
        <v/>
      </c>
    </row>
    <row r="43" spans="1:35" ht="15" customHeight="1">
      <c r="A43" s="719"/>
      <c r="B43" s="268" t="str">
        <f>Rydberg!B48</f>
        <v>Adjusted Planck length</v>
      </c>
      <c r="C43" s="268" t="str">
        <f>Rydberg!C48</f>
        <v>m</v>
      </c>
      <c r="D43" s="21">
        <f>Rydberg!D48</f>
        <v>1.8919953376855748E-34</v>
      </c>
      <c r="E43" s="8">
        <v>4</v>
      </c>
      <c r="F43" s="279">
        <f>D43/F$3</f>
        <v>6.3987307251820641E-34</v>
      </c>
      <c r="G43" s="142" t="str">
        <f t="shared" si="19"/>
        <v>1;9X57</v>
      </c>
      <c r="H43" s="284">
        <v>-31</v>
      </c>
      <c r="I43" s="285">
        <f t="shared" si="32"/>
        <v>1.8226885350492554</v>
      </c>
      <c r="J43" s="286"/>
      <c r="K43" s="40" t="str">
        <f t="shared" si="6"/>
        <v>1</v>
      </c>
      <c r="L43" s="24">
        <f t="shared" si="20"/>
        <v>9.8722624205910652</v>
      </c>
      <c r="M43" s="41" t="str">
        <f t="shared" si="7"/>
        <v>9</v>
      </c>
      <c r="N43" s="24">
        <f t="shared" si="21"/>
        <v>10.467149047092782</v>
      </c>
      <c r="O43" s="41" t="str">
        <f t="shared" si="8"/>
        <v>X</v>
      </c>
      <c r="P43" s="24">
        <f t="shared" si="22"/>
        <v>5.6057885651133859</v>
      </c>
      <c r="Q43" s="41" t="str">
        <f t="shared" si="9"/>
        <v>5</v>
      </c>
      <c r="R43" s="24">
        <f t="shared" si="23"/>
        <v>7.2694627813606303</v>
      </c>
      <c r="S43" s="41" t="str">
        <f t="shared" si="10"/>
        <v>7</v>
      </c>
      <c r="T43" s="24">
        <f t="shared" si="24"/>
        <v>3.2335533763275635</v>
      </c>
      <c r="U43" s="41" t="str">
        <f t="shared" si="11"/>
        <v/>
      </c>
      <c r="V43" s="24">
        <f t="shared" si="25"/>
        <v>2.8026405159307615</v>
      </c>
      <c r="W43" s="41" t="str">
        <f t="shared" si="12"/>
        <v/>
      </c>
      <c r="X43" s="24">
        <f t="shared" si="26"/>
        <v>9.6316861911691376</v>
      </c>
      <c r="Y43" s="41" t="str">
        <f t="shared" si="13"/>
        <v/>
      </c>
      <c r="Z43" s="24">
        <f t="shared" si="27"/>
        <v>7.5802342940296512</v>
      </c>
      <c r="AA43" s="41" t="str">
        <f t="shared" si="14"/>
        <v/>
      </c>
      <c r="AB43" s="24">
        <f t="shared" si="28"/>
        <v>6.9628115283558145</v>
      </c>
      <c r="AC43" s="41" t="str">
        <f t="shared" si="15"/>
        <v/>
      </c>
      <c r="AD43" s="24">
        <f t="shared" si="29"/>
        <v>11.553738340269774</v>
      </c>
      <c r="AE43" s="41" t="str">
        <f t="shared" si="16"/>
        <v/>
      </c>
      <c r="AF43" s="24">
        <f t="shared" si="30"/>
        <v>6.6448600832372904</v>
      </c>
      <c r="AG43" s="41" t="str">
        <f t="shared" si="17"/>
        <v/>
      </c>
      <c r="AH43" s="24">
        <f t="shared" si="31"/>
        <v>7.7383209988474846</v>
      </c>
      <c r="AI43" s="41" t="str">
        <f t="shared" si="18"/>
        <v/>
      </c>
    </row>
    <row r="44" spans="1:35" ht="15" customHeight="1">
      <c r="A44" s="719"/>
      <c r="B44" s="268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79">
        <f>D44/(F$9*POWER(F$3,-2)*POWER(F$6,-4))</f>
        <v>2.6694833309518083E-24</v>
      </c>
      <c r="G44" s="142" t="str">
        <f t="shared" si="19"/>
        <v>1;582705</v>
      </c>
      <c r="H44" s="284">
        <v>-22</v>
      </c>
      <c r="I44" s="285">
        <f t="shared" si="32"/>
        <v>1.4737188088380189</v>
      </c>
      <c r="J44" s="286"/>
      <c r="K44" s="40" t="str">
        <f t="shared" si="6"/>
        <v>1</v>
      </c>
      <c r="L44" s="24">
        <f t="shared" si="20"/>
        <v>5.6846257060562264</v>
      </c>
      <c r="M44" s="41" t="str">
        <f t="shared" si="7"/>
        <v>5</v>
      </c>
      <c r="N44" s="24">
        <f t="shared" si="21"/>
        <v>8.215508472674717</v>
      </c>
      <c r="O44" s="41" t="str">
        <f t="shared" si="8"/>
        <v>8</v>
      </c>
      <c r="P44" s="24">
        <f t="shared" si="22"/>
        <v>2.5861016720966035</v>
      </c>
      <c r="Q44" s="41" t="str">
        <f t="shared" si="9"/>
        <v>2</v>
      </c>
      <c r="R44" s="24">
        <f t="shared" si="23"/>
        <v>7.0332200651592416</v>
      </c>
      <c r="S44" s="41" t="str">
        <f t="shared" si="10"/>
        <v>7</v>
      </c>
      <c r="T44" s="24">
        <f t="shared" si="24"/>
        <v>0.39864078191089902</v>
      </c>
      <c r="U44" s="41" t="str">
        <f t="shared" si="11"/>
        <v>0</v>
      </c>
      <c r="V44" s="24">
        <f t="shared" si="25"/>
        <v>4.7836893829307883</v>
      </c>
      <c r="W44" s="41" t="str">
        <f t="shared" si="12"/>
        <v>5</v>
      </c>
      <c r="X44" s="24">
        <f t="shared" si="26"/>
        <v>9.4042725951694592</v>
      </c>
      <c r="Y44" s="41" t="str">
        <f t="shared" si="13"/>
        <v/>
      </c>
      <c r="Z44" s="24">
        <f t="shared" si="27"/>
        <v>4.8512711420335108</v>
      </c>
      <c r="AA44" s="41" t="str">
        <f t="shared" si="14"/>
        <v/>
      </c>
      <c r="AB44" s="24">
        <f t="shared" si="28"/>
        <v>10.21525370440213</v>
      </c>
      <c r="AC44" s="41" t="str">
        <f t="shared" si="15"/>
        <v/>
      </c>
      <c r="AD44" s="24">
        <f t="shared" si="29"/>
        <v>2.5830444528255612</v>
      </c>
      <c r="AE44" s="41" t="str">
        <f t="shared" si="16"/>
        <v/>
      </c>
      <c r="AF44" s="24">
        <f t="shared" si="30"/>
        <v>6.996533433906734</v>
      </c>
      <c r="AG44" s="41" t="str">
        <f t="shared" si="17"/>
        <v/>
      </c>
      <c r="AH44" s="24">
        <f t="shared" si="31"/>
        <v>11.958401206880808</v>
      </c>
      <c r="AI44" s="41" t="str">
        <f t="shared" si="18"/>
        <v/>
      </c>
    </row>
    <row r="45" spans="1:35" ht="15" customHeight="1">
      <c r="A45" s="719"/>
      <c r="B45" s="268" t="str">
        <f>Rydberg!B50</f>
        <v>Black-body radiation at the ice point</v>
      </c>
      <c r="C45" s="268" t="str">
        <f>Rydberg!C50</f>
        <v>W/m^2</v>
      </c>
      <c r="D45" s="21">
        <f>Rydberg!D50</f>
        <v>315.65739918733362</v>
      </c>
      <c r="E45" s="8">
        <v>6</v>
      </c>
      <c r="F45" s="279">
        <f>D45/(F$9*POWER(F$3,-2))</f>
        <v>6.3897225526624357E-2</v>
      </c>
      <c r="G45" s="142" t="str">
        <f t="shared" si="19"/>
        <v>9;24E811</v>
      </c>
      <c r="H45" s="284">
        <v>-2</v>
      </c>
      <c r="I45" s="285">
        <f t="shared" si="32"/>
        <v>9.2012004758339074</v>
      </c>
      <c r="J45" s="286"/>
      <c r="K45" s="40" t="str">
        <f t="shared" si="6"/>
        <v>9</v>
      </c>
      <c r="L45" s="24">
        <f t="shared" si="20"/>
        <v>2.4144057100068892</v>
      </c>
      <c r="M45" s="41" t="str">
        <f t="shared" si="7"/>
        <v>2</v>
      </c>
      <c r="N45" s="24">
        <f t="shared" si="21"/>
        <v>4.9728685200826703</v>
      </c>
      <c r="O45" s="41" t="str">
        <f t="shared" si="8"/>
        <v>4</v>
      </c>
      <c r="P45" s="24">
        <f t="shared" si="22"/>
        <v>11.674422240992044</v>
      </c>
      <c r="Q45" s="41" t="str">
        <f t="shared" si="9"/>
        <v>E</v>
      </c>
      <c r="R45" s="24">
        <f t="shared" si="23"/>
        <v>8.0930668919045274</v>
      </c>
      <c r="S45" s="41" t="str">
        <f t="shared" si="10"/>
        <v>8</v>
      </c>
      <c r="T45" s="24">
        <f t="shared" si="24"/>
        <v>1.1168027028543293</v>
      </c>
      <c r="U45" s="41" t="str">
        <f t="shared" si="11"/>
        <v>1</v>
      </c>
      <c r="V45" s="24">
        <f t="shared" si="25"/>
        <v>1.4016324342519511</v>
      </c>
      <c r="W45" s="41" t="str">
        <f t="shared" si="12"/>
        <v>1</v>
      </c>
      <c r="X45" s="24">
        <f t="shared" si="26"/>
        <v>4.8195892110234126</v>
      </c>
      <c r="Y45" s="41" t="str">
        <f t="shared" si="13"/>
        <v/>
      </c>
      <c r="Z45" s="24">
        <f t="shared" si="27"/>
        <v>9.8350705322809517</v>
      </c>
      <c r="AA45" s="41" t="str">
        <f t="shared" si="14"/>
        <v/>
      </c>
      <c r="AB45" s="24">
        <f t="shared" si="28"/>
        <v>10.020846387371421</v>
      </c>
      <c r="AC45" s="41" t="str">
        <f t="shared" si="15"/>
        <v/>
      </c>
      <c r="AD45" s="24">
        <f t="shared" si="29"/>
        <v>0.25015664845705032</v>
      </c>
      <c r="AE45" s="41" t="str">
        <f t="shared" si="16"/>
        <v/>
      </c>
      <c r="AF45" s="24">
        <f t="shared" si="30"/>
        <v>3.0018797814846039</v>
      </c>
      <c r="AG45" s="41" t="str">
        <f t="shared" si="17"/>
        <v/>
      </c>
      <c r="AH45" s="24">
        <f t="shared" si="31"/>
        <v>2.2557377815246582E-2</v>
      </c>
      <c r="AI45" s="41" t="str">
        <f t="shared" si="18"/>
        <v/>
      </c>
    </row>
    <row r="46" spans="1:35" ht="15" customHeight="1">
      <c r="A46" s="719"/>
      <c r="B46" s="268" t="str">
        <f>Rydberg!B51</f>
        <v>Temperature of the triple point of water</v>
      </c>
      <c r="C46" s="268" t="str">
        <f>Rydberg!C51</f>
        <v>K</v>
      </c>
      <c r="D46" s="21">
        <f>Rydberg!D51</f>
        <v>273.16000000000003</v>
      </c>
      <c r="E46" s="8">
        <v>6</v>
      </c>
      <c r="F46" s="279">
        <f>D46/F$6</f>
        <v>393350.40000000002</v>
      </c>
      <c r="G46" s="142" t="str">
        <f t="shared" si="19"/>
        <v>1;6E7725</v>
      </c>
      <c r="H46" s="284">
        <v>5</v>
      </c>
      <c r="I46" s="285">
        <f t="shared" si="32"/>
        <v>1.5807870370370372</v>
      </c>
      <c r="J46" s="286"/>
      <c r="K46" s="40" t="str">
        <f t="shared" si="6"/>
        <v>1</v>
      </c>
      <c r="L46" s="24">
        <f t="shared" si="20"/>
        <v>6.9694444444444459</v>
      </c>
      <c r="M46" s="41" t="str">
        <f t="shared" si="7"/>
        <v>6</v>
      </c>
      <c r="N46" s="24">
        <f t="shared" si="21"/>
        <v>11.633333333333351</v>
      </c>
      <c r="O46" s="41" t="str">
        <f t="shared" si="8"/>
        <v>E</v>
      </c>
      <c r="P46" s="24">
        <f t="shared" si="22"/>
        <v>7.6000000000002075</v>
      </c>
      <c r="Q46" s="41" t="str">
        <f t="shared" si="9"/>
        <v>7</v>
      </c>
      <c r="R46" s="24">
        <f t="shared" si="23"/>
        <v>7.2000000000024897</v>
      </c>
      <c r="S46" s="41" t="str">
        <f t="shared" si="10"/>
        <v>7</v>
      </c>
      <c r="T46" s="24">
        <f t="shared" si="24"/>
        <v>2.4000000000298769</v>
      </c>
      <c r="U46" s="41" t="str">
        <f t="shared" si="11"/>
        <v>2</v>
      </c>
      <c r="V46" s="24">
        <f t="shared" si="25"/>
        <v>4.8000000003585228</v>
      </c>
      <c r="W46" s="41" t="str">
        <f t="shared" si="12"/>
        <v>5</v>
      </c>
      <c r="X46" s="24">
        <f t="shared" si="26"/>
        <v>9.6000000043022737</v>
      </c>
      <c r="Y46" s="41" t="str">
        <f t="shared" si="13"/>
        <v/>
      </c>
      <c r="Z46" s="24">
        <f t="shared" si="27"/>
        <v>7.2000000516272848</v>
      </c>
      <c r="AA46" s="41" t="str">
        <f t="shared" si="14"/>
        <v/>
      </c>
      <c r="AB46" s="24">
        <f t="shared" si="28"/>
        <v>2.4000006195274182</v>
      </c>
      <c r="AC46" s="41" t="str">
        <f t="shared" si="15"/>
        <v/>
      </c>
      <c r="AD46" s="24">
        <f t="shared" si="29"/>
        <v>4.800007434329018</v>
      </c>
      <c r="AE46" s="41" t="str">
        <f t="shared" si="16"/>
        <v/>
      </c>
      <c r="AF46" s="24">
        <f t="shared" si="30"/>
        <v>9.600089211948216</v>
      </c>
      <c r="AG46" s="41" t="str">
        <f t="shared" si="17"/>
        <v/>
      </c>
      <c r="AH46" s="24">
        <f t="shared" si="31"/>
        <v>7.2010705433785915</v>
      </c>
      <c r="AI46" s="41" t="str">
        <f t="shared" si="18"/>
        <v/>
      </c>
    </row>
    <row r="47" spans="1:35" ht="15" customHeight="1">
      <c r="A47" s="719"/>
      <c r="B47" s="268" t="str">
        <f>Rydberg!B52</f>
        <v>Molar volume of an ideal gas</v>
      </c>
      <c r="C47" s="268" t="str">
        <f>Rydberg!C52</f>
        <v>m^3/mol</v>
      </c>
      <c r="D47" s="21">
        <f>Rydberg!D52</f>
        <v>2.2413961999999999E-2</v>
      </c>
      <c r="E47" s="8">
        <v>6</v>
      </c>
      <c r="F47" s="279">
        <f>D47/(POWER(F$3,3)/F$7)</f>
        <v>22413.334426636055</v>
      </c>
      <c r="G47" s="142" t="str">
        <f t="shared" si="19"/>
        <v>1;0E7940</v>
      </c>
      <c r="H47" s="284">
        <v>4</v>
      </c>
      <c r="I47" s="285">
        <f t="shared" si="32"/>
        <v>1.0808899704203345</v>
      </c>
      <c r="J47" s="286"/>
      <c r="K47" s="40" t="str">
        <f t="shared" si="6"/>
        <v>1</v>
      </c>
      <c r="L47" s="24">
        <f t="shared" si="20"/>
        <v>0.97067964504401427</v>
      </c>
      <c r="M47" s="41" t="str">
        <f t="shared" si="7"/>
        <v>0</v>
      </c>
      <c r="N47" s="24">
        <f t="shared" si="21"/>
        <v>11.648155740528171</v>
      </c>
      <c r="O47" s="41" t="str">
        <f t="shared" si="8"/>
        <v>E</v>
      </c>
      <c r="P47" s="24">
        <f t="shared" si="22"/>
        <v>7.7778688863380552</v>
      </c>
      <c r="Q47" s="41" t="str">
        <f t="shared" si="9"/>
        <v>7</v>
      </c>
      <c r="R47" s="24">
        <f t="shared" si="23"/>
        <v>9.3344266360566621</v>
      </c>
      <c r="S47" s="41" t="str">
        <f t="shared" si="10"/>
        <v>9</v>
      </c>
      <c r="T47" s="24">
        <f t="shared" si="24"/>
        <v>4.0131196326799454</v>
      </c>
      <c r="U47" s="41" t="str">
        <f t="shared" si="11"/>
        <v>4</v>
      </c>
      <c r="V47" s="24">
        <f t="shared" si="25"/>
        <v>0.15743559215934511</v>
      </c>
      <c r="W47" s="41" t="str">
        <f t="shared" si="12"/>
        <v>0</v>
      </c>
      <c r="X47" s="24">
        <f t="shared" si="26"/>
        <v>1.8892271059121413</v>
      </c>
      <c r="Y47" s="41" t="str">
        <f t="shared" si="13"/>
        <v/>
      </c>
      <c r="Z47" s="24">
        <f t="shared" si="27"/>
        <v>10.670725270945695</v>
      </c>
      <c r="AA47" s="41" t="str">
        <f t="shared" si="14"/>
        <v/>
      </c>
      <c r="AB47" s="24">
        <f t="shared" si="28"/>
        <v>8.0487032513483427</v>
      </c>
      <c r="AC47" s="41" t="str">
        <f t="shared" si="15"/>
        <v/>
      </c>
      <c r="AD47" s="24">
        <f t="shared" si="29"/>
        <v>0.58443901618011296</v>
      </c>
      <c r="AE47" s="41" t="str">
        <f t="shared" si="16"/>
        <v/>
      </c>
      <c r="AF47" s="24">
        <f t="shared" si="30"/>
        <v>7.0132681941613555</v>
      </c>
      <c r="AG47" s="41" t="str">
        <f t="shared" si="17"/>
        <v/>
      </c>
      <c r="AH47" s="24">
        <f t="shared" si="31"/>
        <v>0.15921832993626595</v>
      </c>
      <c r="AI47" s="41" t="str">
        <f t="shared" si="18"/>
        <v/>
      </c>
    </row>
    <row r="48" spans="1:35" ht="15" customHeight="1">
      <c r="A48" s="719"/>
      <c r="B48" s="67" t="str">
        <f>Rydberg!B53</f>
        <v>-log(Sqrt([H+][OH-])/(mol/m^3))</v>
      </c>
      <c r="C48" s="268" t="str">
        <f>Rydberg!C53</f>
        <v>log(12)</v>
      </c>
      <c r="D48" s="21">
        <f>Rydberg!D53</f>
        <v>1.0039920318408906E-4</v>
      </c>
      <c r="E48" s="8">
        <v>4</v>
      </c>
      <c r="F48" s="279">
        <f>-LOG(D$48/(F$7*POWER(F$3,-3)))/LOG(12)</f>
        <v>9.2646694987403126</v>
      </c>
      <c r="G48" s="142" t="str">
        <f t="shared" si="19"/>
        <v>9;3214</v>
      </c>
      <c r="H48" s="284">
        <v>0</v>
      </c>
      <c r="I48" s="285">
        <f t="shared" si="32"/>
        <v>9.2646694987403126</v>
      </c>
      <c r="J48" s="286"/>
      <c r="K48" s="40" t="str">
        <f t="shared" si="6"/>
        <v>9</v>
      </c>
      <c r="L48" s="24">
        <f t="shared" si="20"/>
        <v>3.1760339848837518</v>
      </c>
      <c r="M48" s="41" t="str">
        <f t="shared" si="7"/>
        <v>3</v>
      </c>
      <c r="N48" s="24">
        <f t="shared" si="21"/>
        <v>2.1124078186050212</v>
      </c>
      <c r="O48" s="41" t="str">
        <f t="shared" si="8"/>
        <v>2</v>
      </c>
      <c r="P48" s="24">
        <f t="shared" si="22"/>
        <v>1.348893823260255</v>
      </c>
      <c r="Q48" s="41" t="str">
        <f t="shared" si="9"/>
        <v>1</v>
      </c>
      <c r="R48" s="24">
        <f t="shared" si="23"/>
        <v>4.1867258791230597</v>
      </c>
      <c r="S48" s="41" t="str">
        <f t="shared" si="10"/>
        <v>4</v>
      </c>
      <c r="T48" s="24">
        <f t="shared" si="24"/>
        <v>2.2407105494767166</v>
      </c>
      <c r="U48" s="41" t="str">
        <f t="shared" si="11"/>
        <v/>
      </c>
      <c r="V48" s="24">
        <f t="shared" si="25"/>
        <v>2.8885265937205986</v>
      </c>
      <c r="W48" s="41" t="str">
        <f t="shared" si="12"/>
        <v/>
      </c>
      <c r="X48" s="24">
        <f t="shared" si="26"/>
        <v>10.662319124647183</v>
      </c>
      <c r="Y48" s="41" t="str">
        <f t="shared" si="13"/>
        <v/>
      </c>
      <c r="Z48" s="24">
        <f t="shared" si="27"/>
        <v>7.9478294957662001</v>
      </c>
      <c r="AA48" s="41" t="str">
        <f t="shared" si="14"/>
        <v/>
      </c>
      <c r="AB48" s="24">
        <f t="shared" si="28"/>
        <v>11.373953949194402</v>
      </c>
      <c r="AC48" s="41" t="str">
        <f t="shared" si="15"/>
        <v/>
      </c>
      <c r="AD48" s="24">
        <f t="shared" si="29"/>
        <v>4.487447390332818</v>
      </c>
      <c r="AE48" s="41" t="str">
        <f t="shared" si="16"/>
        <v/>
      </c>
      <c r="AF48" s="24">
        <f t="shared" si="30"/>
        <v>5.8493686839938164</v>
      </c>
      <c r="AG48" s="41" t="str">
        <f t="shared" si="17"/>
        <v/>
      </c>
      <c r="AH48" s="24">
        <f t="shared" si="31"/>
        <v>10.192424207925797</v>
      </c>
      <c r="AI48" s="41" t="str">
        <f t="shared" si="18"/>
        <v/>
      </c>
    </row>
    <row r="49" spans="1:35" ht="15" customHeight="1">
      <c r="A49" s="719"/>
      <c r="B49" s="268" t="str">
        <f>Rydberg!B54</f>
        <v>Maximum density of water</v>
      </c>
      <c r="C49" s="268" t="str">
        <f>Rydberg!C54</f>
        <v>kg/m^3</v>
      </c>
      <c r="D49" s="21">
        <f>Rydberg!D54</f>
        <v>999.97199999999998</v>
      </c>
      <c r="E49" s="8">
        <v>6</v>
      </c>
      <c r="F49" s="279">
        <f>D49/(F$8*POWER(F$3,-3))</f>
        <v>0.99999999921600002</v>
      </c>
      <c r="G49" s="142" t="str">
        <f t="shared" si="19"/>
        <v>0;EEEEE</v>
      </c>
      <c r="H49" s="284">
        <v>0</v>
      </c>
      <c r="I49" s="285">
        <f t="shared" si="32"/>
        <v>0.99999999921600002</v>
      </c>
      <c r="J49" s="286"/>
      <c r="K49" s="40" t="str">
        <f t="shared" si="6"/>
        <v>0</v>
      </c>
      <c r="L49" s="24">
        <f t="shared" si="20"/>
        <v>11.999999990592</v>
      </c>
      <c r="M49" s="41" t="str">
        <f t="shared" si="7"/>
        <v>E</v>
      </c>
      <c r="N49" s="24">
        <f t="shared" si="21"/>
        <v>11.999999887104003</v>
      </c>
      <c r="O49" s="41" t="str">
        <f t="shared" si="8"/>
        <v>E</v>
      </c>
      <c r="P49" s="24">
        <f t="shared" si="22"/>
        <v>11.999998645248041</v>
      </c>
      <c r="Q49" s="41" t="str">
        <f t="shared" si="9"/>
        <v>E</v>
      </c>
      <c r="R49" s="24">
        <f t="shared" si="23"/>
        <v>11.999983742976497</v>
      </c>
      <c r="S49" s="41" t="str">
        <f t="shared" si="10"/>
        <v>E</v>
      </c>
      <c r="T49" s="24">
        <f t="shared" si="24"/>
        <v>11.999804915717959</v>
      </c>
      <c r="U49" s="41" t="str">
        <f t="shared" si="11"/>
        <v>E</v>
      </c>
      <c r="V49" s="24">
        <f t="shared" si="25"/>
        <v>11.997658988615512</v>
      </c>
      <c r="W49" s="41" t="str">
        <f t="shared" si="12"/>
        <v/>
      </c>
      <c r="X49" s="24">
        <f t="shared" si="26"/>
        <v>11.97190786338615</v>
      </c>
      <c r="Y49" s="41" t="str">
        <f t="shared" si="13"/>
        <v/>
      </c>
      <c r="Z49" s="24">
        <f t="shared" si="27"/>
        <v>11.6628943606338</v>
      </c>
      <c r="AA49" s="41" t="str">
        <f t="shared" si="14"/>
        <v/>
      </c>
      <c r="AB49" s="24">
        <f t="shared" si="28"/>
        <v>7.9547323276055977</v>
      </c>
      <c r="AC49" s="41" t="str">
        <f t="shared" si="15"/>
        <v/>
      </c>
      <c r="AD49" s="24">
        <f t="shared" si="29"/>
        <v>11.456787931267172</v>
      </c>
      <c r="AE49" s="41" t="str">
        <f t="shared" si="16"/>
        <v/>
      </c>
      <c r="AF49" s="24">
        <f t="shared" si="30"/>
        <v>5.4814551752060652</v>
      </c>
      <c r="AG49" s="41" t="str">
        <f t="shared" si="17"/>
        <v/>
      </c>
      <c r="AH49" s="24">
        <f t="shared" si="31"/>
        <v>5.7774621024727821</v>
      </c>
      <c r="AI49" s="41" t="str">
        <f t="shared" si="18"/>
        <v/>
      </c>
    </row>
    <row r="50" spans="1:35" ht="15" customHeight="1">
      <c r="A50" s="719"/>
      <c r="B50" s="268" t="str">
        <f>Rydberg!B55</f>
        <v>Density of ice at the ice point</v>
      </c>
      <c r="C50" s="268" t="str">
        <f>Rydberg!C55</f>
        <v>kg/m^3</v>
      </c>
      <c r="D50" s="21">
        <f>Rydberg!D55</f>
        <v>916.8</v>
      </c>
      <c r="E50" s="8">
        <v>4</v>
      </c>
      <c r="F50" s="279">
        <f>D50/(F$8*POWER(F$3,-3))</f>
        <v>0.91682567039999996</v>
      </c>
      <c r="G50" s="142" t="str">
        <f t="shared" si="19"/>
        <v>0;E003</v>
      </c>
      <c r="H50" s="284">
        <v>0</v>
      </c>
      <c r="I50" s="285">
        <f t="shared" si="32"/>
        <v>0.91682567039999996</v>
      </c>
      <c r="J50" s="286"/>
      <c r="K50" s="40" t="str">
        <f t="shared" si="6"/>
        <v>0</v>
      </c>
      <c r="L50" s="24">
        <f t="shared" si="20"/>
        <v>11.0019080448</v>
      </c>
      <c r="M50" s="41" t="str">
        <f t="shared" si="7"/>
        <v>E</v>
      </c>
      <c r="N50" s="24">
        <f t="shared" si="21"/>
        <v>2.2896537600004763E-2</v>
      </c>
      <c r="O50" s="41" t="str">
        <f t="shared" si="8"/>
        <v>0</v>
      </c>
      <c r="P50" s="24">
        <f t="shared" si="22"/>
        <v>0.27475845120005715</v>
      </c>
      <c r="Q50" s="41" t="str">
        <f t="shared" si="9"/>
        <v>0</v>
      </c>
      <c r="R50" s="24">
        <f t="shared" si="23"/>
        <v>3.2971014144006858</v>
      </c>
      <c r="S50" s="41" t="str">
        <f t="shared" si="10"/>
        <v>3</v>
      </c>
      <c r="T50" s="24">
        <f t="shared" si="24"/>
        <v>3.5652169728082299</v>
      </c>
      <c r="U50" s="41" t="str">
        <f t="shared" si="11"/>
        <v/>
      </c>
      <c r="V50" s="24">
        <f t="shared" si="25"/>
        <v>6.7826036736987589</v>
      </c>
      <c r="W50" s="41" t="str">
        <f t="shared" si="12"/>
        <v/>
      </c>
      <c r="X50" s="24">
        <f t="shared" si="26"/>
        <v>9.3912440843851073</v>
      </c>
      <c r="Y50" s="41" t="str">
        <f t="shared" si="13"/>
        <v/>
      </c>
      <c r="Z50" s="24">
        <f t="shared" si="27"/>
        <v>4.6949290126212873</v>
      </c>
      <c r="AA50" s="41" t="str">
        <f t="shared" si="14"/>
        <v/>
      </c>
      <c r="AB50" s="24">
        <f t="shared" si="28"/>
        <v>8.3391481514554471</v>
      </c>
      <c r="AC50" s="41" t="str">
        <f t="shared" si="15"/>
        <v/>
      </c>
      <c r="AD50" s="24">
        <f t="shared" si="29"/>
        <v>4.0697778174653649</v>
      </c>
      <c r="AE50" s="41" t="str">
        <f t="shared" si="16"/>
        <v/>
      </c>
      <c r="AF50" s="24">
        <f t="shared" si="30"/>
        <v>0.8373338095843792</v>
      </c>
      <c r="AG50" s="41" t="str">
        <f t="shared" si="17"/>
        <v/>
      </c>
      <c r="AH50" s="24">
        <f t="shared" si="31"/>
        <v>10.04800571501255</v>
      </c>
      <c r="AI50" s="41" t="str">
        <f t="shared" si="18"/>
        <v/>
      </c>
    </row>
    <row r="51" spans="1:35" ht="15" customHeight="1">
      <c r="A51" s="719"/>
      <c r="B51" s="268" t="str">
        <f>Rydberg!B56</f>
        <v>Specific heat of water</v>
      </c>
      <c r="C51" s="268" t="str">
        <f>Rydberg!C56</f>
        <v>J/kg/K</v>
      </c>
      <c r="D51" s="21">
        <f>Rydberg!D56</f>
        <v>4184</v>
      </c>
      <c r="E51" s="8">
        <v>4</v>
      </c>
      <c r="F51" s="279">
        <f>D51/(F$5/F$8/F$6)</f>
        <v>1.0016863642852361</v>
      </c>
      <c r="G51" s="142" t="str">
        <f t="shared" si="19"/>
        <v>1;002E</v>
      </c>
      <c r="H51" s="284">
        <v>0</v>
      </c>
      <c r="I51" s="285">
        <f t="shared" si="32"/>
        <v>1.0016863642852361</v>
      </c>
      <c r="J51" s="286"/>
      <c r="K51" s="40" t="str">
        <f t="shared" si="6"/>
        <v>1</v>
      </c>
      <c r="L51" s="24">
        <f t="shared" si="20"/>
        <v>2.0236371422832633E-2</v>
      </c>
      <c r="M51" s="41" t="str">
        <f t="shared" si="7"/>
        <v>0</v>
      </c>
      <c r="N51" s="24">
        <f t="shared" si="21"/>
        <v>0.2428364570739916</v>
      </c>
      <c r="O51" s="41" t="str">
        <f t="shared" si="8"/>
        <v>0</v>
      </c>
      <c r="P51" s="24">
        <f t="shared" si="22"/>
        <v>2.9140374848878992</v>
      </c>
      <c r="Q51" s="41" t="str">
        <f t="shared" si="9"/>
        <v>2</v>
      </c>
      <c r="R51" s="24">
        <f t="shared" si="23"/>
        <v>10.96844981865479</v>
      </c>
      <c r="S51" s="41" t="str">
        <f t="shared" si="10"/>
        <v>E</v>
      </c>
      <c r="T51" s="24">
        <f t="shared" si="24"/>
        <v>11.621397823857478</v>
      </c>
      <c r="U51" s="41" t="str">
        <f t="shared" si="11"/>
        <v/>
      </c>
      <c r="V51" s="24">
        <f t="shared" si="25"/>
        <v>7.4567738862897386</v>
      </c>
      <c r="W51" s="41" t="str">
        <f t="shared" si="12"/>
        <v/>
      </c>
      <c r="X51" s="24">
        <f t="shared" si="26"/>
        <v>5.481286635476863</v>
      </c>
      <c r="Y51" s="41" t="str">
        <f t="shared" si="13"/>
        <v/>
      </c>
      <c r="Z51" s="24">
        <f t="shared" si="27"/>
        <v>5.7754396257223561</v>
      </c>
      <c r="AA51" s="41" t="str">
        <f t="shared" si="14"/>
        <v/>
      </c>
      <c r="AB51" s="24">
        <f t="shared" si="28"/>
        <v>9.3052755086682737</v>
      </c>
      <c r="AC51" s="41" t="str">
        <f t="shared" si="15"/>
        <v/>
      </c>
      <c r="AD51" s="24">
        <f t="shared" si="29"/>
        <v>3.6633061040192842</v>
      </c>
      <c r="AE51" s="41" t="str">
        <f t="shared" si="16"/>
        <v/>
      </c>
      <c r="AF51" s="24">
        <f t="shared" si="30"/>
        <v>7.959673248231411</v>
      </c>
      <c r="AG51" s="41" t="str">
        <f t="shared" si="17"/>
        <v/>
      </c>
      <c r="AH51" s="24">
        <f t="shared" si="31"/>
        <v>11.516078978776932</v>
      </c>
      <c r="AI51" s="41" t="str">
        <f t="shared" si="18"/>
        <v/>
      </c>
    </row>
    <row r="52" spans="1:35" ht="15" customHeight="1">
      <c r="A52" s="719"/>
      <c r="B52" s="268" t="str">
        <f>Rydberg!B57</f>
        <v>Surface tension of water at 25℃</v>
      </c>
      <c r="C52" s="268" t="str">
        <f>Rydberg!C57</f>
        <v>N/m</v>
      </c>
      <c r="D52" s="21">
        <f>Rydberg!D57</f>
        <v>7.1970000000000006E-2</v>
      </c>
      <c r="E52" s="8">
        <v>4</v>
      </c>
      <c r="F52" s="279">
        <f>D$52/(F$10/F$3)</f>
        <v>8.3915080077405494E-5</v>
      </c>
      <c r="G52" s="142" t="str">
        <f t="shared" si="19"/>
        <v>1;8X6X</v>
      </c>
      <c r="H52" s="284">
        <v>-4</v>
      </c>
      <c r="I52" s="285">
        <f t="shared" si="32"/>
        <v>1.7400631004850804</v>
      </c>
      <c r="J52" s="286"/>
      <c r="K52" s="40" t="str">
        <f t="shared" si="6"/>
        <v>1</v>
      </c>
      <c r="L52" s="24">
        <f t="shared" si="20"/>
        <v>8.8807572058209647</v>
      </c>
      <c r="M52" s="41" t="str">
        <f t="shared" si="7"/>
        <v>8</v>
      </c>
      <c r="N52" s="24">
        <f t="shared" si="21"/>
        <v>10.569086469851577</v>
      </c>
      <c r="O52" s="41" t="str">
        <f t="shared" si="8"/>
        <v>X</v>
      </c>
      <c r="P52" s="24">
        <f t="shared" si="22"/>
        <v>6.8290376382189208</v>
      </c>
      <c r="Q52" s="41" t="str">
        <f t="shared" si="9"/>
        <v>6</v>
      </c>
      <c r="R52" s="24">
        <f t="shared" si="23"/>
        <v>9.9484516586270502</v>
      </c>
      <c r="S52" s="41" t="str">
        <f t="shared" si="10"/>
        <v>X</v>
      </c>
      <c r="T52" s="24">
        <f t="shared" si="24"/>
        <v>11.381419903524602</v>
      </c>
      <c r="U52" s="41" t="str">
        <f t="shared" si="11"/>
        <v/>
      </c>
      <c r="V52" s="24">
        <f t="shared" si="25"/>
        <v>4.5770388422952237</v>
      </c>
      <c r="W52" s="41" t="str">
        <f t="shared" si="12"/>
        <v/>
      </c>
      <c r="X52" s="24">
        <f t="shared" si="26"/>
        <v>6.9244661075426848</v>
      </c>
      <c r="Y52" s="41" t="str">
        <f t="shared" si="13"/>
        <v/>
      </c>
      <c r="Z52" s="24">
        <f t="shared" si="27"/>
        <v>11.093593290512217</v>
      </c>
      <c r="AA52" s="41" t="str">
        <f t="shared" si="14"/>
        <v/>
      </c>
      <c r="AB52" s="24">
        <f t="shared" si="28"/>
        <v>1.1231194861466065</v>
      </c>
      <c r="AC52" s="41" t="str">
        <f t="shared" si="15"/>
        <v/>
      </c>
      <c r="AD52" s="24">
        <f t="shared" si="29"/>
        <v>1.4774338337592781</v>
      </c>
      <c r="AE52" s="41" t="str">
        <f t="shared" si="16"/>
        <v/>
      </c>
      <c r="AF52" s="24">
        <f t="shared" si="30"/>
        <v>5.7292060051113367</v>
      </c>
      <c r="AG52" s="41" t="str">
        <f t="shared" si="17"/>
        <v/>
      </c>
      <c r="AH52" s="24">
        <f t="shared" si="31"/>
        <v>8.7504720613360405</v>
      </c>
      <c r="AI52" s="41" t="str">
        <f t="shared" si="18"/>
        <v/>
      </c>
    </row>
    <row r="53" spans="1:35" ht="15" customHeight="1">
      <c r="A53" s="719"/>
      <c r="B53" s="268" t="str">
        <f>Rydberg!B62</f>
        <v>Standard atmosphere</v>
      </c>
      <c r="C53" s="268" t="str">
        <f>Rydberg!C62</f>
        <v>P</v>
      </c>
      <c r="D53" s="21">
        <f>Rydberg!D62</f>
        <v>101325</v>
      </c>
      <c r="E53" s="8">
        <v>6</v>
      </c>
      <c r="F53" s="279">
        <f>D53/F$11</f>
        <v>34.932635361769442</v>
      </c>
      <c r="G53" s="142" t="str">
        <f t="shared" si="19"/>
        <v>2;XE2372</v>
      </c>
      <c r="H53" s="284">
        <v>1</v>
      </c>
      <c r="I53" s="285">
        <f t="shared" si="32"/>
        <v>2.9110529468141202</v>
      </c>
      <c r="J53" s="286"/>
      <c r="K53" s="40" t="str">
        <f t="shared" si="6"/>
        <v>2</v>
      </c>
      <c r="L53" s="24">
        <f t="shared" si="20"/>
        <v>10.932635361769442</v>
      </c>
      <c r="M53" s="41" t="str">
        <f t="shared" si="7"/>
        <v>X</v>
      </c>
      <c r="N53" s="24">
        <f t="shared" si="21"/>
        <v>11.191624341233307</v>
      </c>
      <c r="O53" s="41" t="str">
        <f t="shared" si="8"/>
        <v>E</v>
      </c>
      <c r="P53" s="24">
        <f t="shared" si="22"/>
        <v>2.2994920947996889</v>
      </c>
      <c r="Q53" s="41" t="str">
        <f t="shared" si="9"/>
        <v>2</v>
      </c>
      <c r="R53" s="24">
        <f t="shared" si="23"/>
        <v>3.5939051375962663</v>
      </c>
      <c r="S53" s="41" t="str">
        <f t="shared" si="10"/>
        <v>3</v>
      </c>
      <c r="T53" s="24">
        <f t="shared" si="24"/>
        <v>7.1268616511551954</v>
      </c>
      <c r="U53" s="41" t="str">
        <f t="shared" si="11"/>
        <v>7</v>
      </c>
      <c r="V53" s="24">
        <f t="shared" si="25"/>
        <v>1.5223398138623452</v>
      </c>
      <c r="W53" s="41" t="str">
        <f t="shared" si="12"/>
        <v>2</v>
      </c>
      <c r="X53" s="24">
        <f t="shared" si="26"/>
        <v>6.2680777663481422</v>
      </c>
      <c r="Y53" s="41" t="str">
        <f t="shared" si="13"/>
        <v/>
      </c>
      <c r="Z53" s="24">
        <f t="shared" si="27"/>
        <v>3.2169331961777061</v>
      </c>
      <c r="AA53" s="41" t="str">
        <f t="shared" si="14"/>
        <v/>
      </c>
      <c r="AB53" s="24">
        <f t="shared" si="28"/>
        <v>2.6031983541324735</v>
      </c>
      <c r="AC53" s="41" t="str">
        <f t="shared" si="15"/>
        <v/>
      </c>
      <c r="AD53" s="24">
        <f t="shared" si="29"/>
        <v>7.2383802495896816</v>
      </c>
      <c r="AE53" s="41" t="str">
        <f t="shared" si="16"/>
        <v/>
      </c>
      <c r="AF53" s="24">
        <f t="shared" si="30"/>
        <v>2.8605629950761795</v>
      </c>
      <c r="AG53" s="41" t="str">
        <f t="shared" si="17"/>
        <v/>
      </c>
      <c r="AH53" s="24">
        <f t="shared" si="31"/>
        <v>10.326755940914154</v>
      </c>
      <c r="AI53" s="41" t="str">
        <f t="shared" si="18"/>
        <v/>
      </c>
    </row>
    <row r="54" spans="1:35" ht="15" customHeight="1">
      <c r="A54" s="719"/>
      <c r="B54" s="268" t="str">
        <f>Rydberg!B63</f>
        <v>Standard gravitational acceleration</v>
      </c>
      <c r="C54" s="268" t="str">
        <f>Rydberg!C63</f>
        <v>m/s^2</v>
      </c>
      <c r="D54" s="21">
        <f>Rydberg!D63</f>
        <v>9.8066499999999994</v>
      </c>
      <c r="E54" s="8">
        <v>7</v>
      </c>
      <c r="F54" s="279">
        <f>D54/(F$3/F$4/F$4)</f>
        <v>0.99965347772193647</v>
      </c>
      <c r="G54" s="142" t="str">
        <f t="shared" si="19"/>
        <v>0;EEE4993</v>
      </c>
      <c r="H54" s="284">
        <v>0</v>
      </c>
      <c r="I54" s="285">
        <f t="shared" si="32"/>
        <v>0.99965347772193647</v>
      </c>
      <c r="J54" s="286"/>
      <c r="K54" s="40" t="str">
        <f t="shared" si="6"/>
        <v>0</v>
      </c>
      <c r="L54" s="24">
        <f t="shared" si="20"/>
        <v>11.995841732663237</v>
      </c>
      <c r="M54" s="41" t="str">
        <f t="shared" si="7"/>
        <v>E</v>
      </c>
      <c r="N54" s="24">
        <f t="shared" si="21"/>
        <v>11.950100791958846</v>
      </c>
      <c r="O54" s="41" t="str">
        <f t="shared" si="8"/>
        <v>E</v>
      </c>
      <c r="P54" s="24">
        <f t="shared" si="22"/>
        <v>11.401209503506152</v>
      </c>
      <c r="Q54" s="41" t="str">
        <f t="shared" si="9"/>
        <v>E</v>
      </c>
      <c r="R54" s="24">
        <f t="shared" si="23"/>
        <v>4.8145140420738244</v>
      </c>
      <c r="S54" s="41" t="str">
        <f t="shared" si="10"/>
        <v>4</v>
      </c>
      <c r="T54" s="24">
        <f t="shared" si="24"/>
        <v>9.7741685048858926</v>
      </c>
      <c r="U54" s="41" t="str">
        <f t="shared" si="11"/>
        <v>9</v>
      </c>
      <c r="V54" s="24">
        <f t="shared" si="25"/>
        <v>9.2900220586307114</v>
      </c>
      <c r="W54" s="41" t="str">
        <f t="shared" si="12"/>
        <v>9</v>
      </c>
      <c r="X54" s="24">
        <f t="shared" si="26"/>
        <v>3.4802647035685368</v>
      </c>
      <c r="Y54" s="41" t="str">
        <f t="shared" si="13"/>
        <v>3</v>
      </c>
      <c r="Z54" s="24">
        <f t="shared" si="27"/>
        <v>5.7631764428224415</v>
      </c>
      <c r="AA54" s="41" t="str">
        <f t="shared" si="14"/>
        <v/>
      </c>
      <c r="AB54" s="24">
        <f t="shared" si="28"/>
        <v>9.1581173138692975</v>
      </c>
      <c r="AC54" s="41" t="str">
        <f t="shared" si="15"/>
        <v/>
      </c>
      <c r="AD54" s="24">
        <f t="shared" si="29"/>
        <v>1.8974077664315701</v>
      </c>
      <c r="AE54" s="41" t="str">
        <f t="shared" si="16"/>
        <v/>
      </c>
      <c r="AF54" s="24">
        <f t="shared" si="30"/>
        <v>10.768893197178841</v>
      </c>
      <c r="AG54" s="41" t="str">
        <f t="shared" si="17"/>
        <v/>
      </c>
      <c r="AH54" s="24">
        <f t="shared" si="31"/>
        <v>9.2267183661460876</v>
      </c>
      <c r="AI54" s="41" t="str">
        <f t="shared" si="18"/>
        <v/>
      </c>
    </row>
    <row r="55" spans="1:35" ht="15" customHeight="1">
      <c r="A55" s="719"/>
      <c r="B55" s="268" t="str">
        <f>Rydberg!B64</f>
        <v>Gravitational radius of the Earth</v>
      </c>
      <c r="C55" s="268" t="str">
        <f>Rydberg!C64</f>
        <v>m</v>
      </c>
      <c r="D55" s="21">
        <f>Rydberg!D64</f>
        <v>4.4350280391176706E-3</v>
      </c>
      <c r="E55" s="8">
        <v>7</v>
      </c>
      <c r="F55" s="279">
        <f>D55/F$3</f>
        <v>1.4999270672443036E-2</v>
      </c>
      <c r="G55" s="142" t="str">
        <f t="shared" si="19"/>
        <v>2;1E036EX</v>
      </c>
      <c r="H55" s="284">
        <v>-2</v>
      </c>
      <c r="I55" s="285">
        <f t="shared" si="32"/>
        <v>2.1598949768317972</v>
      </c>
      <c r="J55" s="286"/>
      <c r="K55" s="40" t="str">
        <f t="shared" si="6"/>
        <v>2</v>
      </c>
      <c r="L55" s="24">
        <f t="shared" si="20"/>
        <v>1.9187397219815665</v>
      </c>
      <c r="M55" s="41" t="str">
        <f t="shared" si="7"/>
        <v>1</v>
      </c>
      <c r="N55" s="24">
        <f t="shared" si="21"/>
        <v>11.024876663778798</v>
      </c>
      <c r="O55" s="41" t="str">
        <f t="shared" si="8"/>
        <v>E</v>
      </c>
      <c r="P55" s="24">
        <f t="shared" si="22"/>
        <v>0.29851996534557657</v>
      </c>
      <c r="Q55" s="41" t="str">
        <f t="shared" si="9"/>
        <v>0</v>
      </c>
      <c r="R55" s="24">
        <f t="shared" si="23"/>
        <v>3.5822395841469188</v>
      </c>
      <c r="S55" s="41" t="str">
        <f t="shared" si="10"/>
        <v>3</v>
      </c>
      <c r="T55" s="24">
        <f t="shared" si="24"/>
        <v>6.9868750097630254</v>
      </c>
      <c r="U55" s="41" t="str">
        <f t="shared" si="11"/>
        <v>6</v>
      </c>
      <c r="V55" s="24">
        <f t="shared" si="25"/>
        <v>11.842500117156305</v>
      </c>
      <c r="W55" s="41" t="str">
        <f t="shared" si="12"/>
        <v>E</v>
      </c>
      <c r="X55" s="24">
        <f t="shared" si="26"/>
        <v>10.110001405875664</v>
      </c>
      <c r="Y55" s="41" t="str">
        <f t="shared" si="13"/>
        <v>X</v>
      </c>
      <c r="Z55" s="24">
        <f t="shared" si="27"/>
        <v>1.3200168705079705</v>
      </c>
      <c r="AA55" s="41" t="str">
        <f t="shared" si="14"/>
        <v/>
      </c>
      <c r="AB55" s="24">
        <f t="shared" si="28"/>
        <v>3.8402024460956454</v>
      </c>
      <c r="AC55" s="41" t="str">
        <f t="shared" si="15"/>
        <v/>
      </c>
      <c r="AD55" s="24">
        <f t="shared" si="29"/>
        <v>10.082429353147745</v>
      </c>
      <c r="AE55" s="41" t="str">
        <f t="shared" si="16"/>
        <v/>
      </c>
      <c r="AF55" s="24">
        <f t="shared" si="30"/>
        <v>0.98915223777294159</v>
      </c>
      <c r="AG55" s="41" t="str">
        <f t="shared" si="17"/>
        <v/>
      </c>
      <c r="AH55" s="24">
        <f t="shared" si="31"/>
        <v>11.869826853275299</v>
      </c>
      <c r="AI55" s="41" t="str">
        <f t="shared" si="18"/>
        <v/>
      </c>
    </row>
    <row r="56" spans="1:35" ht="15" customHeight="1">
      <c r="A56" s="719"/>
      <c r="B56" s="268" t="str">
        <f>Rydberg!B65</f>
        <v>Equatorial radius of the Earth</v>
      </c>
      <c r="C56" s="268" t="str">
        <f>Rydberg!C65</f>
        <v>m</v>
      </c>
      <c r="D56" s="21">
        <f>Rydberg!D65</f>
        <v>6378140</v>
      </c>
      <c r="E56" s="8">
        <v>10</v>
      </c>
      <c r="F56" s="279">
        <f>D56/F$3</f>
        <v>21570877.884634174</v>
      </c>
      <c r="G56" s="142" t="str">
        <f t="shared" si="19"/>
        <v>7;283191X748</v>
      </c>
      <c r="H56" s="284">
        <v>6</v>
      </c>
      <c r="I56" s="285">
        <f t="shared" si="32"/>
        <v>7.2240433587836286</v>
      </c>
      <c r="J56" s="286"/>
      <c r="K56" s="40" t="str">
        <f t="shared" si="6"/>
        <v>7</v>
      </c>
      <c r="L56" s="24">
        <f t="shared" si="20"/>
        <v>2.6885203054035429</v>
      </c>
      <c r="M56" s="41" t="str">
        <f t="shared" si="7"/>
        <v>2</v>
      </c>
      <c r="N56" s="24">
        <f t="shared" si="21"/>
        <v>8.262243664842515</v>
      </c>
      <c r="O56" s="41" t="str">
        <f t="shared" si="8"/>
        <v>8</v>
      </c>
      <c r="P56" s="24">
        <f t="shared" si="22"/>
        <v>3.1469239781101805</v>
      </c>
      <c r="Q56" s="41" t="str">
        <f t="shared" si="9"/>
        <v>3</v>
      </c>
      <c r="R56" s="24">
        <f t="shared" si="23"/>
        <v>1.7630877373221665</v>
      </c>
      <c r="S56" s="41" t="str">
        <f t="shared" si="10"/>
        <v>1</v>
      </c>
      <c r="T56" s="24">
        <f t="shared" si="24"/>
        <v>9.157052847865998</v>
      </c>
      <c r="U56" s="41" t="str">
        <f t="shared" si="11"/>
        <v>9</v>
      </c>
      <c r="V56" s="24">
        <f t="shared" si="25"/>
        <v>1.8846341743919766</v>
      </c>
      <c r="W56" s="41" t="str">
        <f t="shared" si="12"/>
        <v>1</v>
      </c>
      <c r="X56" s="24">
        <f t="shared" si="26"/>
        <v>10.615610092703719</v>
      </c>
      <c r="Y56" s="41" t="str">
        <f t="shared" si="13"/>
        <v>X</v>
      </c>
      <c r="Z56" s="24">
        <f t="shared" si="27"/>
        <v>7.3873211124446243</v>
      </c>
      <c r="AA56" s="41" t="str">
        <f t="shared" si="14"/>
        <v>7</v>
      </c>
      <c r="AB56" s="24">
        <f t="shared" si="28"/>
        <v>4.6478533493354917</v>
      </c>
      <c r="AC56" s="41" t="str">
        <f t="shared" si="15"/>
        <v>4</v>
      </c>
      <c r="AD56" s="24">
        <f t="shared" si="29"/>
        <v>7.7742401920258999</v>
      </c>
      <c r="AE56" s="41" t="str">
        <f t="shared" si="16"/>
        <v>8</v>
      </c>
      <c r="AF56" s="24">
        <f t="shared" si="30"/>
        <v>9.2908823043107986</v>
      </c>
      <c r="AG56" s="41" t="str">
        <f t="shared" si="17"/>
        <v/>
      </c>
      <c r="AH56" s="24">
        <f t="shared" si="31"/>
        <v>3.4905876517295837</v>
      </c>
      <c r="AI56" s="41" t="str">
        <f t="shared" si="18"/>
        <v/>
      </c>
    </row>
    <row r="57" spans="1:35" ht="15" customHeight="1">
      <c r="A57" s="719"/>
      <c r="B57" s="268" t="str">
        <f>Rydberg!B66</f>
        <v>Meridian length of the Earth / 4</v>
      </c>
      <c r="C57" s="268" t="str">
        <f>Rydberg!C66</f>
        <v>m</v>
      </c>
      <c r="D57" s="21">
        <f>Rydberg!D66</f>
        <v>10001965</v>
      </c>
      <c r="E57" s="8">
        <v>7</v>
      </c>
      <c r="F57" s="279">
        <f>D57/F$3</f>
        <v>33826658.809838772</v>
      </c>
      <c r="G57" s="142" t="str">
        <f t="shared" si="19"/>
        <v>0;E3E3743</v>
      </c>
      <c r="H57" s="284">
        <v>7</v>
      </c>
      <c r="I57" s="285">
        <f t="shared" si="32"/>
        <v>0.94403996610605778</v>
      </c>
      <c r="J57" s="286"/>
      <c r="K57" s="40" t="str">
        <f t="shared" si="6"/>
        <v>0</v>
      </c>
      <c r="L57" s="24">
        <f t="shared" si="20"/>
        <v>11.328479593272693</v>
      </c>
      <c r="M57" s="41" t="str">
        <f t="shared" si="7"/>
        <v>E</v>
      </c>
      <c r="N57" s="24">
        <f t="shared" si="21"/>
        <v>3.9417551192723153</v>
      </c>
      <c r="O57" s="41" t="str">
        <f t="shared" si="8"/>
        <v>3</v>
      </c>
      <c r="P57" s="24">
        <f t="shared" si="22"/>
        <v>11.301061431267783</v>
      </c>
      <c r="Q57" s="41" t="str">
        <f t="shared" si="9"/>
        <v>E</v>
      </c>
      <c r="R57" s="24">
        <f t="shared" si="23"/>
        <v>3.6127371752133968</v>
      </c>
      <c r="S57" s="41" t="str">
        <f t="shared" si="10"/>
        <v>3</v>
      </c>
      <c r="T57" s="24">
        <f t="shared" si="24"/>
        <v>7.3528461025607612</v>
      </c>
      <c r="U57" s="41" t="str">
        <f t="shared" si="11"/>
        <v>7</v>
      </c>
      <c r="V57" s="24">
        <f t="shared" si="25"/>
        <v>4.2341532307291345</v>
      </c>
      <c r="W57" s="41" t="str">
        <f t="shared" si="12"/>
        <v>4</v>
      </c>
      <c r="X57" s="24">
        <f t="shared" si="26"/>
        <v>2.8098387687496142</v>
      </c>
      <c r="Y57" s="41" t="str">
        <f t="shared" si="13"/>
        <v>3</v>
      </c>
      <c r="Z57" s="24">
        <f t="shared" si="27"/>
        <v>9.718065224995371</v>
      </c>
      <c r="AA57" s="41" t="str">
        <f t="shared" si="14"/>
        <v/>
      </c>
      <c r="AB57" s="24">
        <f t="shared" si="28"/>
        <v>8.6167826999444515</v>
      </c>
      <c r="AC57" s="41" t="str">
        <f t="shared" si="15"/>
        <v/>
      </c>
      <c r="AD57" s="24">
        <f t="shared" si="29"/>
        <v>7.4013923993334174</v>
      </c>
      <c r="AE57" s="41" t="str">
        <f t="shared" si="16"/>
        <v/>
      </c>
      <c r="AF57" s="24">
        <f t="shared" si="30"/>
        <v>4.816708792001009</v>
      </c>
      <c r="AG57" s="41" t="str">
        <f t="shared" si="17"/>
        <v/>
      </c>
      <c r="AH57" s="24">
        <f t="shared" si="31"/>
        <v>9.8005055040121078</v>
      </c>
      <c r="AI57" s="41" t="str">
        <f t="shared" si="18"/>
        <v/>
      </c>
    </row>
    <row r="58" spans="1:35" ht="15" customHeight="1">
      <c r="A58" s="719"/>
      <c r="B58" s="268" t="str">
        <f>Rydberg!B67</f>
        <v>Gravitational radius of the Sun</v>
      </c>
      <c r="C58" s="268" t="str">
        <f>Rydberg!C67</f>
        <v>m</v>
      </c>
      <c r="D58" s="21">
        <f>Rydberg!D67</f>
        <v>1476.6250157971238</v>
      </c>
      <c r="E58" s="8">
        <v>8</v>
      </c>
      <c r="F58" s="279">
        <f>D58/F$3</f>
        <v>4993.9477492114884</v>
      </c>
      <c r="G58" s="142" t="str">
        <f t="shared" si="19"/>
        <v>2;X81E4586</v>
      </c>
      <c r="H58" s="284">
        <v>3</v>
      </c>
      <c r="I58" s="285">
        <f t="shared" si="32"/>
        <v>2.8900160585714634</v>
      </c>
      <c r="J58" s="286"/>
      <c r="K58" s="40" t="str">
        <f t="shared" si="6"/>
        <v>2</v>
      </c>
      <c r="L58" s="24">
        <f t="shared" si="20"/>
        <v>10.680192702857561</v>
      </c>
      <c r="M58" s="41" t="str">
        <f t="shared" si="7"/>
        <v>X</v>
      </c>
      <c r="N58" s="24">
        <f t="shared" si="21"/>
        <v>8.1623124342907261</v>
      </c>
      <c r="O58" s="41" t="str">
        <f t="shared" si="8"/>
        <v>8</v>
      </c>
      <c r="P58" s="24">
        <f t="shared" si="22"/>
        <v>1.9477492114887127</v>
      </c>
      <c r="Q58" s="41" t="str">
        <f t="shared" si="9"/>
        <v>1</v>
      </c>
      <c r="R58" s="24">
        <f t="shared" si="23"/>
        <v>11.372990537864553</v>
      </c>
      <c r="S58" s="41" t="str">
        <f t="shared" si="10"/>
        <v>E</v>
      </c>
      <c r="T58" s="24">
        <f t="shared" si="24"/>
        <v>4.4758864543746313</v>
      </c>
      <c r="U58" s="41" t="str">
        <f t="shared" si="11"/>
        <v>4</v>
      </c>
      <c r="V58" s="24">
        <f t="shared" si="25"/>
        <v>5.7106374524955754</v>
      </c>
      <c r="W58" s="41" t="str">
        <f t="shared" si="12"/>
        <v>5</v>
      </c>
      <c r="X58" s="24">
        <f t="shared" si="26"/>
        <v>8.527649429946905</v>
      </c>
      <c r="Y58" s="41" t="str">
        <f t="shared" si="13"/>
        <v>8</v>
      </c>
      <c r="Z58" s="24">
        <f t="shared" si="27"/>
        <v>6.33179315936286</v>
      </c>
      <c r="AA58" s="41" t="str">
        <f t="shared" si="14"/>
        <v>6</v>
      </c>
      <c r="AB58" s="24">
        <f t="shared" si="28"/>
        <v>3.9815179123543203</v>
      </c>
      <c r="AC58" s="41" t="str">
        <f t="shared" si="15"/>
        <v/>
      </c>
      <c r="AD58" s="24">
        <f t="shared" si="29"/>
        <v>11.778214948251843</v>
      </c>
      <c r="AE58" s="41" t="str">
        <f t="shared" si="16"/>
        <v/>
      </c>
      <c r="AF58" s="24">
        <f t="shared" si="30"/>
        <v>9.3385793790221214</v>
      </c>
      <c r="AG58" s="41" t="str">
        <f t="shared" si="17"/>
        <v/>
      </c>
      <c r="AH58" s="24">
        <f t="shared" si="31"/>
        <v>4.0629525482654572</v>
      </c>
      <c r="AI58" s="41" t="str">
        <f t="shared" si="18"/>
        <v/>
      </c>
    </row>
    <row r="59" spans="1:35" ht="15" customHeight="1">
      <c r="A59" s="719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87">
        <f>D59/F$3</f>
        <v>505940193468.84485</v>
      </c>
      <c r="G59" s="142" t="str">
        <f t="shared" si="19"/>
        <v>8;207X41E99</v>
      </c>
      <c r="H59" s="288">
        <v>10</v>
      </c>
      <c r="I59" s="289">
        <f t="shared" si="32"/>
        <v>8.1712165853587102</v>
      </c>
      <c r="J59" s="286"/>
      <c r="K59" s="40" t="str">
        <f t="shared" si="6"/>
        <v>8</v>
      </c>
      <c r="L59" s="24">
        <f t="shared" si="20"/>
        <v>2.0545990243045225</v>
      </c>
      <c r="M59" s="41" t="str">
        <f t="shared" si="7"/>
        <v>2</v>
      </c>
      <c r="N59" s="24">
        <f t="shared" si="21"/>
        <v>0.65518829165426951</v>
      </c>
      <c r="O59" s="41" t="str">
        <f t="shared" si="8"/>
        <v>0</v>
      </c>
      <c r="P59" s="24">
        <f t="shared" si="22"/>
        <v>7.8622594998512341</v>
      </c>
      <c r="Q59" s="41" t="str">
        <f t="shared" si="9"/>
        <v>7</v>
      </c>
      <c r="R59" s="24">
        <f t="shared" si="23"/>
        <v>10.347113998214809</v>
      </c>
      <c r="S59" s="41" t="str">
        <f t="shared" si="10"/>
        <v>X</v>
      </c>
      <c r="T59" s="24">
        <f t="shared" si="24"/>
        <v>4.1653679785777058</v>
      </c>
      <c r="U59" s="41" t="str">
        <f t="shared" si="11"/>
        <v>4</v>
      </c>
      <c r="V59" s="24">
        <f t="shared" si="25"/>
        <v>1.9844157429324696</v>
      </c>
      <c r="W59" s="41" t="str">
        <f t="shared" si="12"/>
        <v>1</v>
      </c>
      <c r="X59" s="24">
        <f t="shared" si="26"/>
        <v>11.812988915189635</v>
      </c>
      <c r="Y59" s="41" t="str">
        <f t="shared" si="13"/>
        <v>E</v>
      </c>
      <c r="Z59" s="24">
        <f t="shared" si="27"/>
        <v>9.7558669822756201</v>
      </c>
      <c r="AA59" s="41" t="str">
        <f t="shared" si="14"/>
        <v>9</v>
      </c>
      <c r="AB59" s="24">
        <f t="shared" si="28"/>
        <v>9.0704037873074412</v>
      </c>
      <c r="AC59" s="41" t="str">
        <f t="shared" si="15"/>
        <v>9</v>
      </c>
      <c r="AD59" s="24">
        <f t="shared" si="29"/>
        <v>0.84484544768929482</v>
      </c>
      <c r="AE59" s="41" t="str">
        <f t="shared" si="16"/>
        <v/>
      </c>
      <c r="AF59" s="24">
        <f t="shared" si="30"/>
        <v>10.138145372271538</v>
      </c>
      <c r="AG59" s="41" t="str">
        <f t="shared" si="17"/>
        <v/>
      </c>
      <c r="AH59" s="24">
        <f t="shared" si="31"/>
        <v>1.6577444672584534</v>
      </c>
      <c r="AI59" s="41" t="str">
        <f t="shared" si="18"/>
        <v/>
      </c>
    </row>
    <row r="60" spans="1:35" ht="15" customHeight="1">
      <c r="A60" s="719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87">
        <f>D60/F$4</f>
        <v>2874.2675414469568</v>
      </c>
      <c r="G60" s="142" t="str">
        <f t="shared" si="19"/>
        <v>1;7E632638X</v>
      </c>
      <c r="H60" s="288">
        <v>3</v>
      </c>
      <c r="I60" s="289">
        <f t="shared" si="32"/>
        <v>1.6633492716706926</v>
      </c>
      <c r="J60" s="286"/>
      <c r="K60" s="40" t="str">
        <f t="shared" si="6"/>
        <v>1</v>
      </c>
      <c r="L60" s="24">
        <f t="shared" si="20"/>
        <v>7.9601912600483109</v>
      </c>
      <c r="M60" s="41" t="str">
        <f t="shared" si="7"/>
        <v>7</v>
      </c>
      <c r="N60" s="24">
        <f t="shared" si="21"/>
        <v>11.522295120579731</v>
      </c>
      <c r="O60" s="41" t="str">
        <f t="shared" si="8"/>
        <v>E</v>
      </c>
      <c r="P60" s="24">
        <f t="shared" si="22"/>
        <v>6.2675414469567698</v>
      </c>
      <c r="Q60" s="41" t="str">
        <f t="shared" si="9"/>
        <v>6</v>
      </c>
      <c r="R60" s="24">
        <f t="shared" si="23"/>
        <v>3.2104973634812382</v>
      </c>
      <c r="S60" s="41" t="str">
        <f t="shared" si="10"/>
        <v>3</v>
      </c>
      <c r="T60" s="24">
        <f t="shared" si="24"/>
        <v>2.5259683617748578</v>
      </c>
      <c r="U60" s="41" t="str">
        <f t="shared" si="11"/>
        <v>2</v>
      </c>
      <c r="V60" s="24">
        <f t="shared" si="25"/>
        <v>6.3116203412982941</v>
      </c>
      <c r="W60" s="41" t="str">
        <f t="shared" si="12"/>
        <v>6</v>
      </c>
      <c r="X60" s="24">
        <f t="shared" si="26"/>
        <v>3.7394440955795289</v>
      </c>
      <c r="Y60" s="41" t="str">
        <f t="shared" si="13"/>
        <v>3</v>
      </c>
      <c r="Z60" s="24">
        <f t="shared" si="27"/>
        <v>8.8733291469543474</v>
      </c>
      <c r="AA60" s="41" t="str">
        <f t="shared" si="14"/>
        <v>8</v>
      </c>
      <c r="AB60" s="24">
        <f t="shared" si="28"/>
        <v>10.479949763452169</v>
      </c>
      <c r="AC60" s="41" t="str">
        <f t="shared" si="15"/>
        <v>X</v>
      </c>
      <c r="AD60" s="24">
        <f t="shared" si="29"/>
        <v>5.7593971614260226</v>
      </c>
      <c r="AE60" s="41" t="str">
        <f t="shared" si="16"/>
        <v/>
      </c>
      <c r="AF60" s="24">
        <f t="shared" si="30"/>
        <v>9.1127659371122718</v>
      </c>
      <c r="AG60" s="41" t="str">
        <f t="shared" si="17"/>
        <v/>
      </c>
      <c r="AH60" s="24">
        <f t="shared" si="31"/>
        <v>1.3531912453472614</v>
      </c>
      <c r="AI60" s="41" t="str">
        <f t="shared" si="18"/>
        <v/>
      </c>
    </row>
    <row r="61" spans="1:35" ht="15" customHeight="1" thickBot="1">
      <c r="A61" s="720"/>
      <c r="B61" s="5" t="s">
        <v>117</v>
      </c>
      <c r="C61" s="5" t="str">
        <f>Rydberg!C70</f>
        <v>-</v>
      </c>
      <c r="D61" s="29">
        <f>Rydberg!D70*Clock!F$4/F$4</f>
        <v>22.45521516755435</v>
      </c>
      <c r="E61" s="30">
        <v>9</v>
      </c>
      <c r="F61" s="287">
        <f>D61</f>
        <v>22.45521516755435</v>
      </c>
      <c r="G61" s="142" t="str">
        <f t="shared" si="19"/>
        <v>1;X55674126</v>
      </c>
      <c r="H61" s="288">
        <v>1</v>
      </c>
      <c r="I61" s="289">
        <f t="shared" si="32"/>
        <v>1.8712679306295292</v>
      </c>
      <c r="J61" s="290"/>
      <c r="K61" s="40" t="str">
        <f t="shared" si="6"/>
        <v>1</v>
      </c>
      <c r="L61" s="24">
        <f t="shared" si="20"/>
        <v>10.45521516755435</v>
      </c>
      <c r="M61" s="41" t="str">
        <f t="shared" si="7"/>
        <v>X</v>
      </c>
      <c r="N61" s="24">
        <f t="shared" si="21"/>
        <v>5.4625820106521985</v>
      </c>
      <c r="O61" s="41" t="str">
        <f t="shared" si="8"/>
        <v>5</v>
      </c>
      <c r="P61" s="24">
        <f t="shared" si="22"/>
        <v>5.5509841278263821</v>
      </c>
      <c r="Q61" s="41" t="str">
        <f t="shared" si="9"/>
        <v>5</v>
      </c>
      <c r="R61" s="24">
        <f t="shared" si="23"/>
        <v>6.6118095339165848</v>
      </c>
      <c r="S61" s="41" t="str">
        <f t="shared" si="10"/>
        <v>6</v>
      </c>
      <c r="T61" s="24">
        <f t="shared" si="24"/>
        <v>7.3417144069990172</v>
      </c>
      <c r="U61" s="41" t="str">
        <f t="shared" si="11"/>
        <v>7</v>
      </c>
      <c r="V61" s="24">
        <f t="shared" si="25"/>
        <v>4.1005728839882067</v>
      </c>
      <c r="W61" s="41" t="str">
        <f t="shared" si="12"/>
        <v>4</v>
      </c>
      <c r="X61" s="24">
        <f t="shared" si="26"/>
        <v>1.2068746078584809</v>
      </c>
      <c r="Y61" s="41" t="str">
        <f t="shared" si="13"/>
        <v>1</v>
      </c>
      <c r="Z61" s="24">
        <f t="shared" si="27"/>
        <v>2.4824952943017706</v>
      </c>
      <c r="AA61" s="41" t="str">
        <f t="shared" si="14"/>
        <v>2</v>
      </c>
      <c r="AB61" s="24">
        <f t="shared" si="28"/>
        <v>5.7899435316212475</v>
      </c>
      <c r="AC61" s="41" t="str">
        <f t="shared" si="15"/>
        <v>6</v>
      </c>
      <c r="AD61" s="24">
        <f t="shared" si="29"/>
        <v>9.4793223794549704</v>
      </c>
      <c r="AE61" s="41" t="str">
        <f t="shared" si="16"/>
        <v/>
      </c>
      <c r="AF61" s="24">
        <f t="shared" si="30"/>
        <v>5.7518685534596443</v>
      </c>
      <c r="AG61" s="41" t="str">
        <f t="shared" si="17"/>
        <v/>
      </c>
      <c r="AH61" s="24">
        <f t="shared" si="31"/>
        <v>9.0224226415157318</v>
      </c>
      <c r="AI61" s="41" t="str">
        <f t="shared" si="18"/>
        <v/>
      </c>
    </row>
    <row r="62" spans="1:35" ht="12" customHeight="1">
      <c r="A62" s="715" t="s">
        <v>49</v>
      </c>
      <c r="B62" s="270" t="s">
        <v>42</v>
      </c>
      <c r="C62" s="270"/>
      <c r="D62" s="270"/>
      <c r="E62" s="18" t="s">
        <v>54</v>
      </c>
      <c r="F62" s="270" t="s">
        <v>43</v>
      </c>
      <c r="G62" s="270" t="s">
        <v>92</v>
      </c>
      <c r="H62" s="18" t="s">
        <v>44</v>
      </c>
      <c r="I62" s="269" t="s">
        <v>46</v>
      </c>
      <c r="J62" s="271"/>
    </row>
    <row r="63" spans="1:35" ht="11.25" customHeight="1">
      <c r="A63" s="716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3">K63&amp;";"&amp;M63&amp;O63&amp;Q63&amp;S63&amp;U63&amp;W63&amp;Y63&amp;AA63&amp;AC63&amp;AE63&amp;AG63&amp;AI63</f>
        <v>1;073994049</v>
      </c>
      <c r="H63" s="38">
        <v>-2</v>
      </c>
      <c r="I63" s="61">
        <f t="shared" ref="I63:I79" si="34">F63/POWER(12,H63)</f>
        <v>1.0508187695616</v>
      </c>
      <c r="J63" s="39"/>
      <c r="K63" s="40" t="str">
        <f t="shared" ref="K63:K79" si="35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6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7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8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9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40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41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42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3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4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5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6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7">IF($E63&gt;=AI$27,MID($H$27,IF($E63&gt;AI$27,INT(AH63),ROUND(AH63,0))+1,1),"")</f>
        <v/>
      </c>
    </row>
    <row r="64" spans="1:35" ht="13.5" customHeight="1">
      <c r="A64" s="716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3"/>
        <v>0;E5052258X</v>
      </c>
      <c r="H64" s="38">
        <v>2</v>
      </c>
      <c r="I64" s="61">
        <f t="shared" si="34"/>
        <v>0.9516388829038509</v>
      </c>
      <c r="J64" s="39"/>
      <c r="K64" s="40" t="str">
        <f t="shared" si="35"/>
        <v>0</v>
      </c>
      <c r="L64" s="24">
        <f t="shared" ref="L64:L79" si="48">(I64-INT(I64))*12</f>
        <v>11.419666594846211</v>
      </c>
      <c r="M64" s="41" t="str">
        <f t="shared" si="36"/>
        <v>E</v>
      </c>
      <c r="N64" s="24">
        <f t="shared" ref="N64:N79" si="49">(L64-INT(L64))*12</f>
        <v>5.0359991381545299</v>
      </c>
      <c r="O64" s="41" t="str">
        <f t="shared" si="37"/>
        <v>5</v>
      </c>
      <c r="P64" s="24">
        <f t="shared" ref="P64:P79" si="50">(N64-INT(N64))*12</f>
        <v>0.43198965785435917</v>
      </c>
      <c r="Q64" s="41" t="str">
        <f t="shared" si="38"/>
        <v>0</v>
      </c>
      <c r="R64" s="24">
        <f t="shared" ref="R64:R79" si="51">(P64-INT(P64))*12</f>
        <v>5.18387589425231</v>
      </c>
      <c r="S64" s="41" t="str">
        <f t="shared" si="39"/>
        <v>5</v>
      </c>
      <c r="T64" s="24">
        <f t="shared" ref="T64:T79" si="52">(R64-INT(R64))*12</f>
        <v>2.2065107310277199</v>
      </c>
      <c r="U64" s="41" t="str">
        <f t="shared" si="40"/>
        <v>2</v>
      </c>
      <c r="V64" s="24">
        <f t="shared" ref="V64:V79" si="53">(T64-INT(T64))*12</f>
        <v>2.4781287723326386</v>
      </c>
      <c r="W64" s="41" t="str">
        <f t="shared" si="41"/>
        <v>2</v>
      </c>
      <c r="X64" s="24">
        <f t="shared" ref="X64:X79" si="54">(V64-INT(V64))*12</f>
        <v>5.7375452679916634</v>
      </c>
      <c r="Y64" s="41" t="str">
        <f t="shared" si="42"/>
        <v>5</v>
      </c>
      <c r="Z64" s="24">
        <f t="shared" ref="Z64:Z79" si="55">(X64-INT(X64))*12</f>
        <v>8.8505432158999611</v>
      </c>
      <c r="AA64" s="41" t="str">
        <f t="shared" si="43"/>
        <v>8</v>
      </c>
      <c r="AB64" s="24">
        <f t="shared" ref="AB64:AB79" si="56">(Z64-INT(Z64))*12</f>
        <v>10.206518590799533</v>
      </c>
      <c r="AC64" s="41" t="str">
        <f t="shared" si="44"/>
        <v>X</v>
      </c>
      <c r="AD64" s="24">
        <f t="shared" ref="AD64:AD79" si="57">(AB64-INT(AB64))*12</f>
        <v>2.478223089594394</v>
      </c>
      <c r="AE64" s="41" t="str">
        <f t="shared" si="45"/>
        <v/>
      </c>
      <c r="AF64" s="24">
        <f t="shared" ref="AF64:AF79" si="58">(AD64-INT(AD64))*12</f>
        <v>5.7386770751327276</v>
      </c>
      <c r="AG64" s="41" t="str">
        <f t="shared" si="46"/>
        <v/>
      </c>
      <c r="AH64" s="24">
        <f t="shared" ref="AH64:AH79" si="59">(AF64-INT(AF64))*12</f>
        <v>8.8641249015927315</v>
      </c>
      <c r="AI64" s="41" t="str">
        <f t="shared" si="47"/>
        <v/>
      </c>
    </row>
    <row r="65" spans="1:35" ht="13.5" customHeight="1">
      <c r="A65" s="716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4"/>
        <v>137.03599913815452</v>
      </c>
      <c r="J65" s="39"/>
      <c r="K65" s="40" t="str">
        <f t="shared" si="35"/>
        <v/>
      </c>
      <c r="L65" s="24">
        <f t="shared" si="48"/>
        <v>0.4319896578542739</v>
      </c>
      <c r="M65" s="41" t="str">
        <f t="shared" si="36"/>
        <v>0</v>
      </c>
      <c r="N65" s="24">
        <f t="shared" si="49"/>
        <v>5.1838758942512868</v>
      </c>
      <c r="O65" s="41" t="str">
        <f t="shared" si="37"/>
        <v>5</v>
      </c>
      <c r="P65" s="24">
        <f t="shared" si="50"/>
        <v>2.2065107310154417</v>
      </c>
      <c r="Q65" s="41" t="str">
        <f t="shared" si="38"/>
        <v>2</v>
      </c>
      <c r="R65" s="24">
        <f t="shared" si="51"/>
        <v>2.4781287721853005</v>
      </c>
      <c r="S65" s="41" t="str">
        <f t="shared" si="39"/>
        <v>2</v>
      </c>
      <c r="T65" s="24">
        <f t="shared" si="52"/>
        <v>5.7375452662236057</v>
      </c>
      <c r="U65" s="41" t="str">
        <f t="shared" si="40"/>
        <v>5</v>
      </c>
      <c r="V65" s="24">
        <f t="shared" si="53"/>
        <v>8.8505431946832687</v>
      </c>
      <c r="W65" s="41" t="str">
        <f t="shared" si="41"/>
        <v>8</v>
      </c>
      <c r="X65" s="24">
        <f t="shared" si="54"/>
        <v>10.206518336199224</v>
      </c>
      <c r="Y65" s="41" t="str">
        <f t="shared" si="42"/>
        <v>X</v>
      </c>
      <c r="Z65" s="24">
        <f t="shared" si="55"/>
        <v>2.4782200343906879</v>
      </c>
      <c r="AA65" s="41" t="str">
        <f t="shared" si="43"/>
        <v>2</v>
      </c>
      <c r="AB65" s="24">
        <f t="shared" si="56"/>
        <v>5.7386404126882553</v>
      </c>
      <c r="AC65" s="41" t="str">
        <f t="shared" si="44"/>
        <v>6</v>
      </c>
      <c r="AD65" s="24">
        <f t="shared" si="57"/>
        <v>8.8636849522590637</v>
      </c>
      <c r="AE65" s="41" t="str">
        <f t="shared" si="45"/>
        <v/>
      </c>
      <c r="AF65" s="24">
        <f t="shared" si="58"/>
        <v>10.364219427108765</v>
      </c>
      <c r="AG65" s="41" t="str">
        <f t="shared" si="46"/>
        <v/>
      </c>
      <c r="AH65" s="24">
        <f t="shared" si="59"/>
        <v>4.3706331253051758</v>
      </c>
      <c r="AI65" s="41" t="str">
        <f t="shared" si="47"/>
        <v/>
      </c>
    </row>
    <row r="66" spans="1:35" ht="13.5" customHeight="1">
      <c r="A66" s="716"/>
      <c r="B66" s="8" t="s">
        <v>39</v>
      </c>
      <c r="C66" s="8"/>
      <c r="D66" s="21"/>
      <c r="E66" s="8">
        <v>9</v>
      </c>
      <c r="F66" s="21">
        <f t="shared" ref="F66" si="60">SQRT($D$28)</f>
        <v>8.542454311496199E-2</v>
      </c>
      <c r="G66" s="37" t="str">
        <f t="shared" ref="G66:G69" si="61">K66&amp;";"&amp;M66&amp;O66&amp;Q66&amp;S66&amp;U66&amp;W66&amp;Y66&amp;AA66&amp;AC66&amp;AE66&amp;AG66&amp;AI66</f>
        <v>1;0374439E2</v>
      </c>
      <c r="H66" s="38">
        <v>-1</v>
      </c>
      <c r="I66" s="61">
        <f t="shared" si="34"/>
        <v>1.025094517379544</v>
      </c>
      <c r="J66" s="39"/>
      <c r="K66" s="40" t="str">
        <f t="shared" si="35"/>
        <v>1</v>
      </c>
      <c r="L66" s="24">
        <f t="shared" si="48"/>
        <v>0.30113420855452855</v>
      </c>
      <c r="M66" s="41" t="str">
        <f t="shared" si="36"/>
        <v>0</v>
      </c>
      <c r="N66" s="24">
        <f t="shared" si="49"/>
        <v>3.6136105026543426</v>
      </c>
      <c r="O66" s="41" t="str">
        <f t="shared" si="37"/>
        <v>3</v>
      </c>
      <c r="P66" s="24">
        <f t="shared" si="50"/>
        <v>7.363326031852111</v>
      </c>
      <c r="Q66" s="41" t="str">
        <f t="shared" si="38"/>
        <v>7</v>
      </c>
      <c r="R66" s="24">
        <f t="shared" si="51"/>
        <v>4.3599123822253318</v>
      </c>
      <c r="S66" s="41" t="str">
        <f t="shared" si="39"/>
        <v>4</v>
      </c>
      <c r="T66" s="24">
        <f t="shared" si="52"/>
        <v>4.3189485867039821</v>
      </c>
      <c r="U66" s="41" t="str">
        <f t="shared" si="40"/>
        <v>4</v>
      </c>
      <c r="V66" s="24">
        <f t="shared" si="53"/>
        <v>3.8273830404477849</v>
      </c>
      <c r="W66" s="41" t="str">
        <f t="shared" si="41"/>
        <v>3</v>
      </c>
      <c r="X66" s="24">
        <f t="shared" si="54"/>
        <v>9.9285964853734185</v>
      </c>
      <c r="Y66" s="41" t="str">
        <f t="shared" si="42"/>
        <v>9</v>
      </c>
      <c r="Z66" s="24">
        <f t="shared" si="55"/>
        <v>11.143157824481023</v>
      </c>
      <c r="AA66" s="41" t="str">
        <f t="shared" si="43"/>
        <v>E</v>
      </c>
      <c r="AB66" s="24">
        <f t="shared" si="56"/>
        <v>1.7178938937722705</v>
      </c>
      <c r="AC66" s="41" t="str">
        <f t="shared" si="44"/>
        <v>2</v>
      </c>
      <c r="AD66" s="24">
        <f t="shared" si="57"/>
        <v>8.6147267252672464</v>
      </c>
      <c r="AE66" s="41" t="str">
        <f t="shared" si="45"/>
        <v/>
      </c>
      <c r="AF66" s="24">
        <f t="shared" si="58"/>
        <v>7.3767207032069564</v>
      </c>
      <c r="AG66" s="41" t="str">
        <f t="shared" si="46"/>
        <v/>
      </c>
      <c r="AH66" s="24">
        <f t="shared" si="59"/>
        <v>4.5206484384834766</v>
      </c>
      <c r="AI66" s="41" t="str">
        <f t="shared" si="47"/>
        <v/>
      </c>
    </row>
    <row r="67" spans="1:35" ht="13.5" customHeight="1">
      <c r="A67" s="716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61"/>
        <v>0;E85846628</v>
      </c>
      <c r="H67" s="38">
        <v>1</v>
      </c>
      <c r="I67" s="61">
        <f t="shared" si="34"/>
        <v>0.97551980138993111</v>
      </c>
      <c r="J67" s="39"/>
      <c r="K67" s="40" t="str">
        <f t="shared" si="35"/>
        <v>0</v>
      </c>
      <c r="L67" s="24">
        <f t="shared" si="48"/>
        <v>11.706237616679173</v>
      </c>
      <c r="M67" s="41" t="str">
        <f t="shared" si="36"/>
        <v>E</v>
      </c>
      <c r="N67" s="24">
        <f t="shared" si="49"/>
        <v>8.4748514001500794</v>
      </c>
      <c r="O67" s="41" t="str">
        <f t="shared" si="37"/>
        <v>8</v>
      </c>
      <c r="P67" s="24">
        <f t="shared" si="50"/>
        <v>5.6982168018009531</v>
      </c>
      <c r="Q67" s="41" t="str">
        <f t="shared" si="38"/>
        <v>5</v>
      </c>
      <c r="R67" s="24">
        <f t="shared" si="51"/>
        <v>8.3786016216114376</v>
      </c>
      <c r="S67" s="41" t="str">
        <f t="shared" si="39"/>
        <v>8</v>
      </c>
      <c r="T67" s="24">
        <f t="shared" si="52"/>
        <v>4.5432194593372515</v>
      </c>
      <c r="U67" s="41" t="str">
        <f t="shared" si="40"/>
        <v>4</v>
      </c>
      <c r="V67" s="24">
        <f t="shared" si="53"/>
        <v>6.5186335120470176</v>
      </c>
      <c r="W67" s="41" t="str">
        <f t="shared" si="41"/>
        <v>6</v>
      </c>
      <c r="X67" s="24">
        <f t="shared" si="54"/>
        <v>6.2236021445642109</v>
      </c>
      <c r="Y67" s="41" t="str">
        <f t="shared" si="42"/>
        <v>6</v>
      </c>
      <c r="Z67" s="24">
        <f t="shared" si="55"/>
        <v>2.6832257347705308</v>
      </c>
      <c r="AA67" s="41" t="str">
        <f t="shared" si="43"/>
        <v>2</v>
      </c>
      <c r="AB67" s="24">
        <f t="shared" si="56"/>
        <v>8.19870881724637</v>
      </c>
      <c r="AC67" s="41" t="str">
        <f t="shared" si="44"/>
        <v>8</v>
      </c>
      <c r="AD67" s="24">
        <f t="shared" si="57"/>
        <v>2.3845058069564402</v>
      </c>
      <c r="AE67" s="41" t="str">
        <f t="shared" si="45"/>
        <v/>
      </c>
      <c r="AF67" s="24">
        <f t="shared" si="58"/>
        <v>4.6140696834772825</v>
      </c>
      <c r="AG67" s="41" t="str">
        <f t="shared" si="46"/>
        <v/>
      </c>
      <c r="AH67" s="24">
        <f t="shared" si="59"/>
        <v>7.3688362017273903</v>
      </c>
      <c r="AI67" s="41" t="str">
        <f t="shared" si="47"/>
        <v/>
      </c>
    </row>
    <row r="68" spans="1:35" ht="13.5" customHeight="1">
      <c r="A68" s="716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61"/>
        <v>1;0696831713E1</v>
      </c>
      <c r="H68" s="38">
        <v>1</v>
      </c>
      <c r="I68" s="61">
        <f t="shared" si="34"/>
        <v>1.0471975511965976</v>
      </c>
      <c r="J68" s="39"/>
      <c r="K68" s="40" t="str">
        <f t="shared" si="35"/>
        <v>1</v>
      </c>
      <c r="L68" s="24">
        <f t="shared" si="48"/>
        <v>0.56637061435917158</v>
      </c>
      <c r="M68" s="41" t="str">
        <f t="shared" si="36"/>
        <v>0</v>
      </c>
      <c r="N68" s="24">
        <f t="shared" si="49"/>
        <v>6.7964473723100589</v>
      </c>
      <c r="O68" s="41" t="str">
        <f t="shared" si="37"/>
        <v>6</v>
      </c>
      <c r="P68" s="24">
        <f t="shared" si="50"/>
        <v>9.5573684677207069</v>
      </c>
      <c r="Q68" s="41" t="str">
        <f t="shared" si="38"/>
        <v>9</v>
      </c>
      <c r="R68" s="24">
        <f t="shared" si="51"/>
        <v>6.688421612648483</v>
      </c>
      <c r="S68" s="41" t="str">
        <f t="shared" si="39"/>
        <v>6</v>
      </c>
      <c r="T68" s="24">
        <f t="shared" si="52"/>
        <v>8.2610593517817961</v>
      </c>
      <c r="U68" s="41" t="str">
        <f t="shared" si="40"/>
        <v>8</v>
      </c>
      <c r="V68" s="24">
        <f t="shared" si="53"/>
        <v>3.1327122213815528</v>
      </c>
      <c r="W68" s="41" t="str">
        <f t="shared" si="41"/>
        <v>3</v>
      </c>
      <c r="X68" s="24">
        <f t="shared" si="54"/>
        <v>1.5925466565786337</v>
      </c>
      <c r="Y68" s="41" t="str">
        <f t="shared" si="42"/>
        <v>1</v>
      </c>
      <c r="Z68" s="24">
        <f t="shared" si="55"/>
        <v>7.1105598789436044</v>
      </c>
      <c r="AA68" s="41" t="str">
        <f t="shared" si="43"/>
        <v>7</v>
      </c>
      <c r="AB68" s="24">
        <f t="shared" si="56"/>
        <v>1.326718547323253</v>
      </c>
      <c r="AC68" s="41" t="str">
        <f t="shared" si="44"/>
        <v>1</v>
      </c>
      <c r="AD68" s="24">
        <f t="shared" si="57"/>
        <v>3.9206225678790361</v>
      </c>
      <c r="AE68" s="41" t="str">
        <f t="shared" si="45"/>
        <v>3</v>
      </c>
      <c r="AF68" s="24">
        <f t="shared" si="58"/>
        <v>11.047470814548433</v>
      </c>
      <c r="AG68" s="41" t="str">
        <f t="shared" si="46"/>
        <v>E</v>
      </c>
      <c r="AH68" s="24">
        <f t="shared" si="59"/>
        <v>0.56964977458119392</v>
      </c>
      <c r="AI68" s="41" t="str">
        <f t="shared" si="47"/>
        <v>1</v>
      </c>
    </row>
    <row r="69" spans="1:35" ht="13.5" customHeight="1">
      <c r="A69" s="716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61"/>
        <v>0;E5615082189E</v>
      </c>
      <c r="H69" s="38">
        <v>-1</v>
      </c>
      <c r="I69" s="61">
        <f t="shared" si="34"/>
        <v>0.95492965855137213</v>
      </c>
      <c r="J69" s="39"/>
      <c r="K69" s="40" t="str">
        <f t="shared" si="35"/>
        <v>0</v>
      </c>
      <c r="L69" s="24">
        <f t="shared" si="48"/>
        <v>11.459155902616466</v>
      </c>
      <c r="M69" s="41" t="str">
        <f t="shared" si="36"/>
        <v>E</v>
      </c>
      <c r="N69" s="24">
        <f t="shared" si="49"/>
        <v>5.5098708313975919</v>
      </c>
      <c r="O69" s="41" t="str">
        <f t="shared" si="37"/>
        <v>5</v>
      </c>
      <c r="P69" s="24">
        <f t="shared" si="50"/>
        <v>6.1184499767711031</v>
      </c>
      <c r="Q69" s="41" t="str">
        <f t="shared" si="38"/>
        <v>6</v>
      </c>
      <c r="R69" s="24">
        <f t="shared" si="51"/>
        <v>1.4213997212532377</v>
      </c>
      <c r="S69" s="41" t="str">
        <f t="shared" si="39"/>
        <v>1</v>
      </c>
      <c r="T69" s="24">
        <f t="shared" si="52"/>
        <v>5.0567966550388519</v>
      </c>
      <c r="U69" s="41" t="str">
        <f t="shared" si="40"/>
        <v>5</v>
      </c>
      <c r="V69" s="24">
        <f t="shared" si="53"/>
        <v>0.68155986046622274</v>
      </c>
      <c r="W69" s="41" t="str">
        <f t="shared" si="41"/>
        <v>0</v>
      </c>
      <c r="X69" s="24">
        <f t="shared" si="54"/>
        <v>8.1787183255946729</v>
      </c>
      <c r="Y69" s="41" t="str">
        <f t="shared" si="42"/>
        <v>8</v>
      </c>
      <c r="Z69" s="24">
        <f t="shared" si="55"/>
        <v>2.1446199071360752</v>
      </c>
      <c r="AA69" s="41" t="str">
        <f t="shared" si="43"/>
        <v>2</v>
      </c>
      <c r="AB69" s="24">
        <f t="shared" si="56"/>
        <v>1.7354388856329024</v>
      </c>
      <c r="AC69" s="41" t="str">
        <f t="shared" si="44"/>
        <v>1</v>
      </c>
      <c r="AD69" s="24">
        <f t="shared" si="57"/>
        <v>8.8252666275948286</v>
      </c>
      <c r="AE69" s="41" t="str">
        <f t="shared" si="45"/>
        <v>8</v>
      </c>
      <c r="AF69" s="24">
        <f t="shared" si="58"/>
        <v>9.9031995311379433</v>
      </c>
      <c r="AG69" s="41" t="str">
        <f t="shared" si="46"/>
        <v>9</v>
      </c>
      <c r="AH69" s="24">
        <f t="shared" si="59"/>
        <v>10.838394373655319</v>
      </c>
      <c r="AI69" s="41" t="str">
        <f t="shared" si="47"/>
        <v>E</v>
      </c>
    </row>
    <row r="70" spans="1:35" ht="13.5" customHeight="1">
      <c r="A70" s="716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4"/>
        <v>137.50987083139759</v>
      </c>
      <c r="J70" s="39"/>
      <c r="K70" s="40" t="str">
        <f t="shared" si="35"/>
        <v/>
      </c>
      <c r="L70" s="24">
        <f t="shared" si="48"/>
        <v>6.1184499767711031</v>
      </c>
      <c r="M70" s="41" t="str">
        <f t="shared" si="36"/>
        <v>6</v>
      </c>
      <c r="N70" s="24">
        <f t="shared" si="49"/>
        <v>1.4213997212532377</v>
      </c>
      <c r="O70" s="41" t="str">
        <f t="shared" si="37"/>
        <v>1</v>
      </c>
      <c r="P70" s="24">
        <f t="shared" si="50"/>
        <v>5.0567966550388519</v>
      </c>
      <c r="Q70" s="41" t="str">
        <f t="shared" si="38"/>
        <v>5</v>
      </c>
      <c r="R70" s="24">
        <f t="shared" si="51"/>
        <v>0.68155986046622274</v>
      </c>
      <c r="S70" s="41" t="str">
        <f t="shared" si="39"/>
        <v>0</v>
      </c>
      <c r="T70" s="24">
        <f t="shared" si="52"/>
        <v>8.1787183255946729</v>
      </c>
      <c r="U70" s="41" t="str">
        <f t="shared" si="40"/>
        <v>8</v>
      </c>
      <c r="V70" s="24">
        <f t="shared" si="53"/>
        <v>2.1446199071360752</v>
      </c>
      <c r="W70" s="41" t="str">
        <f t="shared" si="41"/>
        <v>2</v>
      </c>
      <c r="X70" s="24">
        <f t="shared" si="54"/>
        <v>1.7354388856329024</v>
      </c>
      <c r="Y70" s="41" t="str">
        <f t="shared" si="42"/>
        <v>1</v>
      </c>
      <c r="Z70" s="24">
        <f t="shared" si="55"/>
        <v>8.8252666275948286</v>
      </c>
      <c r="AA70" s="41" t="str">
        <f t="shared" si="43"/>
        <v>8</v>
      </c>
      <c r="AB70" s="24">
        <f t="shared" si="56"/>
        <v>9.9031995311379433</v>
      </c>
      <c r="AC70" s="41" t="str">
        <f t="shared" si="44"/>
        <v>X</v>
      </c>
      <c r="AD70" s="24">
        <f t="shared" si="57"/>
        <v>10.838394373655319</v>
      </c>
      <c r="AE70" s="41" t="str">
        <f t="shared" si="45"/>
        <v/>
      </c>
      <c r="AF70" s="24">
        <f t="shared" si="58"/>
        <v>10.060732483863831</v>
      </c>
      <c r="AG70" s="41" t="str">
        <f t="shared" si="46"/>
        <v/>
      </c>
      <c r="AH70" s="24">
        <f t="shared" si="59"/>
        <v>0.7287898063659668</v>
      </c>
      <c r="AI70" s="41" t="str">
        <f t="shared" si="47"/>
        <v/>
      </c>
    </row>
    <row r="71" spans="1:35" ht="13.5" customHeight="1">
      <c r="A71" s="716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62">K71&amp;";"&amp;M71&amp;O71&amp;Q71&amp;S71&amp;U71&amp;W71&amp;Y71&amp;AA71&amp;AC71&amp;AE71&amp;AG71&amp;AI71</f>
        <v>0;EE6066035</v>
      </c>
      <c r="H71" s="38">
        <v>3</v>
      </c>
      <c r="I71" s="61">
        <f t="shared" si="34"/>
        <v>0.99655390780037834</v>
      </c>
      <c r="J71" s="39"/>
      <c r="K71" s="40" t="str">
        <f t="shared" si="35"/>
        <v>0</v>
      </c>
      <c r="L71" s="24">
        <f t="shared" si="48"/>
        <v>11.95864689360454</v>
      </c>
      <c r="M71" s="41" t="str">
        <f t="shared" si="36"/>
        <v>E</v>
      </c>
      <c r="N71" s="24">
        <f t="shared" si="49"/>
        <v>11.503762723254475</v>
      </c>
      <c r="O71" s="41" t="str">
        <f t="shared" si="37"/>
        <v>E</v>
      </c>
      <c r="P71" s="24">
        <f t="shared" si="50"/>
        <v>6.0451526790537002</v>
      </c>
      <c r="Q71" s="41" t="str">
        <f t="shared" si="38"/>
        <v>6</v>
      </c>
      <c r="R71" s="24">
        <f t="shared" si="51"/>
        <v>0.54183214864440288</v>
      </c>
      <c r="S71" s="41" t="str">
        <f t="shared" si="39"/>
        <v>0</v>
      </c>
      <c r="T71" s="24">
        <f t="shared" si="52"/>
        <v>6.5019857837328345</v>
      </c>
      <c r="U71" s="41" t="str">
        <f t="shared" si="40"/>
        <v>6</v>
      </c>
      <c r="V71" s="24">
        <f t="shared" si="53"/>
        <v>6.0238294047940144</v>
      </c>
      <c r="W71" s="41" t="str">
        <f t="shared" si="41"/>
        <v>6</v>
      </c>
      <c r="X71" s="24">
        <f t="shared" si="54"/>
        <v>0.2859528575281729</v>
      </c>
      <c r="Y71" s="41" t="str">
        <f t="shared" si="42"/>
        <v>0</v>
      </c>
      <c r="Z71" s="24">
        <f t="shared" si="55"/>
        <v>3.4314342903380748</v>
      </c>
      <c r="AA71" s="41" t="str">
        <f t="shared" si="43"/>
        <v>3</v>
      </c>
      <c r="AB71" s="24">
        <f t="shared" si="56"/>
        <v>5.1772114840568975</v>
      </c>
      <c r="AC71" s="41" t="str">
        <f t="shared" si="44"/>
        <v>5</v>
      </c>
      <c r="AD71" s="24">
        <f t="shared" si="57"/>
        <v>2.1265378086827695</v>
      </c>
      <c r="AE71" s="41" t="str">
        <f t="shared" si="45"/>
        <v/>
      </c>
      <c r="AF71" s="24">
        <f t="shared" si="58"/>
        <v>1.5184537041932344</v>
      </c>
      <c r="AG71" s="41" t="str">
        <f t="shared" si="46"/>
        <v/>
      </c>
      <c r="AH71" s="24">
        <f t="shared" si="59"/>
        <v>6.2214444503188133</v>
      </c>
      <c r="AI71" s="41" t="str">
        <f t="shared" si="47"/>
        <v/>
      </c>
    </row>
    <row r="72" spans="1:35" ht="13.5" customHeight="1">
      <c r="A72" s="716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62"/>
        <v>1;005E85686</v>
      </c>
      <c r="H72" s="38">
        <v>-3</v>
      </c>
      <c r="I72" s="61">
        <f t="shared" si="34"/>
        <v>1.0034580088168317</v>
      </c>
      <c r="J72" s="39"/>
      <c r="K72" s="40" t="str">
        <f t="shared" si="35"/>
        <v>1</v>
      </c>
      <c r="L72" s="24">
        <f t="shared" si="48"/>
        <v>4.1496105801980043E-2</v>
      </c>
      <c r="M72" s="41" t="str">
        <f t="shared" si="36"/>
        <v>0</v>
      </c>
      <c r="N72" s="24">
        <f t="shared" si="49"/>
        <v>0.49795326962376052</v>
      </c>
      <c r="O72" s="41" t="str">
        <f t="shared" si="37"/>
        <v>0</v>
      </c>
      <c r="P72" s="24">
        <f t="shared" si="50"/>
        <v>5.9754392354851262</v>
      </c>
      <c r="Q72" s="41" t="str">
        <f t="shared" si="38"/>
        <v>5</v>
      </c>
      <c r="R72" s="24">
        <f t="shared" si="51"/>
        <v>11.705270825821515</v>
      </c>
      <c r="S72" s="41" t="str">
        <f t="shared" si="39"/>
        <v>E</v>
      </c>
      <c r="T72" s="24">
        <f t="shared" si="52"/>
        <v>8.4632499098581775</v>
      </c>
      <c r="U72" s="41" t="str">
        <f t="shared" si="40"/>
        <v>8</v>
      </c>
      <c r="V72" s="24">
        <f t="shared" si="53"/>
        <v>5.5589989182981299</v>
      </c>
      <c r="W72" s="41" t="str">
        <f t="shared" si="41"/>
        <v>5</v>
      </c>
      <c r="X72" s="24">
        <f t="shared" si="54"/>
        <v>6.7079870195775584</v>
      </c>
      <c r="Y72" s="41" t="str">
        <f t="shared" si="42"/>
        <v>6</v>
      </c>
      <c r="Z72" s="24">
        <f t="shared" si="55"/>
        <v>8.4958442349307006</v>
      </c>
      <c r="AA72" s="41" t="str">
        <f t="shared" si="43"/>
        <v>8</v>
      </c>
      <c r="AB72" s="24">
        <f t="shared" si="56"/>
        <v>5.9501308191684075</v>
      </c>
      <c r="AC72" s="41" t="str">
        <f t="shared" si="44"/>
        <v>6</v>
      </c>
      <c r="AD72" s="24">
        <f t="shared" si="57"/>
        <v>11.40156983002089</v>
      </c>
      <c r="AE72" s="41" t="str">
        <f t="shared" si="45"/>
        <v/>
      </c>
      <c r="AF72" s="24">
        <f t="shared" si="58"/>
        <v>4.8188379602506757</v>
      </c>
      <c r="AG72" s="41" t="str">
        <f t="shared" si="46"/>
        <v/>
      </c>
      <c r="AH72" s="24">
        <f t="shared" si="59"/>
        <v>9.8260555230081081</v>
      </c>
      <c r="AI72" s="41" t="str">
        <f t="shared" si="47"/>
        <v/>
      </c>
    </row>
    <row r="73" spans="1:35" ht="13.5" customHeight="1">
      <c r="A73" s="716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62"/>
        <v>0;E46922178</v>
      </c>
      <c r="H73" s="38">
        <v>5</v>
      </c>
      <c r="I73" s="61">
        <f t="shared" si="34"/>
        <v>0.94835944757261925</v>
      </c>
      <c r="J73" s="39"/>
      <c r="K73" s="40" t="str">
        <f t="shared" si="35"/>
        <v>0</v>
      </c>
      <c r="L73" s="24">
        <f t="shared" si="48"/>
        <v>11.380313370871431</v>
      </c>
      <c r="M73" s="41" t="str">
        <f t="shared" si="36"/>
        <v>E</v>
      </c>
      <c r="N73" s="24">
        <f t="shared" si="49"/>
        <v>4.5637604504571669</v>
      </c>
      <c r="O73" s="41" t="str">
        <f t="shared" si="37"/>
        <v>4</v>
      </c>
      <c r="P73" s="24">
        <f t="shared" si="50"/>
        <v>6.7651254054860033</v>
      </c>
      <c r="Q73" s="41" t="str">
        <f t="shared" si="38"/>
        <v>6</v>
      </c>
      <c r="R73" s="24">
        <f t="shared" si="51"/>
        <v>9.1815048658320393</v>
      </c>
      <c r="S73" s="41" t="str">
        <f t="shared" si="39"/>
        <v>9</v>
      </c>
      <c r="T73" s="24">
        <f t="shared" si="52"/>
        <v>2.1780583899844714</v>
      </c>
      <c r="U73" s="41" t="str">
        <f t="shared" si="40"/>
        <v>2</v>
      </c>
      <c r="V73" s="24">
        <f t="shared" si="53"/>
        <v>2.1367006798136572</v>
      </c>
      <c r="W73" s="41" t="str">
        <f t="shared" si="41"/>
        <v>2</v>
      </c>
      <c r="X73" s="24">
        <f t="shared" si="54"/>
        <v>1.6404081577638863</v>
      </c>
      <c r="Y73" s="41" t="str">
        <f t="shared" si="42"/>
        <v>1</v>
      </c>
      <c r="Z73" s="24">
        <f t="shared" si="55"/>
        <v>7.6848978931666352</v>
      </c>
      <c r="AA73" s="41" t="str">
        <f t="shared" si="43"/>
        <v>7</v>
      </c>
      <c r="AB73" s="24">
        <f t="shared" si="56"/>
        <v>8.2187747179996222</v>
      </c>
      <c r="AC73" s="41" t="str">
        <f t="shared" si="44"/>
        <v>8</v>
      </c>
      <c r="AD73" s="24">
        <f t="shared" si="57"/>
        <v>2.6252966159954667</v>
      </c>
      <c r="AE73" s="41" t="str">
        <f t="shared" si="45"/>
        <v/>
      </c>
      <c r="AF73" s="24">
        <f t="shared" si="58"/>
        <v>7.5035593919456005</v>
      </c>
      <c r="AG73" s="41" t="str">
        <f t="shared" si="46"/>
        <v/>
      </c>
      <c r="AH73" s="24">
        <f t="shared" si="59"/>
        <v>6.0427127033472061</v>
      </c>
      <c r="AI73" s="41" t="str">
        <f t="shared" si="47"/>
        <v/>
      </c>
    </row>
    <row r="74" spans="1:35" ht="14.25" customHeight="1">
      <c r="A74" s="716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12" t="str">
        <f t="shared" si="62"/>
        <v>1;07X1163X8</v>
      </c>
      <c r="H74" s="43">
        <v>-5</v>
      </c>
      <c r="I74" s="62">
        <f t="shared" si="34"/>
        <v>1.054452510131636</v>
      </c>
      <c r="J74" s="44"/>
      <c r="K74" s="40" t="str">
        <f t="shared" si="35"/>
        <v>1</v>
      </c>
      <c r="L74" s="24">
        <f t="shared" si="48"/>
        <v>0.65343012157963187</v>
      </c>
      <c r="M74" s="41" t="str">
        <f t="shared" si="36"/>
        <v>0</v>
      </c>
      <c r="N74" s="24">
        <f t="shared" si="49"/>
        <v>7.8411614589555825</v>
      </c>
      <c r="O74" s="41" t="str">
        <f t="shared" si="37"/>
        <v>7</v>
      </c>
      <c r="P74" s="24">
        <f t="shared" si="50"/>
        <v>10.09393750746699</v>
      </c>
      <c r="Q74" s="41" t="str">
        <f t="shared" si="38"/>
        <v>X</v>
      </c>
      <c r="R74" s="24">
        <f t="shared" si="51"/>
        <v>1.1272500896038764</v>
      </c>
      <c r="S74" s="41" t="str">
        <f t="shared" si="39"/>
        <v>1</v>
      </c>
      <c r="T74" s="24">
        <f t="shared" si="52"/>
        <v>1.5270010752465168</v>
      </c>
      <c r="U74" s="41" t="str">
        <f t="shared" si="40"/>
        <v>1</v>
      </c>
      <c r="V74" s="24">
        <f t="shared" si="53"/>
        <v>6.3240129029582022</v>
      </c>
      <c r="W74" s="41" t="str">
        <f t="shared" si="41"/>
        <v>6</v>
      </c>
      <c r="X74" s="24">
        <f t="shared" si="54"/>
        <v>3.8881548354984261</v>
      </c>
      <c r="Y74" s="41" t="str">
        <f t="shared" si="42"/>
        <v>3</v>
      </c>
      <c r="Z74" s="24">
        <f t="shared" si="55"/>
        <v>10.657858025981113</v>
      </c>
      <c r="AA74" s="41" t="str">
        <f t="shared" si="43"/>
        <v>X</v>
      </c>
      <c r="AB74" s="24">
        <f t="shared" si="56"/>
        <v>7.8942963117733598</v>
      </c>
      <c r="AC74" s="41" t="str">
        <f t="shared" si="44"/>
        <v>8</v>
      </c>
      <c r="AD74" s="24">
        <f t="shared" si="57"/>
        <v>10.731555741280317</v>
      </c>
      <c r="AE74" s="41" t="str">
        <f t="shared" si="45"/>
        <v/>
      </c>
      <c r="AF74" s="24">
        <f t="shared" si="58"/>
        <v>8.7786688953638077</v>
      </c>
      <c r="AG74" s="41" t="str">
        <f t="shared" si="46"/>
        <v/>
      </c>
      <c r="AH74" s="24">
        <f t="shared" si="59"/>
        <v>9.3440267443656921</v>
      </c>
      <c r="AI74" s="41" t="str">
        <f t="shared" si="47"/>
        <v/>
      </c>
    </row>
    <row r="75" spans="1:35" ht="14.25" customHeight="1">
      <c r="A75" s="716"/>
      <c r="B75" s="30"/>
      <c r="C75" s="30"/>
      <c r="D75" s="29"/>
      <c r="E75" s="30"/>
      <c r="F75" s="29"/>
      <c r="G75" s="112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>
      <c r="A76" s="716"/>
      <c r="B76" s="30"/>
      <c r="C76" s="30"/>
      <c r="D76" s="29"/>
      <c r="E76" s="30"/>
      <c r="F76" s="29"/>
      <c r="G76" s="112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>
      <c r="A77" s="716"/>
      <c r="B77" s="30" t="s">
        <v>372</v>
      </c>
      <c r="C77" s="30"/>
      <c r="D77" s="29"/>
      <c r="E77" s="30">
        <v>12</v>
      </c>
      <c r="F77" s="29">
        <f>POWER(2,43)</f>
        <v>8796093022208</v>
      </c>
      <c r="G77" s="112" t="str">
        <f t="shared" si="62"/>
        <v>0;EX08X990X0X8</v>
      </c>
      <c r="H77" s="43">
        <v>12</v>
      </c>
      <c r="I77" s="62">
        <f t="shared" si="34"/>
        <v>0.98654036854514426</v>
      </c>
      <c r="J77" s="44"/>
      <c r="K77" s="40" t="str">
        <f t="shared" si="35"/>
        <v>0</v>
      </c>
      <c r="L77" s="24">
        <f t="shared" si="48"/>
        <v>11.838484422541731</v>
      </c>
      <c r="M77" s="41" t="str">
        <f t="shared" si="36"/>
        <v>E</v>
      </c>
      <c r="N77" s="24">
        <f t="shared" si="49"/>
        <v>10.061813070500769</v>
      </c>
      <c r="O77" s="41" t="str">
        <f t="shared" si="37"/>
        <v>X</v>
      </c>
      <c r="P77" s="24">
        <f t="shared" si="50"/>
        <v>0.74175684600922409</v>
      </c>
      <c r="Q77" s="41" t="str">
        <f t="shared" si="38"/>
        <v>0</v>
      </c>
      <c r="R77" s="24">
        <f t="shared" si="51"/>
        <v>8.9010821521106891</v>
      </c>
      <c r="S77" s="41" t="str">
        <f t="shared" si="39"/>
        <v>8</v>
      </c>
      <c r="T77" s="24">
        <f t="shared" si="52"/>
        <v>10.812985825328269</v>
      </c>
      <c r="U77" s="41" t="str">
        <f t="shared" si="40"/>
        <v>X</v>
      </c>
      <c r="V77" s="24">
        <f t="shared" si="53"/>
        <v>9.7558299039392296</v>
      </c>
      <c r="W77" s="41" t="str">
        <f t="shared" si="41"/>
        <v>9</v>
      </c>
      <c r="X77" s="24">
        <f t="shared" si="54"/>
        <v>9.0699588472707546</v>
      </c>
      <c r="Y77" s="41" t="str">
        <f t="shared" si="42"/>
        <v>9</v>
      </c>
      <c r="Z77" s="24">
        <f t="shared" si="55"/>
        <v>0.83950616724905558</v>
      </c>
      <c r="AA77" s="41" t="str">
        <f t="shared" si="43"/>
        <v>0</v>
      </c>
      <c r="AB77" s="24">
        <f t="shared" si="56"/>
        <v>10.074074006988667</v>
      </c>
      <c r="AC77" s="41" t="str">
        <f t="shared" si="44"/>
        <v>X</v>
      </c>
      <c r="AD77" s="24">
        <f t="shared" si="57"/>
        <v>0.88888808386400342</v>
      </c>
      <c r="AE77" s="41" t="str">
        <f t="shared" si="45"/>
        <v>0</v>
      </c>
      <c r="AF77" s="24">
        <f t="shared" si="58"/>
        <v>10.666657006368041</v>
      </c>
      <c r="AG77" s="41" t="str">
        <f t="shared" si="46"/>
        <v>X</v>
      </c>
      <c r="AH77" s="24">
        <f t="shared" si="59"/>
        <v>7.9998840764164925</v>
      </c>
      <c r="AI77" s="41" t="str">
        <f t="shared" si="47"/>
        <v>8</v>
      </c>
    </row>
    <row r="78" spans="1:35" ht="14.25" customHeight="1">
      <c r="A78" s="716"/>
      <c r="B78" s="30" t="s">
        <v>682</v>
      </c>
      <c r="C78" s="30"/>
      <c r="D78" s="29"/>
      <c r="E78" s="30">
        <v>12</v>
      </c>
      <c r="F78" s="29">
        <f>POWER(12,16)/POWER(2,48)</f>
        <v>656.84083557128906</v>
      </c>
      <c r="G78" s="112" t="str">
        <f t="shared" si="62"/>
        <v>4;68X10E696900</v>
      </c>
      <c r="H78" s="43">
        <v>2</v>
      </c>
      <c r="I78" s="62">
        <f t="shared" si="34"/>
        <v>4.5613946914672852</v>
      </c>
      <c r="J78" s="44"/>
      <c r="K78" s="40" t="str">
        <f t="shared" si="35"/>
        <v>4</v>
      </c>
      <c r="L78" s="24">
        <f t="shared" si="48"/>
        <v>6.7367362976074219</v>
      </c>
      <c r="M78" s="41" t="str">
        <f t="shared" si="36"/>
        <v>6</v>
      </c>
      <c r="N78" s="24">
        <f t="shared" si="49"/>
        <v>8.8408355712890625</v>
      </c>
      <c r="O78" s="41" t="str">
        <f t="shared" si="37"/>
        <v>8</v>
      </c>
      <c r="P78" s="24">
        <f t="shared" si="50"/>
        <v>10.09002685546875</v>
      </c>
      <c r="Q78" s="41" t="str">
        <f t="shared" si="38"/>
        <v>X</v>
      </c>
      <c r="R78" s="24">
        <f t="shared" si="51"/>
        <v>1.080322265625</v>
      </c>
      <c r="S78" s="41" t="str">
        <f t="shared" si="39"/>
        <v>1</v>
      </c>
      <c r="T78" s="24">
        <f t="shared" si="52"/>
        <v>0.9638671875</v>
      </c>
      <c r="U78" s="41" t="str">
        <f t="shared" si="40"/>
        <v>0</v>
      </c>
      <c r="V78" s="24">
        <f t="shared" si="53"/>
        <v>11.56640625</v>
      </c>
      <c r="W78" s="41" t="str">
        <f t="shared" si="41"/>
        <v>E</v>
      </c>
      <c r="X78" s="24">
        <f t="shared" si="54"/>
        <v>6.796875</v>
      </c>
      <c r="Y78" s="41" t="str">
        <f t="shared" si="42"/>
        <v>6</v>
      </c>
      <c r="Z78" s="24">
        <f t="shared" si="55"/>
        <v>9.5625</v>
      </c>
      <c r="AA78" s="41" t="str">
        <f t="shared" si="43"/>
        <v>9</v>
      </c>
      <c r="AB78" s="24">
        <f t="shared" si="56"/>
        <v>6.75</v>
      </c>
      <c r="AC78" s="41" t="str">
        <f t="shared" si="44"/>
        <v>6</v>
      </c>
      <c r="AD78" s="24">
        <f t="shared" si="57"/>
        <v>9</v>
      </c>
      <c r="AE78" s="41" t="str">
        <f t="shared" si="45"/>
        <v>9</v>
      </c>
      <c r="AF78" s="24">
        <f t="shared" si="58"/>
        <v>0</v>
      </c>
      <c r="AG78" s="41" t="str">
        <f t="shared" si="46"/>
        <v>0</v>
      </c>
      <c r="AH78" s="24">
        <f t="shared" si="59"/>
        <v>0</v>
      </c>
      <c r="AI78" s="41" t="str">
        <f t="shared" si="47"/>
        <v>0</v>
      </c>
    </row>
    <row r="79" spans="1:35" ht="14.25" customHeight="1" thickBot="1">
      <c r="A79" s="717"/>
      <c r="B79" s="33" t="s">
        <v>373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62"/>
        <v>0;EE17EX582521</v>
      </c>
      <c r="H79" s="48">
        <v>-4</v>
      </c>
      <c r="I79" s="63">
        <f t="shared" si="34"/>
        <v>0.99401955054989555</v>
      </c>
      <c r="J79" s="49"/>
      <c r="K79" s="40" t="str">
        <f t="shared" si="35"/>
        <v>0</v>
      </c>
      <c r="L79" s="24">
        <f t="shared" si="48"/>
        <v>11.928234606598746</v>
      </c>
      <c r="M79" s="41" t="str">
        <f t="shared" si="36"/>
        <v>E</v>
      </c>
      <c r="N79" s="24">
        <f t="shared" si="49"/>
        <v>11.138815279184954</v>
      </c>
      <c r="O79" s="41" t="str">
        <f t="shared" si="37"/>
        <v>E</v>
      </c>
      <c r="P79" s="24">
        <f t="shared" si="50"/>
        <v>1.6657833502194421</v>
      </c>
      <c r="Q79" s="41" t="str">
        <f t="shared" si="38"/>
        <v>1</v>
      </c>
      <c r="R79" s="24">
        <f t="shared" si="51"/>
        <v>7.9894002026333055</v>
      </c>
      <c r="S79" s="41" t="str">
        <f t="shared" si="39"/>
        <v>7</v>
      </c>
      <c r="T79" s="24">
        <f t="shared" si="52"/>
        <v>11.872802431599666</v>
      </c>
      <c r="U79" s="41" t="str">
        <f t="shared" si="40"/>
        <v>E</v>
      </c>
      <c r="V79" s="24">
        <f t="shared" si="53"/>
        <v>10.473629179195996</v>
      </c>
      <c r="W79" s="41" t="str">
        <f t="shared" si="41"/>
        <v>X</v>
      </c>
      <c r="X79" s="24">
        <f t="shared" si="54"/>
        <v>5.6835501503519481</v>
      </c>
      <c r="Y79" s="41" t="str">
        <f t="shared" si="42"/>
        <v>5</v>
      </c>
      <c r="Z79" s="24">
        <f t="shared" si="55"/>
        <v>8.2026018042233773</v>
      </c>
      <c r="AA79" s="41" t="str">
        <f t="shared" si="43"/>
        <v>8</v>
      </c>
      <c r="AB79" s="24">
        <f t="shared" si="56"/>
        <v>2.4312216506805271</v>
      </c>
      <c r="AC79" s="41" t="str">
        <f t="shared" si="44"/>
        <v>2</v>
      </c>
      <c r="AD79" s="24">
        <f t="shared" si="57"/>
        <v>5.1746598081663251</v>
      </c>
      <c r="AE79" s="41" t="str">
        <f t="shared" si="45"/>
        <v>5</v>
      </c>
      <c r="AF79" s="24">
        <f t="shared" si="58"/>
        <v>2.0959176979959011</v>
      </c>
      <c r="AG79" s="41" t="str">
        <f t="shared" si="46"/>
        <v>2</v>
      </c>
      <c r="AH79" s="24">
        <f t="shared" si="59"/>
        <v>1.1510123759508133</v>
      </c>
      <c r="AI79" s="41" t="str">
        <f t="shared" si="47"/>
        <v>1</v>
      </c>
    </row>
    <row r="80" spans="1:35">
      <c r="I80" s="79"/>
      <c r="J80" s="79"/>
      <c r="K80" s="79"/>
    </row>
    <row r="81" spans="1:35" ht="15" customHeight="1">
      <c r="B81" s="268" t="s">
        <v>269</v>
      </c>
      <c r="C81" s="268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3242978.730712912</v>
      </c>
      <c r="G81" s="142" t="str">
        <f t="shared" ref="G81" si="63">K81&amp;";"&amp;M81&amp;O81&amp;Q81&amp;S81&amp;U81&amp;W81&amp;Y81&amp;AA81&amp;AC81&amp;AE81&amp;AG81&amp;AI81</f>
        <v>1;104882892809</v>
      </c>
      <c r="H81" s="38">
        <v>6</v>
      </c>
      <c r="I81" s="61">
        <f>F81/POWER(12,H81)</f>
        <v>1.0860670153332743</v>
      </c>
      <c r="J81" s="39"/>
      <c r="K81" s="40" t="str">
        <f t="shared" ref="K81" si="64">IF($E81&gt;=K$27,MID($H$27,IF($E81&gt;K$27,INT(I81),ROUND(I81,0))+1,1),"")</f>
        <v>1</v>
      </c>
      <c r="L81" s="24">
        <f t="shared" ref="L81" si="65">(I81-INT(I81))*12</f>
        <v>1.0328041839992919</v>
      </c>
      <c r="M81" s="41" t="str">
        <f t="shared" ref="M81" si="66">IF($E81&gt;=M$27,MID($H$27,IF($E81&gt;M$27,INT(L81),ROUND(L81,0))+1,1),"")</f>
        <v>1</v>
      </c>
      <c r="N81" s="24">
        <f t="shared" ref="N81" si="67">(L81-INT(L81))*12</f>
        <v>0.3936502079915023</v>
      </c>
      <c r="O81" s="41" t="str">
        <f t="shared" ref="O81" si="68">IF($E81&gt;=O$27,MID($H$27,IF($E81&gt;O$27,INT(N81),ROUND(N81,0))+1,1),"")</f>
        <v>0</v>
      </c>
      <c r="P81" s="24">
        <f t="shared" ref="P81" si="69">(N81-INT(N81))*12</f>
        <v>4.7238024958980276</v>
      </c>
      <c r="Q81" s="41" t="str">
        <f t="shared" ref="Q81" si="70">IF($E81&gt;=Q$27,MID($H$27,IF($E81&gt;Q$27,INT(P81),ROUND(P81,0))+1,1),"")</f>
        <v>4</v>
      </c>
      <c r="R81" s="24">
        <f t="shared" ref="R81" si="71">(P81-INT(P81))*12</f>
        <v>8.685629950776331</v>
      </c>
      <c r="S81" s="41" t="str">
        <f t="shared" ref="S81" si="72">IF($E81&gt;=S$27,MID($H$27,IF($E81&gt;S$27,INT(R81),ROUND(R81,0))+1,1),"")</f>
        <v>8</v>
      </c>
      <c r="T81" s="24">
        <f t="shared" ref="T81" si="73">(R81-INT(R81))*12</f>
        <v>8.2275594093159725</v>
      </c>
      <c r="U81" s="41" t="str">
        <f t="shared" ref="U81" si="74">IF($E81&gt;=U$27,MID($H$27,IF($E81&gt;U$27,INT(T81),ROUND(T81,0))+1,1),"")</f>
        <v>8</v>
      </c>
      <c r="V81" s="24">
        <f t="shared" ref="V81" si="75">(T81-INT(T81))*12</f>
        <v>2.7307129117916702</v>
      </c>
      <c r="W81" s="41" t="str">
        <f t="shared" ref="W81" si="76">IF($E81&gt;=W$27,MID($H$27,IF($E81&gt;W$27,INT(V81),ROUND(V81,0))+1,1),"")</f>
        <v>2</v>
      </c>
      <c r="X81" s="24">
        <f t="shared" ref="X81" si="77">(V81-INT(V81))*12</f>
        <v>8.7685549415000423</v>
      </c>
      <c r="Y81" s="41" t="str">
        <f t="shared" ref="Y81" si="78">IF($E81&gt;=Y$27,MID($H$27,IF($E81&gt;Y$27,INT(X81),ROUND(X81,0))+1,1),"")</f>
        <v>8</v>
      </c>
      <c r="Z81" s="24">
        <f t="shared" ref="Z81" si="79">(X81-INT(X81))*12</f>
        <v>9.222659298000508</v>
      </c>
      <c r="AA81" s="41" t="str">
        <f t="shared" ref="AA81" si="80">IF($E81&gt;=AA$27,MID($H$27,IF($E81&gt;AA$27,INT(Z81),ROUND(Z81,0))+1,1),"")</f>
        <v>9</v>
      </c>
      <c r="AB81" s="24">
        <f t="shared" ref="AB81" si="81">(Z81-INT(Z81))*12</f>
        <v>2.6719115760060959</v>
      </c>
      <c r="AC81" s="41" t="str">
        <f t="shared" ref="AC81" si="82">IF($E81&gt;=AC$27,MID($H$27,IF($E81&gt;AC$27,INT(AB81),ROUND(AB81,0))+1,1),"")</f>
        <v>2</v>
      </c>
      <c r="AD81" s="24">
        <f t="shared" ref="AD81" si="83">(AB81-INT(AB81))*12</f>
        <v>8.0629389120731503</v>
      </c>
      <c r="AE81" s="41" t="str">
        <f t="shared" ref="AE81" si="84">IF($E81&gt;=AE$27,MID($H$27,IF($E81&gt;AE$27,INT(AD81),ROUND(AD81,0))+1,1),"")</f>
        <v>8</v>
      </c>
      <c r="AF81" s="24">
        <f t="shared" ref="AF81" si="85">(AD81-INT(AD81))*12</f>
        <v>0.75526694487780333</v>
      </c>
      <c r="AG81" s="41" t="str">
        <f t="shared" ref="AG81" si="86">IF($E81&gt;=AG$27,MID($H$27,IF($E81&gt;AG$27,INT(AF81),ROUND(AF81,0))+1,1),"")</f>
        <v>0</v>
      </c>
      <c r="AH81" s="24">
        <f t="shared" ref="AH81" si="87">(AF81-INT(AF81))*12</f>
        <v>9.0632033385336399</v>
      </c>
      <c r="AI81" s="41" t="str">
        <f t="shared" ref="AI81" si="88">IF($E81&gt;=AI$27,MID($H$27,IF($E81&gt;AI$27,INT(AH81),ROUND(AH81,0))+1,1),"")</f>
        <v>9</v>
      </c>
    </row>
    <row r="82" spans="1:35">
      <c r="B82" s="141" t="s">
        <v>270</v>
      </c>
      <c r="D82" s="14">
        <f>1/(1+0.00054461702177)</f>
        <v>0.99945567942448077</v>
      </c>
    </row>
    <row r="84" spans="1:35">
      <c r="B84" s="14" t="s">
        <v>1144</v>
      </c>
      <c r="I84" s="343"/>
    </row>
    <row r="85" spans="1:35">
      <c r="B85" s="111" t="s">
        <v>1173</v>
      </c>
      <c r="C85" s="30" t="s">
        <v>1177</v>
      </c>
      <c r="D85" s="30">
        <f>solar_luminosity!C9</f>
        <v>2.5750450803308646E-6</v>
      </c>
      <c r="E85" s="30">
        <v>6</v>
      </c>
      <c r="F85" s="29">
        <f>D85/F$25</f>
        <v>1.908550798530231E-7</v>
      </c>
      <c r="G85" s="142" t="str">
        <f t="shared" ref="G85:G88" si="89">K85&amp;";"&amp;M85&amp;O85&amp;Q85&amp;S85&amp;U85&amp;W85&amp;Y85&amp;AA85&amp;AC85&amp;AE85&amp;AG85&amp;AI85</f>
        <v>6;X092E1</v>
      </c>
      <c r="H85" s="38">
        <v>-7</v>
      </c>
      <c r="I85" s="61">
        <f t="shared" ref="I85:I88" si="90">F85/POWER(12,H85)</f>
        <v>6.8386825771181927</v>
      </c>
      <c r="J85" s="39"/>
      <c r="K85" s="40" t="str">
        <f t="shared" ref="K85:K88" si="91">IF($E85&gt;=K$27,MID($H$27,IF($E85&gt;K$27,INT(I85),ROUND(I85,0))+1,1),"")</f>
        <v>6</v>
      </c>
      <c r="L85" s="24">
        <f t="shared" ref="L85:L88" si="92">(I85-INT(I85))*12</f>
        <v>10.064190925418313</v>
      </c>
      <c r="M85" s="41" t="str">
        <f t="shared" ref="M85:M88" si="93">IF($E85&gt;=M$27,MID($H$27,IF($E85&gt;M$27,INT(L85),ROUND(L85,0))+1,1),"")</f>
        <v>X</v>
      </c>
      <c r="N85" s="24">
        <f t="shared" ref="N85:N88" si="94">(L85-INT(L85))*12</f>
        <v>0.7702911050197514</v>
      </c>
      <c r="O85" s="41" t="str">
        <f t="shared" ref="O85:O88" si="95">IF($E85&gt;=O$27,MID($H$27,IF($E85&gt;O$27,INT(N85),ROUND(N85,0))+1,1),"")</f>
        <v>0</v>
      </c>
      <c r="P85" s="24">
        <f t="shared" ref="P85:P88" si="96">(N85-INT(N85))*12</f>
        <v>9.2434932602370168</v>
      </c>
      <c r="Q85" s="41" t="str">
        <f t="shared" ref="Q85:Q88" si="97">IF($E85&gt;=Q$27,MID($H$27,IF($E85&gt;Q$27,INT(P85),ROUND(P85,0))+1,1),"")</f>
        <v>9</v>
      </c>
      <c r="R85" s="24">
        <f t="shared" ref="R85:R88" si="98">(P85-INT(P85))*12</f>
        <v>2.9219191228442014</v>
      </c>
      <c r="S85" s="41" t="str">
        <f t="shared" ref="S85:S88" si="99">IF($E85&gt;=S$27,MID($H$27,IF($E85&gt;S$27,INT(R85),ROUND(R85,0))+1,1),"")</f>
        <v>2</v>
      </c>
      <c r="T85" s="24">
        <f t="shared" ref="T85:T88" si="100">(R85-INT(R85))*12</f>
        <v>11.063029474130417</v>
      </c>
      <c r="U85" s="41" t="str">
        <f t="shared" ref="U85:U88" si="101">IF($E85&gt;=U$27,MID($H$27,IF($E85&gt;U$27,INT(T85),ROUND(T85,0))+1,1),"")</f>
        <v>E</v>
      </c>
      <c r="V85" s="24">
        <f t="shared" ref="V85:V88" si="102">(T85-INT(T85))*12</f>
        <v>0.75635368956500315</v>
      </c>
      <c r="W85" s="41" t="str">
        <f t="shared" ref="W85:W88" si="103">IF($E85&gt;=W$27,MID($H$27,IF($E85&gt;W$27,INT(V85),ROUND(V85,0))+1,1),"")</f>
        <v>1</v>
      </c>
      <c r="X85" s="24">
        <f t="shared" ref="X85:X88" si="104">(V85-INT(V85))*12</f>
        <v>9.0762442747800378</v>
      </c>
      <c r="Y85" s="41" t="str">
        <f t="shared" ref="Y85:Y88" si="105">IF($E85&gt;=Y$27,MID($H$27,IF($E85&gt;Y$27,INT(X85),ROUND(X85,0))+1,1),"")</f>
        <v/>
      </c>
      <c r="Z85" s="24">
        <f t="shared" ref="Z85:Z88" si="106">(X85-INT(X85))*12</f>
        <v>0.91493129736045375</v>
      </c>
      <c r="AA85" s="41" t="str">
        <f t="shared" ref="AA85:AA88" si="107">IF($E85&gt;=AA$27,MID($H$27,IF($E85&gt;AA$27,INT(Z85),ROUND(Z85,0))+1,1),"")</f>
        <v/>
      </c>
      <c r="AB85" s="24">
        <f t="shared" ref="AB85:AB88" si="108">(Z85-INT(Z85))*12</f>
        <v>10.979175568325445</v>
      </c>
      <c r="AC85" s="41" t="str">
        <f t="shared" ref="AC85:AC88" si="109">IF($E85&gt;=AC$27,MID($H$27,IF($E85&gt;AC$27,INT(AB85),ROUND(AB85,0))+1,1),"")</f>
        <v/>
      </c>
      <c r="AD85" s="24">
        <f t="shared" ref="AD85:AD88" si="110">(AB85-INT(AB85))*12</f>
        <v>11.750106819905341</v>
      </c>
      <c r="AE85" s="41" t="str">
        <f t="shared" ref="AE85:AE88" si="111">IF($E85&gt;=AE$27,MID($H$27,IF($E85&gt;AE$27,INT(AD85),ROUND(AD85,0))+1,1),"")</f>
        <v/>
      </c>
      <c r="AF85" s="24">
        <f t="shared" ref="AF85:AF88" si="112">(AD85-INT(AD85))*12</f>
        <v>9.0012818388640881</v>
      </c>
      <c r="AG85" s="41" t="str">
        <f t="shared" ref="AG85:AG88" si="113">IF($E85&gt;=AG$27,MID($H$27,IF($E85&gt;AG$27,INT(AF85),ROUND(AF85,0))+1,1),"")</f>
        <v/>
      </c>
      <c r="AH85" s="24">
        <f t="shared" ref="AH85:AH88" si="114">(AF85-INT(AF85))*12</f>
        <v>1.5382066369056702E-2</v>
      </c>
      <c r="AI85" s="41" t="str">
        <f t="shared" ref="AI85:AI88" si="115">IF($E85&gt;=AI$27,MID($H$27,IF($E85&gt;AI$27,INT(AH85),ROUND(AH85,0))+1,1),"")</f>
        <v/>
      </c>
    </row>
    <row r="86" spans="1:35">
      <c r="B86" s="111" t="s">
        <v>1174</v>
      </c>
      <c r="C86" s="30" t="s">
        <v>1178</v>
      </c>
      <c r="D86" s="30">
        <f>solar_luminosity!C14</f>
        <v>7.8136058826780172E-9</v>
      </c>
      <c r="E86" s="30">
        <v>6</v>
      </c>
      <c r="F86" s="29">
        <f t="shared" ref="F86:F88" si="116">D86/F$25</f>
        <v>5.7912243403791321E-10</v>
      </c>
      <c r="G86" s="142" t="str">
        <f t="shared" si="89"/>
        <v>2;EX361</v>
      </c>
      <c r="H86" s="38">
        <v>-9</v>
      </c>
      <c r="I86" s="61">
        <f t="shared" si="90"/>
        <v>2.9881445565512408</v>
      </c>
      <c r="J86" s="39"/>
      <c r="K86" s="40" t="str">
        <f t="shared" si="91"/>
        <v>2</v>
      </c>
      <c r="L86" s="24">
        <f t="shared" si="92"/>
        <v>11.857734678614889</v>
      </c>
      <c r="M86" s="41" t="str">
        <f t="shared" si="93"/>
        <v>E</v>
      </c>
      <c r="N86" s="24">
        <f t="shared" si="94"/>
        <v>10.292816143378673</v>
      </c>
      <c r="O86" s="41" t="str">
        <f t="shared" si="95"/>
        <v>X</v>
      </c>
      <c r="P86" s="24">
        <f t="shared" si="96"/>
        <v>3.5137937205440721</v>
      </c>
      <c r="Q86" s="41" t="str">
        <f t="shared" si="97"/>
        <v>3</v>
      </c>
      <c r="R86" s="24">
        <f t="shared" si="98"/>
        <v>6.1655246465288656</v>
      </c>
      <c r="S86" s="41" t="str">
        <f t="shared" si="99"/>
        <v>6</v>
      </c>
      <c r="T86" s="24">
        <f t="shared" si="100"/>
        <v>1.9862957583463867</v>
      </c>
      <c r="U86" s="41" t="str">
        <f t="shared" si="101"/>
        <v>1</v>
      </c>
      <c r="V86" s="24">
        <f t="shared" si="102"/>
        <v>11.835549100156641</v>
      </c>
      <c r="W86" s="41" t="str">
        <f t="shared" si="103"/>
        <v/>
      </c>
      <c r="X86" s="24">
        <f t="shared" si="104"/>
        <v>10.026589201879688</v>
      </c>
      <c r="Y86" s="41" t="str">
        <f t="shared" si="105"/>
        <v/>
      </c>
      <c r="Z86" s="24">
        <f t="shared" si="106"/>
        <v>0.31907042255625129</v>
      </c>
      <c r="AA86" s="41" t="str">
        <f t="shared" si="107"/>
        <v/>
      </c>
      <c r="AB86" s="24">
        <f t="shared" si="108"/>
        <v>3.8288450706750154</v>
      </c>
      <c r="AC86" s="41" t="str">
        <f t="shared" si="109"/>
        <v/>
      </c>
      <c r="AD86" s="24">
        <f t="shared" si="110"/>
        <v>9.9461408481001854</v>
      </c>
      <c r="AE86" s="41" t="str">
        <f t="shared" si="111"/>
        <v/>
      </c>
      <c r="AF86" s="24">
        <f t="shared" si="112"/>
        <v>11.353690177202225</v>
      </c>
      <c r="AG86" s="41" t="str">
        <f t="shared" si="113"/>
        <v/>
      </c>
      <c r="AH86" s="24">
        <f t="shared" si="114"/>
        <v>4.2442821264266968</v>
      </c>
      <c r="AI86" s="41" t="str">
        <f t="shared" si="115"/>
        <v/>
      </c>
    </row>
    <row r="87" spans="1:35">
      <c r="A87" s="470"/>
      <c r="B87" s="111" t="s">
        <v>1175</v>
      </c>
      <c r="C87" s="8"/>
      <c r="D87" s="8">
        <f>solar_luminosity!C12</f>
        <v>1.0251439109782231E-8</v>
      </c>
      <c r="E87" s="8">
        <v>6</v>
      </c>
      <c r="F87" s="21">
        <f t="shared" si="116"/>
        <v>7.598077582604878E-10</v>
      </c>
      <c r="G87" s="142" t="str">
        <f t="shared" si="89"/>
        <v>3;E06633</v>
      </c>
      <c r="H87" s="38">
        <v>-9</v>
      </c>
      <c r="I87" s="61">
        <f t="shared" si="90"/>
        <v>3.920441142369631</v>
      </c>
      <c r="J87" s="39"/>
      <c r="K87" s="40" t="str">
        <f t="shared" si="91"/>
        <v>3</v>
      </c>
      <c r="L87" s="24">
        <f t="shared" si="92"/>
        <v>11.045293708435572</v>
      </c>
      <c r="M87" s="41" t="str">
        <f t="shared" si="93"/>
        <v>E</v>
      </c>
      <c r="N87" s="24">
        <f t="shared" si="94"/>
        <v>0.54352450122686946</v>
      </c>
      <c r="O87" s="41" t="str">
        <f t="shared" si="95"/>
        <v>0</v>
      </c>
      <c r="P87" s="24">
        <f t="shared" si="96"/>
        <v>6.5222940147224335</v>
      </c>
      <c r="Q87" s="41" t="str">
        <f t="shared" si="97"/>
        <v>6</v>
      </c>
      <c r="R87" s="24">
        <f t="shared" si="98"/>
        <v>6.2675281766692024</v>
      </c>
      <c r="S87" s="41" t="str">
        <f t="shared" si="99"/>
        <v>6</v>
      </c>
      <c r="T87" s="24">
        <f t="shared" si="100"/>
        <v>3.2103381200304284</v>
      </c>
      <c r="U87" s="41" t="str">
        <f t="shared" si="101"/>
        <v>3</v>
      </c>
      <c r="V87" s="24">
        <f t="shared" si="102"/>
        <v>2.5240574403651408</v>
      </c>
      <c r="W87" s="41" t="str">
        <f t="shared" si="103"/>
        <v>3</v>
      </c>
      <c r="X87" s="24">
        <f t="shared" si="104"/>
        <v>6.2886892843816895</v>
      </c>
      <c r="Y87" s="41" t="str">
        <f t="shared" si="105"/>
        <v/>
      </c>
      <c r="Z87" s="24">
        <f t="shared" si="106"/>
        <v>3.464271412580274</v>
      </c>
      <c r="AA87" s="41" t="str">
        <f t="shared" si="107"/>
        <v/>
      </c>
      <c r="AB87" s="24">
        <f t="shared" si="108"/>
        <v>5.5712569509632885</v>
      </c>
      <c r="AC87" s="41" t="str">
        <f t="shared" si="109"/>
        <v/>
      </c>
      <c r="AD87" s="24">
        <f t="shared" si="110"/>
        <v>6.8550834115594625</v>
      </c>
      <c r="AE87" s="41" t="str">
        <f t="shared" si="111"/>
        <v/>
      </c>
      <c r="AF87" s="24">
        <f t="shared" si="112"/>
        <v>10.261000938713551</v>
      </c>
      <c r="AG87" s="41" t="str">
        <f t="shared" si="113"/>
        <v/>
      </c>
      <c r="AH87" s="24">
        <f t="shared" si="114"/>
        <v>3.1320112645626068</v>
      </c>
      <c r="AI87" s="41" t="str">
        <f t="shared" si="115"/>
        <v/>
      </c>
    </row>
    <row r="88" spans="1:35">
      <c r="B88" s="111" t="s">
        <v>1176</v>
      </c>
      <c r="C88" s="471"/>
      <c r="D88" s="471">
        <f>solar_luminosity!C11</f>
        <v>2.5750450803308634E-8</v>
      </c>
      <c r="E88" s="471">
        <v>6</v>
      </c>
      <c r="F88" s="472">
        <f t="shared" si="116"/>
        <v>1.9085507985302302E-9</v>
      </c>
      <c r="G88" s="473" t="str">
        <f t="shared" si="89"/>
        <v>9;X209E7</v>
      </c>
      <c r="H88" s="38">
        <v>-9</v>
      </c>
      <c r="I88" s="61">
        <f t="shared" si="90"/>
        <v>9.8477029110501935</v>
      </c>
      <c r="J88" s="39"/>
      <c r="K88" s="40" t="str">
        <f t="shared" si="91"/>
        <v>9</v>
      </c>
      <c r="L88" s="24">
        <f t="shared" si="92"/>
        <v>10.172434932602322</v>
      </c>
      <c r="M88" s="41" t="str">
        <f t="shared" si="93"/>
        <v>X</v>
      </c>
      <c r="N88" s="24">
        <f t="shared" si="94"/>
        <v>2.0692191912278588</v>
      </c>
      <c r="O88" s="41" t="str">
        <f t="shared" si="95"/>
        <v>2</v>
      </c>
      <c r="P88" s="24">
        <f t="shared" si="96"/>
        <v>0.83063029473430561</v>
      </c>
      <c r="Q88" s="41" t="str">
        <f t="shared" si="97"/>
        <v>0</v>
      </c>
      <c r="R88" s="24">
        <f t="shared" si="98"/>
        <v>9.9675635368116673</v>
      </c>
      <c r="S88" s="41" t="str">
        <f t="shared" si="99"/>
        <v>9</v>
      </c>
      <c r="T88" s="24">
        <f t="shared" si="100"/>
        <v>11.610762441740007</v>
      </c>
      <c r="U88" s="41" t="str">
        <f t="shared" si="101"/>
        <v>E</v>
      </c>
      <c r="V88" s="24">
        <f t="shared" si="102"/>
        <v>7.3291493008800899</v>
      </c>
      <c r="W88" s="41" t="str">
        <f t="shared" si="103"/>
        <v>7</v>
      </c>
      <c r="X88" s="24">
        <f t="shared" si="104"/>
        <v>3.9497916105610784</v>
      </c>
      <c r="Y88" s="41" t="str">
        <f t="shared" si="105"/>
        <v/>
      </c>
      <c r="Z88" s="24">
        <f t="shared" si="106"/>
        <v>11.397499326732941</v>
      </c>
      <c r="AA88" s="41" t="str">
        <f t="shared" si="107"/>
        <v/>
      </c>
      <c r="AB88" s="24">
        <f t="shared" si="108"/>
        <v>4.7699919207952917</v>
      </c>
      <c r="AC88" s="41" t="str">
        <f t="shared" si="109"/>
        <v/>
      </c>
      <c r="AD88" s="24">
        <f t="shared" si="110"/>
        <v>9.2399030495434999</v>
      </c>
      <c r="AE88" s="41" t="str">
        <f t="shared" si="111"/>
        <v/>
      </c>
      <c r="AF88" s="24">
        <f t="shared" si="112"/>
        <v>2.8788365945219994</v>
      </c>
      <c r="AG88" s="41" t="str">
        <f t="shared" si="113"/>
        <v/>
      </c>
      <c r="AH88" s="24">
        <f t="shared" si="114"/>
        <v>10.546039134263992</v>
      </c>
      <c r="AI88" s="41" t="str">
        <f t="shared" si="115"/>
        <v/>
      </c>
    </row>
    <row r="89" spans="1:35">
      <c r="B89" s="130" t="s">
        <v>1147</v>
      </c>
      <c r="C89" s="8"/>
      <c r="D89" s="8"/>
      <c r="E89" s="8">
        <v>6</v>
      </c>
      <c r="F89" s="21">
        <f>F85/F86</f>
        <v>329.55912020588113</v>
      </c>
      <c r="G89" s="142" t="str">
        <f t="shared" ref="G89" si="117">K89&amp;";"&amp;M89&amp;O89&amp;Q89&amp;S89&amp;U89&amp;W89&amp;Y89&amp;AA89&amp;AC89&amp;AE89&amp;AG89&amp;AI89</f>
        <v>2;356862</v>
      </c>
      <c r="H89" s="38">
        <v>2</v>
      </c>
      <c r="I89" s="61">
        <f t="shared" ref="I89" si="118">F89/POWER(12,H89)</f>
        <v>2.2886050014297301</v>
      </c>
      <c r="J89" s="39"/>
      <c r="K89" s="40" t="str">
        <f t="shared" ref="K89" si="119">IF($E89&gt;=K$27,MID($H$27,IF($E89&gt;K$27,INT(I89),ROUND(I89,0))+1,1),"")</f>
        <v>2</v>
      </c>
      <c r="L89" s="24">
        <f t="shared" ref="L89" si="120">(I89-INT(I89))*12</f>
        <v>3.4632600171567614</v>
      </c>
      <c r="M89" s="41" t="str">
        <f t="shared" ref="M89" si="121">IF($E89&gt;=M$27,MID($H$27,IF($E89&gt;M$27,INT(L89),ROUND(L89,0))+1,1),"")</f>
        <v>3</v>
      </c>
      <c r="N89" s="24">
        <f t="shared" ref="N89" si="122">(L89-INT(L89))*12</f>
        <v>5.5591202058811362</v>
      </c>
      <c r="O89" s="41" t="str">
        <f t="shared" ref="O89" si="123">IF($E89&gt;=O$27,MID($H$27,IF($E89&gt;O$27,INT(N89),ROUND(N89,0))+1,1),"")</f>
        <v>5</v>
      </c>
      <c r="P89" s="24">
        <f t="shared" ref="P89" si="124">(N89-INT(N89))*12</f>
        <v>6.7094424705736344</v>
      </c>
      <c r="Q89" s="41" t="str">
        <f t="shared" ref="Q89" si="125">IF($E89&gt;=Q$27,MID($H$27,IF($E89&gt;Q$27,INT(P89),ROUND(P89,0))+1,1),"")</f>
        <v>6</v>
      </c>
      <c r="R89" s="24">
        <f t="shared" ref="R89" si="126">(P89-INT(P89))*12</f>
        <v>8.5133096468836129</v>
      </c>
      <c r="S89" s="41" t="str">
        <f t="shared" ref="S89" si="127">IF($E89&gt;=S$27,MID($H$27,IF($E89&gt;S$27,INT(R89),ROUND(R89,0))+1,1),"")</f>
        <v>8</v>
      </c>
      <c r="T89" s="24">
        <f t="shared" ref="T89" si="128">(R89-INT(R89))*12</f>
        <v>6.159715762603355</v>
      </c>
      <c r="U89" s="41" t="str">
        <f t="shared" ref="U89" si="129">IF($E89&gt;=U$27,MID($H$27,IF($E89&gt;U$27,INT(T89),ROUND(T89,0))+1,1),"")</f>
        <v>6</v>
      </c>
      <c r="V89" s="24">
        <f t="shared" ref="V89" si="130">(T89-INT(T89))*12</f>
        <v>1.9165891512402595</v>
      </c>
      <c r="W89" s="41" t="str">
        <f t="shared" ref="W89" si="131">IF($E89&gt;=W$27,MID($H$27,IF($E89&gt;W$27,INT(V89),ROUND(V89,0))+1,1),"")</f>
        <v>2</v>
      </c>
      <c r="X89" s="24">
        <f t="shared" ref="X89" si="132">(V89-INT(V89))*12</f>
        <v>10.999069814883114</v>
      </c>
      <c r="Y89" s="41" t="str">
        <f t="shared" ref="Y89" si="133">IF($E89&gt;=Y$27,MID($H$27,IF($E89&gt;Y$27,INT(X89),ROUND(X89,0))+1,1),"")</f>
        <v/>
      </c>
      <c r="Z89" s="24">
        <f t="shared" ref="Z89" si="134">(X89-INT(X89))*12</f>
        <v>11.988837778597372</v>
      </c>
      <c r="AA89" s="41" t="str">
        <f t="shared" ref="AA89" si="135">IF($E89&gt;=AA$27,MID($H$27,IF($E89&gt;AA$27,INT(Z89),ROUND(Z89,0))+1,1),"")</f>
        <v/>
      </c>
      <c r="AB89" s="24">
        <f t="shared" ref="AB89" si="136">(Z89-INT(Z89))*12</f>
        <v>11.86605334316846</v>
      </c>
      <c r="AC89" s="41" t="str">
        <f t="shared" ref="AC89" si="137">IF($E89&gt;=AC$27,MID($H$27,IF($E89&gt;AC$27,INT(AB89),ROUND(AB89,0))+1,1),"")</f>
        <v/>
      </c>
      <c r="AD89" s="24">
        <f t="shared" ref="AD89" si="138">(AB89-INT(AB89))*12</f>
        <v>10.392640118021518</v>
      </c>
      <c r="AE89" s="41" t="str">
        <f t="shared" ref="AE89" si="139">IF($E89&gt;=AE$27,MID($H$27,IF($E89&gt;AE$27,INT(AD89),ROUND(AD89,0))+1,1),"")</f>
        <v/>
      </c>
      <c r="AF89" s="24">
        <f t="shared" ref="AF89" si="140">(AD89-INT(AD89))*12</f>
        <v>4.7116814162582159</v>
      </c>
      <c r="AG89" s="41" t="str">
        <f t="shared" ref="AG89" si="141">IF($E89&gt;=AG$27,MID($H$27,IF($E89&gt;AG$27,INT(AF89),ROUND(AF89,0))+1,1),"")</f>
        <v/>
      </c>
      <c r="AH89" s="24">
        <f t="shared" ref="AH89" si="142">(AF89-INT(AF89))*12</f>
        <v>8.5401769950985909</v>
      </c>
      <c r="AI89" s="41" t="str">
        <f t="shared" ref="AI89" si="143">IF($E89&gt;=AI$27,MID($H$27,IF($E89&gt;AI$27,INT(AH89),ROUND(AH89,0))+1,1),"")</f>
        <v/>
      </c>
    </row>
  </sheetData>
  <mergeCells count="5">
    <mergeCell ref="A62:A79"/>
    <mergeCell ref="K1:P1"/>
    <mergeCell ref="A27:A61"/>
    <mergeCell ref="H27:I27"/>
    <mergeCell ref="A1:A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9"/>
  <sheetViews>
    <sheetView workbookViewId="0">
      <selection activeCell="J2" sqref="J2"/>
    </sheetView>
  </sheetViews>
  <sheetFormatPr defaultRowHeight="12"/>
  <cols>
    <col min="1" max="1" width="2.75" style="14" customWidth="1"/>
    <col min="2" max="2" width="26" style="14" customWidth="1"/>
    <col min="3" max="3" width="8.625" style="14" customWidth="1"/>
    <col min="4" max="4" width="14.125" style="14" customWidth="1"/>
    <col min="5" max="5" width="3.5" style="14" customWidth="1"/>
    <col min="6" max="6" width="14.625" style="14" customWidth="1"/>
    <col min="7" max="7" width="13.625" style="14" customWidth="1"/>
    <col min="8" max="8" width="3.625" style="14" customWidth="1"/>
    <col min="9" max="9" width="9.625" style="14" customWidth="1"/>
    <col min="10" max="10" width="14.625" style="14" customWidth="1"/>
    <col min="11" max="11" width="3.125" style="14" customWidth="1"/>
    <col min="12" max="12" width="8.625" style="14" customWidth="1"/>
    <col min="13" max="13" width="3.125" style="14" customWidth="1"/>
    <col min="14" max="14" width="9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10.25" style="14" customWidth="1"/>
    <col min="37" max="37" width="10.125" style="14" customWidth="1"/>
    <col min="38" max="16384" width="9" style="14"/>
  </cols>
  <sheetData>
    <row r="1" spans="1:35" ht="11.25" customHeight="1">
      <c r="A1" s="718" t="s">
        <v>26</v>
      </c>
      <c r="B1" s="662" t="s">
        <v>42</v>
      </c>
      <c r="C1" s="18" t="str">
        <f>Rydberg!C1</f>
        <v>Unit Symbol</v>
      </c>
      <c r="D1" s="662" t="s">
        <v>43</v>
      </c>
      <c r="E1" s="18" t="s">
        <v>44</v>
      </c>
      <c r="F1" s="662" t="s">
        <v>55</v>
      </c>
      <c r="G1" s="662" t="s">
        <v>203</v>
      </c>
      <c r="H1" s="19"/>
      <c r="I1" s="660" t="s">
        <v>46</v>
      </c>
      <c r="J1" s="664"/>
      <c r="K1" s="729"/>
      <c r="L1" s="730"/>
      <c r="M1" s="730"/>
      <c r="N1" s="730"/>
      <c r="O1" s="730"/>
      <c r="P1" s="730"/>
    </row>
    <row r="2" spans="1:35" ht="13.5" customHeight="1">
      <c r="A2" s="719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306"/>
      <c r="L2" s="305"/>
      <c r="M2" s="302"/>
      <c r="N2" s="303"/>
      <c r="O2" s="302"/>
      <c r="P2" s="30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>
      <c r="A3" s="719"/>
      <c r="B3" s="2" t="str">
        <f>Rydberg!B3</f>
        <v>Length</v>
      </c>
      <c r="C3" s="7" t="s">
        <v>1677</v>
      </c>
      <c r="D3" s="277"/>
      <c r="E3" s="278"/>
      <c r="F3" s="279">
        <f>D31 * F4 / POWER(12,8)</f>
        <v>0.24209078396996714</v>
      </c>
      <c r="G3" s="280"/>
      <c r="H3" s="278">
        <v>-3</v>
      </c>
      <c r="I3" s="281">
        <f>F3/POWER(10,H3)</f>
        <v>242.09078396996713</v>
      </c>
      <c r="J3" s="282" t="str">
        <f>Rydberg!L3</f>
        <v>mm</v>
      </c>
      <c r="K3" s="23"/>
      <c r="L3" s="82">
        <f>-LOG(F3)/(LOG(12)-LOG(10))</f>
        <v>7.7798945321877229</v>
      </c>
      <c r="M3" s="24"/>
      <c r="N3" s="83">
        <f>POWER(12,L3)*F3/POWER(10,L3)</f>
        <v>0.99999999999999767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>
      <c r="A4" s="719"/>
      <c r="B4" s="2" t="str">
        <f>Rydberg!B4</f>
        <v>Time</v>
      </c>
      <c r="C4" s="7" t="s">
        <v>1676</v>
      </c>
      <c r="D4" s="28"/>
      <c r="E4" s="278"/>
      <c r="F4" s="279">
        <f>3191886105/9192631770</f>
        <v>0.34722223024495191</v>
      </c>
      <c r="G4" s="283"/>
      <c r="H4" s="278">
        <v>-3</v>
      </c>
      <c r="I4" s="281">
        <f t="shared" ref="I4:I26" si="0">F4/POWER(10,H4)</f>
        <v>347.2222302449519</v>
      </c>
      <c r="J4" s="282" t="str">
        <f>Rydberg!L4</f>
        <v>ms</v>
      </c>
      <c r="K4" s="23"/>
      <c r="L4" s="82">
        <f t="shared" ref="L4:L26" si="1">-LOG(F4)/(LOG(12)-LOG(10))</f>
        <v>5.8017838901947467</v>
      </c>
      <c r="M4" s="24"/>
      <c r="N4" s="83">
        <f t="shared" ref="N4:N26" si="2">POWER(12,L4)*F4/POWER(10,L4)</f>
        <v>0.99999999999999944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>
      <c r="A5" s="719"/>
      <c r="B5" s="2" t="str">
        <f>Rydberg!B5</f>
        <v>Energy</v>
      </c>
      <c r="C5" s="2" t="s">
        <v>1682</v>
      </c>
      <c r="D5" s="21"/>
      <c r="E5" s="278"/>
      <c r="F5" s="279">
        <f>D32*23804808*POWER(12,25)/F4</f>
        <v>6.8970673309253883</v>
      </c>
      <c r="G5" s="279"/>
      <c r="H5" s="278">
        <v>0</v>
      </c>
      <c r="I5" s="281">
        <f t="shared" si="0"/>
        <v>6.8970673309253883</v>
      </c>
      <c r="J5" s="282" t="s">
        <v>58</v>
      </c>
      <c r="K5" s="23"/>
      <c r="L5" s="82">
        <f t="shared" si="1"/>
        <v>-10.591705833959622</v>
      </c>
      <c r="M5" s="24"/>
      <c r="N5" s="83">
        <f t="shared" si="2"/>
        <v>1.0000000000000027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>
      <c r="A6" s="719"/>
      <c r="B6" s="2" t="str">
        <f>Rydberg!B6</f>
        <v>Temperature</v>
      </c>
      <c r="C6" s="2" t="s">
        <v>1680</v>
      </c>
      <c r="D6" s="21"/>
      <c r="E6" s="278"/>
      <c r="F6" s="279">
        <f>F5/(D33/21984218*POWER(12,29))</f>
        <v>0.5551830783168582</v>
      </c>
      <c r="G6" s="279"/>
      <c r="H6" s="278">
        <v>0</v>
      </c>
      <c r="I6" s="281">
        <f t="shared" si="0"/>
        <v>0.5551830783168582</v>
      </c>
      <c r="J6" s="282" t="s">
        <v>1678</v>
      </c>
      <c r="K6" s="23"/>
      <c r="L6" s="82">
        <f t="shared" si="1"/>
        <v>3.2275796627546791</v>
      </c>
      <c r="M6" s="24"/>
      <c r="N6" s="83">
        <f t="shared" si="2"/>
        <v>0.99999999999999933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>
      <c r="A7" s="719"/>
      <c r="B7" s="2" t="str">
        <f>Rydberg!B7</f>
        <v>Amount of substance</v>
      </c>
      <c r="C7" s="2" t="s">
        <v>1681</v>
      </c>
      <c r="D7" s="21"/>
      <c r="E7" s="278"/>
      <c r="F7" s="279">
        <f>F8*1000</f>
        <v>14188.059353599698</v>
      </c>
      <c r="G7" s="279"/>
      <c r="H7" s="278">
        <v>3</v>
      </c>
      <c r="I7" s="281">
        <f t="shared" si="0"/>
        <v>14.188059353599698</v>
      </c>
      <c r="J7" s="282" t="s">
        <v>684</v>
      </c>
      <c r="K7" s="23"/>
      <c r="L7" s="82">
        <f t="shared" si="1"/>
        <v>-52.435686527485558</v>
      </c>
      <c r="M7" s="24"/>
      <c r="N7" s="83">
        <f t="shared" si="2"/>
        <v>1.0000000000000138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>
      <c r="A8" s="719"/>
      <c r="B8" s="2" t="str">
        <f>Rydberg!B8</f>
        <v>Mass</v>
      </c>
      <c r="C8" s="2" t="s">
        <v>1679</v>
      </c>
      <c r="D8" s="21"/>
      <c r="E8" s="278"/>
      <c r="F8" s="279">
        <f>F5/POWER(F3/F4,2)</f>
        <v>14.188059353599698</v>
      </c>
      <c r="G8" s="279"/>
      <c r="H8" s="278">
        <v>0</v>
      </c>
      <c r="I8" s="281">
        <f t="shared" si="0"/>
        <v>14.188059353599698</v>
      </c>
      <c r="J8" s="282" t="s">
        <v>61</v>
      </c>
      <c r="K8" s="23"/>
      <c r="L8" s="82">
        <f t="shared" si="1"/>
        <v>-14.547927117945576</v>
      </c>
      <c r="M8" s="24"/>
      <c r="N8" s="83">
        <f t="shared" si="2"/>
        <v>1.0000000000000064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>
      <c r="A9" s="719"/>
      <c r="B9" s="2" t="str">
        <f>Rydberg!B9</f>
        <v>Power</v>
      </c>
      <c r="C9" s="2" t="s">
        <v>721</v>
      </c>
      <c r="D9" s="21"/>
      <c r="E9" s="8"/>
      <c r="F9" s="21">
        <f>F5/F4</f>
        <v>19.863553454108548</v>
      </c>
      <c r="G9" s="21"/>
      <c r="H9" s="8">
        <v>0</v>
      </c>
      <c r="I9" s="58">
        <f t="shared" si="0"/>
        <v>19.863553454108548</v>
      </c>
      <c r="J9" s="122" t="s">
        <v>62</v>
      </c>
      <c r="K9" s="23"/>
      <c r="L9" s="82">
        <f t="shared" si="1"/>
        <v>-16.393489724154371</v>
      </c>
      <c r="M9" s="24"/>
      <c r="N9" s="83">
        <f t="shared" si="2"/>
        <v>1.0000000000000031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>
      <c r="A10" s="719"/>
      <c r="B10" s="2" t="str">
        <f>Rydberg!B10</f>
        <v>Force</v>
      </c>
      <c r="C10" s="2" t="s">
        <v>1683</v>
      </c>
      <c r="D10" s="21"/>
      <c r="E10" s="8"/>
      <c r="F10" s="21">
        <f>F5/F3</f>
        <v>28.489590631343539</v>
      </c>
      <c r="G10" s="21"/>
      <c r="H10" s="8">
        <v>0</v>
      </c>
      <c r="I10" s="58">
        <f t="shared" si="0"/>
        <v>28.489590631343539</v>
      </c>
      <c r="J10" s="122" t="s">
        <v>63</v>
      </c>
      <c r="K10" s="23"/>
      <c r="L10" s="82">
        <f t="shared" si="1"/>
        <v>-18.371600366147344</v>
      </c>
      <c r="M10" s="24"/>
      <c r="N10" s="83">
        <f t="shared" si="2"/>
        <v>1.0000000000000051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>
      <c r="A11" s="719"/>
      <c r="B11" s="2" t="str">
        <f>Rydberg!B11</f>
        <v>Pressure</v>
      </c>
      <c r="C11" s="2" t="s">
        <v>1684</v>
      </c>
      <c r="D11" s="21"/>
      <c r="E11" s="8"/>
      <c r="F11" s="21">
        <f>F5/POWER(F3,3)</f>
        <v>486.10456017577548</v>
      </c>
      <c r="G11" s="21"/>
      <c r="H11" s="8">
        <v>0</v>
      </c>
      <c r="I11" s="58">
        <f t="shared" si="0"/>
        <v>486.10456017577548</v>
      </c>
      <c r="J11" s="122" t="s">
        <v>1701</v>
      </c>
      <c r="K11" s="23"/>
      <c r="L11" s="82">
        <f t="shared" si="1"/>
        <v>-33.931389430522792</v>
      </c>
      <c r="M11" s="24"/>
      <c r="N11" s="83">
        <f t="shared" si="2"/>
        <v>1.0000000000000027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>
      <c r="A12" s="719"/>
      <c r="B12" s="2" t="str">
        <f>Rydberg!B12</f>
        <v>Charge</v>
      </c>
      <c r="C12" s="2" t="s">
        <v>1686</v>
      </c>
      <c r="D12" s="21"/>
      <c r="E12" s="8"/>
      <c r="F12" s="21">
        <f>F13*F4</f>
        <v>7.9729806578765897E-2</v>
      </c>
      <c r="G12" s="21"/>
      <c r="H12" s="8">
        <v>-3</v>
      </c>
      <c r="I12" s="58">
        <f t="shared" si="0"/>
        <v>79.729806578765889</v>
      </c>
      <c r="J12" s="122" t="str">
        <f>Rydberg!L12</f>
        <v>mC</v>
      </c>
      <c r="K12" s="23"/>
      <c r="L12" s="82">
        <f t="shared" si="1"/>
        <v>13.871710086821455</v>
      </c>
      <c r="M12" s="24"/>
      <c r="N12" s="83">
        <f t="shared" si="2"/>
        <v>1.0000000000000004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>
      <c r="A13" s="719"/>
      <c r="B13" s="2" t="str">
        <f>Rydberg!B13</f>
        <v>Electric current</v>
      </c>
      <c r="C13" s="2" t="s">
        <v>1685</v>
      </c>
      <c r="D13" s="21"/>
      <c r="E13" s="8"/>
      <c r="F13" s="21">
        <f>SQRT(F9/F16)</f>
        <v>0.22962183764132724</v>
      </c>
      <c r="G13" s="21"/>
      <c r="H13" s="8">
        <v>-3</v>
      </c>
      <c r="I13" s="58">
        <f t="shared" si="0"/>
        <v>229.62183764132723</v>
      </c>
      <c r="J13" s="122" t="str">
        <f>Rydberg!L13</f>
        <v>mA</v>
      </c>
      <c r="K13" s="23"/>
      <c r="L13" s="82">
        <f t="shared" si="1"/>
        <v>8.0699261966267102</v>
      </c>
      <c r="M13" s="24"/>
      <c r="N13" s="83">
        <f t="shared" si="2"/>
        <v>0.99999999999999745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>
      <c r="A14" s="719"/>
      <c r="B14" s="2" t="str">
        <f>Rydberg!B14</f>
        <v>Field Strength</v>
      </c>
      <c r="C14" s="2" t="s">
        <v>1687</v>
      </c>
      <c r="D14" s="21"/>
      <c r="E14" s="8"/>
      <c r="F14" s="21">
        <f>F13/F3</f>
        <v>0.94849475009264805</v>
      </c>
      <c r="G14" s="21"/>
      <c r="H14" s="8">
        <v>0</v>
      </c>
      <c r="I14" s="58">
        <f t="shared" si="0"/>
        <v>0.94849475009264805</v>
      </c>
      <c r="J14" s="122" t="s">
        <v>689</v>
      </c>
      <c r="K14" s="23"/>
      <c r="L14" s="82">
        <f t="shared" si="1"/>
        <v>0.29003166443898781</v>
      </c>
      <c r="M14" s="24"/>
      <c r="N14" s="83">
        <f t="shared" si="2"/>
        <v>0.99999999999999989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>
      <c r="A15" s="719"/>
      <c r="B15" s="2" t="str">
        <f>Rydberg!B15</f>
        <v>Flux density</v>
      </c>
      <c r="C15" s="2" t="s">
        <v>1688</v>
      </c>
      <c r="D15" s="21"/>
      <c r="E15" s="8"/>
      <c r="F15" s="21">
        <f>F12/POWER(F3,2)</f>
        <v>1.3603923995043696</v>
      </c>
      <c r="G15" s="21"/>
      <c r="H15" s="8">
        <v>0</v>
      </c>
      <c r="I15" s="58">
        <f t="shared" si="0"/>
        <v>1.3603923995043696</v>
      </c>
      <c r="J15" s="122" t="s">
        <v>1702</v>
      </c>
      <c r="K15" s="23"/>
      <c r="L15" s="82">
        <f t="shared" si="1"/>
        <v>-1.6880789775539882</v>
      </c>
      <c r="M15" s="24"/>
      <c r="N15" s="83">
        <f t="shared" si="2"/>
        <v>1.0000000000000007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>
      <c r="A16" s="719"/>
      <c r="B16" s="2" t="str">
        <f>Rydberg!B16</f>
        <v>Impedance</v>
      </c>
      <c r="C16" s="2" t="s">
        <v>1689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22" t="s">
        <v>1703</v>
      </c>
      <c r="K16" s="23"/>
      <c r="L16" s="82">
        <f t="shared" si="1"/>
        <v>-32.533342117407784</v>
      </c>
      <c r="M16" s="24"/>
      <c r="N16" s="83">
        <f t="shared" si="2"/>
        <v>1.0000000000000155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>
      <c r="A17" s="719"/>
      <c r="B17" s="2" t="str">
        <f>Rydberg!B17</f>
        <v>Electric potential difference</v>
      </c>
      <c r="C17" s="2" t="s">
        <v>1690</v>
      </c>
      <c r="D17" s="21"/>
      <c r="E17" s="8"/>
      <c r="F17" s="21">
        <f>F13*F16</f>
        <v>86.505506872285025</v>
      </c>
      <c r="G17" s="21"/>
      <c r="H17" s="8">
        <v>0</v>
      </c>
      <c r="I17" s="58">
        <f t="shared" si="0"/>
        <v>86.505506872285025</v>
      </c>
      <c r="J17" s="122" t="str">
        <f>Rydberg!L17</f>
        <v>V</v>
      </c>
      <c r="K17" s="23"/>
      <c r="L17" s="82">
        <f t="shared" si="1"/>
        <v>-24.463415920781081</v>
      </c>
      <c r="M17" s="24"/>
      <c r="N17" s="83">
        <f t="shared" si="2"/>
        <v>1.0000000000000058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>
      <c r="A18" s="719"/>
      <c r="B18" s="2" t="str">
        <f>Rydberg!B18</f>
        <v>Electric capacitance</v>
      </c>
      <c r="C18" s="2" t="s">
        <v>726</v>
      </c>
      <c r="D18" s="21"/>
      <c r="E18" s="8"/>
      <c r="F18" s="21">
        <f>F4/F16</f>
        <v>9.2167319123945908E-4</v>
      </c>
      <c r="G18" s="21"/>
      <c r="H18" s="8">
        <v>-6</v>
      </c>
      <c r="I18" s="58">
        <f t="shared" si="0"/>
        <v>921.67319123945913</v>
      </c>
      <c r="J18" s="122" t="s">
        <v>1786</v>
      </c>
      <c r="K18" s="119"/>
      <c r="L18" s="120">
        <f t="shared" si="1"/>
        <v>38.335126007602533</v>
      </c>
      <c r="M18" s="76"/>
      <c r="N18" s="121">
        <f t="shared" si="2"/>
        <v>0.99999999999998412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>
      <c r="A19" s="719"/>
      <c r="B19" s="2" t="str">
        <f>Rydberg!B19</f>
        <v>Magnetic flux</v>
      </c>
      <c r="C19" s="2" t="s">
        <v>1694</v>
      </c>
      <c r="D19" s="21">
        <v>8.7460408999999999E-3</v>
      </c>
      <c r="E19" s="8"/>
      <c r="F19" s="21">
        <f>F17*F4</f>
        <v>30.036635024664822</v>
      </c>
      <c r="G19" s="21"/>
      <c r="H19" s="8">
        <v>0</v>
      </c>
      <c r="I19" s="58">
        <f t="shared" si="0"/>
        <v>30.036635024664822</v>
      </c>
      <c r="J19" s="122" t="str">
        <f>Rydberg!L19</f>
        <v>Wb</v>
      </c>
      <c r="K19" s="119"/>
      <c r="L19" s="120">
        <f t="shared" si="1"/>
        <v>-18.661632030586336</v>
      </c>
      <c r="M19" s="76"/>
      <c r="N19" s="121">
        <f t="shared" si="2"/>
        <v>1.0000000000000051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>
      <c r="A20" s="719"/>
      <c r="B20" s="2" t="str">
        <f>Rydberg!B20</f>
        <v>Magnetic flux density</v>
      </c>
      <c r="C20" s="2" t="s">
        <v>1691</v>
      </c>
      <c r="D20" s="21">
        <v>0.1492125423</v>
      </c>
      <c r="E20" s="8"/>
      <c r="F20" s="21">
        <f>F19/(F3*F3)</f>
        <v>512.50105509629157</v>
      </c>
      <c r="G20" s="21"/>
      <c r="H20" s="8">
        <v>0</v>
      </c>
      <c r="I20" s="58">
        <f t="shared" si="0"/>
        <v>512.50105509629157</v>
      </c>
      <c r="J20" s="122" t="s">
        <v>224</v>
      </c>
      <c r="K20" s="119"/>
      <c r="L20" s="120">
        <f t="shared" si="1"/>
        <v>-34.221421094961777</v>
      </c>
      <c r="M20" s="76"/>
      <c r="N20" s="121">
        <f t="shared" si="2"/>
        <v>1.0000000000000098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>
      <c r="A21" s="719"/>
      <c r="B21" s="6" t="str">
        <f>Rydberg!B21</f>
        <v>Inductance</v>
      </c>
      <c r="C21" s="6" t="s">
        <v>1692</v>
      </c>
      <c r="D21" s="29"/>
      <c r="E21" s="30"/>
      <c r="F21" s="29">
        <f>F4*F16</f>
        <v>130.80913964107583</v>
      </c>
      <c r="G21" s="29"/>
      <c r="H21" s="30">
        <v>0</v>
      </c>
      <c r="I21" s="59">
        <f t="shared" si="0"/>
        <v>130.80913964107583</v>
      </c>
      <c r="J21" s="123" t="str">
        <f>Rydberg!L21</f>
        <v>H</v>
      </c>
      <c r="K21" s="119"/>
      <c r="L21" s="120">
        <f t="shared" si="1"/>
        <v>-26.731558227213039</v>
      </c>
      <c r="M21" s="76"/>
      <c r="N21" s="121">
        <f t="shared" si="2"/>
        <v>1.0000000000000147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>
      <c r="A22" s="719"/>
      <c r="B22" s="2" t="str">
        <f>Rydberg!B22</f>
        <v>Frequency</v>
      </c>
      <c r="C22" s="2" t="s">
        <v>1693</v>
      </c>
      <c r="D22" s="29"/>
      <c r="E22" s="30"/>
      <c r="F22" s="29">
        <f>1/F4</f>
        <v>2.8799999334562725</v>
      </c>
      <c r="G22" s="21"/>
      <c r="H22" s="8">
        <v>0</v>
      </c>
      <c r="I22" s="58">
        <f t="shared" si="0"/>
        <v>2.8799999334562725</v>
      </c>
      <c r="J22" s="122" t="s">
        <v>711</v>
      </c>
      <c r="K22" s="23"/>
      <c r="L22" s="82">
        <f t="shared" si="1"/>
        <v>-5.8017838901947467</v>
      </c>
      <c r="M22" s="24"/>
      <c r="N22" s="83">
        <f t="shared" si="2"/>
        <v>1.0000000000000007</v>
      </c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</row>
    <row r="23" spans="1:35" ht="14.25" customHeight="1">
      <c r="A23" s="719"/>
      <c r="B23" s="2" t="s">
        <v>1695</v>
      </c>
      <c r="C23" s="2" t="s">
        <v>1696</v>
      </c>
      <c r="D23" s="21"/>
      <c r="E23" s="8"/>
      <c r="F23" s="21">
        <f>1/F4</f>
        <v>2.8799999334562725</v>
      </c>
      <c r="G23" s="21"/>
      <c r="H23" s="8">
        <v>0</v>
      </c>
      <c r="I23" s="58">
        <f t="shared" si="0"/>
        <v>2.8799999334562725</v>
      </c>
      <c r="J23" s="122" t="s">
        <v>705</v>
      </c>
      <c r="K23" s="23"/>
      <c r="L23" s="82">
        <f t="shared" si="1"/>
        <v>-5.8017838901947467</v>
      </c>
      <c r="M23" s="24"/>
      <c r="N23" s="83">
        <f t="shared" si="2"/>
        <v>1.0000000000000007</v>
      </c>
      <c r="O23" s="24"/>
      <c r="P23" s="297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>
      <c r="A24" s="719"/>
      <c r="B24" s="6" t="s">
        <v>1697</v>
      </c>
      <c r="C24" s="2" t="s">
        <v>1698</v>
      </c>
      <c r="D24" s="21"/>
      <c r="E24" s="8"/>
      <c r="F24" s="21">
        <f>F5/F8</f>
        <v>0.48611773879952874</v>
      </c>
      <c r="G24" s="21"/>
      <c r="H24" s="8">
        <v>0</v>
      </c>
      <c r="I24" s="58">
        <f t="shared" si="0"/>
        <v>0.48611773879952874</v>
      </c>
      <c r="J24" s="122" t="s">
        <v>707</v>
      </c>
      <c r="K24" s="23"/>
      <c r="L24" s="82">
        <f t="shared" si="1"/>
        <v>3.9562212839859523</v>
      </c>
      <c r="M24" s="24"/>
      <c r="N24" s="83">
        <f t="shared" si="2"/>
        <v>0.99999999999999956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>
      <c r="A25" s="719"/>
      <c r="B25" s="6" t="s">
        <v>1699</v>
      </c>
      <c r="C25" s="6" t="s">
        <v>1700</v>
      </c>
      <c r="D25" s="29"/>
      <c r="E25" s="30"/>
      <c r="F25" s="29">
        <f>F5/F8</f>
        <v>0.48611773879952874</v>
      </c>
      <c r="G25" s="29"/>
      <c r="H25" s="30">
        <v>0</v>
      </c>
      <c r="I25" s="59">
        <f t="shared" si="0"/>
        <v>0.48611773879952874</v>
      </c>
      <c r="J25" s="123" t="s">
        <v>708</v>
      </c>
      <c r="K25" s="23"/>
      <c r="L25" s="82">
        <f t="shared" si="1"/>
        <v>3.9562212839859523</v>
      </c>
      <c r="M25" s="24"/>
      <c r="N25" s="83">
        <f t="shared" si="2"/>
        <v>0.99999999999999956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>
      <c r="A26" s="720"/>
      <c r="B26" s="4" t="s">
        <v>1138</v>
      </c>
      <c r="C26" s="4"/>
      <c r="D26" s="32"/>
      <c r="E26" s="33"/>
      <c r="F26" s="32">
        <f>F3/F4/F4</f>
        <v>2.0079977057690668</v>
      </c>
      <c r="G26" s="32"/>
      <c r="H26" s="33">
        <v>0</v>
      </c>
      <c r="I26" s="60">
        <f t="shared" si="0"/>
        <v>2.0079977057690668</v>
      </c>
      <c r="J26" s="128" t="s">
        <v>75</v>
      </c>
      <c r="K26" s="23"/>
      <c r="L26" s="82">
        <f t="shared" si="1"/>
        <v>-3.823673248201771</v>
      </c>
      <c r="M26" s="24"/>
      <c r="N26" s="83">
        <f t="shared" si="2"/>
        <v>1.0000000000000022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>
      <c r="A27" s="718" t="s">
        <v>27</v>
      </c>
      <c r="B27" s="663" t="s">
        <v>42</v>
      </c>
      <c r="C27" s="52" t="str">
        <f>Rydberg!C31</f>
        <v>Unit Symbol</v>
      </c>
      <c r="D27" s="663" t="s">
        <v>43</v>
      </c>
      <c r="E27" s="52" t="s">
        <v>54</v>
      </c>
      <c r="F27" s="663" t="s">
        <v>47</v>
      </c>
      <c r="G27" s="663" t="s">
        <v>92</v>
      </c>
      <c r="H27" s="721" t="str">
        <f>Rydberg!J31</f>
        <v>0123456789XE</v>
      </c>
      <c r="I27" s="722">
        <f>Rydberg!K31</f>
        <v>0</v>
      </c>
      <c r="J27" s="124" t="str">
        <f>Rydberg!L31</f>
        <v>Prefix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>
      <c r="A28" s="719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3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4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5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6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7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8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9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0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1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2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3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4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5">IF($E28&gt;=AI$27,MID($H$27,IF($E28&gt;AI$27,INT(AH28),ROUND(AH28,0))+1,1),"")</f>
        <v/>
      </c>
    </row>
    <row r="29" spans="1:35" ht="15" customHeight="1">
      <c r="A29" s="719"/>
      <c r="B29" s="661" t="str">
        <f>Rydberg!B33</f>
        <v>Avogadro constant</v>
      </c>
      <c r="C29" s="661" t="str">
        <f>Rydberg!C33</f>
        <v>1/mol</v>
      </c>
      <c r="D29" s="21">
        <f>Rydberg!D33</f>
        <v>6.0221408570000002E+23</v>
      </c>
      <c r="E29" s="8">
        <v>7</v>
      </c>
      <c r="F29" s="279">
        <f>D29/(1/F$7)</f>
        <v>8.5442491914853746E+27</v>
      </c>
      <c r="G29" s="142" t="str">
        <f t="shared" ref="G29:G61" si="16">K29&amp;";"&amp;M29&amp;O29&amp;Q29&amp;S29&amp;U29&amp;W29&amp;Y29&amp;AA29&amp;AC29&amp;AE29&amp;AG29&amp;AI29</f>
        <v>0;8E58EX6</v>
      </c>
      <c r="H29" s="284">
        <v>26</v>
      </c>
      <c r="I29" s="285">
        <f>F29/POWER(12,H29)+0.000000000001</f>
        <v>0.74638260405512247</v>
      </c>
      <c r="J29" s="286"/>
      <c r="K29" s="40" t="str">
        <f t="shared" si="3"/>
        <v>0</v>
      </c>
      <c r="L29" s="24">
        <f t="shared" ref="L29:L61" si="17">(I29-INT(I29))*12</f>
        <v>8.9565912486614696</v>
      </c>
      <c r="M29" s="41" t="str">
        <f t="shared" si="4"/>
        <v>8</v>
      </c>
      <c r="N29" s="24">
        <f t="shared" ref="N29:N61" si="18">(L29-INT(L29))*12</f>
        <v>11.479094983937635</v>
      </c>
      <c r="O29" s="41" t="str">
        <f t="shared" si="5"/>
        <v>E</v>
      </c>
      <c r="P29" s="24">
        <f t="shared" ref="P29:P61" si="19">(N29-INT(N29))*12</f>
        <v>5.7491398072516233</v>
      </c>
      <c r="Q29" s="41" t="str">
        <f t="shared" si="6"/>
        <v>5</v>
      </c>
      <c r="R29" s="24">
        <f t="shared" ref="R29:R61" si="20">(P29-INT(P29))*12</f>
        <v>8.9896776870194799</v>
      </c>
      <c r="S29" s="41" t="str">
        <f t="shared" si="7"/>
        <v>8</v>
      </c>
      <c r="T29" s="24">
        <f t="shared" ref="T29:T61" si="21">(R29-INT(R29))*12</f>
        <v>11.876132244233759</v>
      </c>
      <c r="U29" s="41" t="str">
        <f t="shared" si="8"/>
        <v>E</v>
      </c>
      <c r="V29" s="24">
        <f t="shared" ref="V29:V61" si="22">(T29-INT(T29))*12</f>
        <v>10.513586930805104</v>
      </c>
      <c r="W29" s="41" t="str">
        <f t="shared" si="9"/>
        <v>X</v>
      </c>
      <c r="X29" s="24">
        <f t="shared" ref="X29:X61" si="23">(V29-INT(V29))*12</f>
        <v>6.1630431696612504</v>
      </c>
      <c r="Y29" s="41" t="str">
        <f t="shared" si="10"/>
        <v>6</v>
      </c>
      <c r="Z29" s="24">
        <f t="shared" ref="Z29:Z61" si="24">(X29-INT(X29))*12</f>
        <v>1.9565180359350052</v>
      </c>
      <c r="AA29" s="41" t="str">
        <f t="shared" si="11"/>
        <v/>
      </c>
      <c r="AB29" s="24">
        <f t="shared" ref="AB29:AB61" si="25">(Z29-INT(Z29))*12</f>
        <v>11.478216431220062</v>
      </c>
      <c r="AC29" s="41" t="str">
        <f t="shared" si="12"/>
        <v/>
      </c>
      <c r="AD29" s="24">
        <f t="shared" ref="AD29:AD61" si="26">(AB29-INT(AB29))*12</f>
        <v>5.7385971746407449</v>
      </c>
      <c r="AE29" s="41" t="str">
        <f t="shared" si="13"/>
        <v/>
      </c>
      <c r="AF29" s="24">
        <f t="shared" ref="AF29:AF61" si="27">(AD29-INT(AD29))*12</f>
        <v>8.8631660956889391</v>
      </c>
      <c r="AG29" s="41" t="str">
        <f t="shared" si="14"/>
        <v/>
      </c>
      <c r="AH29" s="24">
        <f t="shared" ref="AH29:AH61" si="28">(AF29-INT(AF29))*12</f>
        <v>10.357993148267269</v>
      </c>
      <c r="AI29" s="41" t="str">
        <f t="shared" si="15"/>
        <v/>
      </c>
    </row>
    <row r="30" spans="1:35" ht="15" customHeight="1">
      <c r="A30" s="719"/>
      <c r="B30" s="661" t="str">
        <f>Rydberg!B34</f>
        <v>Rydberg constant</v>
      </c>
      <c r="C30" s="661" t="str">
        <f>Rydberg!C34</f>
        <v>Ω_1/m</v>
      </c>
      <c r="D30" s="21">
        <f>Rydberg!D34</f>
        <v>10973731.568507999</v>
      </c>
      <c r="E30" s="8">
        <v>12</v>
      </c>
      <c r="F30" s="279">
        <f>D30/(1/F$3)</f>
        <v>2656639.2784960787</v>
      </c>
      <c r="G30" s="142" t="str">
        <f t="shared" si="16"/>
        <v>0;X814X73412X9</v>
      </c>
      <c r="H30" s="284">
        <v>6</v>
      </c>
      <c r="I30" s="285">
        <f>F30/POWER(12,H30)</f>
        <v>0.88970311913797218</v>
      </c>
      <c r="J30" s="286"/>
      <c r="K30" s="40" t="str">
        <f t="shared" si="3"/>
        <v>0</v>
      </c>
      <c r="L30" s="24">
        <f t="shared" si="17"/>
        <v>10.676437429655666</v>
      </c>
      <c r="M30" s="41" t="str">
        <f t="shared" si="4"/>
        <v>X</v>
      </c>
      <c r="N30" s="24">
        <f t="shared" si="18"/>
        <v>8.117249155867988</v>
      </c>
      <c r="O30" s="41" t="str">
        <f t="shared" si="5"/>
        <v>8</v>
      </c>
      <c r="P30" s="24">
        <f t="shared" si="19"/>
        <v>1.4069898704158561</v>
      </c>
      <c r="Q30" s="41" t="str">
        <f t="shared" si="6"/>
        <v>1</v>
      </c>
      <c r="R30" s="24">
        <f t="shared" si="20"/>
        <v>4.8838784449902732</v>
      </c>
      <c r="S30" s="41" t="str">
        <f t="shared" si="7"/>
        <v>4</v>
      </c>
      <c r="T30" s="24">
        <f t="shared" si="21"/>
        <v>10.606541339883279</v>
      </c>
      <c r="U30" s="41" t="str">
        <f t="shared" si="8"/>
        <v>X</v>
      </c>
      <c r="V30" s="24">
        <f t="shared" si="22"/>
        <v>7.2784960785993462</v>
      </c>
      <c r="W30" s="41" t="str">
        <f t="shared" si="9"/>
        <v>7</v>
      </c>
      <c r="X30" s="24">
        <f t="shared" si="23"/>
        <v>3.3419529431921546</v>
      </c>
      <c r="Y30" s="41" t="str">
        <f t="shared" si="10"/>
        <v>3</v>
      </c>
      <c r="Z30" s="24">
        <f t="shared" si="24"/>
        <v>4.1034353183058556</v>
      </c>
      <c r="AA30" s="41" t="str">
        <f t="shared" si="11"/>
        <v>4</v>
      </c>
      <c r="AB30" s="24">
        <f t="shared" si="25"/>
        <v>1.2412238196702674</v>
      </c>
      <c r="AC30" s="41" t="str">
        <f t="shared" si="12"/>
        <v>1</v>
      </c>
      <c r="AD30" s="24">
        <f t="shared" si="26"/>
        <v>2.8946858360432088</v>
      </c>
      <c r="AE30" s="41" t="str">
        <f t="shared" si="13"/>
        <v>2</v>
      </c>
      <c r="AF30" s="24">
        <f t="shared" si="27"/>
        <v>10.736230032518506</v>
      </c>
      <c r="AG30" s="41" t="str">
        <f t="shared" si="14"/>
        <v>X</v>
      </c>
      <c r="AH30" s="24">
        <f t="shared" si="28"/>
        <v>8.8347603902220726</v>
      </c>
      <c r="AI30" s="41" t="str">
        <f t="shared" si="15"/>
        <v>9</v>
      </c>
    </row>
    <row r="31" spans="1:35" ht="15" customHeight="1">
      <c r="A31" s="719"/>
      <c r="B31" s="661" t="str">
        <f>Rydberg!B35</f>
        <v>Speed of light in vacuum</v>
      </c>
      <c r="C31" s="661" t="str">
        <f>Rydberg!C35</f>
        <v>m/s</v>
      </c>
      <c r="D31" s="21">
        <f>Rydberg!D35</f>
        <v>299792458</v>
      </c>
      <c r="E31" s="8">
        <v>12</v>
      </c>
      <c r="F31" s="279">
        <f>D31/(F$3/F$4)</f>
        <v>429981696</v>
      </c>
      <c r="G31" s="142" t="str">
        <f t="shared" si="16"/>
        <v>1;000000000000</v>
      </c>
      <c r="H31" s="284">
        <v>8</v>
      </c>
      <c r="I31" s="285">
        <f>F31/POWER(12,H31)</f>
        <v>1</v>
      </c>
      <c r="J31" s="286"/>
      <c r="K31" s="40" t="str">
        <f t="shared" si="3"/>
        <v>1</v>
      </c>
      <c r="L31" s="24">
        <f t="shared" si="17"/>
        <v>0</v>
      </c>
      <c r="M31" s="41" t="str">
        <f t="shared" si="4"/>
        <v>0</v>
      </c>
      <c r="N31" s="24">
        <f t="shared" si="18"/>
        <v>0</v>
      </c>
      <c r="O31" s="41" t="str">
        <f t="shared" si="5"/>
        <v>0</v>
      </c>
      <c r="P31" s="24">
        <f t="shared" si="19"/>
        <v>0</v>
      </c>
      <c r="Q31" s="41" t="str">
        <f t="shared" si="6"/>
        <v>0</v>
      </c>
      <c r="R31" s="24">
        <f t="shared" si="20"/>
        <v>0</v>
      </c>
      <c r="S31" s="41" t="str">
        <f t="shared" si="7"/>
        <v>0</v>
      </c>
      <c r="T31" s="24">
        <f t="shared" si="21"/>
        <v>0</v>
      </c>
      <c r="U31" s="41" t="str">
        <f t="shared" si="8"/>
        <v>0</v>
      </c>
      <c r="V31" s="24">
        <f t="shared" si="22"/>
        <v>0</v>
      </c>
      <c r="W31" s="41" t="str">
        <f t="shared" si="9"/>
        <v>0</v>
      </c>
      <c r="X31" s="24">
        <f t="shared" si="23"/>
        <v>0</v>
      </c>
      <c r="Y31" s="41" t="str">
        <f t="shared" si="10"/>
        <v>0</v>
      </c>
      <c r="Z31" s="24">
        <f t="shared" si="24"/>
        <v>0</v>
      </c>
      <c r="AA31" s="41" t="str">
        <f t="shared" si="11"/>
        <v>0</v>
      </c>
      <c r="AB31" s="24">
        <f t="shared" si="25"/>
        <v>0</v>
      </c>
      <c r="AC31" s="41" t="str">
        <f t="shared" si="12"/>
        <v>0</v>
      </c>
      <c r="AD31" s="24">
        <f t="shared" si="26"/>
        <v>0</v>
      </c>
      <c r="AE31" s="41" t="str">
        <f t="shared" si="13"/>
        <v>0</v>
      </c>
      <c r="AF31" s="24">
        <f t="shared" si="27"/>
        <v>0</v>
      </c>
      <c r="AG31" s="41" t="str">
        <f t="shared" si="14"/>
        <v>0</v>
      </c>
      <c r="AH31" s="24">
        <f t="shared" si="28"/>
        <v>0</v>
      </c>
      <c r="AI31" s="41" t="str">
        <f t="shared" si="15"/>
        <v>0</v>
      </c>
    </row>
    <row r="32" spans="1:35" ht="15" customHeight="1">
      <c r="A32" s="719"/>
      <c r="B32" s="661" t="str">
        <f>Rydberg!B36</f>
        <v>Quantum of action</v>
      </c>
      <c r="C32" s="661" t="str">
        <f>Rydberg!C36</f>
        <v>Js</v>
      </c>
      <c r="D32" s="21">
        <f>Rydberg!D36</f>
        <v>1.0545718E-34</v>
      </c>
      <c r="E32" s="8">
        <v>7</v>
      </c>
      <c r="F32" s="279">
        <f>D32/(F$5*F$4)</f>
        <v>4.4035625115716551E-35</v>
      </c>
      <c r="G32" s="142" t="str">
        <f t="shared" si="16"/>
        <v>1;609064X</v>
      </c>
      <c r="H32" s="284">
        <v>-32</v>
      </c>
      <c r="I32" s="285">
        <f>F32/POWER(12,H32)+0.000000000001</f>
        <v>1.5052340686815795</v>
      </c>
      <c r="J32" s="286"/>
      <c r="K32" s="40" t="str">
        <f t="shared" si="3"/>
        <v>1</v>
      </c>
      <c r="L32" s="24">
        <f t="shared" si="17"/>
        <v>6.0628088241789539</v>
      </c>
      <c r="M32" s="41" t="str">
        <f t="shared" si="4"/>
        <v>6</v>
      </c>
      <c r="N32" s="24">
        <f t="shared" si="18"/>
        <v>0.75370589014744738</v>
      </c>
      <c r="O32" s="41" t="str">
        <f t="shared" si="5"/>
        <v>0</v>
      </c>
      <c r="P32" s="24">
        <f t="shared" si="19"/>
        <v>9.0444706817693685</v>
      </c>
      <c r="Q32" s="41" t="str">
        <f t="shared" si="6"/>
        <v>9</v>
      </c>
      <c r="R32" s="24">
        <f t="shared" si="20"/>
        <v>0.5336481812324223</v>
      </c>
      <c r="S32" s="41" t="str">
        <f t="shared" si="7"/>
        <v>0</v>
      </c>
      <c r="T32" s="24">
        <f t="shared" si="21"/>
        <v>6.4037781747890676</v>
      </c>
      <c r="U32" s="41" t="str">
        <f t="shared" si="8"/>
        <v>6</v>
      </c>
      <c r="V32" s="24">
        <f t="shared" si="22"/>
        <v>4.8453380974688116</v>
      </c>
      <c r="W32" s="41" t="str">
        <f t="shared" si="9"/>
        <v>4</v>
      </c>
      <c r="X32" s="24">
        <f t="shared" si="23"/>
        <v>10.144057169625739</v>
      </c>
      <c r="Y32" s="41" t="str">
        <f t="shared" si="10"/>
        <v>X</v>
      </c>
      <c r="Z32" s="24">
        <f t="shared" si="24"/>
        <v>1.728686035508872</v>
      </c>
      <c r="AA32" s="41" t="str">
        <f t="shared" si="11"/>
        <v/>
      </c>
      <c r="AB32" s="24">
        <f t="shared" si="25"/>
        <v>8.7442324261064641</v>
      </c>
      <c r="AC32" s="41" t="str">
        <f t="shared" si="12"/>
        <v/>
      </c>
      <c r="AD32" s="24">
        <f t="shared" si="26"/>
        <v>8.9307891132775694</v>
      </c>
      <c r="AE32" s="41" t="str">
        <f t="shared" si="13"/>
        <v/>
      </c>
      <c r="AF32" s="24">
        <f t="shared" si="27"/>
        <v>11.169469359330833</v>
      </c>
      <c r="AG32" s="41" t="str">
        <f t="shared" si="14"/>
        <v/>
      </c>
      <c r="AH32" s="24">
        <f t="shared" si="28"/>
        <v>2.0336323119699955</v>
      </c>
      <c r="AI32" s="41" t="str">
        <f t="shared" si="15"/>
        <v/>
      </c>
    </row>
    <row r="33" spans="1:35" ht="15" customHeight="1">
      <c r="A33" s="719"/>
      <c r="B33" s="661" t="str">
        <f>Rydberg!B37</f>
        <v>Boltzmann constant</v>
      </c>
      <c r="C33" s="661" t="str">
        <f>Rydberg!C37</f>
        <v>J/K</v>
      </c>
      <c r="D33" s="21">
        <f>Rydberg!D37</f>
        <v>1.3806485199999999E-23</v>
      </c>
      <c r="E33" s="8">
        <v>6</v>
      </c>
      <c r="F33" s="279">
        <f>D33/(F$5/F$6)</f>
        <v>1.1113603197264573E-24</v>
      </c>
      <c r="G33" s="142" t="str">
        <f t="shared" si="16"/>
        <v>7;442422</v>
      </c>
      <c r="H33" s="284">
        <v>-23</v>
      </c>
      <c r="I33" s="285">
        <f t="shared" ref="I33:I61" si="29">F33/POWER(12,H33)</f>
        <v>7.3624701271004804</v>
      </c>
      <c r="J33" s="286"/>
      <c r="K33" s="40" t="str">
        <f t="shared" si="3"/>
        <v>7</v>
      </c>
      <c r="L33" s="24">
        <f t="shared" si="17"/>
        <v>4.3496415252057652</v>
      </c>
      <c r="M33" s="41" t="str">
        <f t="shared" si="4"/>
        <v>4</v>
      </c>
      <c r="N33" s="24">
        <f t="shared" si="18"/>
        <v>4.1956983024691823</v>
      </c>
      <c r="O33" s="41" t="str">
        <f t="shared" si="5"/>
        <v>4</v>
      </c>
      <c r="P33" s="24">
        <f t="shared" si="19"/>
        <v>2.3483796296301875</v>
      </c>
      <c r="Q33" s="41" t="str">
        <f t="shared" si="6"/>
        <v>2</v>
      </c>
      <c r="R33" s="24">
        <f t="shared" si="20"/>
        <v>4.1805555555622504</v>
      </c>
      <c r="S33" s="41" t="str">
        <f t="shared" si="7"/>
        <v>4</v>
      </c>
      <c r="T33" s="24">
        <f t="shared" si="21"/>
        <v>2.1666666667470054</v>
      </c>
      <c r="U33" s="41" t="str">
        <f t="shared" si="8"/>
        <v>2</v>
      </c>
      <c r="V33" s="24">
        <f t="shared" si="22"/>
        <v>2.0000000009640644</v>
      </c>
      <c r="W33" s="41" t="str">
        <f t="shared" si="9"/>
        <v>2</v>
      </c>
      <c r="X33" s="24">
        <f t="shared" si="23"/>
        <v>1.1568772606551647E-8</v>
      </c>
      <c r="Y33" s="41" t="str">
        <f t="shared" si="10"/>
        <v/>
      </c>
      <c r="Z33" s="24">
        <f t="shared" si="24"/>
        <v>1.3882527127861977E-7</v>
      </c>
      <c r="AA33" s="41" t="str">
        <f t="shared" si="11"/>
        <v/>
      </c>
      <c r="AB33" s="24">
        <f t="shared" si="25"/>
        <v>1.6659032553434372E-6</v>
      </c>
      <c r="AC33" s="41" t="str">
        <f t="shared" si="12"/>
        <v/>
      </c>
      <c r="AD33" s="24">
        <f t="shared" si="26"/>
        <v>1.9990839064121246E-5</v>
      </c>
      <c r="AE33" s="41" t="str">
        <f t="shared" si="13"/>
        <v/>
      </c>
      <c r="AF33" s="24">
        <f t="shared" si="27"/>
        <v>2.3989006876945496E-4</v>
      </c>
      <c r="AG33" s="41" t="str">
        <f t="shared" si="14"/>
        <v/>
      </c>
      <c r="AH33" s="24">
        <f t="shared" si="28"/>
        <v>2.8786808252334595E-3</v>
      </c>
      <c r="AI33" s="41" t="str">
        <f t="shared" si="15"/>
        <v/>
      </c>
    </row>
    <row r="34" spans="1:35" ht="15" customHeight="1">
      <c r="A34" s="719"/>
      <c r="B34" s="661" t="str">
        <f>Rydberg!B38</f>
        <v>Gas constant</v>
      </c>
      <c r="C34" s="661" t="str">
        <f>Rydberg!C38</f>
        <v>J/(mol K)</v>
      </c>
      <c r="D34" s="21">
        <f>Rydberg!D38</f>
        <v>8.3144598614485812</v>
      </c>
      <c r="E34" s="8">
        <v>6</v>
      </c>
      <c r="F34" s="279">
        <f>D34/(F$5/F$6/F$7)</f>
        <v>9495.739513271712</v>
      </c>
      <c r="G34" s="142" t="str">
        <f t="shared" si="16"/>
        <v>5;5E38X6</v>
      </c>
      <c r="H34" s="284">
        <v>3</v>
      </c>
      <c r="I34" s="285">
        <f t="shared" si="29"/>
        <v>5.4952196257359445</v>
      </c>
      <c r="J34" s="286"/>
      <c r="K34" s="40" t="str">
        <f t="shared" si="3"/>
        <v>5</v>
      </c>
      <c r="L34" s="24">
        <f t="shared" si="17"/>
        <v>5.9426355088313336</v>
      </c>
      <c r="M34" s="41" t="str">
        <f t="shared" si="4"/>
        <v>5</v>
      </c>
      <c r="N34" s="24">
        <f t="shared" si="18"/>
        <v>11.311626105976003</v>
      </c>
      <c r="O34" s="41" t="str">
        <f t="shared" si="5"/>
        <v>E</v>
      </c>
      <c r="P34" s="24">
        <f t="shared" si="19"/>
        <v>3.7395132717120418</v>
      </c>
      <c r="Q34" s="41" t="str">
        <f t="shared" si="6"/>
        <v>3</v>
      </c>
      <c r="R34" s="24">
        <f t="shared" si="20"/>
        <v>8.8741592605445021</v>
      </c>
      <c r="S34" s="41" t="str">
        <f t="shared" si="7"/>
        <v>8</v>
      </c>
      <c r="T34" s="24">
        <f t="shared" si="21"/>
        <v>10.489911126534025</v>
      </c>
      <c r="U34" s="41" t="str">
        <f t="shared" si="8"/>
        <v>X</v>
      </c>
      <c r="V34" s="24">
        <f t="shared" si="22"/>
        <v>5.8789335184083029</v>
      </c>
      <c r="W34" s="41" t="str">
        <f t="shared" si="9"/>
        <v>6</v>
      </c>
      <c r="X34" s="24">
        <f t="shared" si="23"/>
        <v>10.547202220899635</v>
      </c>
      <c r="Y34" s="41" t="str">
        <f t="shared" si="10"/>
        <v/>
      </c>
      <c r="Z34" s="24">
        <f t="shared" si="24"/>
        <v>6.5664266507956199</v>
      </c>
      <c r="AA34" s="41" t="str">
        <f t="shared" si="11"/>
        <v/>
      </c>
      <c r="AB34" s="24">
        <f t="shared" si="25"/>
        <v>6.7971198095474392</v>
      </c>
      <c r="AC34" s="41" t="str">
        <f t="shared" si="12"/>
        <v/>
      </c>
      <c r="AD34" s="24">
        <f t="shared" si="26"/>
        <v>9.5654377145692706</v>
      </c>
      <c r="AE34" s="41" t="str">
        <f t="shared" si="13"/>
        <v/>
      </c>
      <c r="AF34" s="24">
        <f t="shared" si="27"/>
        <v>6.7852525748312473</v>
      </c>
      <c r="AG34" s="41" t="str">
        <f t="shared" si="14"/>
        <v/>
      </c>
      <c r="AH34" s="24">
        <f t="shared" si="28"/>
        <v>9.423030897974968</v>
      </c>
      <c r="AI34" s="41" t="str">
        <f t="shared" si="15"/>
        <v/>
      </c>
    </row>
    <row r="35" spans="1:35" ht="15" customHeight="1">
      <c r="A35" s="719"/>
      <c r="B35" s="661" t="str">
        <f>Rydberg!B39</f>
        <v>Unified atomic mass unit</v>
      </c>
      <c r="C35" s="661" t="str">
        <f>Rydberg!C39</f>
        <v>kg</v>
      </c>
      <c r="D35" s="21">
        <f>Rydberg!D39</f>
        <v>1.6605390399999999E-27</v>
      </c>
      <c r="E35" s="8">
        <v>7</v>
      </c>
      <c r="F35" s="279">
        <f>D35/F$8</f>
        <v>1.1703778498633777E-28</v>
      </c>
      <c r="G35" s="142" t="str">
        <f t="shared" si="16"/>
        <v>1;40E1EE9</v>
      </c>
      <c r="H35" s="284">
        <v>-26</v>
      </c>
      <c r="I35" s="285">
        <f t="shared" si="29"/>
        <v>1.3397954270518375</v>
      </c>
      <c r="J35" s="286"/>
      <c r="K35" s="40" t="str">
        <f t="shared" si="3"/>
        <v>1</v>
      </c>
      <c r="L35" s="24">
        <f t="shared" si="17"/>
        <v>4.0775451246220502</v>
      </c>
      <c r="M35" s="41" t="str">
        <f t="shared" si="4"/>
        <v>4</v>
      </c>
      <c r="N35" s="24">
        <f t="shared" si="18"/>
        <v>0.93054149546460252</v>
      </c>
      <c r="O35" s="41" t="str">
        <f t="shared" si="5"/>
        <v>0</v>
      </c>
      <c r="P35" s="24">
        <f t="shared" si="19"/>
        <v>11.16649794557523</v>
      </c>
      <c r="Q35" s="41" t="str">
        <f t="shared" si="6"/>
        <v>E</v>
      </c>
      <c r="R35" s="24">
        <f t="shared" si="20"/>
        <v>1.9979753469027628</v>
      </c>
      <c r="S35" s="41" t="str">
        <f t="shared" si="7"/>
        <v>1</v>
      </c>
      <c r="T35" s="24">
        <f t="shared" si="21"/>
        <v>11.975704162833154</v>
      </c>
      <c r="U35" s="41" t="str">
        <f t="shared" si="8"/>
        <v>E</v>
      </c>
      <c r="V35" s="24">
        <f t="shared" si="22"/>
        <v>11.708449953997842</v>
      </c>
      <c r="W35" s="41" t="str">
        <f t="shared" si="9"/>
        <v>E</v>
      </c>
      <c r="X35" s="24">
        <f t="shared" si="23"/>
        <v>8.5013994479741086</v>
      </c>
      <c r="Y35" s="41" t="str">
        <f t="shared" si="10"/>
        <v>9</v>
      </c>
      <c r="Z35" s="24">
        <f t="shared" si="24"/>
        <v>6.0167933756893035</v>
      </c>
      <c r="AA35" s="41" t="str">
        <f t="shared" si="11"/>
        <v/>
      </c>
      <c r="AB35" s="24">
        <f t="shared" si="25"/>
        <v>0.20152050827164203</v>
      </c>
      <c r="AC35" s="41" t="str">
        <f t="shared" si="12"/>
        <v/>
      </c>
      <c r="AD35" s="24">
        <f t="shared" si="26"/>
        <v>2.4182460992597044</v>
      </c>
      <c r="AE35" s="41" t="str">
        <f t="shared" si="13"/>
        <v/>
      </c>
      <c r="AF35" s="24">
        <f t="shared" si="27"/>
        <v>5.0189531911164522</v>
      </c>
      <c r="AG35" s="41" t="str">
        <f t="shared" si="14"/>
        <v/>
      </c>
      <c r="AH35" s="24">
        <f t="shared" si="28"/>
        <v>0.22743829339742661</v>
      </c>
      <c r="AI35" s="41" t="str">
        <f t="shared" si="15"/>
        <v/>
      </c>
    </row>
    <row r="36" spans="1:35" ht="15" customHeight="1">
      <c r="A36" s="719"/>
      <c r="B36" s="661" t="str">
        <f>Rydberg!B40</f>
        <v>Bohr Radius</v>
      </c>
      <c r="C36" s="661" t="str">
        <f>Rydberg!C40</f>
        <v>m</v>
      </c>
      <c r="D36" s="21">
        <f>Rydberg!D40</f>
        <v>5.2917721067E-11</v>
      </c>
      <c r="E36" s="8">
        <v>9</v>
      </c>
      <c r="F36" s="279">
        <f>D36/F$3</f>
        <v>2.1858626833793382E-10</v>
      </c>
      <c r="G36" s="142" t="str">
        <f t="shared" si="16"/>
        <v>1;164E2E429</v>
      </c>
      <c r="H36" s="284">
        <v>-9</v>
      </c>
      <c r="I36" s="285">
        <f t="shared" si="29"/>
        <v>1.1278571325870708</v>
      </c>
      <c r="J36" s="286"/>
      <c r="K36" s="40" t="str">
        <f t="shared" si="3"/>
        <v>1</v>
      </c>
      <c r="L36" s="24">
        <f t="shared" si="17"/>
        <v>1.5342855910448492</v>
      </c>
      <c r="M36" s="41" t="str">
        <f t="shared" si="4"/>
        <v>1</v>
      </c>
      <c r="N36" s="24">
        <f t="shared" si="18"/>
        <v>6.4114270925381902</v>
      </c>
      <c r="O36" s="41" t="str">
        <f t="shared" si="5"/>
        <v>6</v>
      </c>
      <c r="P36" s="24">
        <f t="shared" si="19"/>
        <v>4.9371251104582825</v>
      </c>
      <c r="Q36" s="41" t="str">
        <f t="shared" si="6"/>
        <v>4</v>
      </c>
      <c r="R36" s="24">
        <f t="shared" si="20"/>
        <v>11.24550132549939</v>
      </c>
      <c r="S36" s="41" t="str">
        <f t="shared" si="7"/>
        <v>E</v>
      </c>
      <c r="T36" s="24">
        <f t="shared" si="21"/>
        <v>2.9460159059926809</v>
      </c>
      <c r="U36" s="41" t="str">
        <f t="shared" si="8"/>
        <v>2</v>
      </c>
      <c r="V36" s="24">
        <f t="shared" si="22"/>
        <v>11.352190871912171</v>
      </c>
      <c r="W36" s="41" t="str">
        <f t="shared" si="9"/>
        <v>E</v>
      </c>
      <c r="X36" s="24">
        <f t="shared" si="23"/>
        <v>4.2262904629460536</v>
      </c>
      <c r="Y36" s="41" t="str">
        <f t="shared" si="10"/>
        <v>4</v>
      </c>
      <c r="Z36" s="24">
        <f t="shared" si="24"/>
        <v>2.7154855553526431</v>
      </c>
      <c r="AA36" s="41" t="str">
        <f t="shared" si="11"/>
        <v>2</v>
      </c>
      <c r="AB36" s="24">
        <f t="shared" si="25"/>
        <v>8.5858266642317176</v>
      </c>
      <c r="AC36" s="41" t="str">
        <f t="shared" si="12"/>
        <v>9</v>
      </c>
      <c r="AD36" s="24">
        <f t="shared" si="26"/>
        <v>7.029919970780611</v>
      </c>
      <c r="AE36" s="41" t="str">
        <f t="shared" si="13"/>
        <v/>
      </c>
      <c r="AF36" s="24">
        <f t="shared" si="27"/>
        <v>0.35903964936733246</v>
      </c>
      <c r="AG36" s="41" t="str">
        <f t="shared" si="14"/>
        <v/>
      </c>
      <c r="AH36" s="24">
        <f t="shared" si="28"/>
        <v>4.3084757924079895</v>
      </c>
      <c r="AI36" s="41" t="str">
        <f t="shared" si="15"/>
        <v/>
      </c>
    </row>
    <row r="37" spans="1:35" ht="15" customHeight="1">
      <c r="A37" s="719"/>
      <c r="B37" s="661" t="str">
        <f>Rydberg!B41</f>
        <v>Elementary electric charge</v>
      </c>
      <c r="C37" s="661" t="str">
        <f>Rydberg!C41</f>
        <v>C</v>
      </c>
      <c r="D37" s="21">
        <f>Rydberg!D41</f>
        <v>1.6021766207155676E-19</v>
      </c>
      <c r="E37" s="8">
        <v>9</v>
      </c>
      <c r="F37" s="279">
        <f>D37/F$12</f>
        <v>2.0095077229778059E-18</v>
      </c>
      <c r="G37" s="142" t="str">
        <f t="shared" si="16"/>
        <v>4;55EE7884E</v>
      </c>
      <c r="H37" s="284">
        <v>-17</v>
      </c>
      <c r="I37" s="285">
        <f t="shared" si="29"/>
        <v>4.4583161532792452</v>
      </c>
      <c r="J37" s="286"/>
      <c r="K37" s="40" t="str">
        <f t="shared" si="3"/>
        <v>4</v>
      </c>
      <c r="L37" s="24">
        <f t="shared" si="17"/>
        <v>5.4997938393509429</v>
      </c>
      <c r="M37" s="41" t="str">
        <f t="shared" si="4"/>
        <v>5</v>
      </c>
      <c r="N37" s="24">
        <f t="shared" si="18"/>
        <v>5.9975260722113148</v>
      </c>
      <c r="O37" s="41" t="str">
        <f t="shared" si="5"/>
        <v>5</v>
      </c>
      <c r="P37" s="24">
        <f t="shared" si="19"/>
        <v>11.970312866535778</v>
      </c>
      <c r="Q37" s="41" t="str">
        <f t="shared" si="6"/>
        <v>E</v>
      </c>
      <c r="R37" s="24">
        <f t="shared" si="20"/>
        <v>11.643754398429337</v>
      </c>
      <c r="S37" s="41" t="str">
        <f t="shared" si="7"/>
        <v>E</v>
      </c>
      <c r="T37" s="24">
        <f t="shared" si="21"/>
        <v>7.7250527811520442</v>
      </c>
      <c r="U37" s="41" t="str">
        <f t="shared" si="8"/>
        <v>7</v>
      </c>
      <c r="V37" s="24">
        <f t="shared" si="22"/>
        <v>8.7006333738245303</v>
      </c>
      <c r="W37" s="41" t="str">
        <f t="shared" si="9"/>
        <v>8</v>
      </c>
      <c r="X37" s="24">
        <f t="shared" si="23"/>
        <v>8.4076004858943634</v>
      </c>
      <c r="Y37" s="41" t="str">
        <f t="shared" si="10"/>
        <v>8</v>
      </c>
      <c r="Z37" s="24">
        <f t="shared" si="24"/>
        <v>4.8912058307323605</v>
      </c>
      <c r="AA37" s="41" t="str">
        <f t="shared" si="11"/>
        <v>4</v>
      </c>
      <c r="AB37" s="24">
        <f t="shared" si="25"/>
        <v>10.694469968788326</v>
      </c>
      <c r="AC37" s="41" t="str">
        <f t="shared" si="12"/>
        <v>E</v>
      </c>
      <c r="AD37" s="24">
        <f t="shared" si="26"/>
        <v>8.3336396254599094</v>
      </c>
      <c r="AE37" s="41" t="str">
        <f t="shared" si="13"/>
        <v/>
      </c>
      <c r="AF37" s="24">
        <f t="shared" si="27"/>
        <v>4.0036755055189133</v>
      </c>
      <c r="AG37" s="41" t="str">
        <f t="shared" si="14"/>
        <v/>
      </c>
      <c r="AH37" s="24">
        <f t="shared" si="28"/>
        <v>4.4106066226959229E-2</v>
      </c>
      <c r="AI37" s="41" t="str">
        <f t="shared" si="15"/>
        <v/>
      </c>
    </row>
    <row r="38" spans="1:35" ht="15" customHeight="1">
      <c r="A38" s="719"/>
      <c r="B38" s="661" t="str">
        <f>Rydberg!B42</f>
        <v>Electron mass</v>
      </c>
      <c r="C38" s="661" t="str">
        <f>Rydberg!C42</f>
        <v>kg</v>
      </c>
      <c r="D38" s="21">
        <f>Rydberg!D42</f>
        <v>9.1093835599999998E-31</v>
      </c>
      <c r="E38" s="8">
        <v>7</v>
      </c>
      <c r="F38" s="279">
        <f>D38/F$8</f>
        <v>6.4204577475839424E-32</v>
      </c>
      <c r="G38" s="142" t="str">
        <f t="shared" si="16"/>
        <v>1;32X7X05</v>
      </c>
      <c r="H38" s="284">
        <v>-29</v>
      </c>
      <c r="I38" s="285">
        <f t="shared" si="29"/>
        <v>1.2700538275238742</v>
      </c>
      <c r="J38" s="286"/>
      <c r="K38" s="40" t="str">
        <f t="shared" si="3"/>
        <v>1</v>
      </c>
      <c r="L38" s="24">
        <f t="shared" si="17"/>
        <v>3.2406459302864903</v>
      </c>
      <c r="M38" s="41" t="str">
        <f t="shared" si="4"/>
        <v>3</v>
      </c>
      <c r="N38" s="24">
        <f t="shared" si="18"/>
        <v>2.8877511634378834</v>
      </c>
      <c r="O38" s="41" t="str">
        <f t="shared" si="5"/>
        <v>2</v>
      </c>
      <c r="P38" s="24">
        <f t="shared" si="19"/>
        <v>10.653013961254601</v>
      </c>
      <c r="Q38" s="41" t="str">
        <f t="shared" si="6"/>
        <v>X</v>
      </c>
      <c r="R38" s="24">
        <f t="shared" si="20"/>
        <v>7.8361675350552105</v>
      </c>
      <c r="S38" s="41" t="str">
        <f t="shared" si="7"/>
        <v>7</v>
      </c>
      <c r="T38" s="24">
        <f t="shared" si="21"/>
        <v>10.034010420662526</v>
      </c>
      <c r="U38" s="41" t="str">
        <f t="shared" si="8"/>
        <v>X</v>
      </c>
      <c r="V38" s="24">
        <f t="shared" si="22"/>
        <v>0.40812504795030691</v>
      </c>
      <c r="W38" s="41" t="str">
        <f t="shared" si="9"/>
        <v>0</v>
      </c>
      <c r="X38" s="24">
        <f t="shared" si="23"/>
        <v>4.8975005754036829</v>
      </c>
      <c r="Y38" s="41" t="str">
        <f t="shared" si="10"/>
        <v>5</v>
      </c>
      <c r="Z38" s="24">
        <f t="shared" si="24"/>
        <v>10.770006904844195</v>
      </c>
      <c r="AA38" s="41" t="str">
        <f t="shared" si="11"/>
        <v/>
      </c>
      <c r="AB38" s="24">
        <f t="shared" si="25"/>
        <v>9.2400828581303358</v>
      </c>
      <c r="AC38" s="41" t="str">
        <f t="shared" si="12"/>
        <v/>
      </c>
      <c r="AD38" s="24">
        <f t="shared" si="26"/>
        <v>2.8809942975640297</v>
      </c>
      <c r="AE38" s="41" t="str">
        <f t="shared" si="13"/>
        <v/>
      </c>
      <c r="AF38" s="24">
        <f t="shared" si="27"/>
        <v>10.571931570768356</v>
      </c>
      <c r="AG38" s="41" t="str">
        <f t="shared" si="14"/>
        <v/>
      </c>
      <c r="AH38" s="24">
        <f t="shared" si="28"/>
        <v>6.8631788492202759</v>
      </c>
      <c r="AI38" s="41" t="str">
        <f t="shared" si="15"/>
        <v/>
      </c>
    </row>
    <row r="39" spans="1:35" ht="15" customHeight="1">
      <c r="A39" s="719"/>
      <c r="B39" s="661" t="str">
        <f>Rydberg!B44</f>
        <v>Newtonian constant of gravitation</v>
      </c>
      <c r="C39" s="661" t="str">
        <f>Rydberg!C44</f>
        <v>(m/s)^4/N</v>
      </c>
      <c r="D39" s="21">
        <f>Rydberg!D44</f>
        <v>6.674079999999999E-11</v>
      </c>
      <c r="E39" s="8">
        <v>4</v>
      </c>
      <c r="F39" s="279">
        <f>D39/(POWER(F$3/F$4,4)/F$10)</f>
        <v>8.0462714295002172E-9</v>
      </c>
      <c r="G39" s="142" t="str">
        <f t="shared" si="16"/>
        <v>3;5625</v>
      </c>
      <c r="H39" s="284">
        <v>-8</v>
      </c>
      <c r="I39" s="285">
        <f t="shared" si="29"/>
        <v>3.4597494357328475</v>
      </c>
      <c r="J39" s="286"/>
      <c r="K39" s="40" t="str">
        <f t="shared" si="3"/>
        <v>3</v>
      </c>
      <c r="L39" s="24">
        <f t="shared" si="17"/>
        <v>5.5169932287941705</v>
      </c>
      <c r="M39" s="41" t="str">
        <f t="shared" si="4"/>
        <v>5</v>
      </c>
      <c r="N39" s="24">
        <f t="shared" si="18"/>
        <v>6.2039187455300464</v>
      </c>
      <c r="O39" s="41" t="str">
        <f t="shared" si="5"/>
        <v>6</v>
      </c>
      <c r="P39" s="24">
        <f t="shared" si="19"/>
        <v>2.4470249463605569</v>
      </c>
      <c r="Q39" s="41" t="str">
        <f t="shared" si="6"/>
        <v>2</v>
      </c>
      <c r="R39" s="24">
        <f t="shared" si="20"/>
        <v>5.3642993563266828</v>
      </c>
      <c r="S39" s="41" t="str">
        <f t="shared" si="7"/>
        <v>5</v>
      </c>
      <c r="T39" s="24">
        <f t="shared" si="21"/>
        <v>4.3715922759201931</v>
      </c>
      <c r="U39" s="41" t="str">
        <f t="shared" si="8"/>
        <v/>
      </c>
      <c r="V39" s="24">
        <f t="shared" si="22"/>
        <v>4.4591073110423167</v>
      </c>
      <c r="W39" s="41" t="str">
        <f t="shared" si="9"/>
        <v/>
      </c>
      <c r="X39" s="24">
        <f t="shared" si="23"/>
        <v>5.5092877325078007</v>
      </c>
      <c r="Y39" s="41" t="str">
        <f t="shared" si="10"/>
        <v/>
      </c>
      <c r="Z39" s="24">
        <f t="shared" si="24"/>
        <v>6.1114527900936082</v>
      </c>
      <c r="AA39" s="41" t="str">
        <f t="shared" si="11"/>
        <v/>
      </c>
      <c r="AB39" s="24">
        <f t="shared" si="25"/>
        <v>1.3374334811232984</v>
      </c>
      <c r="AC39" s="41" t="str">
        <f t="shared" si="12"/>
        <v/>
      </c>
      <c r="AD39" s="24">
        <f t="shared" si="26"/>
        <v>4.0492017734795809</v>
      </c>
      <c r="AE39" s="41" t="str">
        <f t="shared" si="13"/>
        <v/>
      </c>
      <c r="AF39" s="24">
        <f t="shared" si="27"/>
        <v>0.59042128175497055</v>
      </c>
      <c r="AG39" s="41" t="str">
        <f t="shared" si="14"/>
        <v/>
      </c>
      <c r="AH39" s="24">
        <f t="shared" si="28"/>
        <v>7.0850553810596466</v>
      </c>
      <c r="AI39" s="41" t="str">
        <f t="shared" si="15"/>
        <v/>
      </c>
    </row>
    <row r="40" spans="1:35" ht="15" customHeight="1">
      <c r="A40" s="719"/>
      <c r="B40" s="661" t="str">
        <f>Rydberg!B45</f>
        <v>Planck force</v>
      </c>
      <c r="C40" s="661" t="str">
        <f>Rydberg!C45</f>
        <v>N</v>
      </c>
      <c r="D40" s="21">
        <f>Rydberg!D45</f>
        <v>1.2102954584096223E+44</v>
      </c>
      <c r="E40" s="8">
        <v>4</v>
      </c>
      <c r="F40" s="279">
        <f>D40/F$10</f>
        <v>4.2482023489592906E+42</v>
      </c>
      <c r="G40" s="142" t="str">
        <f t="shared" si="16"/>
        <v>3;5756</v>
      </c>
      <c r="H40" s="284">
        <v>39</v>
      </c>
      <c r="I40" s="285">
        <f t="shared" si="29"/>
        <v>3.4684592693511482</v>
      </c>
      <c r="J40" s="286"/>
      <c r="K40" s="40" t="str">
        <f t="shared" si="3"/>
        <v>3</v>
      </c>
      <c r="L40" s="24">
        <f t="shared" si="17"/>
        <v>5.6215112322137788</v>
      </c>
      <c r="M40" s="41" t="str">
        <f t="shared" si="4"/>
        <v>5</v>
      </c>
      <c r="N40" s="24">
        <f t="shared" si="18"/>
        <v>7.4581347865653456</v>
      </c>
      <c r="O40" s="41" t="str">
        <f t="shared" si="5"/>
        <v>7</v>
      </c>
      <c r="P40" s="24">
        <f t="shared" si="19"/>
        <v>5.4976174387841468</v>
      </c>
      <c r="Q40" s="41" t="str">
        <f t="shared" si="6"/>
        <v>5</v>
      </c>
      <c r="R40" s="24">
        <f t="shared" si="20"/>
        <v>5.9714092654097612</v>
      </c>
      <c r="S40" s="41" t="str">
        <f t="shared" si="7"/>
        <v>6</v>
      </c>
      <c r="T40" s="24">
        <f t="shared" si="21"/>
        <v>11.656911184917135</v>
      </c>
      <c r="U40" s="41" t="str">
        <f t="shared" si="8"/>
        <v/>
      </c>
      <c r="V40" s="24">
        <f t="shared" si="22"/>
        <v>7.8829342190056195</v>
      </c>
      <c r="W40" s="41" t="str">
        <f t="shared" si="9"/>
        <v/>
      </c>
      <c r="X40" s="24">
        <f t="shared" si="23"/>
        <v>10.595210628067434</v>
      </c>
      <c r="Y40" s="41" t="str">
        <f t="shared" si="10"/>
        <v/>
      </c>
      <c r="Z40" s="24">
        <f t="shared" si="24"/>
        <v>7.1425275368092116</v>
      </c>
      <c r="AA40" s="41" t="str">
        <f t="shared" si="11"/>
        <v/>
      </c>
      <c r="AB40" s="24">
        <f t="shared" si="25"/>
        <v>1.7103304417105392</v>
      </c>
      <c r="AC40" s="41" t="str">
        <f t="shared" si="12"/>
        <v/>
      </c>
      <c r="AD40" s="24">
        <f t="shared" si="26"/>
        <v>8.5239653005264699</v>
      </c>
      <c r="AE40" s="41" t="str">
        <f t="shared" si="13"/>
        <v/>
      </c>
      <c r="AF40" s="24">
        <f t="shared" si="27"/>
        <v>6.2875836063176394</v>
      </c>
      <c r="AG40" s="41" t="str">
        <f t="shared" si="14"/>
        <v/>
      </c>
      <c r="AH40" s="24">
        <f t="shared" si="28"/>
        <v>3.4510032758116722</v>
      </c>
      <c r="AI40" s="41" t="str">
        <f t="shared" si="15"/>
        <v/>
      </c>
    </row>
    <row r="41" spans="1:35" ht="15" customHeight="1">
      <c r="A41" s="719"/>
      <c r="B41" s="661" t="str">
        <f>Rydberg!B46</f>
        <v>Gravitic meter</v>
      </c>
      <c r="C41" s="661" t="str">
        <f>Rydberg!C46</f>
        <v>m</v>
      </c>
      <c r="D41" s="21">
        <f>Rydberg!D46</f>
        <v>9.5617360022251509E-35</v>
      </c>
      <c r="E41" s="8">
        <v>4</v>
      </c>
      <c r="F41" s="279">
        <f>D41/F$3</f>
        <v>3.9496489066726903E-34</v>
      </c>
      <c r="G41" s="142" t="str">
        <f t="shared" si="16"/>
        <v>1;1601</v>
      </c>
      <c r="H41" s="284">
        <v>-31</v>
      </c>
      <c r="I41" s="285">
        <f t="shared" si="29"/>
        <v>1.1250637179231051</v>
      </c>
      <c r="J41" s="286"/>
      <c r="K41" s="40" t="str">
        <f t="shared" si="3"/>
        <v>1</v>
      </c>
      <c r="L41" s="24">
        <f t="shared" si="17"/>
        <v>1.5007646150772613</v>
      </c>
      <c r="M41" s="41" t="str">
        <f t="shared" si="4"/>
        <v>1</v>
      </c>
      <c r="N41" s="24">
        <f t="shared" si="18"/>
        <v>6.009175380927136</v>
      </c>
      <c r="O41" s="41" t="str">
        <f t="shared" si="5"/>
        <v>6</v>
      </c>
      <c r="P41" s="24">
        <f t="shared" si="19"/>
        <v>0.11010457112563188</v>
      </c>
      <c r="Q41" s="41" t="str">
        <f t="shared" si="6"/>
        <v>0</v>
      </c>
      <c r="R41" s="24">
        <f t="shared" si="20"/>
        <v>1.3212548535075825</v>
      </c>
      <c r="S41" s="41" t="str">
        <f t="shared" si="7"/>
        <v>1</v>
      </c>
      <c r="T41" s="24">
        <f t="shared" si="21"/>
        <v>3.8550582420909905</v>
      </c>
      <c r="U41" s="41" t="str">
        <f t="shared" si="8"/>
        <v/>
      </c>
      <c r="V41" s="24">
        <f t="shared" si="22"/>
        <v>10.260698905091886</v>
      </c>
      <c r="W41" s="41" t="str">
        <f t="shared" si="9"/>
        <v/>
      </c>
      <c r="X41" s="24">
        <f t="shared" si="23"/>
        <v>3.1283868611026264</v>
      </c>
      <c r="Y41" s="41" t="str">
        <f t="shared" si="10"/>
        <v/>
      </c>
      <c r="Z41" s="24">
        <f t="shared" si="24"/>
        <v>1.5406423332315171</v>
      </c>
      <c r="AA41" s="41" t="str">
        <f t="shared" si="11"/>
        <v/>
      </c>
      <c r="AB41" s="24">
        <f t="shared" si="25"/>
        <v>6.4877079987782054</v>
      </c>
      <c r="AC41" s="41" t="str">
        <f t="shared" si="12"/>
        <v/>
      </c>
      <c r="AD41" s="24">
        <f t="shared" si="26"/>
        <v>5.8524959853384644</v>
      </c>
      <c r="AE41" s="41" t="str">
        <f t="shared" si="13"/>
        <v/>
      </c>
      <c r="AF41" s="24">
        <f t="shared" si="27"/>
        <v>10.229951824061573</v>
      </c>
      <c r="AG41" s="41" t="str">
        <f t="shared" si="14"/>
        <v/>
      </c>
      <c r="AH41" s="24">
        <f t="shared" si="28"/>
        <v>2.7594218887388706</v>
      </c>
      <c r="AI41" s="41" t="str">
        <f t="shared" si="15"/>
        <v/>
      </c>
    </row>
    <row r="42" spans="1:35" ht="15" customHeight="1">
      <c r="A42" s="719"/>
      <c r="B42" s="661" t="str">
        <f>Rydberg!B47</f>
        <v>Planck length</v>
      </c>
      <c r="C42" s="661" t="str">
        <f>Rydberg!C47</f>
        <v>m</v>
      </c>
      <c r="D42" s="21">
        <f>Rydberg!D47</f>
        <v>1.6162283729742846E-35</v>
      </c>
      <c r="E42" s="8">
        <v>4</v>
      </c>
      <c r="F42" s="279">
        <f>D42/F$3</f>
        <v>6.6761251563165152E-35</v>
      </c>
      <c r="G42" s="142" t="str">
        <f t="shared" si="16"/>
        <v>2;3475</v>
      </c>
      <c r="H42" s="284">
        <v>-32</v>
      </c>
      <c r="I42" s="285">
        <f t="shared" si="29"/>
        <v>2.2820457313041502</v>
      </c>
      <c r="J42" s="286"/>
      <c r="K42" s="40" t="str">
        <f t="shared" si="3"/>
        <v>2</v>
      </c>
      <c r="L42" s="24">
        <f t="shared" si="17"/>
        <v>3.3845487756498027</v>
      </c>
      <c r="M42" s="41" t="str">
        <f t="shared" si="4"/>
        <v>3</v>
      </c>
      <c r="N42" s="24">
        <f t="shared" si="18"/>
        <v>4.6145853077976327</v>
      </c>
      <c r="O42" s="41" t="str">
        <f t="shared" si="5"/>
        <v>4</v>
      </c>
      <c r="P42" s="24">
        <f t="shared" si="19"/>
        <v>7.3750236935715918</v>
      </c>
      <c r="Q42" s="41" t="str">
        <f t="shared" si="6"/>
        <v>7</v>
      </c>
      <c r="R42" s="24">
        <f t="shared" si="20"/>
        <v>4.5002843228591018</v>
      </c>
      <c r="S42" s="41" t="str">
        <f t="shared" si="7"/>
        <v>5</v>
      </c>
      <c r="T42" s="24">
        <f t="shared" si="21"/>
        <v>6.0034118743092222</v>
      </c>
      <c r="U42" s="41" t="str">
        <f t="shared" si="8"/>
        <v/>
      </c>
      <c r="V42" s="24">
        <f t="shared" si="22"/>
        <v>4.0942491710666218E-2</v>
      </c>
      <c r="W42" s="41" t="str">
        <f t="shared" si="9"/>
        <v/>
      </c>
      <c r="X42" s="24">
        <f t="shared" si="23"/>
        <v>0.49130990052799461</v>
      </c>
      <c r="Y42" s="41" t="str">
        <f t="shared" si="10"/>
        <v/>
      </c>
      <c r="Z42" s="24">
        <f t="shared" si="24"/>
        <v>5.8957188063359354</v>
      </c>
      <c r="AA42" s="41" t="str">
        <f t="shared" si="11"/>
        <v/>
      </c>
      <c r="AB42" s="24">
        <f t="shared" si="25"/>
        <v>10.748625676031224</v>
      </c>
      <c r="AC42" s="41" t="str">
        <f t="shared" si="12"/>
        <v/>
      </c>
      <c r="AD42" s="24">
        <f t="shared" si="26"/>
        <v>8.9835081123746932</v>
      </c>
      <c r="AE42" s="41" t="str">
        <f t="shared" si="13"/>
        <v/>
      </c>
      <c r="AF42" s="24">
        <f t="shared" si="27"/>
        <v>11.802097348496318</v>
      </c>
      <c r="AG42" s="41" t="str">
        <f t="shared" si="14"/>
        <v/>
      </c>
      <c r="AH42" s="24">
        <f t="shared" si="28"/>
        <v>9.6251681819558144</v>
      </c>
      <c r="AI42" s="41" t="str">
        <f t="shared" si="15"/>
        <v/>
      </c>
    </row>
    <row r="43" spans="1:35" ht="15" customHeight="1">
      <c r="A43" s="719"/>
      <c r="B43" s="661" t="str">
        <f>Rydberg!B48</f>
        <v>Adjusted Planck length</v>
      </c>
      <c r="C43" s="661" t="str">
        <f>Rydberg!C48</f>
        <v>m</v>
      </c>
      <c r="D43" s="21">
        <f>Rydberg!D48</f>
        <v>1.8919953376855748E-34</v>
      </c>
      <c r="E43" s="8">
        <v>4</v>
      </c>
      <c r="F43" s="279">
        <f>D43/F$3</f>
        <v>7.8152307438530514E-34</v>
      </c>
      <c r="G43" s="142" t="str">
        <f t="shared" si="16"/>
        <v>2;286X</v>
      </c>
      <c r="H43" s="284">
        <v>-31</v>
      </c>
      <c r="I43" s="285">
        <f t="shared" si="29"/>
        <v>2.2261807985645645</v>
      </c>
      <c r="J43" s="286"/>
      <c r="K43" s="40" t="str">
        <f t="shared" si="3"/>
        <v>2</v>
      </c>
      <c r="L43" s="24">
        <f t="shared" si="17"/>
        <v>2.7141695827747743</v>
      </c>
      <c r="M43" s="41" t="str">
        <f t="shared" si="4"/>
        <v>2</v>
      </c>
      <c r="N43" s="24">
        <f t="shared" si="18"/>
        <v>8.5700349932972912</v>
      </c>
      <c r="O43" s="41" t="str">
        <f t="shared" si="5"/>
        <v>8</v>
      </c>
      <c r="P43" s="24">
        <f t="shared" si="19"/>
        <v>6.8404199195674948</v>
      </c>
      <c r="Q43" s="41" t="str">
        <f t="shared" si="6"/>
        <v>6</v>
      </c>
      <c r="R43" s="24">
        <f t="shared" si="20"/>
        <v>10.085039034809938</v>
      </c>
      <c r="S43" s="41" t="str">
        <f t="shared" si="7"/>
        <v>X</v>
      </c>
      <c r="T43" s="24">
        <f t="shared" si="21"/>
        <v>1.0204684177192576</v>
      </c>
      <c r="U43" s="41" t="str">
        <f t="shared" si="8"/>
        <v/>
      </c>
      <c r="V43" s="24">
        <f t="shared" si="22"/>
        <v>0.24562101263109071</v>
      </c>
      <c r="W43" s="41" t="str">
        <f t="shared" si="9"/>
        <v/>
      </c>
      <c r="X43" s="24">
        <f t="shared" si="23"/>
        <v>2.9474521515730885</v>
      </c>
      <c r="Y43" s="41" t="str">
        <f t="shared" si="10"/>
        <v/>
      </c>
      <c r="Z43" s="24">
        <f t="shared" si="24"/>
        <v>11.369425818877062</v>
      </c>
      <c r="AA43" s="41" t="str">
        <f t="shared" si="11"/>
        <v/>
      </c>
      <c r="AB43" s="24">
        <f t="shared" si="25"/>
        <v>4.4331098265247419</v>
      </c>
      <c r="AC43" s="41" t="str">
        <f t="shared" si="12"/>
        <v/>
      </c>
      <c r="AD43" s="24">
        <f t="shared" si="26"/>
        <v>5.1973179182969034</v>
      </c>
      <c r="AE43" s="41" t="str">
        <f t="shared" si="13"/>
        <v/>
      </c>
      <c r="AF43" s="24">
        <f t="shared" si="27"/>
        <v>2.3678150195628405</v>
      </c>
      <c r="AG43" s="41" t="str">
        <f t="shared" si="14"/>
        <v/>
      </c>
      <c r="AH43" s="24">
        <f t="shared" si="28"/>
        <v>4.4137802347540855</v>
      </c>
      <c r="AI43" s="41" t="str">
        <f t="shared" si="15"/>
        <v/>
      </c>
    </row>
    <row r="44" spans="1:35" ht="15" customHeight="1">
      <c r="A44" s="719"/>
      <c r="B44" s="661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79">
        <f>D44/(F$9*POWER(F$3,-2)*POWER(F$6,-4))</f>
        <v>1.5894819740516948E-11</v>
      </c>
      <c r="G44" s="142" t="str">
        <f t="shared" si="16"/>
        <v>E;98779</v>
      </c>
      <c r="H44" s="284">
        <v>-11</v>
      </c>
      <c r="I44" s="285">
        <f t="shared" si="29"/>
        <v>11.809984117780957</v>
      </c>
      <c r="J44" s="286"/>
      <c r="K44" s="40" t="str">
        <f t="shared" si="3"/>
        <v>E</v>
      </c>
      <c r="L44" s="24">
        <f t="shared" si="17"/>
        <v>9.719809413371479</v>
      </c>
      <c r="M44" s="41" t="str">
        <f t="shared" si="4"/>
        <v>9</v>
      </c>
      <c r="N44" s="24">
        <f t="shared" si="18"/>
        <v>8.6377129604577476</v>
      </c>
      <c r="O44" s="41" t="str">
        <f t="shared" si="5"/>
        <v>8</v>
      </c>
      <c r="P44" s="24">
        <f t="shared" si="19"/>
        <v>7.6525555254929714</v>
      </c>
      <c r="Q44" s="41" t="str">
        <f t="shared" si="6"/>
        <v>7</v>
      </c>
      <c r="R44" s="24">
        <f t="shared" si="20"/>
        <v>7.8306663059156563</v>
      </c>
      <c r="S44" s="41" t="str">
        <f t="shared" si="7"/>
        <v>7</v>
      </c>
      <c r="T44" s="24">
        <f t="shared" si="21"/>
        <v>9.9679956709878752</v>
      </c>
      <c r="U44" s="41" t="str">
        <f t="shared" si="8"/>
        <v>9</v>
      </c>
      <c r="V44" s="24">
        <f t="shared" si="22"/>
        <v>11.615948051854502</v>
      </c>
      <c r="W44" s="41" t="str">
        <f t="shared" si="9"/>
        <v/>
      </c>
      <c r="X44" s="24">
        <f t="shared" si="23"/>
        <v>7.3913766222540289</v>
      </c>
      <c r="Y44" s="41" t="str">
        <f t="shared" si="10"/>
        <v/>
      </c>
      <c r="Z44" s="24">
        <f t="shared" si="24"/>
        <v>4.696519467048347</v>
      </c>
      <c r="AA44" s="41" t="str">
        <f t="shared" si="11"/>
        <v/>
      </c>
      <c r="AB44" s="24">
        <f t="shared" si="25"/>
        <v>8.358233604580164</v>
      </c>
      <c r="AC44" s="41" t="str">
        <f t="shared" si="12"/>
        <v/>
      </c>
      <c r="AD44" s="24">
        <f t="shared" si="26"/>
        <v>4.2988032549619675</v>
      </c>
      <c r="AE44" s="41" t="str">
        <f t="shared" si="13"/>
        <v/>
      </c>
      <c r="AF44" s="24">
        <f t="shared" si="27"/>
        <v>3.5856390595436096</v>
      </c>
      <c r="AG44" s="41" t="str">
        <f t="shared" si="14"/>
        <v/>
      </c>
      <c r="AH44" s="24">
        <f t="shared" si="28"/>
        <v>7.0276687145233154</v>
      </c>
      <c r="AI44" s="41" t="str">
        <f t="shared" si="15"/>
        <v/>
      </c>
    </row>
    <row r="45" spans="1:35" ht="15" customHeight="1">
      <c r="A45" s="719"/>
      <c r="B45" s="661" t="str">
        <f>Rydberg!B50</f>
        <v>Black-body radiation at the ice point</v>
      </c>
      <c r="C45" s="661" t="str">
        <f>Rydberg!C50</f>
        <v>W/m^2</v>
      </c>
      <c r="D45" s="21">
        <f>Rydberg!D50</f>
        <v>315.65739918733362</v>
      </c>
      <c r="E45" s="8">
        <v>6</v>
      </c>
      <c r="F45" s="279">
        <f>D45/(F$9*POWER(F$3,-2))</f>
        <v>0.93135562980336695</v>
      </c>
      <c r="G45" s="142" t="str">
        <f t="shared" si="16"/>
        <v>0;E21471</v>
      </c>
      <c r="H45" s="284">
        <v>0</v>
      </c>
      <c r="I45" s="285">
        <f t="shared" si="29"/>
        <v>0.93135562980336695</v>
      </c>
      <c r="J45" s="286"/>
      <c r="K45" s="40" t="str">
        <f t="shared" si="3"/>
        <v>0</v>
      </c>
      <c r="L45" s="24">
        <f t="shared" si="17"/>
        <v>11.176267557640404</v>
      </c>
      <c r="M45" s="41" t="str">
        <f t="shared" si="4"/>
        <v>E</v>
      </c>
      <c r="N45" s="24">
        <f t="shared" si="18"/>
        <v>2.115210691684851</v>
      </c>
      <c r="O45" s="41" t="str">
        <f t="shared" si="5"/>
        <v>2</v>
      </c>
      <c r="P45" s="24">
        <f t="shared" si="19"/>
        <v>1.3825283002182118</v>
      </c>
      <c r="Q45" s="41" t="str">
        <f t="shared" si="6"/>
        <v>1</v>
      </c>
      <c r="R45" s="24">
        <f t="shared" si="20"/>
        <v>4.5903396026185419</v>
      </c>
      <c r="S45" s="41" t="str">
        <f t="shared" si="7"/>
        <v>4</v>
      </c>
      <c r="T45" s="24">
        <f t="shared" si="21"/>
        <v>7.0840752314225028</v>
      </c>
      <c r="U45" s="41" t="str">
        <f t="shared" si="8"/>
        <v>7</v>
      </c>
      <c r="V45" s="24">
        <f t="shared" si="22"/>
        <v>1.0089027770700341</v>
      </c>
      <c r="W45" s="41" t="str">
        <f t="shared" si="9"/>
        <v>1</v>
      </c>
      <c r="X45" s="24">
        <f t="shared" si="23"/>
        <v>0.10683332484040875</v>
      </c>
      <c r="Y45" s="41" t="str">
        <f t="shared" si="10"/>
        <v/>
      </c>
      <c r="Z45" s="24">
        <f t="shared" si="24"/>
        <v>1.281999898084905</v>
      </c>
      <c r="AA45" s="41" t="str">
        <f t="shared" si="11"/>
        <v/>
      </c>
      <c r="AB45" s="24">
        <f t="shared" si="25"/>
        <v>3.38399877701886</v>
      </c>
      <c r="AC45" s="41" t="str">
        <f t="shared" si="12"/>
        <v/>
      </c>
      <c r="AD45" s="24">
        <f t="shared" si="26"/>
        <v>4.6079853242263198</v>
      </c>
      <c r="AE45" s="41" t="str">
        <f t="shared" si="13"/>
        <v/>
      </c>
      <c r="AF45" s="24">
        <f t="shared" si="27"/>
        <v>7.2958238907158375</v>
      </c>
      <c r="AG45" s="41" t="str">
        <f t="shared" si="14"/>
        <v/>
      </c>
      <c r="AH45" s="24">
        <f t="shared" si="28"/>
        <v>3.5498866885900497</v>
      </c>
      <c r="AI45" s="41" t="str">
        <f t="shared" si="15"/>
        <v/>
      </c>
    </row>
    <row r="46" spans="1:35" ht="15" customHeight="1">
      <c r="A46" s="719"/>
      <c r="B46" s="661" t="str">
        <f>Rydberg!B51</f>
        <v>Temperature of the triple point of water</v>
      </c>
      <c r="C46" s="661" t="str">
        <f>Rydberg!C51</f>
        <v>K</v>
      </c>
      <c r="D46" s="21">
        <f>Rydberg!D51</f>
        <v>273.16000000000003</v>
      </c>
      <c r="E46" s="8">
        <v>6</v>
      </c>
      <c r="F46" s="279">
        <f>D46/F$6</f>
        <v>492.01787782894229</v>
      </c>
      <c r="G46" s="142" t="str">
        <f t="shared" si="16"/>
        <v>3;50026E</v>
      </c>
      <c r="H46" s="284">
        <v>2</v>
      </c>
      <c r="I46" s="285">
        <f t="shared" si="29"/>
        <v>3.4167908182565436</v>
      </c>
      <c r="J46" s="286"/>
      <c r="K46" s="40" t="str">
        <f t="shared" si="3"/>
        <v>3</v>
      </c>
      <c r="L46" s="24">
        <f t="shared" si="17"/>
        <v>5.0014898190785235</v>
      </c>
      <c r="M46" s="41" t="str">
        <f t="shared" si="4"/>
        <v>5</v>
      </c>
      <c r="N46" s="24">
        <f t="shared" si="18"/>
        <v>1.7877828942282292E-2</v>
      </c>
      <c r="O46" s="41" t="str">
        <f t="shared" si="5"/>
        <v>0</v>
      </c>
      <c r="P46" s="24">
        <f t="shared" si="19"/>
        <v>0.21453394730738751</v>
      </c>
      <c r="Q46" s="41" t="str">
        <f t="shared" si="6"/>
        <v>0</v>
      </c>
      <c r="R46" s="24">
        <f t="shared" si="20"/>
        <v>2.5744073676886501</v>
      </c>
      <c r="S46" s="41" t="str">
        <f t="shared" si="7"/>
        <v>2</v>
      </c>
      <c r="T46" s="24">
        <f t="shared" si="21"/>
        <v>6.892888412263801</v>
      </c>
      <c r="U46" s="41" t="str">
        <f t="shared" si="8"/>
        <v>6</v>
      </c>
      <c r="V46" s="24">
        <f t="shared" si="22"/>
        <v>10.714660947165612</v>
      </c>
      <c r="W46" s="41" t="str">
        <f t="shared" si="9"/>
        <v>E</v>
      </c>
      <c r="X46" s="24">
        <f t="shared" si="23"/>
        <v>8.5759313659873442</v>
      </c>
      <c r="Y46" s="41" t="str">
        <f t="shared" si="10"/>
        <v/>
      </c>
      <c r="Z46" s="24">
        <f t="shared" si="24"/>
        <v>6.9111763918481302</v>
      </c>
      <c r="AA46" s="41" t="str">
        <f t="shared" si="11"/>
        <v/>
      </c>
      <c r="AB46" s="24">
        <f t="shared" si="25"/>
        <v>10.934116702177562</v>
      </c>
      <c r="AC46" s="41" t="str">
        <f t="shared" si="12"/>
        <v/>
      </c>
      <c r="AD46" s="24">
        <f t="shared" si="26"/>
        <v>11.209400426130742</v>
      </c>
      <c r="AE46" s="41" t="str">
        <f t="shared" si="13"/>
        <v/>
      </c>
      <c r="AF46" s="24">
        <f t="shared" si="27"/>
        <v>2.512805113568902</v>
      </c>
      <c r="AG46" s="41" t="str">
        <f t="shared" si="14"/>
        <v/>
      </c>
      <c r="AH46" s="24">
        <f t="shared" si="28"/>
        <v>6.1536613628268242</v>
      </c>
      <c r="AI46" s="41" t="str">
        <f t="shared" si="15"/>
        <v/>
      </c>
    </row>
    <row r="47" spans="1:35" ht="15" customHeight="1">
      <c r="A47" s="719"/>
      <c r="B47" s="661" t="str">
        <f>Rydberg!B52</f>
        <v>Molar volume of an ideal gas</v>
      </c>
      <c r="C47" s="661" t="str">
        <f>Rydberg!C52</f>
        <v>m^3/mol</v>
      </c>
      <c r="D47" s="21">
        <f>Rydberg!D52</f>
        <v>2.2413961999999999E-2</v>
      </c>
      <c r="E47" s="8">
        <v>6</v>
      </c>
      <c r="F47" s="279">
        <f>D47/(POWER(F$3,3)/F$7)</f>
        <v>22413.354358787921</v>
      </c>
      <c r="G47" s="142" t="str">
        <f t="shared" si="16"/>
        <v>1;0E7943</v>
      </c>
      <c r="H47" s="284">
        <v>4</v>
      </c>
      <c r="I47" s="285">
        <f t="shared" si="29"/>
        <v>1.0808909316545101</v>
      </c>
      <c r="J47" s="286"/>
      <c r="K47" s="40" t="str">
        <f t="shared" si="3"/>
        <v>1</v>
      </c>
      <c r="L47" s="24">
        <f t="shared" si="17"/>
        <v>0.97069117985412134</v>
      </c>
      <c r="M47" s="41" t="str">
        <f t="shared" si="4"/>
        <v>0</v>
      </c>
      <c r="N47" s="24">
        <f t="shared" si="18"/>
        <v>11.648294158249456</v>
      </c>
      <c r="O47" s="41" t="str">
        <f t="shared" si="5"/>
        <v>E</v>
      </c>
      <c r="P47" s="24">
        <f t="shared" si="19"/>
        <v>7.7795298989934736</v>
      </c>
      <c r="Q47" s="41" t="str">
        <f t="shared" si="6"/>
        <v>7</v>
      </c>
      <c r="R47" s="24">
        <f t="shared" si="20"/>
        <v>9.354358787921683</v>
      </c>
      <c r="S47" s="41" t="str">
        <f t="shared" si="7"/>
        <v>9</v>
      </c>
      <c r="T47" s="24">
        <f t="shared" si="21"/>
        <v>4.2523054550601955</v>
      </c>
      <c r="U47" s="41" t="str">
        <f t="shared" si="8"/>
        <v>4</v>
      </c>
      <c r="V47" s="24">
        <f t="shared" si="22"/>
        <v>3.0276654607223463</v>
      </c>
      <c r="W47" s="41" t="str">
        <f t="shared" si="9"/>
        <v>3</v>
      </c>
      <c r="X47" s="24">
        <f t="shared" si="23"/>
        <v>0.33198552866815589</v>
      </c>
      <c r="Y47" s="41" t="str">
        <f t="shared" si="10"/>
        <v/>
      </c>
      <c r="Z47" s="24">
        <f t="shared" si="24"/>
        <v>3.9838263440178707</v>
      </c>
      <c r="AA47" s="41" t="str">
        <f t="shared" si="11"/>
        <v/>
      </c>
      <c r="AB47" s="24">
        <f t="shared" si="25"/>
        <v>11.805916128214449</v>
      </c>
      <c r="AC47" s="41" t="str">
        <f t="shared" si="12"/>
        <v/>
      </c>
      <c r="AD47" s="24">
        <f t="shared" si="26"/>
        <v>9.6709935385733843</v>
      </c>
      <c r="AE47" s="41" t="str">
        <f t="shared" si="13"/>
        <v/>
      </c>
      <c r="AF47" s="24">
        <f t="shared" si="27"/>
        <v>8.0519224628806114</v>
      </c>
      <c r="AG47" s="41" t="str">
        <f t="shared" si="14"/>
        <v/>
      </c>
      <c r="AH47" s="24">
        <f t="shared" si="28"/>
        <v>0.62306955456733704</v>
      </c>
      <c r="AI47" s="41" t="str">
        <f t="shared" si="15"/>
        <v/>
      </c>
    </row>
    <row r="48" spans="1:35" ht="15" customHeight="1">
      <c r="A48" s="719"/>
      <c r="B48" s="67" t="str">
        <f>Rydberg!B53</f>
        <v>-log(Sqrt([H+][OH-])/(mol/m^3))</v>
      </c>
      <c r="C48" s="661" t="str">
        <f>Rydberg!C53</f>
        <v>log(12)</v>
      </c>
      <c r="D48" s="21">
        <f>Rydberg!D53</f>
        <v>1.0039920318408906E-4</v>
      </c>
      <c r="E48" s="8">
        <v>4</v>
      </c>
      <c r="F48" s="279">
        <f>-LOG(D$48/(F$7*POWER(F$3,-3)))/LOG(12)</f>
        <v>9.2646698566203263</v>
      </c>
      <c r="G48" s="142" t="str">
        <f t="shared" si="16"/>
        <v>9;3214</v>
      </c>
      <c r="H48" s="284">
        <v>0</v>
      </c>
      <c r="I48" s="285">
        <f t="shared" si="29"/>
        <v>9.2646698566203263</v>
      </c>
      <c r="J48" s="286"/>
      <c r="K48" s="40" t="str">
        <f t="shared" si="3"/>
        <v>9</v>
      </c>
      <c r="L48" s="24">
        <f t="shared" si="17"/>
        <v>3.1760382794439153</v>
      </c>
      <c r="M48" s="41" t="str">
        <f t="shared" si="4"/>
        <v>3</v>
      </c>
      <c r="N48" s="24">
        <f t="shared" si="18"/>
        <v>2.1124593533269831</v>
      </c>
      <c r="O48" s="41" t="str">
        <f t="shared" si="5"/>
        <v>2</v>
      </c>
      <c r="P48" s="24">
        <f t="shared" si="19"/>
        <v>1.3495122399237971</v>
      </c>
      <c r="Q48" s="41" t="str">
        <f t="shared" si="6"/>
        <v>1</v>
      </c>
      <c r="R48" s="24">
        <f t="shared" si="20"/>
        <v>4.1941468790855652</v>
      </c>
      <c r="S48" s="41" t="str">
        <f t="shared" si="7"/>
        <v>4</v>
      </c>
      <c r="T48" s="24">
        <f t="shared" si="21"/>
        <v>2.3297625490267819</v>
      </c>
      <c r="U48" s="41" t="str">
        <f t="shared" si="8"/>
        <v/>
      </c>
      <c r="V48" s="24">
        <f t="shared" si="22"/>
        <v>3.9571505883213831</v>
      </c>
      <c r="W48" s="41" t="str">
        <f t="shared" si="9"/>
        <v/>
      </c>
      <c r="X48" s="24">
        <f t="shared" si="23"/>
        <v>11.485807059856597</v>
      </c>
      <c r="Y48" s="41" t="str">
        <f t="shared" si="10"/>
        <v/>
      </c>
      <c r="Z48" s="24">
        <f t="shared" si="24"/>
        <v>5.829684718279168</v>
      </c>
      <c r="AA48" s="41" t="str">
        <f t="shared" si="11"/>
        <v/>
      </c>
      <c r="AB48" s="24">
        <f t="shared" si="25"/>
        <v>9.9562166193500161</v>
      </c>
      <c r="AC48" s="41" t="str">
        <f t="shared" si="12"/>
        <v/>
      </c>
      <c r="AD48" s="24">
        <f t="shared" si="26"/>
        <v>11.474599432200193</v>
      </c>
      <c r="AE48" s="41" t="str">
        <f t="shared" si="13"/>
        <v/>
      </c>
      <c r="AF48" s="24">
        <f t="shared" si="27"/>
        <v>5.6951931864023209</v>
      </c>
      <c r="AG48" s="41" t="str">
        <f t="shared" si="14"/>
        <v/>
      </c>
      <c r="AH48" s="24">
        <f t="shared" si="28"/>
        <v>8.3423182368278503</v>
      </c>
      <c r="AI48" s="41" t="str">
        <f t="shared" si="15"/>
        <v/>
      </c>
    </row>
    <row r="49" spans="1:35" ht="15" customHeight="1">
      <c r="A49" s="719"/>
      <c r="B49" s="661" t="str">
        <f>Rydberg!B54</f>
        <v>Maximum density of water</v>
      </c>
      <c r="C49" s="661" t="str">
        <f>Rydberg!C54</f>
        <v>kg/m^3</v>
      </c>
      <c r="D49" s="21">
        <f>Rydberg!D54</f>
        <v>999.97199999999998</v>
      </c>
      <c r="E49" s="8">
        <v>6</v>
      </c>
      <c r="F49" s="279">
        <f>D49/(F$8*POWER(F$3,-3))</f>
        <v>0.99999910991797114</v>
      </c>
      <c r="G49" s="142" t="str">
        <f t="shared" si="16"/>
        <v>0;EEEEE9</v>
      </c>
      <c r="H49" s="284">
        <v>0</v>
      </c>
      <c r="I49" s="285">
        <f t="shared" si="29"/>
        <v>0.99999910991797114</v>
      </c>
      <c r="J49" s="286"/>
      <c r="K49" s="40" t="str">
        <f t="shared" si="3"/>
        <v>0</v>
      </c>
      <c r="L49" s="24">
        <f t="shared" si="17"/>
        <v>11.999989319015654</v>
      </c>
      <c r="M49" s="41" t="str">
        <f t="shared" si="4"/>
        <v>E</v>
      </c>
      <c r="N49" s="24">
        <f t="shared" si="18"/>
        <v>11.99987182818785</v>
      </c>
      <c r="O49" s="41" t="str">
        <f t="shared" si="5"/>
        <v>E</v>
      </c>
      <c r="P49" s="24">
        <f t="shared" si="19"/>
        <v>11.998461938254195</v>
      </c>
      <c r="Q49" s="41" t="str">
        <f t="shared" si="6"/>
        <v>E</v>
      </c>
      <c r="R49" s="24">
        <f t="shared" si="20"/>
        <v>11.981543259050341</v>
      </c>
      <c r="S49" s="41" t="str">
        <f t="shared" si="7"/>
        <v>E</v>
      </c>
      <c r="T49" s="24">
        <f t="shared" si="21"/>
        <v>11.778519108604087</v>
      </c>
      <c r="U49" s="41" t="str">
        <f t="shared" si="8"/>
        <v>E</v>
      </c>
      <c r="V49" s="24">
        <f t="shared" si="22"/>
        <v>9.3422293032490415</v>
      </c>
      <c r="W49" s="41" t="str">
        <f t="shared" si="9"/>
        <v>9</v>
      </c>
      <c r="X49" s="24">
        <f t="shared" si="23"/>
        <v>4.1067516389884986</v>
      </c>
      <c r="Y49" s="41" t="str">
        <f t="shared" si="10"/>
        <v/>
      </c>
      <c r="Z49" s="24">
        <f t="shared" si="24"/>
        <v>1.2810196678619832</v>
      </c>
      <c r="AA49" s="41" t="str">
        <f t="shared" si="11"/>
        <v/>
      </c>
      <c r="AB49" s="24">
        <f t="shared" si="25"/>
        <v>3.3722360143437982</v>
      </c>
      <c r="AC49" s="41" t="str">
        <f t="shared" si="12"/>
        <v/>
      </c>
      <c r="AD49" s="24">
        <f t="shared" si="26"/>
        <v>4.4668321721255779</v>
      </c>
      <c r="AE49" s="41" t="str">
        <f t="shared" si="13"/>
        <v/>
      </c>
      <c r="AF49" s="24">
        <f t="shared" si="27"/>
        <v>5.6019860655069351</v>
      </c>
      <c r="AG49" s="41" t="str">
        <f t="shared" si="14"/>
        <v/>
      </c>
      <c r="AH49" s="24">
        <f t="shared" si="28"/>
        <v>7.2238327860832214</v>
      </c>
      <c r="AI49" s="41" t="str">
        <f t="shared" si="15"/>
        <v/>
      </c>
    </row>
    <row r="50" spans="1:35" ht="15" customHeight="1">
      <c r="A50" s="719"/>
      <c r="B50" s="661" t="str">
        <f>Rydberg!B55</f>
        <v>Density of ice at the ice point</v>
      </c>
      <c r="C50" s="661" t="str">
        <f>Rydberg!C55</f>
        <v>kg/m^3</v>
      </c>
      <c r="D50" s="21">
        <f>Rydberg!D55</f>
        <v>916.8</v>
      </c>
      <c r="E50" s="8">
        <v>4</v>
      </c>
      <c r="F50" s="279">
        <f>D50/(F$8*POWER(F$3,-3))</f>
        <v>0.91682485506873779</v>
      </c>
      <c r="G50" s="142" t="str">
        <f t="shared" si="16"/>
        <v>0;E003</v>
      </c>
      <c r="H50" s="284">
        <v>0</v>
      </c>
      <c r="I50" s="285">
        <f t="shared" si="29"/>
        <v>0.91682485506873779</v>
      </c>
      <c r="J50" s="286"/>
      <c r="K50" s="40" t="str">
        <f t="shared" si="3"/>
        <v>0</v>
      </c>
      <c r="L50" s="24">
        <f t="shared" si="17"/>
        <v>11.001898260824854</v>
      </c>
      <c r="M50" s="41" t="str">
        <f t="shared" si="4"/>
        <v>E</v>
      </c>
      <c r="N50" s="24">
        <f t="shared" si="18"/>
        <v>2.2779129898246708E-2</v>
      </c>
      <c r="O50" s="41" t="str">
        <f t="shared" si="5"/>
        <v>0</v>
      </c>
      <c r="P50" s="24">
        <f t="shared" si="19"/>
        <v>0.2733495587789605</v>
      </c>
      <c r="Q50" s="41" t="str">
        <f t="shared" si="6"/>
        <v>0</v>
      </c>
      <c r="R50" s="24">
        <f t="shared" si="20"/>
        <v>3.280194705347526</v>
      </c>
      <c r="S50" s="41" t="str">
        <f t="shared" si="7"/>
        <v>3</v>
      </c>
      <c r="T50" s="24">
        <f t="shared" si="21"/>
        <v>3.362336464170312</v>
      </c>
      <c r="U50" s="41" t="str">
        <f t="shared" si="8"/>
        <v/>
      </c>
      <c r="V50" s="24">
        <f t="shared" si="22"/>
        <v>4.3480375700437435</v>
      </c>
      <c r="W50" s="41" t="str">
        <f t="shared" si="9"/>
        <v/>
      </c>
      <c r="X50" s="24">
        <f t="shared" si="23"/>
        <v>4.1764508405249217</v>
      </c>
      <c r="Y50" s="41" t="str">
        <f t="shared" si="10"/>
        <v/>
      </c>
      <c r="Z50" s="24">
        <f t="shared" si="24"/>
        <v>2.1174100862990599</v>
      </c>
      <c r="AA50" s="41" t="str">
        <f t="shared" si="11"/>
        <v/>
      </c>
      <c r="AB50" s="24">
        <f t="shared" si="25"/>
        <v>1.408921035588719</v>
      </c>
      <c r="AC50" s="41" t="str">
        <f t="shared" si="12"/>
        <v/>
      </c>
      <c r="AD50" s="24">
        <f t="shared" si="26"/>
        <v>4.9070524270646274</v>
      </c>
      <c r="AE50" s="41" t="str">
        <f t="shared" si="13"/>
        <v/>
      </c>
      <c r="AF50" s="24">
        <f t="shared" si="27"/>
        <v>10.884629124775529</v>
      </c>
      <c r="AG50" s="41" t="str">
        <f t="shared" si="14"/>
        <v/>
      </c>
      <c r="AH50" s="24">
        <f t="shared" si="28"/>
        <v>10.615549497306347</v>
      </c>
      <c r="AI50" s="41" t="str">
        <f t="shared" si="15"/>
        <v/>
      </c>
    </row>
    <row r="51" spans="1:35" ht="15" customHeight="1">
      <c r="A51" s="719"/>
      <c r="B51" s="661" t="str">
        <f>Rydberg!B56</f>
        <v>Specific heat of water</v>
      </c>
      <c r="C51" s="661" t="str">
        <f>Rydberg!C56</f>
        <v>J/kg/K</v>
      </c>
      <c r="D51" s="21">
        <f>Rydberg!D56</f>
        <v>4184</v>
      </c>
      <c r="E51" s="8">
        <v>4</v>
      </c>
      <c r="F51" s="279">
        <f>D51/(F$5/F$8/F$6)</f>
        <v>4778.4431924128467</v>
      </c>
      <c r="G51" s="142" t="str">
        <f t="shared" si="16"/>
        <v>2;9225</v>
      </c>
      <c r="H51" s="284">
        <v>3</v>
      </c>
      <c r="I51" s="285">
        <f t="shared" si="29"/>
        <v>2.7653027733870639</v>
      </c>
      <c r="J51" s="286"/>
      <c r="K51" s="40" t="str">
        <f t="shared" si="3"/>
        <v>2</v>
      </c>
      <c r="L51" s="24">
        <f t="shared" si="17"/>
        <v>9.1836332806447665</v>
      </c>
      <c r="M51" s="41" t="str">
        <f t="shared" si="4"/>
        <v>9</v>
      </c>
      <c r="N51" s="24">
        <f t="shared" si="18"/>
        <v>2.2035993677371977</v>
      </c>
      <c r="O51" s="41" t="str">
        <f t="shared" si="5"/>
        <v>2</v>
      </c>
      <c r="P51" s="24">
        <f t="shared" si="19"/>
        <v>2.443192412846372</v>
      </c>
      <c r="Q51" s="41" t="str">
        <f t="shared" si="6"/>
        <v>2</v>
      </c>
      <c r="R51" s="24">
        <f t="shared" si="20"/>
        <v>5.3183089541564641</v>
      </c>
      <c r="S51" s="41" t="str">
        <f t="shared" si="7"/>
        <v>5</v>
      </c>
      <c r="T51" s="24">
        <f t="shared" si="21"/>
        <v>3.8197074498775692</v>
      </c>
      <c r="U51" s="41" t="str">
        <f t="shared" si="8"/>
        <v/>
      </c>
      <c r="V51" s="24">
        <f t="shared" si="22"/>
        <v>9.8364893985308299</v>
      </c>
      <c r="W51" s="41" t="str">
        <f t="shared" si="9"/>
        <v/>
      </c>
      <c r="X51" s="24">
        <f t="shared" si="23"/>
        <v>10.037872782369959</v>
      </c>
      <c r="Y51" s="41" t="str">
        <f t="shared" si="10"/>
        <v/>
      </c>
      <c r="Z51" s="24">
        <f t="shared" si="24"/>
        <v>0.45447338843951002</v>
      </c>
      <c r="AA51" s="41" t="str">
        <f t="shared" si="11"/>
        <v/>
      </c>
      <c r="AB51" s="24">
        <f t="shared" si="25"/>
        <v>5.4536806612741202</v>
      </c>
      <c r="AC51" s="41" t="str">
        <f t="shared" si="12"/>
        <v/>
      </c>
      <c r="AD51" s="24">
        <f t="shared" si="26"/>
        <v>5.4441679352894425</v>
      </c>
      <c r="AE51" s="41" t="str">
        <f t="shared" si="13"/>
        <v/>
      </c>
      <c r="AF51" s="24">
        <f t="shared" si="27"/>
        <v>5.3300152234733105</v>
      </c>
      <c r="AG51" s="41" t="str">
        <f t="shared" si="14"/>
        <v/>
      </c>
      <c r="AH51" s="24">
        <f t="shared" si="28"/>
        <v>3.9601826816797256</v>
      </c>
      <c r="AI51" s="41" t="str">
        <f t="shared" si="15"/>
        <v/>
      </c>
    </row>
    <row r="52" spans="1:35" ht="15" customHeight="1">
      <c r="A52" s="719"/>
      <c r="B52" s="661" t="str">
        <f>Rydberg!B57</f>
        <v>Surface tension of water at 25℃</v>
      </c>
      <c r="C52" s="661" t="str">
        <f>Rydberg!C57</f>
        <v>N/m</v>
      </c>
      <c r="D52" s="21">
        <f>Rydberg!D57</f>
        <v>7.1970000000000006E-2</v>
      </c>
      <c r="E52" s="8">
        <v>4</v>
      </c>
      <c r="F52" s="279">
        <f>D$52/(F$10/F$3)</f>
        <v>6.1156630671800117E-4</v>
      </c>
      <c r="G52" s="142" t="str">
        <f t="shared" si="16"/>
        <v>1;0822</v>
      </c>
      <c r="H52" s="284">
        <v>-3</v>
      </c>
      <c r="I52" s="285">
        <f t="shared" si="29"/>
        <v>1.056786578008706</v>
      </c>
      <c r="J52" s="286"/>
      <c r="K52" s="40" t="str">
        <f t="shared" si="3"/>
        <v>1</v>
      </c>
      <c r="L52" s="24">
        <f t="shared" si="17"/>
        <v>0.68143893610447215</v>
      </c>
      <c r="M52" s="41" t="str">
        <f t="shared" si="4"/>
        <v>0</v>
      </c>
      <c r="N52" s="24">
        <f t="shared" si="18"/>
        <v>8.1772672332536658</v>
      </c>
      <c r="O52" s="41" t="str">
        <f t="shared" si="5"/>
        <v>8</v>
      </c>
      <c r="P52" s="24">
        <f t="shared" si="19"/>
        <v>2.1272067990439893</v>
      </c>
      <c r="Q52" s="41" t="str">
        <f t="shared" si="6"/>
        <v>2</v>
      </c>
      <c r="R52" s="24">
        <f t="shared" si="20"/>
        <v>1.5264815885278722</v>
      </c>
      <c r="S52" s="41" t="str">
        <f t="shared" si="7"/>
        <v>2</v>
      </c>
      <c r="T52" s="24">
        <f t="shared" si="21"/>
        <v>6.3177790623344663</v>
      </c>
      <c r="U52" s="41" t="str">
        <f t="shared" si="8"/>
        <v/>
      </c>
      <c r="V52" s="24">
        <f t="shared" si="22"/>
        <v>3.8133487480135955</v>
      </c>
      <c r="W52" s="41" t="str">
        <f t="shared" si="9"/>
        <v/>
      </c>
      <c r="X52" s="24">
        <f t="shared" si="23"/>
        <v>9.7601849761631456</v>
      </c>
      <c r="Y52" s="41" t="str">
        <f t="shared" si="10"/>
        <v/>
      </c>
      <c r="Z52" s="24">
        <f t="shared" si="24"/>
        <v>9.1222197139577474</v>
      </c>
      <c r="AA52" s="41" t="str">
        <f t="shared" si="11"/>
        <v/>
      </c>
      <c r="AB52" s="24">
        <f t="shared" si="25"/>
        <v>1.4666365674929693</v>
      </c>
      <c r="AC52" s="41" t="str">
        <f t="shared" si="12"/>
        <v/>
      </c>
      <c r="AD52" s="24">
        <f t="shared" si="26"/>
        <v>5.599638809915632</v>
      </c>
      <c r="AE52" s="41" t="str">
        <f t="shared" si="13"/>
        <v/>
      </c>
      <c r="AF52" s="24">
        <f t="shared" si="27"/>
        <v>7.1956657189875841</v>
      </c>
      <c r="AG52" s="41" t="str">
        <f t="shared" si="14"/>
        <v/>
      </c>
      <c r="AH52" s="24">
        <f t="shared" si="28"/>
        <v>2.3479886278510094</v>
      </c>
      <c r="AI52" s="41" t="str">
        <f t="shared" si="15"/>
        <v/>
      </c>
    </row>
    <row r="53" spans="1:35" ht="15" customHeight="1">
      <c r="A53" s="719"/>
      <c r="B53" s="661" t="str">
        <f>Rydberg!B62</f>
        <v>Standard atmosphere</v>
      </c>
      <c r="C53" s="661" t="str">
        <f>Rydberg!C62</f>
        <v>P</v>
      </c>
      <c r="D53" s="21">
        <f>Rydberg!D62</f>
        <v>101325</v>
      </c>
      <c r="E53" s="8">
        <v>6</v>
      </c>
      <c r="F53" s="279">
        <f>D53/F$11</f>
        <v>208.44280901903258</v>
      </c>
      <c r="G53" s="142" t="str">
        <f t="shared" si="16"/>
        <v>1;545392</v>
      </c>
      <c r="H53" s="284">
        <v>2</v>
      </c>
      <c r="I53" s="285">
        <f t="shared" si="29"/>
        <v>1.4475195070766151</v>
      </c>
      <c r="J53" s="286"/>
      <c r="K53" s="40" t="str">
        <f t="shared" si="3"/>
        <v>1</v>
      </c>
      <c r="L53" s="24">
        <f t="shared" si="17"/>
        <v>5.3702340849193817</v>
      </c>
      <c r="M53" s="41" t="str">
        <f t="shared" si="4"/>
        <v>5</v>
      </c>
      <c r="N53" s="24">
        <f t="shared" si="18"/>
        <v>4.4428090190325804</v>
      </c>
      <c r="O53" s="41" t="str">
        <f t="shared" si="5"/>
        <v>4</v>
      </c>
      <c r="P53" s="24">
        <f t="shared" si="19"/>
        <v>5.3137082283909649</v>
      </c>
      <c r="Q53" s="41" t="str">
        <f t="shared" si="6"/>
        <v>5</v>
      </c>
      <c r="R53" s="24">
        <f t="shared" si="20"/>
        <v>3.7644987406915789</v>
      </c>
      <c r="S53" s="41" t="str">
        <f t="shared" si="7"/>
        <v>3</v>
      </c>
      <c r="T53" s="24">
        <f t="shared" si="21"/>
        <v>9.1739848882989463</v>
      </c>
      <c r="U53" s="41" t="str">
        <f t="shared" si="8"/>
        <v>9</v>
      </c>
      <c r="V53" s="24">
        <f t="shared" si="22"/>
        <v>2.0878186595873558</v>
      </c>
      <c r="W53" s="41" t="str">
        <f t="shared" si="9"/>
        <v>2</v>
      </c>
      <c r="X53" s="24">
        <f t="shared" si="23"/>
        <v>1.0538239150482696</v>
      </c>
      <c r="Y53" s="41" t="str">
        <f t="shared" si="10"/>
        <v/>
      </c>
      <c r="Z53" s="24">
        <f t="shared" si="24"/>
        <v>0.64588698057923466</v>
      </c>
      <c r="AA53" s="41" t="str">
        <f t="shared" si="11"/>
        <v/>
      </c>
      <c r="AB53" s="24">
        <f t="shared" si="25"/>
        <v>7.7506437669508159</v>
      </c>
      <c r="AC53" s="41" t="str">
        <f t="shared" si="12"/>
        <v/>
      </c>
      <c r="AD53" s="24">
        <f t="shared" si="26"/>
        <v>9.007725203409791</v>
      </c>
      <c r="AE53" s="41" t="str">
        <f t="shared" si="13"/>
        <v/>
      </c>
      <c r="AF53" s="24">
        <f t="shared" si="27"/>
        <v>9.2702440917491913E-2</v>
      </c>
      <c r="AG53" s="41" t="str">
        <f t="shared" si="14"/>
        <v/>
      </c>
      <c r="AH53" s="24">
        <f t="shared" si="28"/>
        <v>1.112429291009903</v>
      </c>
      <c r="AI53" s="41" t="str">
        <f t="shared" si="15"/>
        <v/>
      </c>
    </row>
    <row r="54" spans="1:35" ht="15" customHeight="1">
      <c r="A54" s="719"/>
      <c r="B54" s="661" t="str">
        <f>Rydberg!B63</f>
        <v>Standard gravitational acceleration</v>
      </c>
      <c r="C54" s="661" t="str">
        <f>Rydberg!C63</f>
        <v>m/s^2</v>
      </c>
      <c r="D54" s="21">
        <f>Rydberg!D63</f>
        <v>9.8066499999999994</v>
      </c>
      <c r="E54" s="8">
        <v>7</v>
      </c>
      <c r="F54" s="279">
        <f>D54/(F$3/F$4/F$4)</f>
        <v>4.8837954205948826</v>
      </c>
      <c r="G54" s="142" t="str">
        <f t="shared" si="16"/>
        <v>4;X73246</v>
      </c>
      <c r="H54" s="284">
        <v>0</v>
      </c>
      <c r="I54" s="285">
        <f t="shared" si="29"/>
        <v>4.8837954205948826</v>
      </c>
      <c r="J54" s="286"/>
      <c r="K54" s="40" t="str">
        <f t="shared" si="3"/>
        <v>4</v>
      </c>
      <c r="L54" s="24">
        <f t="shared" si="17"/>
        <v>10.605545047138591</v>
      </c>
      <c r="M54" s="41" t="str">
        <f t="shared" si="4"/>
        <v>X</v>
      </c>
      <c r="N54" s="24">
        <f t="shared" si="18"/>
        <v>7.2665405656630924</v>
      </c>
      <c r="O54" s="41" t="str">
        <f t="shared" si="5"/>
        <v>7</v>
      </c>
      <c r="P54" s="24">
        <f t="shared" si="19"/>
        <v>3.1984867879571084</v>
      </c>
      <c r="Q54" s="41" t="str">
        <f t="shared" si="6"/>
        <v>3</v>
      </c>
      <c r="R54" s="24">
        <f t="shared" si="20"/>
        <v>2.3818414554853007</v>
      </c>
      <c r="S54" s="41" t="str">
        <f t="shared" si="7"/>
        <v>2</v>
      </c>
      <c r="T54" s="24">
        <f t="shared" si="21"/>
        <v>4.5820974658236082</v>
      </c>
      <c r="U54" s="41" t="str">
        <f t="shared" si="8"/>
        <v>4</v>
      </c>
      <c r="V54" s="24">
        <f t="shared" si="22"/>
        <v>6.9851695898832986</v>
      </c>
      <c r="W54" s="41" t="str">
        <f t="shared" si="9"/>
        <v>6</v>
      </c>
      <c r="X54" s="24">
        <f t="shared" si="23"/>
        <v>11.822035078599583</v>
      </c>
      <c r="Y54" s="41" t="str">
        <f t="shared" si="10"/>
        <v/>
      </c>
      <c r="Z54" s="24">
        <f t="shared" si="24"/>
        <v>9.8644209431950003</v>
      </c>
      <c r="AA54" s="41" t="str">
        <f t="shared" si="11"/>
        <v/>
      </c>
      <c r="AB54" s="24">
        <f t="shared" si="25"/>
        <v>10.373051318340003</v>
      </c>
      <c r="AC54" s="41" t="str">
        <f t="shared" si="12"/>
        <v/>
      </c>
      <c r="AD54" s="24">
        <f t="shared" si="26"/>
        <v>4.4766158200800419</v>
      </c>
      <c r="AE54" s="41" t="str">
        <f t="shared" si="13"/>
        <v/>
      </c>
      <c r="AF54" s="24">
        <f t="shared" si="27"/>
        <v>5.7193898409605026</v>
      </c>
      <c r="AG54" s="41" t="str">
        <f t="shared" si="14"/>
        <v/>
      </c>
      <c r="AH54" s="24">
        <f t="shared" si="28"/>
        <v>8.6326780915260315</v>
      </c>
      <c r="AI54" s="41" t="str">
        <f t="shared" si="15"/>
        <v/>
      </c>
    </row>
    <row r="55" spans="1:35" ht="15" customHeight="1">
      <c r="A55" s="719"/>
      <c r="B55" s="661" t="str">
        <f>Rydberg!B64</f>
        <v>Gravitational radius of the Earth</v>
      </c>
      <c r="C55" s="661" t="str">
        <f>Rydberg!C64</f>
        <v>m</v>
      </c>
      <c r="D55" s="21">
        <f>Rydberg!D64</f>
        <v>4.4350280391176706E-3</v>
      </c>
      <c r="E55" s="8">
        <v>7</v>
      </c>
      <c r="F55" s="279">
        <f>D55/F$3</f>
        <v>1.8319689689913446E-2</v>
      </c>
      <c r="G55" s="142" t="str">
        <f t="shared" si="16"/>
        <v>2;77X6373</v>
      </c>
      <c r="H55" s="284">
        <v>-2</v>
      </c>
      <c r="I55" s="285">
        <f t="shared" si="29"/>
        <v>2.6380353153475364</v>
      </c>
      <c r="J55" s="286"/>
      <c r="K55" s="40" t="str">
        <f t="shared" si="3"/>
        <v>2</v>
      </c>
      <c r="L55" s="24">
        <f t="shared" si="17"/>
        <v>7.6564237841704372</v>
      </c>
      <c r="M55" s="41" t="str">
        <f t="shared" si="4"/>
        <v>7</v>
      </c>
      <c r="N55" s="24">
        <f t="shared" si="18"/>
        <v>7.8770854100452468</v>
      </c>
      <c r="O55" s="41" t="str">
        <f t="shared" si="5"/>
        <v>7</v>
      </c>
      <c r="P55" s="24">
        <f t="shared" si="19"/>
        <v>10.525024920542961</v>
      </c>
      <c r="Q55" s="41" t="str">
        <f t="shared" si="6"/>
        <v>X</v>
      </c>
      <c r="R55" s="24">
        <f t="shared" si="20"/>
        <v>6.3002990465155335</v>
      </c>
      <c r="S55" s="41" t="str">
        <f t="shared" si="7"/>
        <v>6</v>
      </c>
      <c r="T55" s="24">
        <f t="shared" si="21"/>
        <v>3.6035885581864022</v>
      </c>
      <c r="U55" s="41" t="str">
        <f t="shared" si="8"/>
        <v>3</v>
      </c>
      <c r="V55" s="24">
        <f t="shared" si="22"/>
        <v>7.2430626982368267</v>
      </c>
      <c r="W55" s="41" t="str">
        <f t="shared" si="9"/>
        <v>7</v>
      </c>
      <c r="X55" s="24">
        <f t="shared" si="23"/>
        <v>2.9167523788419203</v>
      </c>
      <c r="Y55" s="41" t="str">
        <f t="shared" si="10"/>
        <v>3</v>
      </c>
      <c r="Z55" s="24">
        <f t="shared" si="24"/>
        <v>11.001028546103043</v>
      </c>
      <c r="AA55" s="41" t="str">
        <f t="shared" si="11"/>
        <v/>
      </c>
      <c r="AB55" s="24">
        <f t="shared" si="25"/>
        <v>1.234255323652178E-2</v>
      </c>
      <c r="AC55" s="41" t="str">
        <f t="shared" si="12"/>
        <v/>
      </c>
      <c r="AD55" s="24">
        <f t="shared" si="26"/>
        <v>0.14811063883826137</v>
      </c>
      <c r="AE55" s="41" t="str">
        <f t="shared" si="13"/>
        <v/>
      </c>
      <c r="AF55" s="24">
        <f t="shared" si="27"/>
        <v>1.7773276660591364</v>
      </c>
      <c r="AG55" s="41" t="str">
        <f t="shared" si="14"/>
        <v/>
      </c>
      <c r="AH55" s="24">
        <f t="shared" si="28"/>
        <v>9.3279319927096367</v>
      </c>
      <c r="AI55" s="41" t="str">
        <f t="shared" si="15"/>
        <v/>
      </c>
    </row>
    <row r="56" spans="1:35" ht="15" customHeight="1">
      <c r="A56" s="719"/>
      <c r="B56" s="661" t="str">
        <f>Rydberg!B65</f>
        <v>Equatorial radius of the Earth</v>
      </c>
      <c r="C56" s="661" t="str">
        <f>Rydberg!C65</f>
        <v>m</v>
      </c>
      <c r="D56" s="21">
        <f>Rydberg!D65</f>
        <v>6378140</v>
      </c>
      <c r="E56" s="8">
        <v>10</v>
      </c>
      <c r="F56" s="279">
        <f>D56/F$3</f>
        <v>26346066.939876769</v>
      </c>
      <c r="G56" s="142" t="str">
        <f t="shared" si="16"/>
        <v>8;9X6696E341</v>
      </c>
      <c r="H56" s="284">
        <v>6</v>
      </c>
      <c r="I56" s="285">
        <f t="shared" si="29"/>
        <v>8.8232445116506888</v>
      </c>
      <c r="J56" s="286"/>
      <c r="K56" s="40" t="str">
        <f t="shared" si="3"/>
        <v>8</v>
      </c>
      <c r="L56" s="24">
        <f t="shared" si="17"/>
        <v>9.8789341398082655</v>
      </c>
      <c r="M56" s="41" t="str">
        <f t="shared" si="4"/>
        <v>9</v>
      </c>
      <c r="N56" s="24">
        <f t="shared" si="18"/>
        <v>10.547209677699186</v>
      </c>
      <c r="O56" s="41" t="str">
        <f t="shared" si="5"/>
        <v>X</v>
      </c>
      <c r="P56" s="24">
        <f t="shared" si="19"/>
        <v>6.5665161323902339</v>
      </c>
      <c r="Q56" s="41" t="str">
        <f t="shared" si="6"/>
        <v>6</v>
      </c>
      <c r="R56" s="24">
        <f t="shared" si="20"/>
        <v>6.7981935886828069</v>
      </c>
      <c r="S56" s="41" t="str">
        <f t="shared" si="7"/>
        <v>6</v>
      </c>
      <c r="T56" s="24">
        <f t="shared" si="21"/>
        <v>9.5783230641936825</v>
      </c>
      <c r="U56" s="41" t="str">
        <f t="shared" si="8"/>
        <v>9</v>
      </c>
      <c r="V56" s="24">
        <f t="shared" si="22"/>
        <v>6.9398767703241901</v>
      </c>
      <c r="W56" s="41" t="str">
        <f t="shared" si="9"/>
        <v>6</v>
      </c>
      <c r="X56" s="24">
        <f t="shared" si="23"/>
        <v>11.278521243890282</v>
      </c>
      <c r="Y56" s="41" t="str">
        <f t="shared" si="10"/>
        <v>E</v>
      </c>
      <c r="Z56" s="24">
        <f t="shared" si="24"/>
        <v>3.3422549266833812</v>
      </c>
      <c r="AA56" s="41" t="str">
        <f t="shared" si="11"/>
        <v>3</v>
      </c>
      <c r="AB56" s="24">
        <f t="shared" si="25"/>
        <v>4.1070591202005744</v>
      </c>
      <c r="AC56" s="41" t="str">
        <f t="shared" si="12"/>
        <v>4</v>
      </c>
      <c r="AD56" s="24">
        <f t="shared" si="26"/>
        <v>1.2847094424068928</v>
      </c>
      <c r="AE56" s="41" t="str">
        <f t="shared" si="13"/>
        <v>1</v>
      </c>
      <c r="AF56" s="24">
        <f t="shared" si="27"/>
        <v>3.4165133088827133</v>
      </c>
      <c r="AG56" s="41" t="str">
        <f t="shared" si="14"/>
        <v/>
      </c>
      <c r="AH56" s="24">
        <f t="shared" si="28"/>
        <v>4.9981597065925598</v>
      </c>
      <c r="AI56" s="41" t="str">
        <f t="shared" si="15"/>
        <v/>
      </c>
    </row>
    <row r="57" spans="1:35" ht="15" customHeight="1">
      <c r="A57" s="719"/>
      <c r="B57" s="661" t="str">
        <f>Rydberg!B66</f>
        <v>Meridian length of the Earth / 4</v>
      </c>
      <c r="C57" s="661" t="str">
        <f>Rydberg!C66</f>
        <v>m</v>
      </c>
      <c r="D57" s="21">
        <f>Rydberg!D66</f>
        <v>10001965</v>
      </c>
      <c r="E57" s="8">
        <v>7</v>
      </c>
      <c r="F57" s="279">
        <f>D57/F$3</f>
        <v>41314934.984228089</v>
      </c>
      <c r="G57" s="142" t="str">
        <f t="shared" si="16"/>
        <v>1;1X05133</v>
      </c>
      <c r="H57" s="284">
        <v>7</v>
      </c>
      <c r="I57" s="285">
        <f t="shared" si="29"/>
        <v>1.153024011074967</v>
      </c>
      <c r="J57" s="286"/>
      <c r="K57" s="40" t="str">
        <f t="shared" si="3"/>
        <v>1</v>
      </c>
      <c r="L57" s="24">
        <f t="shared" si="17"/>
        <v>1.8362881328996039</v>
      </c>
      <c r="M57" s="41" t="str">
        <f t="shared" si="4"/>
        <v>1</v>
      </c>
      <c r="N57" s="24">
        <f t="shared" si="18"/>
        <v>10.035457594795247</v>
      </c>
      <c r="O57" s="41" t="str">
        <f t="shared" si="5"/>
        <v>X</v>
      </c>
      <c r="P57" s="24">
        <f t="shared" si="19"/>
        <v>0.42549113754296286</v>
      </c>
      <c r="Q57" s="41" t="str">
        <f t="shared" si="6"/>
        <v>0</v>
      </c>
      <c r="R57" s="24">
        <f t="shared" si="20"/>
        <v>5.1058936505155543</v>
      </c>
      <c r="S57" s="41" t="str">
        <f t="shared" si="7"/>
        <v>5</v>
      </c>
      <c r="T57" s="24">
        <f t="shared" si="21"/>
        <v>1.2707238061866519</v>
      </c>
      <c r="U57" s="41" t="str">
        <f t="shared" si="8"/>
        <v>1</v>
      </c>
      <c r="V57" s="24">
        <f t="shared" si="22"/>
        <v>3.2486856742398231</v>
      </c>
      <c r="W57" s="41" t="str">
        <f t="shared" si="9"/>
        <v>3</v>
      </c>
      <c r="X57" s="24">
        <f t="shared" si="23"/>
        <v>2.9842280908778775</v>
      </c>
      <c r="Y57" s="41" t="str">
        <f t="shared" si="10"/>
        <v>3</v>
      </c>
      <c r="Z57" s="24">
        <f t="shared" si="24"/>
        <v>11.810737090534531</v>
      </c>
      <c r="AA57" s="41" t="str">
        <f t="shared" si="11"/>
        <v/>
      </c>
      <c r="AB57" s="24">
        <f t="shared" si="25"/>
        <v>9.728845086414367</v>
      </c>
      <c r="AC57" s="41" t="str">
        <f t="shared" si="12"/>
        <v/>
      </c>
      <c r="AD57" s="24">
        <f t="shared" si="26"/>
        <v>8.7461410369724035</v>
      </c>
      <c r="AE57" s="41" t="str">
        <f t="shared" si="13"/>
        <v/>
      </c>
      <c r="AF57" s="24">
        <f t="shared" si="27"/>
        <v>8.9536924436688423</v>
      </c>
      <c r="AG57" s="41" t="str">
        <f t="shared" si="14"/>
        <v/>
      </c>
      <c r="AH57" s="24">
        <f t="shared" si="28"/>
        <v>11.444309324026108</v>
      </c>
      <c r="AI57" s="41" t="str">
        <f t="shared" si="15"/>
        <v/>
      </c>
    </row>
    <row r="58" spans="1:35" ht="15" customHeight="1">
      <c r="A58" s="719"/>
      <c r="B58" s="661" t="str">
        <f>Rydberg!B67</f>
        <v>Gravitational radius of the Sun</v>
      </c>
      <c r="C58" s="661" t="str">
        <f>Rydberg!C67</f>
        <v>m</v>
      </c>
      <c r="D58" s="21">
        <f>Rydberg!D67</f>
        <v>1476.6250157971238</v>
      </c>
      <c r="E58" s="8">
        <v>8</v>
      </c>
      <c r="F58" s="279">
        <f>D58/F$3</f>
        <v>6099.4681068912905</v>
      </c>
      <c r="G58" s="142" t="str">
        <f t="shared" si="16"/>
        <v>3;643574X8</v>
      </c>
      <c r="H58" s="284">
        <v>3</v>
      </c>
      <c r="I58" s="285">
        <f t="shared" si="29"/>
        <v>3.5297847840806078</v>
      </c>
      <c r="J58" s="286"/>
      <c r="K58" s="40" t="str">
        <f t="shared" si="3"/>
        <v>3</v>
      </c>
      <c r="L58" s="24">
        <f t="shared" si="17"/>
        <v>6.3574174089672937</v>
      </c>
      <c r="M58" s="41" t="str">
        <f t="shared" si="4"/>
        <v>6</v>
      </c>
      <c r="N58" s="24">
        <f t="shared" si="18"/>
        <v>4.2890089076075242</v>
      </c>
      <c r="O58" s="41" t="str">
        <f t="shared" si="5"/>
        <v>4</v>
      </c>
      <c r="P58" s="24">
        <f t="shared" si="19"/>
        <v>3.4681068912902902</v>
      </c>
      <c r="Q58" s="41" t="str">
        <f t="shared" si="6"/>
        <v>3</v>
      </c>
      <c r="R58" s="24">
        <f t="shared" si="20"/>
        <v>5.6172826954834818</v>
      </c>
      <c r="S58" s="41" t="str">
        <f t="shared" si="7"/>
        <v>5</v>
      </c>
      <c r="T58" s="24">
        <f t="shared" si="21"/>
        <v>7.4073923458017816</v>
      </c>
      <c r="U58" s="41" t="str">
        <f t="shared" si="8"/>
        <v>7</v>
      </c>
      <c r="V58" s="24">
        <f t="shared" si="22"/>
        <v>4.8887081496213796</v>
      </c>
      <c r="W58" s="41" t="str">
        <f t="shared" si="9"/>
        <v>4</v>
      </c>
      <c r="X58" s="24">
        <f t="shared" si="23"/>
        <v>10.664497795456555</v>
      </c>
      <c r="Y58" s="41" t="str">
        <f t="shared" si="10"/>
        <v>X</v>
      </c>
      <c r="Z58" s="24">
        <f t="shared" si="24"/>
        <v>7.9739735454786569</v>
      </c>
      <c r="AA58" s="41" t="str">
        <f t="shared" si="11"/>
        <v>8</v>
      </c>
      <c r="AB58" s="24">
        <f t="shared" si="25"/>
        <v>11.687682545743883</v>
      </c>
      <c r="AC58" s="41" t="str">
        <f t="shared" si="12"/>
        <v/>
      </c>
      <c r="AD58" s="24">
        <f t="shared" si="26"/>
        <v>8.2521905489265919</v>
      </c>
      <c r="AE58" s="41" t="str">
        <f t="shared" si="13"/>
        <v/>
      </c>
      <c r="AF58" s="24">
        <f t="shared" si="27"/>
        <v>3.0262865871191025</v>
      </c>
      <c r="AG58" s="41" t="str">
        <f t="shared" si="14"/>
        <v/>
      </c>
      <c r="AH58" s="24">
        <f t="shared" si="28"/>
        <v>0.31543904542922974</v>
      </c>
      <c r="AI58" s="41" t="str">
        <f t="shared" si="15"/>
        <v/>
      </c>
    </row>
    <row r="59" spans="1:35" ht="15" customHeight="1">
      <c r="A59" s="719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87">
        <f>D59/F$3</f>
        <v>617941201836.73962</v>
      </c>
      <c r="G59" s="142" t="str">
        <f t="shared" si="16"/>
        <v>9;E91731221</v>
      </c>
      <c r="H59" s="288">
        <v>10</v>
      </c>
      <c r="I59" s="289">
        <f t="shared" si="29"/>
        <v>9.9800953994294428</v>
      </c>
      <c r="J59" s="286"/>
      <c r="K59" s="40" t="str">
        <f t="shared" si="3"/>
        <v>9</v>
      </c>
      <c r="L59" s="24">
        <f t="shared" si="17"/>
        <v>11.761144793153314</v>
      </c>
      <c r="M59" s="41" t="str">
        <f t="shared" si="4"/>
        <v>E</v>
      </c>
      <c r="N59" s="24">
        <f t="shared" si="18"/>
        <v>9.1337375178397622</v>
      </c>
      <c r="O59" s="41" t="str">
        <f t="shared" si="5"/>
        <v>9</v>
      </c>
      <c r="P59" s="24">
        <f t="shared" si="19"/>
        <v>1.6048502140771461</v>
      </c>
      <c r="Q59" s="41" t="str">
        <f t="shared" si="6"/>
        <v>1</v>
      </c>
      <c r="R59" s="24">
        <f t="shared" si="20"/>
        <v>7.2582025689257534</v>
      </c>
      <c r="S59" s="41" t="str">
        <f t="shared" si="7"/>
        <v>7</v>
      </c>
      <c r="T59" s="24">
        <f t="shared" si="21"/>
        <v>3.0984308271090413</v>
      </c>
      <c r="U59" s="41" t="str">
        <f t="shared" si="8"/>
        <v>3</v>
      </c>
      <c r="V59" s="24">
        <f t="shared" si="22"/>
        <v>1.1811699253084953</v>
      </c>
      <c r="W59" s="41" t="str">
        <f t="shared" si="9"/>
        <v>1</v>
      </c>
      <c r="X59" s="24">
        <f t="shared" si="23"/>
        <v>2.1740391037019435</v>
      </c>
      <c r="Y59" s="41" t="str">
        <f t="shared" si="10"/>
        <v>2</v>
      </c>
      <c r="Z59" s="24">
        <f t="shared" si="24"/>
        <v>2.0884692444233224</v>
      </c>
      <c r="AA59" s="41" t="str">
        <f t="shared" si="11"/>
        <v>2</v>
      </c>
      <c r="AB59" s="24">
        <f t="shared" si="25"/>
        <v>1.0616309330798686</v>
      </c>
      <c r="AC59" s="41" t="str">
        <f t="shared" si="12"/>
        <v>1</v>
      </c>
      <c r="AD59" s="24">
        <f t="shared" si="26"/>
        <v>0.73957119695842266</v>
      </c>
      <c r="AE59" s="41" t="str">
        <f t="shared" si="13"/>
        <v/>
      </c>
      <c r="AF59" s="24">
        <f t="shared" si="27"/>
        <v>8.8748543635010719</v>
      </c>
      <c r="AG59" s="41" t="str">
        <f t="shared" si="14"/>
        <v/>
      </c>
      <c r="AH59" s="24">
        <f t="shared" si="28"/>
        <v>10.498252362012863</v>
      </c>
      <c r="AI59" s="41" t="str">
        <f t="shared" si="15"/>
        <v/>
      </c>
    </row>
    <row r="60" spans="1:35" ht="15" customHeight="1">
      <c r="A60" s="719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87">
        <f>D60/F$4</f>
        <v>1437.13373751784</v>
      </c>
      <c r="G60" s="142" t="str">
        <f t="shared" si="16"/>
        <v>0;9E9173122</v>
      </c>
      <c r="H60" s="288">
        <v>3</v>
      </c>
      <c r="I60" s="289">
        <f t="shared" si="29"/>
        <v>0.83167461661912034</v>
      </c>
      <c r="J60" s="286"/>
      <c r="K60" s="40" t="str">
        <f t="shared" si="3"/>
        <v>0</v>
      </c>
      <c r="L60" s="24">
        <f t="shared" si="17"/>
        <v>9.9800953994294446</v>
      </c>
      <c r="M60" s="41" t="str">
        <f t="shared" si="4"/>
        <v>9</v>
      </c>
      <c r="N60" s="24">
        <f t="shared" si="18"/>
        <v>11.761144793153335</v>
      </c>
      <c r="O60" s="41" t="str">
        <f t="shared" si="5"/>
        <v>E</v>
      </c>
      <c r="P60" s="24">
        <f t="shared" si="19"/>
        <v>9.133737517840018</v>
      </c>
      <c r="Q60" s="41" t="str">
        <f t="shared" si="6"/>
        <v>9</v>
      </c>
      <c r="R60" s="24">
        <f t="shared" si="20"/>
        <v>1.6048502140802157</v>
      </c>
      <c r="S60" s="41" t="str">
        <f t="shared" si="7"/>
        <v>1</v>
      </c>
      <c r="T60" s="24">
        <f t="shared" si="21"/>
        <v>7.258202568962588</v>
      </c>
      <c r="U60" s="41" t="str">
        <f t="shared" si="8"/>
        <v>7</v>
      </c>
      <c r="V60" s="24">
        <f t="shared" si="22"/>
        <v>3.0984308275510557</v>
      </c>
      <c r="W60" s="41" t="str">
        <f t="shared" si="9"/>
        <v>3</v>
      </c>
      <c r="X60" s="24">
        <f t="shared" si="23"/>
        <v>1.1811699306126684</v>
      </c>
      <c r="Y60" s="41" t="str">
        <f t="shared" si="10"/>
        <v>1</v>
      </c>
      <c r="Z60" s="24">
        <f t="shared" si="24"/>
        <v>2.1740391673520207</v>
      </c>
      <c r="AA60" s="41" t="str">
        <f t="shared" si="11"/>
        <v>2</v>
      </c>
      <c r="AB60" s="24">
        <f t="shared" si="25"/>
        <v>2.0884700082242489</v>
      </c>
      <c r="AC60" s="41" t="str">
        <f t="shared" si="12"/>
        <v>2</v>
      </c>
      <c r="AD60" s="24">
        <f t="shared" si="26"/>
        <v>1.0616400986909866</v>
      </c>
      <c r="AE60" s="41" t="str">
        <f t="shared" si="13"/>
        <v/>
      </c>
      <c r="AF60" s="24">
        <f t="shared" si="27"/>
        <v>0.7396811842918396</v>
      </c>
      <c r="AG60" s="41" t="str">
        <f t="shared" si="14"/>
        <v/>
      </c>
      <c r="AH60" s="24">
        <f t="shared" si="28"/>
        <v>8.8761742115020752</v>
      </c>
      <c r="AI60" s="41" t="str">
        <f t="shared" si="15"/>
        <v/>
      </c>
    </row>
    <row r="61" spans="1:35" ht="15" customHeight="1" thickBot="1">
      <c r="A61" s="720"/>
      <c r="B61" s="5" t="s">
        <v>117</v>
      </c>
      <c r="C61" s="5" t="str">
        <f>Rydberg!C70</f>
        <v>-</v>
      </c>
      <c r="D61" s="29">
        <f>Rydberg!D70*Clock!F$4/F$4</f>
        <v>11.227607324358125</v>
      </c>
      <c r="E61" s="30">
        <v>9</v>
      </c>
      <c r="F61" s="287">
        <f>D61</f>
        <v>11.227607324358125</v>
      </c>
      <c r="G61" s="142" t="str">
        <f t="shared" si="16"/>
        <v>0;E28937E9E</v>
      </c>
      <c r="H61" s="288">
        <v>1</v>
      </c>
      <c r="I61" s="289">
        <f t="shared" si="29"/>
        <v>0.93563394369651043</v>
      </c>
      <c r="J61" s="290"/>
      <c r="K61" s="40" t="str">
        <f t="shared" si="3"/>
        <v>0</v>
      </c>
      <c r="L61" s="24">
        <f t="shared" si="17"/>
        <v>11.227607324358125</v>
      </c>
      <c r="M61" s="41" t="str">
        <f t="shared" si="4"/>
        <v>E</v>
      </c>
      <c r="N61" s="24">
        <f t="shared" si="18"/>
        <v>2.7312878922975017</v>
      </c>
      <c r="O61" s="41" t="str">
        <f t="shared" si="5"/>
        <v>2</v>
      </c>
      <c r="P61" s="24">
        <f t="shared" si="19"/>
        <v>8.7754547075700202</v>
      </c>
      <c r="Q61" s="41" t="str">
        <f t="shared" si="6"/>
        <v>8</v>
      </c>
      <c r="R61" s="24">
        <f t="shared" si="20"/>
        <v>9.3054564908402426</v>
      </c>
      <c r="S61" s="41" t="str">
        <f t="shared" si="7"/>
        <v>9</v>
      </c>
      <c r="T61" s="24">
        <f t="shared" si="21"/>
        <v>3.6654778900829115</v>
      </c>
      <c r="U61" s="41" t="str">
        <f t="shared" si="8"/>
        <v>3</v>
      </c>
      <c r="V61" s="24">
        <f t="shared" si="22"/>
        <v>7.9857346809949377</v>
      </c>
      <c r="W61" s="41" t="str">
        <f t="shared" si="9"/>
        <v>7</v>
      </c>
      <c r="X61" s="24">
        <f t="shared" si="23"/>
        <v>11.828816171939252</v>
      </c>
      <c r="Y61" s="41" t="str">
        <f t="shared" si="10"/>
        <v>E</v>
      </c>
      <c r="Z61" s="24">
        <f t="shared" si="24"/>
        <v>9.9457940632710233</v>
      </c>
      <c r="AA61" s="41" t="str">
        <f t="shared" si="11"/>
        <v>9</v>
      </c>
      <c r="AB61" s="24">
        <f t="shared" si="25"/>
        <v>11.34952875925228</v>
      </c>
      <c r="AC61" s="41" t="str">
        <f t="shared" si="12"/>
        <v>E</v>
      </c>
      <c r="AD61" s="24">
        <f t="shared" si="26"/>
        <v>4.19434511102736</v>
      </c>
      <c r="AE61" s="41" t="str">
        <f t="shared" si="13"/>
        <v/>
      </c>
      <c r="AF61" s="24">
        <f t="shared" si="27"/>
        <v>2.3321413323283195</v>
      </c>
      <c r="AG61" s="41" t="str">
        <f t="shared" si="14"/>
        <v/>
      </c>
      <c r="AH61" s="24">
        <f t="shared" si="28"/>
        <v>3.9856959879398346</v>
      </c>
      <c r="AI61" s="41" t="str">
        <f t="shared" si="15"/>
        <v/>
      </c>
    </row>
    <row r="62" spans="1:35" ht="12" customHeight="1">
      <c r="A62" s="715" t="s">
        <v>49</v>
      </c>
      <c r="B62" s="662" t="s">
        <v>42</v>
      </c>
      <c r="C62" s="662"/>
      <c r="D62" s="662"/>
      <c r="E62" s="18" t="s">
        <v>54</v>
      </c>
      <c r="F62" s="662" t="s">
        <v>43</v>
      </c>
      <c r="G62" s="662" t="s">
        <v>92</v>
      </c>
      <c r="H62" s="18" t="s">
        <v>44</v>
      </c>
      <c r="I62" s="660" t="s">
        <v>46</v>
      </c>
      <c r="J62" s="664"/>
    </row>
    <row r="63" spans="1:35" ht="11.25" customHeight="1">
      <c r="A63" s="716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0">K63&amp;";"&amp;M63&amp;O63&amp;Q63&amp;S63&amp;U63&amp;W63&amp;Y63&amp;AA63&amp;AC63&amp;AE63&amp;AG63&amp;AI63</f>
        <v>1;073994049</v>
      </c>
      <c r="H63" s="38">
        <v>-2</v>
      </c>
      <c r="I63" s="61">
        <f t="shared" ref="I63:I79" si="31">F63/POWER(12,H63)</f>
        <v>1.0508187695616</v>
      </c>
      <c r="J63" s="39"/>
      <c r="K63" s="40" t="str">
        <f t="shared" ref="K63:K79" si="32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3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4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5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6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37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38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39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0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1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2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3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4">IF($E63&gt;=AI$27,MID($H$27,IF($E63&gt;AI$27,INT(AH63),ROUND(AH63,0))+1,1),"")</f>
        <v/>
      </c>
    </row>
    <row r="64" spans="1:35" ht="13.5" customHeight="1">
      <c r="A64" s="716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0"/>
        <v>0;E5052258X</v>
      </c>
      <c r="H64" s="38">
        <v>2</v>
      </c>
      <c r="I64" s="61">
        <f t="shared" si="31"/>
        <v>0.9516388829038509</v>
      </c>
      <c r="J64" s="39"/>
      <c r="K64" s="40" t="str">
        <f t="shared" si="32"/>
        <v>0</v>
      </c>
      <c r="L64" s="24">
        <f t="shared" ref="L64:L79" si="45">(I64-INT(I64))*12</f>
        <v>11.419666594846211</v>
      </c>
      <c r="M64" s="41" t="str">
        <f t="shared" si="33"/>
        <v>E</v>
      </c>
      <c r="N64" s="24">
        <f t="shared" ref="N64:N79" si="46">(L64-INT(L64))*12</f>
        <v>5.0359991381545299</v>
      </c>
      <c r="O64" s="41" t="str">
        <f t="shared" si="34"/>
        <v>5</v>
      </c>
      <c r="P64" s="24">
        <f t="shared" ref="P64:P79" si="47">(N64-INT(N64))*12</f>
        <v>0.43198965785435917</v>
      </c>
      <c r="Q64" s="41" t="str">
        <f t="shared" si="35"/>
        <v>0</v>
      </c>
      <c r="R64" s="24">
        <f t="shared" ref="R64:R79" si="48">(P64-INT(P64))*12</f>
        <v>5.18387589425231</v>
      </c>
      <c r="S64" s="41" t="str">
        <f t="shared" si="36"/>
        <v>5</v>
      </c>
      <c r="T64" s="24">
        <f t="shared" ref="T64:T79" si="49">(R64-INT(R64))*12</f>
        <v>2.2065107310277199</v>
      </c>
      <c r="U64" s="41" t="str">
        <f t="shared" si="37"/>
        <v>2</v>
      </c>
      <c r="V64" s="24">
        <f t="shared" ref="V64:V79" si="50">(T64-INT(T64))*12</f>
        <v>2.4781287723326386</v>
      </c>
      <c r="W64" s="41" t="str">
        <f t="shared" si="38"/>
        <v>2</v>
      </c>
      <c r="X64" s="24">
        <f t="shared" ref="X64:X79" si="51">(V64-INT(V64))*12</f>
        <v>5.7375452679916634</v>
      </c>
      <c r="Y64" s="41" t="str">
        <f t="shared" si="39"/>
        <v>5</v>
      </c>
      <c r="Z64" s="24">
        <f t="shared" ref="Z64:Z79" si="52">(X64-INT(X64))*12</f>
        <v>8.8505432158999611</v>
      </c>
      <c r="AA64" s="41" t="str">
        <f t="shared" si="40"/>
        <v>8</v>
      </c>
      <c r="AB64" s="24">
        <f t="shared" ref="AB64:AB79" si="53">(Z64-INT(Z64))*12</f>
        <v>10.206518590799533</v>
      </c>
      <c r="AC64" s="41" t="str">
        <f t="shared" si="41"/>
        <v>X</v>
      </c>
      <c r="AD64" s="24">
        <f t="shared" ref="AD64:AD79" si="54">(AB64-INT(AB64))*12</f>
        <v>2.478223089594394</v>
      </c>
      <c r="AE64" s="41" t="str">
        <f t="shared" si="42"/>
        <v/>
      </c>
      <c r="AF64" s="24">
        <f t="shared" ref="AF64:AF79" si="55">(AD64-INT(AD64))*12</f>
        <v>5.7386770751327276</v>
      </c>
      <c r="AG64" s="41" t="str">
        <f t="shared" si="43"/>
        <v/>
      </c>
      <c r="AH64" s="24">
        <f t="shared" ref="AH64:AH79" si="56">(AF64-INT(AF64))*12</f>
        <v>8.8641249015927315</v>
      </c>
      <c r="AI64" s="41" t="str">
        <f t="shared" si="44"/>
        <v/>
      </c>
    </row>
    <row r="65" spans="1:35" ht="13.5" customHeight="1">
      <c r="A65" s="716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1"/>
        <v>137.03599913815452</v>
      </c>
      <c r="J65" s="39"/>
      <c r="K65" s="40" t="str">
        <f t="shared" si="32"/>
        <v/>
      </c>
      <c r="L65" s="24">
        <f t="shared" si="45"/>
        <v>0.4319896578542739</v>
      </c>
      <c r="M65" s="41" t="str">
        <f t="shared" si="33"/>
        <v>0</v>
      </c>
      <c r="N65" s="24">
        <f t="shared" si="46"/>
        <v>5.1838758942512868</v>
      </c>
      <c r="O65" s="41" t="str">
        <f t="shared" si="34"/>
        <v>5</v>
      </c>
      <c r="P65" s="24">
        <f t="shared" si="47"/>
        <v>2.2065107310154417</v>
      </c>
      <c r="Q65" s="41" t="str">
        <f t="shared" si="35"/>
        <v>2</v>
      </c>
      <c r="R65" s="24">
        <f t="shared" si="48"/>
        <v>2.4781287721853005</v>
      </c>
      <c r="S65" s="41" t="str">
        <f t="shared" si="36"/>
        <v>2</v>
      </c>
      <c r="T65" s="24">
        <f t="shared" si="49"/>
        <v>5.7375452662236057</v>
      </c>
      <c r="U65" s="41" t="str">
        <f t="shared" si="37"/>
        <v>5</v>
      </c>
      <c r="V65" s="24">
        <f t="shared" si="50"/>
        <v>8.8505431946832687</v>
      </c>
      <c r="W65" s="41" t="str">
        <f t="shared" si="38"/>
        <v>8</v>
      </c>
      <c r="X65" s="24">
        <f t="shared" si="51"/>
        <v>10.206518336199224</v>
      </c>
      <c r="Y65" s="41" t="str">
        <f t="shared" si="39"/>
        <v>X</v>
      </c>
      <c r="Z65" s="24">
        <f t="shared" si="52"/>
        <v>2.4782200343906879</v>
      </c>
      <c r="AA65" s="41" t="str">
        <f t="shared" si="40"/>
        <v>2</v>
      </c>
      <c r="AB65" s="24">
        <f t="shared" si="53"/>
        <v>5.7386404126882553</v>
      </c>
      <c r="AC65" s="41" t="str">
        <f t="shared" si="41"/>
        <v>6</v>
      </c>
      <c r="AD65" s="24">
        <f t="shared" si="54"/>
        <v>8.8636849522590637</v>
      </c>
      <c r="AE65" s="41" t="str">
        <f t="shared" si="42"/>
        <v/>
      </c>
      <c r="AF65" s="24">
        <f t="shared" si="55"/>
        <v>10.364219427108765</v>
      </c>
      <c r="AG65" s="41" t="str">
        <f t="shared" si="43"/>
        <v/>
      </c>
      <c r="AH65" s="24">
        <f t="shared" si="56"/>
        <v>4.3706331253051758</v>
      </c>
      <c r="AI65" s="41" t="str">
        <f t="shared" si="44"/>
        <v/>
      </c>
    </row>
    <row r="66" spans="1:35" ht="13.5" customHeight="1">
      <c r="A66" s="716"/>
      <c r="B66" s="8" t="s">
        <v>39</v>
      </c>
      <c r="C66" s="8"/>
      <c r="D66" s="21"/>
      <c r="E66" s="8">
        <v>9</v>
      </c>
      <c r="F66" s="21">
        <f t="shared" ref="F66" si="57">SQRT($D$28)</f>
        <v>8.542454311496199E-2</v>
      </c>
      <c r="G66" s="37" t="str">
        <f t="shared" ref="G66:G69" si="58">K66&amp;";"&amp;M66&amp;O66&amp;Q66&amp;S66&amp;U66&amp;W66&amp;Y66&amp;AA66&amp;AC66&amp;AE66&amp;AG66&amp;AI66</f>
        <v>1;0374439E2</v>
      </c>
      <c r="H66" s="38">
        <v>-1</v>
      </c>
      <c r="I66" s="61">
        <f t="shared" si="31"/>
        <v>1.025094517379544</v>
      </c>
      <c r="J66" s="39"/>
      <c r="K66" s="40" t="str">
        <f t="shared" si="32"/>
        <v>1</v>
      </c>
      <c r="L66" s="24">
        <f t="shared" si="45"/>
        <v>0.30113420855452855</v>
      </c>
      <c r="M66" s="41" t="str">
        <f t="shared" si="33"/>
        <v>0</v>
      </c>
      <c r="N66" s="24">
        <f t="shared" si="46"/>
        <v>3.6136105026543426</v>
      </c>
      <c r="O66" s="41" t="str">
        <f t="shared" si="34"/>
        <v>3</v>
      </c>
      <c r="P66" s="24">
        <f t="shared" si="47"/>
        <v>7.363326031852111</v>
      </c>
      <c r="Q66" s="41" t="str">
        <f t="shared" si="35"/>
        <v>7</v>
      </c>
      <c r="R66" s="24">
        <f t="shared" si="48"/>
        <v>4.3599123822253318</v>
      </c>
      <c r="S66" s="41" t="str">
        <f t="shared" si="36"/>
        <v>4</v>
      </c>
      <c r="T66" s="24">
        <f t="shared" si="49"/>
        <v>4.3189485867039821</v>
      </c>
      <c r="U66" s="41" t="str">
        <f t="shared" si="37"/>
        <v>4</v>
      </c>
      <c r="V66" s="24">
        <f t="shared" si="50"/>
        <v>3.8273830404477849</v>
      </c>
      <c r="W66" s="41" t="str">
        <f t="shared" si="38"/>
        <v>3</v>
      </c>
      <c r="X66" s="24">
        <f t="shared" si="51"/>
        <v>9.9285964853734185</v>
      </c>
      <c r="Y66" s="41" t="str">
        <f t="shared" si="39"/>
        <v>9</v>
      </c>
      <c r="Z66" s="24">
        <f t="shared" si="52"/>
        <v>11.143157824481023</v>
      </c>
      <c r="AA66" s="41" t="str">
        <f t="shared" si="40"/>
        <v>E</v>
      </c>
      <c r="AB66" s="24">
        <f t="shared" si="53"/>
        <v>1.7178938937722705</v>
      </c>
      <c r="AC66" s="41" t="str">
        <f t="shared" si="41"/>
        <v>2</v>
      </c>
      <c r="AD66" s="24">
        <f t="shared" si="54"/>
        <v>8.6147267252672464</v>
      </c>
      <c r="AE66" s="41" t="str">
        <f t="shared" si="42"/>
        <v/>
      </c>
      <c r="AF66" s="24">
        <f t="shared" si="55"/>
        <v>7.3767207032069564</v>
      </c>
      <c r="AG66" s="41" t="str">
        <f t="shared" si="43"/>
        <v/>
      </c>
      <c r="AH66" s="24">
        <f t="shared" si="56"/>
        <v>4.5206484384834766</v>
      </c>
      <c r="AI66" s="41" t="str">
        <f t="shared" si="44"/>
        <v/>
      </c>
    </row>
    <row r="67" spans="1:35" ht="13.5" customHeight="1">
      <c r="A67" s="716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58"/>
        <v>0;E85846628</v>
      </c>
      <c r="H67" s="38">
        <v>1</v>
      </c>
      <c r="I67" s="61">
        <f t="shared" si="31"/>
        <v>0.97551980138993111</v>
      </c>
      <c r="J67" s="39"/>
      <c r="K67" s="40" t="str">
        <f t="shared" si="32"/>
        <v>0</v>
      </c>
      <c r="L67" s="24">
        <f t="shared" si="45"/>
        <v>11.706237616679173</v>
      </c>
      <c r="M67" s="41" t="str">
        <f t="shared" si="33"/>
        <v>E</v>
      </c>
      <c r="N67" s="24">
        <f t="shared" si="46"/>
        <v>8.4748514001500794</v>
      </c>
      <c r="O67" s="41" t="str">
        <f t="shared" si="34"/>
        <v>8</v>
      </c>
      <c r="P67" s="24">
        <f t="shared" si="47"/>
        <v>5.6982168018009531</v>
      </c>
      <c r="Q67" s="41" t="str">
        <f t="shared" si="35"/>
        <v>5</v>
      </c>
      <c r="R67" s="24">
        <f t="shared" si="48"/>
        <v>8.3786016216114376</v>
      </c>
      <c r="S67" s="41" t="str">
        <f t="shared" si="36"/>
        <v>8</v>
      </c>
      <c r="T67" s="24">
        <f t="shared" si="49"/>
        <v>4.5432194593372515</v>
      </c>
      <c r="U67" s="41" t="str">
        <f t="shared" si="37"/>
        <v>4</v>
      </c>
      <c r="V67" s="24">
        <f t="shared" si="50"/>
        <v>6.5186335120470176</v>
      </c>
      <c r="W67" s="41" t="str">
        <f t="shared" si="38"/>
        <v>6</v>
      </c>
      <c r="X67" s="24">
        <f t="shared" si="51"/>
        <v>6.2236021445642109</v>
      </c>
      <c r="Y67" s="41" t="str">
        <f t="shared" si="39"/>
        <v>6</v>
      </c>
      <c r="Z67" s="24">
        <f t="shared" si="52"/>
        <v>2.6832257347705308</v>
      </c>
      <c r="AA67" s="41" t="str">
        <f t="shared" si="40"/>
        <v>2</v>
      </c>
      <c r="AB67" s="24">
        <f t="shared" si="53"/>
        <v>8.19870881724637</v>
      </c>
      <c r="AC67" s="41" t="str">
        <f t="shared" si="41"/>
        <v>8</v>
      </c>
      <c r="AD67" s="24">
        <f t="shared" si="54"/>
        <v>2.3845058069564402</v>
      </c>
      <c r="AE67" s="41" t="str">
        <f t="shared" si="42"/>
        <v/>
      </c>
      <c r="AF67" s="24">
        <f t="shared" si="55"/>
        <v>4.6140696834772825</v>
      </c>
      <c r="AG67" s="41" t="str">
        <f t="shared" si="43"/>
        <v/>
      </c>
      <c r="AH67" s="24">
        <f t="shared" si="56"/>
        <v>7.3688362017273903</v>
      </c>
      <c r="AI67" s="41" t="str">
        <f t="shared" si="44"/>
        <v/>
      </c>
    </row>
    <row r="68" spans="1:35" ht="13.5" customHeight="1">
      <c r="A68" s="716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58"/>
        <v>1;0696831713E1</v>
      </c>
      <c r="H68" s="38">
        <v>1</v>
      </c>
      <c r="I68" s="61">
        <f t="shared" si="31"/>
        <v>1.0471975511965976</v>
      </c>
      <c r="J68" s="39"/>
      <c r="K68" s="40" t="str">
        <f t="shared" si="32"/>
        <v>1</v>
      </c>
      <c r="L68" s="24">
        <f t="shared" si="45"/>
        <v>0.56637061435917158</v>
      </c>
      <c r="M68" s="41" t="str">
        <f t="shared" si="33"/>
        <v>0</v>
      </c>
      <c r="N68" s="24">
        <f t="shared" si="46"/>
        <v>6.7964473723100589</v>
      </c>
      <c r="O68" s="41" t="str">
        <f t="shared" si="34"/>
        <v>6</v>
      </c>
      <c r="P68" s="24">
        <f t="shared" si="47"/>
        <v>9.5573684677207069</v>
      </c>
      <c r="Q68" s="41" t="str">
        <f t="shared" si="35"/>
        <v>9</v>
      </c>
      <c r="R68" s="24">
        <f t="shared" si="48"/>
        <v>6.688421612648483</v>
      </c>
      <c r="S68" s="41" t="str">
        <f t="shared" si="36"/>
        <v>6</v>
      </c>
      <c r="T68" s="24">
        <f t="shared" si="49"/>
        <v>8.2610593517817961</v>
      </c>
      <c r="U68" s="41" t="str">
        <f t="shared" si="37"/>
        <v>8</v>
      </c>
      <c r="V68" s="24">
        <f t="shared" si="50"/>
        <v>3.1327122213815528</v>
      </c>
      <c r="W68" s="41" t="str">
        <f t="shared" si="38"/>
        <v>3</v>
      </c>
      <c r="X68" s="24">
        <f t="shared" si="51"/>
        <v>1.5925466565786337</v>
      </c>
      <c r="Y68" s="41" t="str">
        <f t="shared" si="39"/>
        <v>1</v>
      </c>
      <c r="Z68" s="24">
        <f t="shared" si="52"/>
        <v>7.1105598789436044</v>
      </c>
      <c r="AA68" s="41" t="str">
        <f t="shared" si="40"/>
        <v>7</v>
      </c>
      <c r="AB68" s="24">
        <f t="shared" si="53"/>
        <v>1.326718547323253</v>
      </c>
      <c r="AC68" s="41" t="str">
        <f t="shared" si="41"/>
        <v>1</v>
      </c>
      <c r="AD68" s="24">
        <f t="shared" si="54"/>
        <v>3.9206225678790361</v>
      </c>
      <c r="AE68" s="41" t="str">
        <f t="shared" si="42"/>
        <v>3</v>
      </c>
      <c r="AF68" s="24">
        <f t="shared" si="55"/>
        <v>11.047470814548433</v>
      </c>
      <c r="AG68" s="41" t="str">
        <f t="shared" si="43"/>
        <v>E</v>
      </c>
      <c r="AH68" s="24">
        <f t="shared" si="56"/>
        <v>0.56964977458119392</v>
      </c>
      <c r="AI68" s="41" t="str">
        <f t="shared" si="44"/>
        <v>1</v>
      </c>
    </row>
    <row r="69" spans="1:35" ht="13.5" customHeight="1">
      <c r="A69" s="716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58"/>
        <v>0;E5615082189E</v>
      </c>
      <c r="H69" s="38">
        <v>-1</v>
      </c>
      <c r="I69" s="61">
        <f t="shared" si="31"/>
        <v>0.95492965855137213</v>
      </c>
      <c r="J69" s="39"/>
      <c r="K69" s="40" t="str">
        <f t="shared" si="32"/>
        <v>0</v>
      </c>
      <c r="L69" s="24">
        <f t="shared" si="45"/>
        <v>11.459155902616466</v>
      </c>
      <c r="M69" s="41" t="str">
        <f t="shared" si="33"/>
        <v>E</v>
      </c>
      <c r="N69" s="24">
        <f t="shared" si="46"/>
        <v>5.5098708313975919</v>
      </c>
      <c r="O69" s="41" t="str">
        <f t="shared" si="34"/>
        <v>5</v>
      </c>
      <c r="P69" s="24">
        <f t="shared" si="47"/>
        <v>6.1184499767711031</v>
      </c>
      <c r="Q69" s="41" t="str">
        <f t="shared" si="35"/>
        <v>6</v>
      </c>
      <c r="R69" s="24">
        <f t="shared" si="48"/>
        <v>1.4213997212532377</v>
      </c>
      <c r="S69" s="41" t="str">
        <f t="shared" si="36"/>
        <v>1</v>
      </c>
      <c r="T69" s="24">
        <f t="shared" si="49"/>
        <v>5.0567966550388519</v>
      </c>
      <c r="U69" s="41" t="str">
        <f t="shared" si="37"/>
        <v>5</v>
      </c>
      <c r="V69" s="24">
        <f t="shared" si="50"/>
        <v>0.68155986046622274</v>
      </c>
      <c r="W69" s="41" t="str">
        <f t="shared" si="38"/>
        <v>0</v>
      </c>
      <c r="X69" s="24">
        <f t="shared" si="51"/>
        <v>8.1787183255946729</v>
      </c>
      <c r="Y69" s="41" t="str">
        <f t="shared" si="39"/>
        <v>8</v>
      </c>
      <c r="Z69" s="24">
        <f t="shared" si="52"/>
        <v>2.1446199071360752</v>
      </c>
      <c r="AA69" s="41" t="str">
        <f t="shared" si="40"/>
        <v>2</v>
      </c>
      <c r="AB69" s="24">
        <f t="shared" si="53"/>
        <v>1.7354388856329024</v>
      </c>
      <c r="AC69" s="41" t="str">
        <f t="shared" si="41"/>
        <v>1</v>
      </c>
      <c r="AD69" s="24">
        <f t="shared" si="54"/>
        <v>8.8252666275948286</v>
      </c>
      <c r="AE69" s="41" t="str">
        <f t="shared" si="42"/>
        <v>8</v>
      </c>
      <c r="AF69" s="24">
        <f t="shared" si="55"/>
        <v>9.9031995311379433</v>
      </c>
      <c r="AG69" s="41" t="str">
        <f t="shared" si="43"/>
        <v>9</v>
      </c>
      <c r="AH69" s="24">
        <f t="shared" si="56"/>
        <v>10.838394373655319</v>
      </c>
      <c r="AI69" s="41" t="str">
        <f t="shared" si="44"/>
        <v>E</v>
      </c>
    </row>
    <row r="70" spans="1:35" ht="13.5" customHeight="1">
      <c r="A70" s="716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1"/>
        <v>137.50987083139759</v>
      </c>
      <c r="J70" s="39"/>
      <c r="K70" s="40" t="str">
        <f t="shared" si="32"/>
        <v/>
      </c>
      <c r="L70" s="24">
        <f t="shared" si="45"/>
        <v>6.1184499767711031</v>
      </c>
      <c r="M70" s="41" t="str">
        <f t="shared" si="33"/>
        <v>6</v>
      </c>
      <c r="N70" s="24">
        <f t="shared" si="46"/>
        <v>1.4213997212532377</v>
      </c>
      <c r="O70" s="41" t="str">
        <f t="shared" si="34"/>
        <v>1</v>
      </c>
      <c r="P70" s="24">
        <f t="shared" si="47"/>
        <v>5.0567966550388519</v>
      </c>
      <c r="Q70" s="41" t="str">
        <f t="shared" si="35"/>
        <v>5</v>
      </c>
      <c r="R70" s="24">
        <f t="shared" si="48"/>
        <v>0.68155986046622274</v>
      </c>
      <c r="S70" s="41" t="str">
        <f t="shared" si="36"/>
        <v>0</v>
      </c>
      <c r="T70" s="24">
        <f t="shared" si="49"/>
        <v>8.1787183255946729</v>
      </c>
      <c r="U70" s="41" t="str">
        <f t="shared" si="37"/>
        <v>8</v>
      </c>
      <c r="V70" s="24">
        <f t="shared" si="50"/>
        <v>2.1446199071360752</v>
      </c>
      <c r="W70" s="41" t="str">
        <f t="shared" si="38"/>
        <v>2</v>
      </c>
      <c r="X70" s="24">
        <f t="shared" si="51"/>
        <v>1.7354388856329024</v>
      </c>
      <c r="Y70" s="41" t="str">
        <f t="shared" si="39"/>
        <v>1</v>
      </c>
      <c r="Z70" s="24">
        <f t="shared" si="52"/>
        <v>8.8252666275948286</v>
      </c>
      <c r="AA70" s="41" t="str">
        <f t="shared" si="40"/>
        <v>8</v>
      </c>
      <c r="AB70" s="24">
        <f t="shared" si="53"/>
        <v>9.9031995311379433</v>
      </c>
      <c r="AC70" s="41" t="str">
        <f t="shared" si="41"/>
        <v>X</v>
      </c>
      <c r="AD70" s="24">
        <f t="shared" si="54"/>
        <v>10.838394373655319</v>
      </c>
      <c r="AE70" s="41" t="str">
        <f t="shared" si="42"/>
        <v/>
      </c>
      <c r="AF70" s="24">
        <f t="shared" si="55"/>
        <v>10.060732483863831</v>
      </c>
      <c r="AG70" s="41" t="str">
        <f t="shared" si="43"/>
        <v/>
      </c>
      <c r="AH70" s="24">
        <f t="shared" si="56"/>
        <v>0.7287898063659668</v>
      </c>
      <c r="AI70" s="41" t="str">
        <f t="shared" si="44"/>
        <v/>
      </c>
    </row>
    <row r="71" spans="1:35" ht="13.5" customHeight="1">
      <c r="A71" s="716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59">K71&amp;";"&amp;M71&amp;O71&amp;Q71&amp;S71&amp;U71&amp;W71&amp;Y71&amp;AA71&amp;AC71&amp;AE71&amp;AG71&amp;AI71</f>
        <v>0;EE6066035</v>
      </c>
      <c r="H71" s="38">
        <v>3</v>
      </c>
      <c r="I71" s="61">
        <f t="shared" si="31"/>
        <v>0.99655390780037834</v>
      </c>
      <c r="J71" s="39"/>
      <c r="K71" s="40" t="str">
        <f t="shared" si="32"/>
        <v>0</v>
      </c>
      <c r="L71" s="24">
        <f t="shared" si="45"/>
        <v>11.95864689360454</v>
      </c>
      <c r="M71" s="41" t="str">
        <f t="shared" si="33"/>
        <v>E</v>
      </c>
      <c r="N71" s="24">
        <f t="shared" si="46"/>
        <v>11.503762723254475</v>
      </c>
      <c r="O71" s="41" t="str">
        <f t="shared" si="34"/>
        <v>E</v>
      </c>
      <c r="P71" s="24">
        <f t="shared" si="47"/>
        <v>6.0451526790537002</v>
      </c>
      <c r="Q71" s="41" t="str">
        <f t="shared" si="35"/>
        <v>6</v>
      </c>
      <c r="R71" s="24">
        <f t="shared" si="48"/>
        <v>0.54183214864440288</v>
      </c>
      <c r="S71" s="41" t="str">
        <f t="shared" si="36"/>
        <v>0</v>
      </c>
      <c r="T71" s="24">
        <f t="shared" si="49"/>
        <v>6.5019857837328345</v>
      </c>
      <c r="U71" s="41" t="str">
        <f t="shared" si="37"/>
        <v>6</v>
      </c>
      <c r="V71" s="24">
        <f t="shared" si="50"/>
        <v>6.0238294047940144</v>
      </c>
      <c r="W71" s="41" t="str">
        <f t="shared" si="38"/>
        <v>6</v>
      </c>
      <c r="X71" s="24">
        <f t="shared" si="51"/>
        <v>0.2859528575281729</v>
      </c>
      <c r="Y71" s="41" t="str">
        <f t="shared" si="39"/>
        <v>0</v>
      </c>
      <c r="Z71" s="24">
        <f t="shared" si="52"/>
        <v>3.4314342903380748</v>
      </c>
      <c r="AA71" s="41" t="str">
        <f t="shared" si="40"/>
        <v>3</v>
      </c>
      <c r="AB71" s="24">
        <f t="shared" si="53"/>
        <v>5.1772114840568975</v>
      </c>
      <c r="AC71" s="41" t="str">
        <f t="shared" si="41"/>
        <v>5</v>
      </c>
      <c r="AD71" s="24">
        <f t="shared" si="54"/>
        <v>2.1265378086827695</v>
      </c>
      <c r="AE71" s="41" t="str">
        <f t="shared" si="42"/>
        <v/>
      </c>
      <c r="AF71" s="24">
        <f t="shared" si="55"/>
        <v>1.5184537041932344</v>
      </c>
      <c r="AG71" s="41" t="str">
        <f t="shared" si="43"/>
        <v/>
      </c>
      <c r="AH71" s="24">
        <f t="shared" si="56"/>
        <v>6.2214444503188133</v>
      </c>
      <c r="AI71" s="41" t="str">
        <f t="shared" si="44"/>
        <v/>
      </c>
    </row>
    <row r="72" spans="1:35" ht="13.5" customHeight="1">
      <c r="A72" s="716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59"/>
        <v>1;005E85686</v>
      </c>
      <c r="H72" s="38">
        <v>-3</v>
      </c>
      <c r="I72" s="61">
        <f t="shared" si="31"/>
        <v>1.0034580088168317</v>
      </c>
      <c r="J72" s="39"/>
      <c r="K72" s="40" t="str">
        <f t="shared" si="32"/>
        <v>1</v>
      </c>
      <c r="L72" s="24">
        <f t="shared" si="45"/>
        <v>4.1496105801980043E-2</v>
      </c>
      <c r="M72" s="41" t="str">
        <f t="shared" si="33"/>
        <v>0</v>
      </c>
      <c r="N72" s="24">
        <f t="shared" si="46"/>
        <v>0.49795326962376052</v>
      </c>
      <c r="O72" s="41" t="str">
        <f t="shared" si="34"/>
        <v>0</v>
      </c>
      <c r="P72" s="24">
        <f t="shared" si="47"/>
        <v>5.9754392354851262</v>
      </c>
      <c r="Q72" s="41" t="str">
        <f t="shared" si="35"/>
        <v>5</v>
      </c>
      <c r="R72" s="24">
        <f t="shared" si="48"/>
        <v>11.705270825821515</v>
      </c>
      <c r="S72" s="41" t="str">
        <f t="shared" si="36"/>
        <v>E</v>
      </c>
      <c r="T72" s="24">
        <f t="shared" si="49"/>
        <v>8.4632499098581775</v>
      </c>
      <c r="U72" s="41" t="str">
        <f t="shared" si="37"/>
        <v>8</v>
      </c>
      <c r="V72" s="24">
        <f t="shared" si="50"/>
        <v>5.5589989182981299</v>
      </c>
      <c r="W72" s="41" t="str">
        <f t="shared" si="38"/>
        <v>5</v>
      </c>
      <c r="X72" s="24">
        <f t="shared" si="51"/>
        <v>6.7079870195775584</v>
      </c>
      <c r="Y72" s="41" t="str">
        <f t="shared" si="39"/>
        <v>6</v>
      </c>
      <c r="Z72" s="24">
        <f t="shared" si="52"/>
        <v>8.4958442349307006</v>
      </c>
      <c r="AA72" s="41" t="str">
        <f t="shared" si="40"/>
        <v>8</v>
      </c>
      <c r="AB72" s="24">
        <f t="shared" si="53"/>
        <v>5.9501308191684075</v>
      </c>
      <c r="AC72" s="41" t="str">
        <f t="shared" si="41"/>
        <v>6</v>
      </c>
      <c r="AD72" s="24">
        <f t="shared" si="54"/>
        <v>11.40156983002089</v>
      </c>
      <c r="AE72" s="41" t="str">
        <f t="shared" si="42"/>
        <v/>
      </c>
      <c r="AF72" s="24">
        <f t="shared" si="55"/>
        <v>4.8188379602506757</v>
      </c>
      <c r="AG72" s="41" t="str">
        <f t="shared" si="43"/>
        <v/>
      </c>
      <c r="AH72" s="24">
        <f t="shared" si="56"/>
        <v>9.8260555230081081</v>
      </c>
      <c r="AI72" s="41" t="str">
        <f t="shared" si="44"/>
        <v/>
      </c>
    </row>
    <row r="73" spans="1:35" ht="13.5" customHeight="1">
      <c r="A73" s="716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59"/>
        <v>0;E46922178</v>
      </c>
      <c r="H73" s="38">
        <v>5</v>
      </c>
      <c r="I73" s="61">
        <f t="shared" si="31"/>
        <v>0.94835944757261925</v>
      </c>
      <c r="J73" s="39"/>
      <c r="K73" s="40" t="str">
        <f t="shared" si="32"/>
        <v>0</v>
      </c>
      <c r="L73" s="24">
        <f t="shared" si="45"/>
        <v>11.380313370871431</v>
      </c>
      <c r="M73" s="41" t="str">
        <f t="shared" si="33"/>
        <v>E</v>
      </c>
      <c r="N73" s="24">
        <f t="shared" si="46"/>
        <v>4.5637604504571669</v>
      </c>
      <c r="O73" s="41" t="str">
        <f t="shared" si="34"/>
        <v>4</v>
      </c>
      <c r="P73" s="24">
        <f t="shared" si="47"/>
        <v>6.7651254054860033</v>
      </c>
      <c r="Q73" s="41" t="str">
        <f t="shared" si="35"/>
        <v>6</v>
      </c>
      <c r="R73" s="24">
        <f t="shared" si="48"/>
        <v>9.1815048658320393</v>
      </c>
      <c r="S73" s="41" t="str">
        <f t="shared" si="36"/>
        <v>9</v>
      </c>
      <c r="T73" s="24">
        <f t="shared" si="49"/>
        <v>2.1780583899844714</v>
      </c>
      <c r="U73" s="41" t="str">
        <f t="shared" si="37"/>
        <v>2</v>
      </c>
      <c r="V73" s="24">
        <f t="shared" si="50"/>
        <v>2.1367006798136572</v>
      </c>
      <c r="W73" s="41" t="str">
        <f t="shared" si="38"/>
        <v>2</v>
      </c>
      <c r="X73" s="24">
        <f t="shared" si="51"/>
        <v>1.6404081577638863</v>
      </c>
      <c r="Y73" s="41" t="str">
        <f t="shared" si="39"/>
        <v>1</v>
      </c>
      <c r="Z73" s="24">
        <f t="shared" si="52"/>
        <v>7.6848978931666352</v>
      </c>
      <c r="AA73" s="41" t="str">
        <f t="shared" si="40"/>
        <v>7</v>
      </c>
      <c r="AB73" s="24">
        <f t="shared" si="53"/>
        <v>8.2187747179996222</v>
      </c>
      <c r="AC73" s="41" t="str">
        <f t="shared" si="41"/>
        <v>8</v>
      </c>
      <c r="AD73" s="24">
        <f t="shared" si="54"/>
        <v>2.6252966159954667</v>
      </c>
      <c r="AE73" s="41" t="str">
        <f t="shared" si="42"/>
        <v/>
      </c>
      <c r="AF73" s="24">
        <f t="shared" si="55"/>
        <v>7.5035593919456005</v>
      </c>
      <c r="AG73" s="41" t="str">
        <f t="shared" si="43"/>
        <v/>
      </c>
      <c r="AH73" s="24">
        <f t="shared" si="56"/>
        <v>6.0427127033472061</v>
      </c>
      <c r="AI73" s="41" t="str">
        <f t="shared" si="44"/>
        <v/>
      </c>
    </row>
    <row r="74" spans="1:35" ht="14.25" customHeight="1">
      <c r="A74" s="716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12" t="str">
        <f t="shared" si="59"/>
        <v>1;07X1163X8</v>
      </c>
      <c r="H74" s="43">
        <v>-5</v>
      </c>
      <c r="I74" s="62">
        <f t="shared" si="31"/>
        <v>1.054452510131636</v>
      </c>
      <c r="J74" s="44"/>
      <c r="K74" s="40" t="str">
        <f t="shared" si="32"/>
        <v>1</v>
      </c>
      <c r="L74" s="24">
        <f t="shared" si="45"/>
        <v>0.65343012157963187</v>
      </c>
      <c r="M74" s="41" t="str">
        <f t="shared" si="33"/>
        <v>0</v>
      </c>
      <c r="N74" s="24">
        <f t="shared" si="46"/>
        <v>7.8411614589555825</v>
      </c>
      <c r="O74" s="41" t="str">
        <f t="shared" si="34"/>
        <v>7</v>
      </c>
      <c r="P74" s="24">
        <f t="shared" si="47"/>
        <v>10.09393750746699</v>
      </c>
      <c r="Q74" s="41" t="str">
        <f t="shared" si="35"/>
        <v>X</v>
      </c>
      <c r="R74" s="24">
        <f t="shared" si="48"/>
        <v>1.1272500896038764</v>
      </c>
      <c r="S74" s="41" t="str">
        <f t="shared" si="36"/>
        <v>1</v>
      </c>
      <c r="T74" s="24">
        <f t="shared" si="49"/>
        <v>1.5270010752465168</v>
      </c>
      <c r="U74" s="41" t="str">
        <f t="shared" si="37"/>
        <v>1</v>
      </c>
      <c r="V74" s="24">
        <f t="shared" si="50"/>
        <v>6.3240129029582022</v>
      </c>
      <c r="W74" s="41" t="str">
        <f t="shared" si="38"/>
        <v>6</v>
      </c>
      <c r="X74" s="24">
        <f t="shared" si="51"/>
        <v>3.8881548354984261</v>
      </c>
      <c r="Y74" s="41" t="str">
        <f t="shared" si="39"/>
        <v>3</v>
      </c>
      <c r="Z74" s="24">
        <f t="shared" si="52"/>
        <v>10.657858025981113</v>
      </c>
      <c r="AA74" s="41" t="str">
        <f t="shared" si="40"/>
        <v>X</v>
      </c>
      <c r="AB74" s="24">
        <f t="shared" si="53"/>
        <v>7.8942963117733598</v>
      </c>
      <c r="AC74" s="41" t="str">
        <f t="shared" si="41"/>
        <v>8</v>
      </c>
      <c r="AD74" s="24">
        <f t="shared" si="54"/>
        <v>10.731555741280317</v>
      </c>
      <c r="AE74" s="41" t="str">
        <f t="shared" si="42"/>
        <v/>
      </c>
      <c r="AF74" s="24">
        <f t="shared" si="55"/>
        <v>8.7786688953638077</v>
      </c>
      <c r="AG74" s="41" t="str">
        <f t="shared" si="43"/>
        <v/>
      </c>
      <c r="AH74" s="24">
        <f t="shared" si="56"/>
        <v>9.3440267443656921</v>
      </c>
      <c r="AI74" s="41" t="str">
        <f t="shared" si="44"/>
        <v/>
      </c>
    </row>
    <row r="75" spans="1:35" ht="14.25" customHeight="1">
      <c r="A75" s="716"/>
      <c r="B75" s="30"/>
      <c r="C75" s="30"/>
      <c r="D75" s="29"/>
      <c r="E75" s="30"/>
      <c r="F75" s="29"/>
      <c r="G75" s="112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>
      <c r="A76" s="716"/>
      <c r="B76" s="30"/>
      <c r="C76" s="30"/>
      <c r="D76" s="29"/>
      <c r="E76" s="30"/>
      <c r="F76" s="29"/>
      <c r="G76" s="112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>
      <c r="A77" s="716"/>
      <c r="B77" s="30" t="s">
        <v>372</v>
      </c>
      <c r="C77" s="30"/>
      <c r="D77" s="29"/>
      <c r="E77" s="30">
        <v>12</v>
      </c>
      <c r="F77" s="29">
        <f>POWER(2,43)</f>
        <v>8796093022208</v>
      </c>
      <c r="G77" s="112" t="str">
        <f t="shared" si="59"/>
        <v>0;EX08X990X0X8</v>
      </c>
      <c r="H77" s="43">
        <v>12</v>
      </c>
      <c r="I77" s="62">
        <f t="shared" si="31"/>
        <v>0.98654036854514426</v>
      </c>
      <c r="J77" s="44"/>
      <c r="K77" s="40" t="str">
        <f t="shared" si="32"/>
        <v>0</v>
      </c>
      <c r="L77" s="24">
        <f t="shared" si="45"/>
        <v>11.838484422541731</v>
      </c>
      <c r="M77" s="41" t="str">
        <f t="shared" si="33"/>
        <v>E</v>
      </c>
      <c r="N77" s="24">
        <f t="shared" si="46"/>
        <v>10.061813070500769</v>
      </c>
      <c r="O77" s="41" t="str">
        <f t="shared" si="34"/>
        <v>X</v>
      </c>
      <c r="P77" s="24">
        <f t="shared" si="47"/>
        <v>0.74175684600922409</v>
      </c>
      <c r="Q77" s="41" t="str">
        <f t="shared" si="35"/>
        <v>0</v>
      </c>
      <c r="R77" s="24">
        <f t="shared" si="48"/>
        <v>8.9010821521106891</v>
      </c>
      <c r="S77" s="41" t="str">
        <f t="shared" si="36"/>
        <v>8</v>
      </c>
      <c r="T77" s="24">
        <f t="shared" si="49"/>
        <v>10.812985825328269</v>
      </c>
      <c r="U77" s="41" t="str">
        <f t="shared" si="37"/>
        <v>X</v>
      </c>
      <c r="V77" s="24">
        <f t="shared" si="50"/>
        <v>9.7558299039392296</v>
      </c>
      <c r="W77" s="41" t="str">
        <f t="shared" si="38"/>
        <v>9</v>
      </c>
      <c r="X77" s="24">
        <f t="shared" si="51"/>
        <v>9.0699588472707546</v>
      </c>
      <c r="Y77" s="41" t="str">
        <f t="shared" si="39"/>
        <v>9</v>
      </c>
      <c r="Z77" s="24">
        <f t="shared" si="52"/>
        <v>0.83950616724905558</v>
      </c>
      <c r="AA77" s="41" t="str">
        <f t="shared" si="40"/>
        <v>0</v>
      </c>
      <c r="AB77" s="24">
        <f t="shared" si="53"/>
        <v>10.074074006988667</v>
      </c>
      <c r="AC77" s="41" t="str">
        <f t="shared" si="41"/>
        <v>X</v>
      </c>
      <c r="AD77" s="24">
        <f t="shared" si="54"/>
        <v>0.88888808386400342</v>
      </c>
      <c r="AE77" s="41" t="str">
        <f t="shared" si="42"/>
        <v>0</v>
      </c>
      <c r="AF77" s="24">
        <f t="shared" si="55"/>
        <v>10.666657006368041</v>
      </c>
      <c r="AG77" s="41" t="str">
        <f t="shared" si="43"/>
        <v>X</v>
      </c>
      <c r="AH77" s="24">
        <f t="shared" si="56"/>
        <v>7.9998840764164925</v>
      </c>
      <c r="AI77" s="41" t="str">
        <f t="shared" si="44"/>
        <v>8</v>
      </c>
    </row>
    <row r="78" spans="1:35" ht="14.25" customHeight="1">
      <c r="A78" s="716"/>
      <c r="B78" s="30" t="s">
        <v>682</v>
      </c>
      <c r="C78" s="30"/>
      <c r="D78" s="29"/>
      <c r="E78" s="30">
        <v>12</v>
      </c>
      <c r="F78" s="29">
        <f>POWER(12,16)/POWER(2,48)</f>
        <v>656.84083557128906</v>
      </c>
      <c r="G78" s="112" t="str">
        <f t="shared" si="59"/>
        <v>4;68X10E696900</v>
      </c>
      <c r="H78" s="43">
        <v>2</v>
      </c>
      <c r="I78" s="62">
        <f t="shared" si="31"/>
        <v>4.5613946914672852</v>
      </c>
      <c r="J78" s="44"/>
      <c r="K78" s="40" t="str">
        <f t="shared" si="32"/>
        <v>4</v>
      </c>
      <c r="L78" s="24">
        <f t="shared" si="45"/>
        <v>6.7367362976074219</v>
      </c>
      <c r="M78" s="41" t="str">
        <f t="shared" si="33"/>
        <v>6</v>
      </c>
      <c r="N78" s="24">
        <f t="shared" si="46"/>
        <v>8.8408355712890625</v>
      </c>
      <c r="O78" s="41" t="str">
        <f t="shared" si="34"/>
        <v>8</v>
      </c>
      <c r="P78" s="24">
        <f t="shared" si="47"/>
        <v>10.09002685546875</v>
      </c>
      <c r="Q78" s="41" t="str">
        <f t="shared" si="35"/>
        <v>X</v>
      </c>
      <c r="R78" s="24">
        <f t="shared" si="48"/>
        <v>1.080322265625</v>
      </c>
      <c r="S78" s="41" t="str">
        <f t="shared" si="36"/>
        <v>1</v>
      </c>
      <c r="T78" s="24">
        <f t="shared" si="49"/>
        <v>0.9638671875</v>
      </c>
      <c r="U78" s="41" t="str">
        <f t="shared" si="37"/>
        <v>0</v>
      </c>
      <c r="V78" s="24">
        <f t="shared" si="50"/>
        <v>11.56640625</v>
      </c>
      <c r="W78" s="41" t="str">
        <f t="shared" si="38"/>
        <v>E</v>
      </c>
      <c r="X78" s="24">
        <f t="shared" si="51"/>
        <v>6.796875</v>
      </c>
      <c r="Y78" s="41" t="str">
        <f t="shared" si="39"/>
        <v>6</v>
      </c>
      <c r="Z78" s="24">
        <f t="shared" si="52"/>
        <v>9.5625</v>
      </c>
      <c r="AA78" s="41" t="str">
        <f t="shared" si="40"/>
        <v>9</v>
      </c>
      <c r="AB78" s="24">
        <f t="shared" si="53"/>
        <v>6.75</v>
      </c>
      <c r="AC78" s="41" t="str">
        <f t="shared" si="41"/>
        <v>6</v>
      </c>
      <c r="AD78" s="24">
        <f t="shared" si="54"/>
        <v>9</v>
      </c>
      <c r="AE78" s="41" t="str">
        <f t="shared" si="42"/>
        <v>9</v>
      </c>
      <c r="AF78" s="24">
        <f t="shared" si="55"/>
        <v>0</v>
      </c>
      <c r="AG78" s="41" t="str">
        <f t="shared" si="43"/>
        <v>0</v>
      </c>
      <c r="AH78" s="24">
        <f t="shared" si="56"/>
        <v>0</v>
      </c>
      <c r="AI78" s="41" t="str">
        <f t="shared" si="44"/>
        <v>0</v>
      </c>
    </row>
    <row r="79" spans="1:35" ht="14.25" customHeight="1" thickBot="1">
      <c r="A79" s="717"/>
      <c r="B79" s="33" t="s">
        <v>373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59"/>
        <v>0;EE17EX582521</v>
      </c>
      <c r="H79" s="48">
        <v>-4</v>
      </c>
      <c r="I79" s="63">
        <f t="shared" si="31"/>
        <v>0.99401955054989555</v>
      </c>
      <c r="J79" s="49"/>
      <c r="K79" s="40" t="str">
        <f t="shared" si="32"/>
        <v>0</v>
      </c>
      <c r="L79" s="24">
        <f t="shared" si="45"/>
        <v>11.928234606598746</v>
      </c>
      <c r="M79" s="41" t="str">
        <f t="shared" si="33"/>
        <v>E</v>
      </c>
      <c r="N79" s="24">
        <f t="shared" si="46"/>
        <v>11.138815279184954</v>
      </c>
      <c r="O79" s="41" t="str">
        <f t="shared" si="34"/>
        <v>E</v>
      </c>
      <c r="P79" s="24">
        <f t="shared" si="47"/>
        <v>1.6657833502194421</v>
      </c>
      <c r="Q79" s="41" t="str">
        <f t="shared" si="35"/>
        <v>1</v>
      </c>
      <c r="R79" s="24">
        <f t="shared" si="48"/>
        <v>7.9894002026333055</v>
      </c>
      <c r="S79" s="41" t="str">
        <f t="shared" si="36"/>
        <v>7</v>
      </c>
      <c r="T79" s="24">
        <f t="shared" si="49"/>
        <v>11.872802431599666</v>
      </c>
      <c r="U79" s="41" t="str">
        <f t="shared" si="37"/>
        <v>E</v>
      </c>
      <c r="V79" s="24">
        <f t="shared" si="50"/>
        <v>10.473629179195996</v>
      </c>
      <c r="W79" s="41" t="str">
        <f t="shared" si="38"/>
        <v>X</v>
      </c>
      <c r="X79" s="24">
        <f t="shared" si="51"/>
        <v>5.6835501503519481</v>
      </c>
      <c r="Y79" s="41" t="str">
        <f t="shared" si="39"/>
        <v>5</v>
      </c>
      <c r="Z79" s="24">
        <f t="shared" si="52"/>
        <v>8.2026018042233773</v>
      </c>
      <c r="AA79" s="41" t="str">
        <f t="shared" si="40"/>
        <v>8</v>
      </c>
      <c r="AB79" s="24">
        <f t="shared" si="53"/>
        <v>2.4312216506805271</v>
      </c>
      <c r="AC79" s="41" t="str">
        <f t="shared" si="41"/>
        <v>2</v>
      </c>
      <c r="AD79" s="24">
        <f t="shared" si="54"/>
        <v>5.1746598081663251</v>
      </c>
      <c r="AE79" s="41" t="str">
        <f t="shared" si="42"/>
        <v>5</v>
      </c>
      <c r="AF79" s="24">
        <f t="shared" si="55"/>
        <v>2.0959176979959011</v>
      </c>
      <c r="AG79" s="41" t="str">
        <f t="shared" si="43"/>
        <v>2</v>
      </c>
      <c r="AH79" s="24">
        <f t="shared" si="56"/>
        <v>1.1510123759508133</v>
      </c>
      <c r="AI79" s="41" t="str">
        <f t="shared" si="44"/>
        <v>1</v>
      </c>
    </row>
    <row r="80" spans="1:35">
      <c r="I80" s="79"/>
      <c r="J80" s="79"/>
      <c r="K80" s="79"/>
    </row>
    <row r="81" spans="1:35" ht="15" customHeight="1">
      <c r="B81" s="661" t="s">
        <v>269</v>
      </c>
      <c r="C81" s="661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2655193.2150750607</v>
      </c>
      <c r="G81" s="142" t="str">
        <f t="shared" ref="G81" si="60">K81&amp;";"&amp;M81&amp;O81&amp;Q81&amp;S81&amp;U81&amp;W81&amp;Y81&amp;AA81&amp;AC81&amp;AE81&amp;AG81&amp;AI81</f>
        <v>0;X806X126E797</v>
      </c>
      <c r="H81" s="38">
        <v>6</v>
      </c>
      <c r="I81" s="61">
        <f>F81/POWER(12,H81)</f>
        <v>0.88921883542412172</v>
      </c>
      <c r="J81" s="39"/>
      <c r="K81" s="40" t="str">
        <f t="shared" ref="K81" si="61">IF($E81&gt;=K$27,MID($H$27,IF($E81&gt;K$27,INT(I81),ROUND(I81,0))+1,1),"")</f>
        <v>0</v>
      </c>
      <c r="L81" s="24">
        <f t="shared" ref="L81" si="62">(I81-INT(I81))*12</f>
        <v>10.670626025089462</v>
      </c>
      <c r="M81" s="41" t="str">
        <f t="shared" ref="M81" si="63">IF($E81&gt;=M$27,MID($H$27,IF($E81&gt;M$27,INT(L81),ROUND(L81,0))+1,1),"")</f>
        <v>X</v>
      </c>
      <c r="N81" s="24">
        <f t="shared" ref="N81" si="64">(L81-INT(L81))*12</f>
        <v>8.0475123010735388</v>
      </c>
      <c r="O81" s="41" t="str">
        <f t="shared" ref="O81" si="65">IF($E81&gt;=O$27,MID($H$27,IF($E81&gt;O$27,INT(N81),ROUND(N81,0))+1,1),"")</f>
        <v>8</v>
      </c>
      <c r="P81" s="24">
        <f t="shared" ref="P81" si="66">(N81-INT(N81))*12</f>
        <v>0.57014761288246518</v>
      </c>
      <c r="Q81" s="41" t="str">
        <f t="shared" ref="Q81" si="67">IF($E81&gt;=Q$27,MID($H$27,IF($E81&gt;Q$27,INT(P81),ROUND(P81,0))+1,1),"")</f>
        <v>0</v>
      </c>
      <c r="R81" s="24">
        <f t="shared" ref="R81" si="68">(P81-INT(P81))*12</f>
        <v>6.8417713545895822</v>
      </c>
      <c r="S81" s="41" t="str">
        <f t="shared" ref="S81" si="69">IF($E81&gt;=S$27,MID($H$27,IF($E81&gt;S$27,INT(R81),ROUND(R81,0))+1,1),"")</f>
        <v>6</v>
      </c>
      <c r="T81" s="24">
        <f t="shared" ref="T81" si="70">(R81-INT(R81))*12</f>
        <v>10.101256255074986</v>
      </c>
      <c r="U81" s="41" t="str">
        <f t="shared" ref="U81" si="71">IF($E81&gt;=U$27,MID($H$27,IF($E81&gt;U$27,INT(T81),ROUND(T81,0))+1,1),"")</f>
        <v>X</v>
      </c>
      <c r="V81" s="24">
        <f t="shared" ref="V81" si="72">(T81-INT(T81))*12</f>
        <v>1.2150750608998351</v>
      </c>
      <c r="W81" s="41" t="str">
        <f t="shared" ref="W81" si="73">IF($E81&gt;=W$27,MID($H$27,IF($E81&gt;W$27,INT(V81),ROUND(V81,0))+1,1),"")</f>
        <v>1</v>
      </c>
      <c r="X81" s="24">
        <f t="shared" ref="X81" si="74">(V81-INT(V81))*12</f>
        <v>2.580900730798021</v>
      </c>
      <c r="Y81" s="41" t="str">
        <f t="shared" ref="Y81" si="75">IF($E81&gt;=Y$27,MID($H$27,IF($E81&gt;Y$27,INT(X81),ROUND(X81,0))+1,1),"")</f>
        <v>2</v>
      </c>
      <c r="Z81" s="24">
        <f t="shared" ref="Z81" si="76">(X81-INT(X81))*12</f>
        <v>6.9708087695762515</v>
      </c>
      <c r="AA81" s="41" t="str">
        <f t="shared" ref="AA81" si="77">IF($E81&gt;=AA$27,MID($H$27,IF($E81&gt;AA$27,INT(Z81),ROUND(Z81,0))+1,1),"")</f>
        <v>6</v>
      </c>
      <c r="AB81" s="24">
        <f t="shared" ref="AB81" si="78">(Z81-INT(Z81))*12</f>
        <v>11.649705234915018</v>
      </c>
      <c r="AC81" s="41" t="str">
        <f t="shared" ref="AC81" si="79">IF($E81&gt;=AC$27,MID($H$27,IF($E81&gt;AC$27,INT(AB81),ROUND(AB81,0))+1,1),"")</f>
        <v>E</v>
      </c>
      <c r="AD81" s="24">
        <f t="shared" ref="AD81" si="80">(AB81-INT(AB81))*12</f>
        <v>7.796462818980217</v>
      </c>
      <c r="AE81" s="41" t="str">
        <f t="shared" ref="AE81" si="81">IF($E81&gt;=AE$27,MID($H$27,IF($E81&gt;AE$27,INT(AD81),ROUND(AD81,0))+1,1),"")</f>
        <v>7</v>
      </c>
      <c r="AF81" s="24">
        <f t="shared" ref="AF81" si="82">(AD81-INT(AD81))*12</f>
        <v>9.5575538277626038</v>
      </c>
      <c r="AG81" s="41" t="str">
        <f t="shared" ref="AG81" si="83">IF($E81&gt;=AG$27,MID($H$27,IF($E81&gt;AG$27,INT(AF81),ROUND(AF81,0))+1,1),"")</f>
        <v>9</v>
      </c>
      <c r="AH81" s="24">
        <f t="shared" ref="AH81" si="84">(AF81-INT(AF81))*12</f>
        <v>6.6906459331512451</v>
      </c>
      <c r="AI81" s="41" t="str">
        <f t="shared" ref="AI81" si="85">IF($E81&gt;=AI$27,MID($H$27,IF($E81&gt;AI$27,INT(AH81),ROUND(AH81,0))+1,1),"")</f>
        <v>7</v>
      </c>
    </row>
    <row r="82" spans="1:35">
      <c r="B82" s="141" t="s">
        <v>270</v>
      </c>
      <c r="D82" s="14">
        <f>1/(1+0.00054461702177)</f>
        <v>0.99945567942448077</v>
      </c>
    </row>
    <row r="84" spans="1:35">
      <c r="B84" s="14" t="s">
        <v>1144</v>
      </c>
      <c r="I84" s="343"/>
    </row>
    <row r="85" spans="1:35">
      <c r="B85" s="111" t="s">
        <v>1173</v>
      </c>
      <c r="C85" s="30" t="s">
        <v>1177</v>
      </c>
      <c r="D85" s="30">
        <f>solar_luminosity!C9</f>
        <v>2.5750450803308646E-6</v>
      </c>
      <c r="E85" s="30">
        <v>6</v>
      </c>
      <c r="F85" s="29">
        <f>D85/F$25</f>
        <v>5.2971633717583665E-6</v>
      </c>
      <c r="G85" s="142" t="str">
        <f t="shared" ref="G85:G89" si="86">K85&amp;";"&amp;M85&amp;O85&amp;Q85&amp;S85&amp;U85&amp;W85&amp;Y85&amp;AA85&amp;AC85&amp;AE85&amp;AG85&amp;AI85</f>
        <v>;982489</v>
      </c>
      <c r="H85" s="38">
        <v>-7</v>
      </c>
      <c r="I85" s="61">
        <f t="shared" ref="I85:I89" si="87">F85/POWER(12,H85)</f>
        <v>189.80694088147843</v>
      </c>
      <c r="J85" s="39"/>
      <c r="K85" s="40" t="str">
        <f t="shared" ref="K85:K89" si="88">IF($E85&gt;=K$27,MID($H$27,IF($E85&gt;K$27,INT(I85),ROUND(I85,0))+1,1),"")</f>
        <v/>
      </c>
      <c r="L85" s="24">
        <f t="shared" ref="L85:L89" si="89">(I85-INT(I85))*12</f>
        <v>9.6832905777411042</v>
      </c>
      <c r="M85" s="41" t="str">
        <f t="shared" ref="M85:M89" si="90">IF($E85&gt;=M$27,MID($H$27,IF($E85&gt;M$27,INT(L85),ROUND(L85,0))+1,1),"")</f>
        <v>9</v>
      </c>
      <c r="N85" s="24">
        <f t="shared" ref="N85:N89" si="91">(L85-INT(L85))*12</f>
        <v>8.1994869328932509</v>
      </c>
      <c r="O85" s="41" t="str">
        <f t="shared" ref="O85:O89" si="92">IF($E85&gt;=O$27,MID($H$27,IF($E85&gt;O$27,INT(N85),ROUND(N85,0))+1,1),"")</f>
        <v>8</v>
      </c>
      <c r="P85" s="24">
        <f t="shared" ref="P85:P89" si="93">(N85-INT(N85))*12</f>
        <v>2.3938431947190111</v>
      </c>
      <c r="Q85" s="41" t="str">
        <f t="shared" ref="Q85:Q89" si="94">IF($E85&gt;=Q$27,MID($H$27,IF($E85&gt;Q$27,INT(P85),ROUND(P85,0))+1,1),"")</f>
        <v>2</v>
      </c>
      <c r="R85" s="24">
        <f t="shared" ref="R85:R89" si="95">(P85-INT(P85))*12</f>
        <v>4.726118336628133</v>
      </c>
      <c r="S85" s="41" t="str">
        <f t="shared" ref="S85:S89" si="96">IF($E85&gt;=S$27,MID($H$27,IF($E85&gt;S$27,INT(R85),ROUND(R85,0))+1,1),"")</f>
        <v>4</v>
      </c>
      <c r="T85" s="24">
        <f t="shared" ref="T85:T89" si="97">(R85-INT(R85))*12</f>
        <v>8.7134200395375956</v>
      </c>
      <c r="U85" s="41" t="str">
        <f t="shared" ref="U85:U89" si="98">IF($E85&gt;=U$27,MID($H$27,IF($E85&gt;U$27,INT(T85),ROUND(T85,0))+1,1),"")</f>
        <v>8</v>
      </c>
      <c r="V85" s="24">
        <f t="shared" ref="V85:V89" si="99">(T85-INT(T85))*12</f>
        <v>8.561040474451147</v>
      </c>
      <c r="W85" s="41" t="str">
        <f t="shared" ref="W85:W89" si="100">IF($E85&gt;=W$27,MID($H$27,IF($E85&gt;W$27,INT(V85),ROUND(V85,0))+1,1),"")</f>
        <v>9</v>
      </c>
      <c r="X85" s="24">
        <f t="shared" ref="X85:X89" si="101">(V85-INT(V85))*12</f>
        <v>6.7324856934137642</v>
      </c>
      <c r="Y85" s="41" t="str">
        <f t="shared" ref="Y85:Y89" si="102">IF($E85&gt;=Y$27,MID($H$27,IF($E85&gt;Y$27,INT(X85),ROUND(X85,0))+1,1),"")</f>
        <v/>
      </c>
      <c r="Z85" s="24">
        <f t="shared" ref="Z85:Z89" si="103">(X85-INT(X85))*12</f>
        <v>8.7898283209651709</v>
      </c>
      <c r="AA85" s="41" t="str">
        <f t="shared" ref="AA85:AA89" si="104">IF($E85&gt;=AA$27,MID($H$27,IF($E85&gt;AA$27,INT(Z85),ROUND(Z85,0))+1,1),"")</f>
        <v/>
      </c>
      <c r="AB85" s="24">
        <f t="shared" ref="AB85:AB89" si="105">(Z85-INT(Z85))*12</f>
        <v>9.4779398515820503</v>
      </c>
      <c r="AC85" s="41" t="str">
        <f t="shared" ref="AC85:AC89" si="106">IF($E85&gt;=AC$27,MID($H$27,IF($E85&gt;AC$27,INT(AB85),ROUND(AB85,0))+1,1),"")</f>
        <v/>
      </c>
      <c r="AD85" s="24">
        <f t="shared" ref="AD85:AD89" si="107">(AB85-INT(AB85))*12</f>
        <v>5.7352782189846039</v>
      </c>
      <c r="AE85" s="41" t="str">
        <f t="shared" ref="AE85:AE89" si="108">IF($E85&gt;=AE$27,MID($H$27,IF($E85&gt;AE$27,INT(AD85),ROUND(AD85,0))+1,1),"")</f>
        <v/>
      </c>
      <c r="AF85" s="24">
        <f t="shared" ref="AF85:AF89" si="109">(AD85-INT(AD85))*12</f>
        <v>8.8233386278152466</v>
      </c>
      <c r="AG85" s="41" t="str">
        <f t="shared" ref="AG85:AG89" si="110">IF($E85&gt;=AG$27,MID($H$27,IF($E85&gt;AG$27,INT(AF85),ROUND(AF85,0))+1,1),"")</f>
        <v/>
      </c>
      <c r="AH85" s="24">
        <f t="shared" ref="AH85:AH89" si="111">(AF85-INT(AF85))*12</f>
        <v>9.880063533782959</v>
      </c>
      <c r="AI85" s="41" t="str">
        <f t="shared" ref="AI85:AI89" si="112">IF($E85&gt;=AI$27,MID($H$27,IF($E85&gt;AI$27,INT(AH85),ROUND(AH85,0))+1,1),"")</f>
        <v/>
      </c>
    </row>
    <row r="86" spans="1:35">
      <c r="B86" s="111" t="s">
        <v>1174</v>
      </c>
      <c r="C86" s="30" t="s">
        <v>1178</v>
      </c>
      <c r="D86" s="30">
        <f>solar_luminosity!C14</f>
        <v>7.8136058826780172E-9</v>
      </c>
      <c r="E86" s="30">
        <v>6</v>
      </c>
      <c r="F86" s="29">
        <f t="shared" ref="F86:F88" si="113">D86/F$25</f>
        <v>1.607348438255673E-8</v>
      </c>
      <c r="G86" s="142" t="str">
        <f t="shared" si="86"/>
        <v>;E28975</v>
      </c>
      <c r="H86" s="38">
        <v>-9</v>
      </c>
      <c r="I86" s="61">
        <f t="shared" si="87"/>
        <v>82.935648905295068</v>
      </c>
      <c r="J86" s="39"/>
      <c r="K86" s="40" t="str">
        <f t="shared" si="88"/>
        <v/>
      </c>
      <c r="L86" s="24">
        <f t="shared" si="89"/>
        <v>11.227786863540814</v>
      </c>
      <c r="M86" s="41" t="str">
        <f t="shared" si="90"/>
        <v>E</v>
      </c>
      <c r="N86" s="24">
        <f t="shared" si="91"/>
        <v>2.7334423624897681</v>
      </c>
      <c r="O86" s="41" t="str">
        <f t="shared" si="92"/>
        <v>2</v>
      </c>
      <c r="P86" s="24">
        <f t="shared" si="93"/>
        <v>8.8013083498772176</v>
      </c>
      <c r="Q86" s="41" t="str">
        <f t="shared" si="94"/>
        <v>8</v>
      </c>
      <c r="R86" s="24">
        <f t="shared" si="95"/>
        <v>9.6157001985266106</v>
      </c>
      <c r="S86" s="41" t="str">
        <f t="shared" si="96"/>
        <v>9</v>
      </c>
      <c r="T86" s="24">
        <f t="shared" si="97"/>
        <v>7.3884023823193274</v>
      </c>
      <c r="U86" s="41" t="str">
        <f t="shared" si="98"/>
        <v>7</v>
      </c>
      <c r="V86" s="24">
        <f t="shared" si="99"/>
        <v>4.6608285878319293</v>
      </c>
      <c r="W86" s="41" t="str">
        <f t="shared" si="100"/>
        <v>5</v>
      </c>
      <c r="X86" s="24">
        <f t="shared" si="101"/>
        <v>7.9299430539831519</v>
      </c>
      <c r="Y86" s="41" t="str">
        <f t="shared" si="102"/>
        <v/>
      </c>
      <c r="Z86" s="24">
        <f t="shared" si="103"/>
        <v>11.159316647797823</v>
      </c>
      <c r="AA86" s="41" t="str">
        <f t="shared" si="104"/>
        <v/>
      </c>
      <c r="AB86" s="24">
        <f t="shared" si="105"/>
        <v>1.9117997735738754</v>
      </c>
      <c r="AC86" s="41" t="str">
        <f t="shared" si="106"/>
        <v/>
      </c>
      <c r="AD86" s="24">
        <f t="shared" si="107"/>
        <v>10.941597282886505</v>
      </c>
      <c r="AE86" s="41" t="str">
        <f t="shared" si="108"/>
        <v/>
      </c>
      <c r="AF86" s="24">
        <f t="shared" si="109"/>
        <v>11.299167394638062</v>
      </c>
      <c r="AG86" s="41" t="str">
        <f t="shared" si="110"/>
        <v/>
      </c>
      <c r="AH86" s="24">
        <f t="shared" si="111"/>
        <v>3.5900087356567383</v>
      </c>
      <c r="AI86" s="41" t="str">
        <f t="shared" si="112"/>
        <v/>
      </c>
    </row>
    <row r="87" spans="1:35">
      <c r="A87" s="470"/>
      <c r="B87" s="111" t="s">
        <v>1175</v>
      </c>
      <c r="C87" s="8"/>
      <c r="D87" s="8">
        <f>solar_luminosity!C12</f>
        <v>1.0251439109782231E-8</v>
      </c>
      <c r="E87" s="8">
        <v>6</v>
      </c>
      <c r="F87" s="21">
        <f t="shared" si="113"/>
        <v>2.1088387218903457E-8</v>
      </c>
      <c r="G87" s="142" t="str">
        <f t="shared" si="86"/>
        <v>;98X219</v>
      </c>
      <c r="H87" s="38">
        <v>-9</v>
      </c>
      <c r="I87" s="61">
        <f t="shared" si="87"/>
        <v>108.81144602746599</v>
      </c>
      <c r="J87" s="39"/>
      <c r="K87" s="40" t="str">
        <f t="shared" si="88"/>
        <v/>
      </c>
      <c r="L87" s="24">
        <f t="shared" si="89"/>
        <v>9.7373523295918858</v>
      </c>
      <c r="M87" s="41" t="str">
        <f t="shared" si="90"/>
        <v>9</v>
      </c>
      <c r="N87" s="24">
        <f t="shared" si="91"/>
        <v>8.8482279551026295</v>
      </c>
      <c r="O87" s="41" t="str">
        <f t="shared" si="92"/>
        <v>8</v>
      </c>
      <c r="P87" s="24">
        <f t="shared" si="93"/>
        <v>10.178735461231554</v>
      </c>
      <c r="Q87" s="41" t="str">
        <f t="shared" si="94"/>
        <v>X</v>
      </c>
      <c r="R87" s="24">
        <f t="shared" si="95"/>
        <v>2.1448255347786471</v>
      </c>
      <c r="S87" s="41" t="str">
        <f t="shared" si="96"/>
        <v>2</v>
      </c>
      <c r="T87" s="24">
        <f t="shared" si="97"/>
        <v>1.7379064173437655</v>
      </c>
      <c r="U87" s="41" t="str">
        <f t="shared" si="98"/>
        <v>1</v>
      </c>
      <c r="V87" s="24">
        <f t="shared" si="99"/>
        <v>8.854877008125186</v>
      </c>
      <c r="W87" s="41" t="str">
        <f t="shared" si="100"/>
        <v>9</v>
      </c>
      <c r="X87" s="24">
        <f t="shared" si="101"/>
        <v>10.258524097502232</v>
      </c>
      <c r="Y87" s="41" t="str">
        <f t="shared" si="102"/>
        <v/>
      </c>
      <c r="Z87" s="24">
        <f t="shared" si="103"/>
        <v>3.1022891700267792</v>
      </c>
      <c r="AA87" s="41" t="str">
        <f t="shared" si="104"/>
        <v/>
      </c>
      <c r="AB87" s="24">
        <f t="shared" si="105"/>
        <v>1.2274700403213501</v>
      </c>
      <c r="AC87" s="41" t="str">
        <f t="shared" si="106"/>
        <v/>
      </c>
      <c r="AD87" s="24">
        <f t="shared" si="107"/>
        <v>2.7296404838562012</v>
      </c>
      <c r="AE87" s="41" t="str">
        <f t="shared" si="108"/>
        <v/>
      </c>
      <c r="AF87" s="24">
        <f t="shared" si="109"/>
        <v>8.7556858062744141</v>
      </c>
      <c r="AG87" s="41" t="str">
        <f t="shared" si="110"/>
        <v/>
      </c>
      <c r="AH87" s="24">
        <f t="shared" si="111"/>
        <v>9.0682296752929687</v>
      </c>
      <c r="AI87" s="41" t="str">
        <f t="shared" si="112"/>
        <v/>
      </c>
    </row>
    <row r="88" spans="1:35">
      <c r="B88" s="111" t="s">
        <v>1176</v>
      </c>
      <c r="C88" s="471"/>
      <c r="D88" s="471">
        <f>solar_luminosity!C11</f>
        <v>2.5750450803308634E-8</v>
      </c>
      <c r="E88" s="471">
        <v>6</v>
      </c>
      <c r="F88" s="472">
        <f t="shared" si="113"/>
        <v>5.297163371758364E-8</v>
      </c>
      <c r="G88" s="473" t="str">
        <f t="shared" si="86"/>
        <v>;3X44X8</v>
      </c>
      <c r="H88" s="38">
        <v>-9</v>
      </c>
      <c r="I88" s="61">
        <f t="shared" si="87"/>
        <v>273.32199486932882</v>
      </c>
      <c r="J88" s="39"/>
      <c r="K88" s="40" t="str">
        <f t="shared" si="88"/>
        <v/>
      </c>
      <c r="L88" s="24">
        <f t="shared" si="89"/>
        <v>3.8639384319458259</v>
      </c>
      <c r="M88" s="41" t="str">
        <f t="shared" si="90"/>
        <v>3</v>
      </c>
      <c r="N88" s="24">
        <f t="shared" si="91"/>
        <v>10.36726118334991</v>
      </c>
      <c r="O88" s="41" t="str">
        <f t="shared" si="92"/>
        <v>X</v>
      </c>
      <c r="P88" s="24">
        <f t="shared" si="93"/>
        <v>4.4071342001989251</v>
      </c>
      <c r="Q88" s="41" t="str">
        <f t="shared" si="94"/>
        <v>4</v>
      </c>
      <c r="R88" s="24">
        <f t="shared" si="95"/>
        <v>4.8856104023871012</v>
      </c>
      <c r="S88" s="41" t="str">
        <f t="shared" si="96"/>
        <v>4</v>
      </c>
      <c r="T88" s="24">
        <f t="shared" si="97"/>
        <v>10.627324828645214</v>
      </c>
      <c r="U88" s="41" t="str">
        <f t="shared" si="98"/>
        <v>X</v>
      </c>
      <c r="V88" s="24">
        <f t="shared" si="99"/>
        <v>7.5278979437425733</v>
      </c>
      <c r="W88" s="41" t="str">
        <f t="shared" si="100"/>
        <v>8</v>
      </c>
      <c r="X88" s="24">
        <f t="shared" si="101"/>
        <v>6.3347753249108791</v>
      </c>
      <c r="Y88" s="41" t="str">
        <f t="shared" si="102"/>
        <v/>
      </c>
      <c r="Z88" s="24">
        <f t="shared" si="103"/>
        <v>4.0173038989305496</v>
      </c>
      <c r="AA88" s="41" t="str">
        <f t="shared" si="104"/>
        <v/>
      </c>
      <c r="AB88" s="24">
        <f t="shared" si="105"/>
        <v>0.20764678716659546</v>
      </c>
      <c r="AC88" s="41" t="str">
        <f t="shared" si="106"/>
        <v/>
      </c>
      <c r="AD88" s="24">
        <f t="shared" si="107"/>
        <v>2.4917614459991455</v>
      </c>
      <c r="AE88" s="41" t="str">
        <f t="shared" si="108"/>
        <v/>
      </c>
      <c r="AF88" s="24">
        <f t="shared" si="109"/>
        <v>5.9011373519897461</v>
      </c>
      <c r="AG88" s="41" t="str">
        <f t="shared" si="110"/>
        <v/>
      </c>
      <c r="AH88" s="24">
        <f t="shared" si="111"/>
        <v>10.813648223876953</v>
      </c>
      <c r="AI88" s="41" t="str">
        <f t="shared" si="112"/>
        <v/>
      </c>
    </row>
    <row r="89" spans="1:35">
      <c r="B89" s="130" t="s">
        <v>1147</v>
      </c>
      <c r="C89" s="8"/>
      <c r="D89" s="8"/>
      <c r="E89" s="8">
        <v>6</v>
      </c>
      <c r="F89" s="21">
        <f>F85/F86</f>
        <v>329.55912020588113</v>
      </c>
      <c r="G89" s="142" t="str">
        <f t="shared" si="86"/>
        <v>2;356862</v>
      </c>
      <c r="H89" s="38">
        <v>2</v>
      </c>
      <c r="I89" s="61">
        <f t="shared" si="87"/>
        <v>2.2886050014297301</v>
      </c>
      <c r="J89" s="39"/>
      <c r="K89" s="40" t="str">
        <f t="shared" si="88"/>
        <v>2</v>
      </c>
      <c r="L89" s="24">
        <f t="shared" si="89"/>
        <v>3.4632600171567614</v>
      </c>
      <c r="M89" s="41" t="str">
        <f t="shared" si="90"/>
        <v>3</v>
      </c>
      <c r="N89" s="24">
        <f t="shared" si="91"/>
        <v>5.5591202058811362</v>
      </c>
      <c r="O89" s="41" t="str">
        <f t="shared" si="92"/>
        <v>5</v>
      </c>
      <c r="P89" s="24">
        <f t="shared" si="93"/>
        <v>6.7094424705736344</v>
      </c>
      <c r="Q89" s="41" t="str">
        <f t="shared" si="94"/>
        <v>6</v>
      </c>
      <c r="R89" s="24">
        <f t="shared" si="95"/>
        <v>8.5133096468836129</v>
      </c>
      <c r="S89" s="41" t="str">
        <f t="shared" si="96"/>
        <v>8</v>
      </c>
      <c r="T89" s="24">
        <f t="shared" si="97"/>
        <v>6.159715762603355</v>
      </c>
      <c r="U89" s="41" t="str">
        <f t="shared" si="98"/>
        <v>6</v>
      </c>
      <c r="V89" s="24">
        <f t="shared" si="99"/>
        <v>1.9165891512402595</v>
      </c>
      <c r="W89" s="41" t="str">
        <f t="shared" si="100"/>
        <v>2</v>
      </c>
      <c r="X89" s="24">
        <f t="shared" si="101"/>
        <v>10.999069814883114</v>
      </c>
      <c r="Y89" s="41" t="str">
        <f t="shared" si="102"/>
        <v/>
      </c>
      <c r="Z89" s="24">
        <f t="shared" si="103"/>
        <v>11.988837778597372</v>
      </c>
      <c r="AA89" s="41" t="str">
        <f t="shared" si="104"/>
        <v/>
      </c>
      <c r="AB89" s="24">
        <f t="shared" si="105"/>
        <v>11.86605334316846</v>
      </c>
      <c r="AC89" s="41" t="str">
        <f t="shared" si="106"/>
        <v/>
      </c>
      <c r="AD89" s="24">
        <f t="shared" si="107"/>
        <v>10.392640118021518</v>
      </c>
      <c r="AE89" s="41" t="str">
        <f t="shared" si="108"/>
        <v/>
      </c>
      <c r="AF89" s="24">
        <f t="shared" si="109"/>
        <v>4.7116814162582159</v>
      </c>
      <c r="AG89" s="41" t="str">
        <f t="shared" si="110"/>
        <v/>
      </c>
      <c r="AH89" s="24">
        <f t="shared" si="111"/>
        <v>8.5401769950985909</v>
      </c>
      <c r="AI89" s="41" t="str">
        <f t="shared" si="112"/>
        <v/>
      </c>
    </row>
  </sheetData>
  <mergeCells count="5">
    <mergeCell ref="A1:A26"/>
    <mergeCell ref="K1:P1"/>
    <mergeCell ref="A27:A61"/>
    <mergeCell ref="H27:I27"/>
    <mergeCell ref="A62:A79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workbookViewId="0">
      <selection activeCell="K43" sqref="K43"/>
    </sheetView>
  </sheetViews>
  <sheetFormatPr defaultRowHeight="12"/>
  <cols>
    <col min="1" max="1" width="2.75" style="14" customWidth="1"/>
    <col min="2" max="2" width="26" style="14" customWidth="1"/>
    <col min="3" max="3" width="8.625" style="14" customWidth="1"/>
    <col min="4" max="4" width="14.125" style="14" customWidth="1"/>
    <col min="5" max="5" width="3.5" style="14" customWidth="1"/>
    <col min="6" max="6" width="13.875" style="14" customWidth="1"/>
    <col min="7" max="7" width="14" style="14" customWidth="1"/>
    <col min="8" max="8" width="3.625" style="14" customWidth="1"/>
    <col min="9" max="9" width="9.125" style="14" customWidth="1"/>
    <col min="10" max="10" width="14.625" style="14" customWidth="1"/>
    <col min="11" max="16384" width="9" style="14"/>
  </cols>
  <sheetData>
    <row r="1" spans="1:10" ht="11.25" customHeight="1">
      <c r="A1" s="745" t="s">
        <v>26</v>
      </c>
      <c r="B1" s="668" t="s">
        <v>42</v>
      </c>
      <c r="C1" s="18" t="str">
        <f>Rydberg!C1</f>
        <v>Unit Symbol</v>
      </c>
      <c r="D1" s="668" t="s">
        <v>43</v>
      </c>
      <c r="E1" s="18" t="s">
        <v>44</v>
      </c>
      <c r="F1" s="668" t="s">
        <v>55</v>
      </c>
      <c r="G1" s="668" t="s">
        <v>778</v>
      </c>
      <c r="H1" s="19"/>
      <c r="I1" s="665" t="s">
        <v>46</v>
      </c>
      <c r="J1" s="669"/>
    </row>
    <row r="2" spans="1:10" ht="13.5" customHeight="1">
      <c r="A2" s="746"/>
      <c r="B2" s="2" t="str">
        <f>Rydberg!B2</f>
        <v>Local Time</v>
      </c>
      <c r="C2" s="2" t="str">
        <f>Rydberg!C2</f>
        <v>s</v>
      </c>
      <c r="D2" s="322"/>
      <c r="E2" s="278"/>
      <c r="F2" s="278"/>
      <c r="G2" s="278"/>
      <c r="H2" s="278"/>
      <c r="I2" s="317"/>
      <c r="J2" s="318"/>
    </row>
    <row r="3" spans="1:10" ht="13.5" customHeight="1">
      <c r="A3" s="746"/>
      <c r="B3" s="2" t="str">
        <f>Rydberg!B3</f>
        <v>Length</v>
      </c>
      <c r="C3" s="7" t="s">
        <v>1677</v>
      </c>
      <c r="D3" s="277"/>
      <c r="E3" s="278"/>
      <c r="F3" s="279">
        <f>D31 * F4 / POWER(10,9)</f>
        <v>0.25902068371199999</v>
      </c>
      <c r="G3" s="280"/>
      <c r="H3" s="278">
        <v>-3</v>
      </c>
      <c r="I3" s="281">
        <f>F3/POWER(10,H3)</f>
        <v>259.02068371199999</v>
      </c>
      <c r="J3" s="282" t="str">
        <f>Rydberg!L3</f>
        <v>mm</v>
      </c>
    </row>
    <row r="4" spans="1:10" ht="13.5" customHeight="1">
      <c r="A4" s="746"/>
      <c r="B4" s="2" t="str">
        <f>Rydberg!B4</f>
        <v>Time</v>
      </c>
      <c r="C4" s="7" t="s">
        <v>1676</v>
      </c>
      <c r="D4" s="28"/>
      <c r="E4" s="278"/>
      <c r="F4" s="279">
        <f>86400/100000</f>
        <v>0.86399999999999999</v>
      </c>
      <c r="G4" s="283"/>
      <c r="H4" s="278">
        <v>-3</v>
      </c>
      <c r="I4" s="281">
        <f t="shared" ref="I4:I26" si="0">F4/POWER(10,H4)</f>
        <v>864</v>
      </c>
      <c r="J4" s="282" t="str">
        <f>Rydberg!L4</f>
        <v>ms</v>
      </c>
    </row>
    <row r="5" spans="1:10" ht="13.5" customHeight="1">
      <c r="A5" s="746"/>
      <c r="B5" s="2" t="str">
        <f>Rydberg!B5</f>
        <v>Energy</v>
      </c>
      <c r="C5" s="2" t="s">
        <v>1682</v>
      </c>
      <c r="D5" s="21"/>
      <c r="E5" s="278"/>
      <c r="F5" s="279">
        <f>F8*POWER(F3/F4,2)</f>
        <v>1.5618694925800098</v>
      </c>
      <c r="G5" s="279"/>
      <c r="H5" s="278">
        <v>0</v>
      </c>
      <c r="I5" s="281">
        <f t="shared" si="0"/>
        <v>1.5618694925800098</v>
      </c>
      <c r="J5" s="282" t="s">
        <v>58</v>
      </c>
    </row>
    <row r="6" spans="1:10" ht="13.5" customHeight="1">
      <c r="A6" s="746"/>
      <c r="B6" s="2" t="str">
        <f>Rydberg!B6</f>
        <v>Temperature</v>
      </c>
      <c r="C6" s="2" t="s">
        <v>1680</v>
      </c>
      <c r="D6" s="21"/>
      <c r="E6" s="278"/>
      <c r="F6" s="279">
        <f>5/9</f>
        <v>0.55555555555555558</v>
      </c>
      <c r="G6" s="279"/>
      <c r="H6" s="278">
        <v>0</v>
      </c>
      <c r="I6" s="281">
        <f t="shared" si="0"/>
        <v>0.55555555555555558</v>
      </c>
      <c r="J6" s="282" t="s">
        <v>59</v>
      </c>
    </row>
    <row r="7" spans="1:10" ht="13.5" customHeight="1">
      <c r="A7" s="746"/>
      <c r="B7" s="2" t="str">
        <f>Rydberg!B7</f>
        <v>Amount of substance</v>
      </c>
      <c r="C7" s="2" t="s">
        <v>1681</v>
      </c>
      <c r="D7" s="21"/>
      <c r="E7" s="278"/>
      <c r="F7" s="279">
        <f>F8*1000</f>
        <v>17378.141784675849</v>
      </c>
      <c r="G7" s="279"/>
      <c r="H7" s="278">
        <v>3</v>
      </c>
      <c r="I7" s="281">
        <f t="shared" si="0"/>
        <v>17.378141784675847</v>
      </c>
      <c r="J7" s="282" t="s">
        <v>684</v>
      </c>
    </row>
    <row r="8" spans="1:10" ht="13.5" customHeight="1">
      <c r="A8" s="746"/>
      <c r="B8" s="2" t="str">
        <f>Rydberg!B8</f>
        <v>Mass</v>
      </c>
      <c r="C8" s="2" t="s">
        <v>1679</v>
      </c>
      <c r="D8" s="21"/>
      <c r="E8" s="278"/>
      <c r="F8" s="279">
        <f>POWER(F3*10,3)</f>
        <v>17.378141784675847</v>
      </c>
      <c r="G8" s="279"/>
      <c r="H8" s="278">
        <v>0</v>
      </c>
      <c r="I8" s="281">
        <f t="shared" si="0"/>
        <v>17.378141784675847</v>
      </c>
      <c r="J8" s="282" t="s">
        <v>61</v>
      </c>
    </row>
    <row r="9" spans="1:10" ht="13.5" customHeight="1">
      <c r="A9" s="746"/>
      <c r="B9" s="2" t="str">
        <f>Rydberg!B9</f>
        <v>Power</v>
      </c>
      <c r="C9" s="2" t="s">
        <v>721</v>
      </c>
      <c r="D9" s="21"/>
      <c r="E9" s="8"/>
      <c r="F9" s="21">
        <f>F5/F4</f>
        <v>1.8077193201157522</v>
      </c>
      <c r="G9" s="21"/>
      <c r="H9" s="8">
        <v>0</v>
      </c>
      <c r="I9" s="58">
        <f t="shared" si="0"/>
        <v>1.8077193201157522</v>
      </c>
      <c r="J9" s="122" t="s">
        <v>62</v>
      </c>
    </row>
    <row r="10" spans="1:10" ht="13.5" customHeight="1">
      <c r="A10" s="746"/>
      <c r="B10" s="2" t="str">
        <f>Rydberg!B10</f>
        <v>Force</v>
      </c>
      <c r="C10" s="2" t="s">
        <v>1683</v>
      </c>
      <c r="D10" s="21"/>
      <c r="E10" s="8"/>
      <c r="F10" s="21">
        <f>F5/F3</f>
        <v>6.0299025938662947</v>
      </c>
      <c r="G10" s="21"/>
      <c r="H10" s="8">
        <v>0</v>
      </c>
      <c r="I10" s="58">
        <f t="shared" si="0"/>
        <v>6.0299025938662947</v>
      </c>
      <c r="J10" s="122" t="s">
        <v>63</v>
      </c>
    </row>
    <row r="11" spans="1:10" ht="13.5" customHeight="1">
      <c r="A11" s="746"/>
      <c r="B11" s="2" t="str">
        <f>Rydberg!B11</f>
        <v>Pressure</v>
      </c>
      <c r="C11" s="2" t="s">
        <v>1684</v>
      </c>
      <c r="D11" s="21"/>
      <c r="E11" s="8"/>
      <c r="F11" s="21">
        <f>F5/POWER(F3,3)</f>
        <v>89.87551787368173</v>
      </c>
      <c r="G11" s="21"/>
      <c r="H11" s="8">
        <v>0</v>
      </c>
      <c r="I11" s="58">
        <f t="shared" si="0"/>
        <v>89.87551787368173</v>
      </c>
      <c r="J11" s="122" t="s">
        <v>64</v>
      </c>
    </row>
    <row r="12" spans="1:10" ht="13.5" customHeight="1">
      <c r="A12" s="746"/>
      <c r="B12" s="2" t="str">
        <f>Rydberg!B12</f>
        <v>Charge</v>
      </c>
      <c r="C12" s="2" t="s">
        <v>1686</v>
      </c>
      <c r="D12" s="21"/>
      <c r="E12" s="8"/>
      <c r="F12" s="21">
        <f>F13*F4</f>
        <v>5.9849972997592586E-2</v>
      </c>
      <c r="G12" s="21"/>
      <c r="H12" s="8">
        <v>-3</v>
      </c>
      <c r="I12" s="58">
        <f t="shared" si="0"/>
        <v>59.849972997592587</v>
      </c>
      <c r="J12" s="122" t="str">
        <f>Rydberg!L12</f>
        <v>mC</v>
      </c>
    </row>
    <row r="13" spans="1:10" ht="14.25" customHeight="1">
      <c r="A13" s="746"/>
      <c r="B13" s="2" t="str">
        <f>Rydberg!B13</f>
        <v>Electric current</v>
      </c>
      <c r="C13" s="2" t="s">
        <v>1685</v>
      </c>
      <c r="D13" s="21"/>
      <c r="E13" s="8"/>
      <c r="F13" s="21">
        <f>SQRT(F9/F16)</f>
        <v>6.9270802080546978E-2</v>
      </c>
      <c r="G13" s="21"/>
      <c r="H13" s="8">
        <v>-3</v>
      </c>
      <c r="I13" s="58">
        <f t="shared" si="0"/>
        <v>69.270802080546972</v>
      </c>
      <c r="J13" s="122" t="str">
        <f>Rydberg!L13</f>
        <v>mA</v>
      </c>
    </row>
    <row r="14" spans="1:10" ht="14.25" customHeight="1">
      <c r="A14" s="746"/>
      <c r="B14" s="2" t="str">
        <f>Rydberg!B14</f>
        <v>Field Strength</v>
      </c>
      <c r="C14" s="2" t="s">
        <v>1687</v>
      </c>
      <c r="D14" s="21"/>
      <c r="E14" s="8"/>
      <c r="F14" s="21">
        <f>F13/F3</f>
        <v>0.26743347707925835</v>
      </c>
      <c r="G14" s="21"/>
      <c r="H14" s="8">
        <v>0</v>
      </c>
      <c r="I14" s="58">
        <f t="shared" si="0"/>
        <v>0.26743347707925835</v>
      </c>
      <c r="J14" s="122" t="s">
        <v>689</v>
      </c>
    </row>
    <row r="15" spans="1:10" ht="14.25" customHeight="1">
      <c r="A15" s="746"/>
      <c r="B15" s="2" t="str">
        <f>Rydberg!B15</f>
        <v>Flux density</v>
      </c>
      <c r="C15" s="2" t="s">
        <v>1688</v>
      </c>
      <c r="D15" s="21"/>
      <c r="E15" s="8"/>
      <c r="F15" s="21">
        <f>F12/POWER(F3,2)</f>
        <v>0.89206205807638539</v>
      </c>
      <c r="G15" s="21"/>
      <c r="H15" s="8">
        <v>0</v>
      </c>
      <c r="I15" s="58">
        <f t="shared" si="0"/>
        <v>0.89206205807638539</v>
      </c>
      <c r="J15" s="122" t="s">
        <v>765</v>
      </c>
    </row>
    <row r="16" spans="1:10" ht="14.25" customHeight="1">
      <c r="A16" s="746"/>
      <c r="B16" s="2" t="str">
        <f>Rydberg!B16</f>
        <v>Impedance</v>
      </c>
      <c r="C16" s="2" t="s">
        <v>1689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22" t="s">
        <v>216</v>
      </c>
    </row>
    <row r="17" spans="1:10" ht="14.25" customHeight="1">
      <c r="A17" s="746"/>
      <c r="B17" s="2" t="str">
        <f>Rydberg!B17</f>
        <v>Electric potential difference</v>
      </c>
      <c r="C17" s="2" t="s">
        <v>1690</v>
      </c>
      <c r="D17" s="21"/>
      <c r="E17" s="8"/>
      <c r="F17" s="21">
        <f>F13*F16</f>
        <v>26.09641098155274</v>
      </c>
      <c r="G17" s="21"/>
      <c r="H17" s="8">
        <v>0</v>
      </c>
      <c r="I17" s="58">
        <f t="shared" si="0"/>
        <v>26.09641098155274</v>
      </c>
      <c r="J17" s="122" t="str">
        <f>Rydberg!L17</f>
        <v>V</v>
      </c>
    </row>
    <row r="18" spans="1:10" ht="14.25" customHeight="1">
      <c r="A18" s="746"/>
      <c r="B18" s="2" t="str">
        <f>Rydberg!B18</f>
        <v>Electric capacitance</v>
      </c>
      <c r="C18" s="2" t="s">
        <v>726</v>
      </c>
      <c r="D18" s="21"/>
      <c r="E18" s="8"/>
      <c r="F18" s="21">
        <f>F4/F16</f>
        <v>2.2934177822344945E-3</v>
      </c>
      <c r="G18" s="21"/>
      <c r="H18" s="8">
        <v>-3</v>
      </c>
      <c r="I18" s="58">
        <f t="shared" si="0"/>
        <v>2.2934177822344943</v>
      </c>
      <c r="J18" s="122" t="str">
        <f>Rydberg!L18</f>
        <v>mF</v>
      </c>
    </row>
    <row r="19" spans="1:10" ht="14.25" customHeight="1">
      <c r="A19" s="746"/>
      <c r="B19" s="2" t="str">
        <f>Rydberg!B19</f>
        <v>Magnetic flux</v>
      </c>
      <c r="C19" s="2" t="s">
        <v>1694</v>
      </c>
      <c r="D19" s="21">
        <v>8.7460408999999999E-3</v>
      </c>
      <c r="E19" s="8"/>
      <c r="F19" s="21">
        <f>F17*F4</f>
        <v>22.547299088061568</v>
      </c>
      <c r="G19" s="21"/>
      <c r="H19" s="8">
        <v>0</v>
      </c>
      <c r="I19" s="58">
        <f t="shared" si="0"/>
        <v>22.547299088061568</v>
      </c>
      <c r="J19" s="122" t="str">
        <f>Rydberg!L19</f>
        <v>Wb</v>
      </c>
    </row>
    <row r="20" spans="1:10" ht="14.25" customHeight="1">
      <c r="A20" s="746"/>
      <c r="B20" s="2" t="str">
        <f>Rydberg!B20</f>
        <v>Magnetic flux density</v>
      </c>
      <c r="C20" s="2" t="s">
        <v>1691</v>
      </c>
      <c r="D20" s="21">
        <v>0.1492125423</v>
      </c>
      <c r="E20" s="8"/>
      <c r="F20" s="21">
        <f>F19/(F3*F3)</f>
        <v>336.066818766469</v>
      </c>
      <c r="G20" s="21"/>
      <c r="H20" s="8">
        <v>0</v>
      </c>
      <c r="I20" s="58">
        <f t="shared" si="0"/>
        <v>336.066818766469</v>
      </c>
      <c r="J20" s="122" t="s">
        <v>224</v>
      </c>
    </row>
    <row r="21" spans="1:10" ht="14.25" customHeight="1">
      <c r="A21" s="746"/>
      <c r="B21" s="6" t="str">
        <f>Rydberg!B21</f>
        <v>Inductance</v>
      </c>
      <c r="C21" s="6" t="s">
        <v>1692</v>
      </c>
      <c r="D21" s="29"/>
      <c r="E21" s="30"/>
      <c r="F21" s="29">
        <f>F4*F16</f>
        <v>325.49499083096987</v>
      </c>
      <c r="G21" s="29"/>
      <c r="H21" s="30">
        <v>0</v>
      </c>
      <c r="I21" s="59">
        <f t="shared" si="0"/>
        <v>325.49499083096987</v>
      </c>
      <c r="J21" s="123" t="str">
        <f>Rydberg!L21</f>
        <v>H</v>
      </c>
    </row>
    <row r="22" spans="1:10" ht="14.25" customHeight="1">
      <c r="A22" s="746"/>
      <c r="B22" s="2" t="str">
        <f>Rydberg!B22</f>
        <v>Frequency</v>
      </c>
      <c r="C22" s="2" t="s">
        <v>1693</v>
      </c>
      <c r="D22" s="29"/>
      <c r="E22" s="30"/>
      <c r="F22" s="29">
        <f>1/F4</f>
        <v>1.1574074074074074</v>
      </c>
      <c r="G22" s="21"/>
      <c r="H22" s="8">
        <v>0</v>
      </c>
      <c r="I22" s="58">
        <f t="shared" si="0"/>
        <v>1.1574074074074074</v>
      </c>
      <c r="J22" s="122" t="s">
        <v>711</v>
      </c>
    </row>
    <row r="23" spans="1:10" ht="14.25" customHeight="1">
      <c r="A23" s="746"/>
      <c r="B23" s="2" t="s">
        <v>1695</v>
      </c>
      <c r="C23" s="2" t="s">
        <v>1696</v>
      </c>
      <c r="D23" s="21"/>
      <c r="E23" s="8"/>
      <c r="F23" s="21">
        <f>1/F4</f>
        <v>1.1574074074074074</v>
      </c>
      <c r="G23" s="21"/>
      <c r="H23" s="8">
        <v>0</v>
      </c>
      <c r="I23" s="58">
        <f t="shared" si="0"/>
        <v>1.1574074074074074</v>
      </c>
      <c r="J23" s="122" t="s">
        <v>705</v>
      </c>
    </row>
    <row r="24" spans="1:10" ht="14.25" customHeight="1">
      <c r="A24" s="746"/>
      <c r="B24" s="6" t="s">
        <v>1697</v>
      </c>
      <c r="C24" s="2" t="s">
        <v>1698</v>
      </c>
      <c r="D24" s="21"/>
      <c r="E24" s="8"/>
      <c r="F24" s="21">
        <f>F5/F8</f>
        <v>8.9875517873681754E-2</v>
      </c>
      <c r="G24" s="21"/>
      <c r="H24" s="8">
        <v>0</v>
      </c>
      <c r="I24" s="58">
        <f t="shared" si="0"/>
        <v>8.9875517873681754E-2</v>
      </c>
      <c r="J24" s="122" t="s">
        <v>707</v>
      </c>
    </row>
    <row r="25" spans="1:10" ht="14.25" customHeight="1">
      <c r="A25" s="795"/>
      <c r="B25" s="6" t="s">
        <v>1699</v>
      </c>
      <c r="C25" s="6" t="s">
        <v>1700</v>
      </c>
      <c r="D25" s="29"/>
      <c r="E25" s="30"/>
      <c r="F25" s="29">
        <f>F5/F8</f>
        <v>8.9875517873681754E-2</v>
      </c>
      <c r="G25" s="29"/>
      <c r="H25" s="30">
        <v>0</v>
      </c>
      <c r="I25" s="59">
        <f t="shared" si="0"/>
        <v>8.9875517873681754E-2</v>
      </c>
      <c r="J25" s="123" t="s">
        <v>708</v>
      </c>
    </row>
    <row r="26" spans="1:10" ht="14.25" customHeight="1" thickBot="1">
      <c r="A26" s="795"/>
      <c r="B26" s="4" t="s">
        <v>1138</v>
      </c>
      <c r="C26" s="4"/>
      <c r="D26" s="32"/>
      <c r="E26" s="33"/>
      <c r="F26" s="32">
        <f>F3/F4/F4</f>
        <v>0.34698201157407405</v>
      </c>
      <c r="G26" s="32"/>
      <c r="H26" s="33">
        <v>0</v>
      </c>
      <c r="I26" s="60">
        <f t="shared" si="0"/>
        <v>0.34698201157407405</v>
      </c>
      <c r="J26" s="128" t="s">
        <v>75</v>
      </c>
    </row>
    <row r="27" spans="1:10" ht="11.25" customHeight="1">
      <c r="A27" s="745" t="s">
        <v>27</v>
      </c>
      <c r="B27" s="668" t="s">
        <v>42</v>
      </c>
      <c r="C27" s="18" t="str">
        <f>Rydberg!C31</f>
        <v>Unit Symbol</v>
      </c>
      <c r="D27" s="668" t="s">
        <v>43</v>
      </c>
      <c r="E27" s="18" t="s">
        <v>54</v>
      </c>
      <c r="F27" s="668" t="s">
        <v>47</v>
      </c>
      <c r="G27" s="668" t="s">
        <v>92</v>
      </c>
      <c r="H27" s="713"/>
      <c r="I27" s="714"/>
      <c r="J27" s="669" t="str">
        <f>Rydberg!L31</f>
        <v>Prefix</v>
      </c>
    </row>
    <row r="28" spans="1:10" ht="14.25" customHeight="1">
      <c r="A28" s="746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142"/>
      <c r="H28" s="321">
        <f>FLOOR(LOG10(F28)/3,1)*3</f>
        <v>-3</v>
      </c>
      <c r="I28" s="285">
        <f>F28/POWER(10,H28)</f>
        <v>7.2973525663999999</v>
      </c>
      <c r="J28" s="286"/>
    </row>
    <row r="29" spans="1:10" ht="15" customHeight="1">
      <c r="A29" s="746"/>
      <c r="B29" s="666" t="str">
        <f>Rydberg!B33</f>
        <v>Avogadro constant</v>
      </c>
      <c r="C29" s="666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1.0465361766023532E+28</v>
      </c>
      <c r="G29" s="142"/>
      <c r="H29" s="321">
        <f t="shared" ref="H29:H64" si="1">FLOOR(LOG10(F29)/3,1)*3</f>
        <v>27</v>
      </c>
      <c r="I29" s="285">
        <f t="shared" ref="I29:I64" si="2">F29/POWER(10,H29)</f>
        <v>10.465361766023532</v>
      </c>
      <c r="J29" s="286"/>
    </row>
    <row r="30" spans="1:10" ht="15" customHeight="1">
      <c r="A30" s="746"/>
      <c r="B30" s="666" t="str">
        <f>Rydberg!B34</f>
        <v>Rydberg constant</v>
      </c>
      <c r="C30" s="666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2842423.4537469</v>
      </c>
      <c r="G30" s="142"/>
      <c r="H30" s="321">
        <f t="shared" si="1"/>
        <v>6</v>
      </c>
      <c r="I30" s="285">
        <f t="shared" si="2"/>
        <v>2.8424234537468998</v>
      </c>
      <c r="J30" s="286"/>
    </row>
    <row r="31" spans="1:10" ht="15" customHeight="1">
      <c r="A31" s="746"/>
      <c r="B31" s="666" t="str">
        <f>Rydberg!B35</f>
        <v>Speed of light in vacuum</v>
      </c>
      <c r="C31" s="666" t="str">
        <f>Rydberg!C35</f>
        <v>m/s</v>
      </c>
      <c r="D31" s="21">
        <f>Rydberg!D35</f>
        <v>299792458</v>
      </c>
      <c r="E31" s="8">
        <v>12</v>
      </c>
      <c r="F31" s="21">
        <f>D31/(F$3/F$4)</f>
        <v>1000000000</v>
      </c>
      <c r="G31" s="142"/>
      <c r="H31" s="321">
        <f t="shared" si="1"/>
        <v>9</v>
      </c>
      <c r="I31" s="285">
        <f t="shared" si="2"/>
        <v>1</v>
      </c>
      <c r="J31" s="286"/>
    </row>
    <row r="32" spans="1:10" ht="15" customHeight="1">
      <c r="A32" s="746"/>
      <c r="B32" s="666" t="str">
        <f>Rydberg!B36</f>
        <v>Quantum of action</v>
      </c>
      <c r="C32" s="666" t="str">
        <f>Rydberg!C36</f>
        <v>Js</v>
      </c>
      <c r="D32" s="21">
        <f>Rydberg!D36</f>
        <v>1.0545718E-34</v>
      </c>
      <c r="E32" s="8">
        <v>7</v>
      </c>
      <c r="F32" s="21">
        <f>D32/(F$5*F$4)</f>
        <v>7.8147964267279323E-35</v>
      </c>
      <c r="G32" s="142"/>
      <c r="H32" s="321">
        <f t="shared" si="1"/>
        <v>-36</v>
      </c>
      <c r="I32" s="285">
        <f t="shared" si="2"/>
        <v>78.14796426727932</v>
      </c>
      <c r="J32" s="286"/>
    </row>
    <row r="33" spans="1:10" ht="15" customHeight="1">
      <c r="A33" s="746"/>
      <c r="B33" s="666" t="str">
        <f>Rydberg!B37</f>
        <v>Boltzmann constant</v>
      </c>
      <c r="C33" s="666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4.9109542071183197E-24</v>
      </c>
      <c r="G33" s="142"/>
      <c r="H33" s="321">
        <f t="shared" si="1"/>
        <v>-24</v>
      </c>
      <c r="I33" s="285">
        <f t="shared" si="2"/>
        <v>4.9109542071183192</v>
      </c>
      <c r="J33" s="286"/>
    </row>
    <row r="34" spans="1:10" ht="15" customHeight="1">
      <c r="A34" s="746"/>
      <c r="B34" s="666" t="str">
        <f>Rydberg!B38</f>
        <v>Gas constant</v>
      </c>
      <c r="C34" s="666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51394.912393868479</v>
      </c>
      <c r="G34" s="142"/>
      <c r="H34" s="321">
        <f t="shared" si="1"/>
        <v>3</v>
      </c>
      <c r="I34" s="285">
        <f t="shared" si="2"/>
        <v>51.394912393868481</v>
      </c>
      <c r="J34" s="286"/>
    </row>
    <row r="35" spans="1:10" ht="15" customHeight="1">
      <c r="A35" s="746"/>
      <c r="B35" s="666" t="str">
        <f>Rydberg!B39</f>
        <v>Unified atomic mass unit</v>
      </c>
      <c r="C35" s="666" t="str">
        <f>Rydberg!C39</f>
        <v>kg</v>
      </c>
      <c r="D35" s="21">
        <f>Rydberg!D39</f>
        <v>1.6605390399999999E-27</v>
      </c>
      <c r="E35" s="8">
        <v>7</v>
      </c>
      <c r="F35" s="21">
        <f>D35/F$8</f>
        <v>9.5553314075517186E-29</v>
      </c>
      <c r="G35" s="142"/>
      <c r="H35" s="321">
        <f t="shared" si="1"/>
        <v>-30</v>
      </c>
      <c r="I35" s="285">
        <f t="shared" si="2"/>
        <v>95.553314075517193</v>
      </c>
      <c r="J35" s="286"/>
    </row>
    <row r="36" spans="1:10" ht="15" customHeight="1">
      <c r="A36" s="746"/>
      <c r="B36" s="666" t="str">
        <f>Rydberg!B40</f>
        <v>Bohr Radius</v>
      </c>
      <c r="C36" s="666" t="str">
        <f>Rydberg!C40</f>
        <v>m</v>
      </c>
      <c r="D36" s="21">
        <f>Rydberg!D40</f>
        <v>5.2917721067E-11</v>
      </c>
      <c r="E36" s="8">
        <v>9</v>
      </c>
      <c r="F36" s="21">
        <f>D36/F$3</f>
        <v>2.0429921004238479E-10</v>
      </c>
      <c r="G36" s="142"/>
      <c r="H36" s="321">
        <f t="shared" si="1"/>
        <v>-12</v>
      </c>
      <c r="I36" s="285">
        <f t="shared" si="2"/>
        <v>204.2992100423848</v>
      </c>
      <c r="J36" s="286"/>
    </row>
    <row r="37" spans="1:10" ht="15" customHeight="1">
      <c r="A37" s="746"/>
      <c r="B37" s="666" t="str">
        <f>Rydberg!B41</f>
        <v>Elementary electric charge</v>
      </c>
      <c r="C37" s="666" t="str">
        <f>Rydberg!C41</f>
        <v>C</v>
      </c>
      <c r="D37" s="21">
        <f>Rydberg!D41</f>
        <v>1.6021766207155676E-19</v>
      </c>
      <c r="E37" s="8">
        <v>9</v>
      </c>
      <c r="F37" s="21">
        <f>D37/F$12</f>
        <v>2.6769880427181039E-18</v>
      </c>
      <c r="G37" s="142"/>
      <c r="H37" s="321">
        <f t="shared" si="1"/>
        <v>-18</v>
      </c>
      <c r="I37" s="285">
        <f t="shared" si="2"/>
        <v>2.6769880427181039</v>
      </c>
      <c r="J37" s="286"/>
    </row>
    <row r="38" spans="1:10" ht="15" customHeight="1">
      <c r="A38" s="746"/>
      <c r="B38" s="666" t="str">
        <f>Rydberg!B42</f>
        <v>Electron mass</v>
      </c>
      <c r="C38" s="666" t="str">
        <f>Rydberg!C42</f>
        <v>kg</v>
      </c>
      <c r="D38" s="21">
        <f>Rydberg!D42</f>
        <v>9.1093835599999998E-31</v>
      </c>
      <c r="E38" s="8">
        <v>7</v>
      </c>
      <c r="F38" s="21">
        <f>D38/F$8</f>
        <v>5.2418628371605933E-32</v>
      </c>
      <c r="G38" s="142"/>
      <c r="H38" s="321">
        <f t="shared" si="1"/>
        <v>-33</v>
      </c>
      <c r="I38" s="285">
        <f t="shared" si="2"/>
        <v>52.418628371605926</v>
      </c>
      <c r="J38" s="286"/>
    </row>
    <row r="39" spans="1:10" ht="15" customHeight="1">
      <c r="A39" s="746"/>
      <c r="B39" s="666" t="str">
        <f>Rydberg!B44</f>
        <v>Newtonian constant of gravitation</v>
      </c>
      <c r="C39" s="666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4.9821740236799983E-8</v>
      </c>
      <c r="G39" s="142"/>
      <c r="H39" s="321">
        <f t="shared" si="1"/>
        <v>-9</v>
      </c>
      <c r="I39" s="285">
        <f t="shared" si="2"/>
        <v>49.821740236799982</v>
      </c>
      <c r="J39" s="286"/>
    </row>
    <row r="40" spans="1:10" ht="15" customHeight="1">
      <c r="A40" s="746"/>
      <c r="B40" s="666" t="str">
        <f>Rydberg!B45</f>
        <v>Planck force</v>
      </c>
      <c r="C40" s="666" t="str">
        <f>Rydberg!C45</f>
        <v>N</v>
      </c>
      <c r="D40" s="21">
        <f>Rydberg!D45</f>
        <v>1.2102954584096223E+44</v>
      </c>
      <c r="E40" s="8">
        <v>4</v>
      </c>
      <c r="F40" s="21">
        <f>D40/F$10</f>
        <v>2.0071559027184825E+43</v>
      </c>
      <c r="G40" s="142"/>
      <c r="H40" s="321">
        <f t="shared" si="1"/>
        <v>42</v>
      </c>
      <c r="I40" s="285">
        <f t="shared" si="2"/>
        <v>20.071559027184826</v>
      </c>
      <c r="J40" s="286"/>
    </row>
    <row r="41" spans="1:10" ht="15" customHeight="1">
      <c r="A41" s="746"/>
      <c r="B41" s="666" t="str">
        <f>Rydberg!B46</f>
        <v>Gravitic meter</v>
      </c>
      <c r="C41" s="666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3.6914951598447087E-34</v>
      </c>
      <c r="G41" s="142"/>
      <c r="H41" s="321">
        <f t="shared" si="1"/>
        <v>-36</v>
      </c>
      <c r="I41" s="285">
        <f t="shared" si="2"/>
        <v>369.1495159844709</v>
      </c>
      <c r="J41" s="286"/>
    </row>
    <row r="42" spans="1:10" ht="15" customHeight="1">
      <c r="A42" s="746"/>
      <c r="B42" s="666" t="str">
        <f>Rydberg!B47</f>
        <v>Planck length</v>
      </c>
      <c r="C42" s="666" t="str">
        <f>Rydberg!C47</f>
        <v>m</v>
      </c>
      <c r="D42" s="21">
        <f>Rydberg!D47</f>
        <v>1.6162283729742846E-35</v>
      </c>
      <c r="E42" s="8">
        <v>4</v>
      </c>
      <c r="F42" s="21">
        <f>D42/F$3</f>
        <v>6.2397656813049614E-35</v>
      </c>
      <c r="G42" s="142"/>
      <c r="H42" s="321">
        <f t="shared" si="1"/>
        <v>-36</v>
      </c>
      <c r="I42" s="285">
        <f t="shared" si="2"/>
        <v>62.397656813049615</v>
      </c>
      <c r="J42" s="286"/>
    </row>
    <row r="43" spans="1:10" ht="15" customHeight="1">
      <c r="A43" s="746"/>
      <c r="B43" s="666" t="str">
        <f>Rydberg!B48</f>
        <v>Adjusted Planck length</v>
      </c>
      <c r="C43" s="666" t="str">
        <f>Rydberg!C48</f>
        <v>m</v>
      </c>
      <c r="D43" s="21">
        <f>Rydberg!D48</f>
        <v>1.8919953376855748E-34</v>
      </c>
      <c r="E43" s="8">
        <v>4</v>
      </c>
      <c r="F43" s="21">
        <f>D43/F$3</f>
        <v>7.3044179737755893E-34</v>
      </c>
      <c r="G43" s="142"/>
      <c r="H43" s="321">
        <f t="shared" si="1"/>
        <v>-36</v>
      </c>
      <c r="I43" s="285">
        <f t="shared" si="2"/>
        <v>730.44179737755894</v>
      </c>
      <c r="J43" s="286"/>
    </row>
    <row r="44" spans="1:10" ht="15" customHeight="1">
      <c r="A44" s="746"/>
      <c r="B44" s="666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2.0047444751845543E-10</v>
      </c>
      <c r="G44" s="142"/>
      <c r="H44" s="321">
        <f t="shared" si="1"/>
        <v>-12</v>
      </c>
      <c r="I44" s="285">
        <f t="shared" si="2"/>
        <v>200.47444751845543</v>
      </c>
      <c r="J44" s="286"/>
    </row>
    <row r="45" spans="1:10" ht="15" customHeight="1">
      <c r="A45" s="746"/>
      <c r="B45" s="666" t="str">
        <f>Rydberg!B50</f>
        <v>Black-body radiation at the ice point</v>
      </c>
      <c r="C45" s="666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11.715312161039298</v>
      </c>
      <c r="G45" s="142"/>
      <c r="H45" s="321">
        <f t="shared" si="1"/>
        <v>0</v>
      </c>
      <c r="I45" s="285">
        <f t="shared" si="2"/>
        <v>11.715312161039298</v>
      </c>
      <c r="J45" s="286"/>
    </row>
    <row r="46" spans="1:10" ht="15" customHeight="1">
      <c r="A46" s="746"/>
      <c r="B46" s="666" t="str">
        <f>Rydberg!B51</f>
        <v>Temperature of the triple point of water</v>
      </c>
      <c r="C46" s="666" t="str">
        <f>Rydberg!C51</f>
        <v>K</v>
      </c>
      <c r="D46" s="21">
        <f>Rydberg!D51</f>
        <v>273.16000000000003</v>
      </c>
      <c r="E46" s="8">
        <v>6</v>
      </c>
      <c r="F46" s="21">
        <f>D46/F$6</f>
        <v>491.68800000000005</v>
      </c>
      <c r="G46" s="142"/>
      <c r="H46" s="321">
        <f t="shared" si="1"/>
        <v>0</v>
      </c>
      <c r="I46" s="285">
        <f t="shared" si="2"/>
        <v>491.68800000000005</v>
      </c>
      <c r="J46" s="286"/>
    </row>
    <row r="47" spans="1:10" ht="15" customHeight="1">
      <c r="A47" s="746"/>
      <c r="B47" s="666" t="str">
        <f>Rydberg!B52</f>
        <v>Molar volume of an ideal gas</v>
      </c>
      <c r="C47" s="666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22413.961999999996</v>
      </c>
      <c r="G47" s="142"/>
      <c r="H47" s="321">
        <f t="shared" si="1"/>
        <v>3</v>
      </c>
      <c r="I47" s="285">
        <f t="shared" si="2"/>
        <v>22.413961999999994</v>
      </c>
      <c r="J47" s="286"/>
    </row>
    <row r="48" spans="1:10" ht="15" customHeight="1">
      <c r="A48" s="746"/>
      <c r="B48" s="67" t="str">
        <f>Rydberg!B53</f>
        <v>-log(Sqrt([H+][OH-])/(mol/m^3))</v>
      </c>
      <c r="C48" s="666" t="s">
        <v>766</v>
      </c>
      <c r="D48" s="21">
        <f>Rydberg!D53</f>
        <v>1.0039920318408906E-4</v>
      </c>
      <c r="E48" s="8">
        <v>4</v>
      </c>
      <c r="F48" s="21">
        <f>-LOG(D$48/(F$7*POWER(F$3,-3)))/LOG(10)</f>
        <v>9.9982697339452464</v>
      </c>
      <c r="G48" s="142"/>
      <c r="H48" s="321">
        <f t="shared" si="1"/>
        <v>0</v>
      </c>
      <c r="I48" s="285">
        <f t="shared" si="2"/>
        <v>9.9982697339452464</v>
      </c>
      <c r="J48" s="286"/>
    </row>
    <row r="49" spans="1:10" ht="15" customHeight="1">
      <c r="A49" s="746"/>
      <c r="B49" s="325" t="str">
        <f>Rydberg!B54</f>
        <v>Maximum density of water</v>
      </c>
      <c r="C49" s="325" t="str">
        <f>Rydberg!C54</f>
        <v>kg/m^3</v>
      </c>
      <c r="D49" s="37">
        <f>Rydberg!D54</f>
        <v>999.97199999999998</v>
      </c>
      <c r="E49" s="38">
        <v>6</v>
      </c>
      <c r="F49" s="37">
        <f>D49/(F$8*POWER(F$3,-3))</f>
        <v>0.99997200000000031</v>
      </c>
      <c r="G49" s="142"/>
      <c r="H49" s="321">
        <f t="shared" si="1"/>
        <v>-3</v>
      </c>
      <c r="I49" s="326">
        <f t="shared" si="2"/>
        <v>999.97200000000032</v>
      </c>
      <c r="J49" s="286"/>
    </row>
    <row r="50" spans="1:10" ht="15" customHeight="1">
      <c r="A50" s="746"/>
      <c r="B50" s="666" t="str">
        <f>Rydberg!B55</f>
        <v>Density of ice at the ice point</v>
      </c>
      <c r="C50" s="666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0.91680000000000028</v>
      </c>
      <c r="G50" s="142"/>
      <c r="H50" s="321">
        <f t="shared" si="1"/>
        <v>-3</v>
      </c>
      <c r="I50" s="285">
        <f t="shared" si="2"/>
        <v>916.8000000000003</v>
      </c>
      <c r="J50" s="286"/>
    </row>
    <row r="51" spans="1:10" ht="15" customHeight="1">
      <c r="A51" s="746"/>
      <c r="B51" s="325" t="str">
        <f>Rydberg!B56</f>
        <v>Specific heat of water</v>
      </c>
      <c r="C51" s="325" t="str">
        <f>Rydberg!C56</f>
        <v>J/kg/K</v>
      </c>
      <c r="D51" s="37">
        <f>Rydberg!D56</f>
        <v>4184</v>
      </c>
      <c r="E51" s="38">
        <v>4</v>
      </c>
      <c r="F51" s="37">
        <f>D51/(F$5/F$8/F$6)</f>
        <v>25862.932414046336</v>
      </c>
      <c r="G51" s="142"/>
      <c r="H51" s="321">
        <f t="shared" si="1"/>
        <v>3</v>
      </c>
      <c r="I51" s="326">
        <f t="shared" si="2"/>
        <v>25.862932414046337</v>
      </c>
      <c r="J51" s="328"/>
    </row>
    <row r="52" spans="1:10" ht="15" customHeight="1">
      <c r="A52" s="746"/>
      <c r="B52" s="666" t="str">
        <f>Rydberg!B57</f>
        <v>Surface tension of water at 25℃</v>
      </c>
      <c r="C52" s="666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3.0915455625626972E-3</v>
      </c>
      <c r="G52" s="142"/>
      <c r="H52" s="321">
        <f t="shared" si="1"/>
        <v>-3</v>
      </c>
      <c r="I52" s="285">
        <f t="shared" si="2"/>
        <v>3.0915455625626973</v>
      </c>
      <c r="J52" s="286"/>
    </row>
    <row r="53" spans="1:10" ht="15" customHeight="1">
      <c r="A53" s="746"/>
      <c r="B53" s="5" t="str">
        <f>Rydberg!B58</f>
        <v>photon energy at 540THz</v>
      </c>
      <c r="C53" s="666" t="str">
        <f>Rydberg!C58</f>
        <v>J</v>
      </c>
      <c r="D53" s="21">
        <f>D32*540000000000000*(2*PI())</f>
        <v>3.5780778211280019E-19</v>
      </c>
      <c r="E53" s="8">
        <v>7</v>
      </c>
      <c r="F53" s="21">
        <f>D53/F$5</f>
        <v>2.2908942380438409E-19</v>
      </c>
      <c r="G53" s="142"/>
      <c r="H53" s="321">
        <f t="shared" si="1"/>
        <v>-21</v>
      </c>
      <c r="I53" s="285">
        <f t="shared" si="2"/>
        <v>229.0894238043841</v>
      </c>
      <c r="J53" s="286"/>
    </row>
    <row r="54" spans="1:10" ht="15" customHeight="1">
      <c r="A54" s="746"/>
      <c r="B54" s="237" t="str">
        <f>Rydberg!B59</f>
        <v>(according to the definition of candela)</v>
      </c>
      <c r="C54" s="666" t="str">
        <f>Rydberg!C59</f>
        <v>eΩA</v>
      </c>
      <c r="D54" s="21">
        <f>D53/D37</f>
        <v>2.2332605374867804</v>
      </c>
      <c r="E54" s="8">
        <v>7</v>
      </c>
      <c r="F54" s="21">
        <f>D54/F$17</f>
        <v>8.557730559445309E-2</v>
      </c>
      <c r="G54" s="142"/>
      <c r="H54" s="321">
        <f t="shared" si="1"/>
        <v>-3</v>
      </c>
      <c r="I54" s="285">
        <f t="shared" si="2"/>
        <v>85.577305594453094</v>
      </c>
      <c r="J54" s="320"/>
    </row>
    <row r="55" spans="1:10" ht="15" customHeight="1">
      <c r="A55" s="746"/>
      <c r="B55" s="315">
        <f>Rydberg!B60</f>
        <v>1.024</v>
      </c>
      <c r="C55" s="666" t="str">
        <f>Rydberg!C60</f>
        <v>P/m</v>
      </c>
      <c r="D55" s="21">
        <f>D49*D58*B55</f>
        <v>10041.728423731198</v>
      </c>
      <c r="E55" s="8">
        <v>6</v>
      </c>
      <c r="F55" s="21">
        <f>D55/(F11/F3)</f>
        <v>28.940198882867687</v>
      </c>
      <c r="G55" s="142"/>
      <c r="H55" s="321">
        <f t="shared" si="1"/>
        <v>0</v>
      </c>
      <c r="I55" s="285">
        <f t="shared" si="2"/>
        <v>28.940198882867687</v>
      </c>
      <c r="J55" s="286"/>
    </row>
    <row r="56" spans="1:10" ht="15" customHeight="1">
      <c r="A56" s="746"/>
      <c r="B56" s="666" t="str">
        <f>Rydberg!B61</f>
        <v>Sea depth at standard atmosphere</v>
      </c>
      <c r="C56" s="666" t="str">
        <f>Rydberg!C61</f>
        <v>m</v>
      </c>
      <c r="D56" s="21">
        <f>D57/D55</f>
        <v>10.090394374791382</v>
      </c>
      <c r="E56" s="8">
        <v>6</v>
      </c>
      <c r="F56" s="21">
        <f>D56/F$3</f>
        <v>38.955940622914476</v>
      </c>
      <c r="G56" s="37"/>
      <c r="H56" s="321">
        <f t="shared" si="1"/>
        <v>0</v>
      </c>
      <c r="I56" s="285">
        <f t="shared" si="2"/>
        <v>38.955940622914476</v>
      </c>
      <c r="J56" s="39"/>
    </row>
    <row r="57" spans="1:10" ht="15" customHeight="1">
      <c r="A57" s="746"/>
      <c r="B57" s="666" t="str">
        <f>Rydberg!B62</f>
        <v>Standard atmosphere</v>
      </c>
      <c r="C57" s="666" t="str">
        <f>Rydberg!C62</f>
        <v>P</v>
      </c>
      <c r="D57" s="21">
        <f>Rydberg!D62</f>
        <v>101325</v>
      </c>
      <c r="E57" s="8">
        <v>6</v>
      </c>
      <c r="F57" s="21">
        <f>D57/F$11</f>
        <v>1127.3926692963294</v>
      </c>
      <c r="G57" s="37"/>
      <c r="H57" s="321">
        <f t="shared" si="1"/>
        <v>3</v>
      </c>
      <c r="I57" s="285">
        <f t="shared" si="2"/>
        <v>1.1273926692963294</v>
      </c>
      <c r="J57" s="39"/>
    </row>
    <row r="58" spans="1:10" ht="15" customHeight="1">
      <c r="A58" s="746"/>
      <c r="B58" s="325" t="str">
        <f>Rydberg!B63</f>
        <v>Standard gravitational acceleration</v>
      </c>
      <c r="C58" s="325" t="str">
        <f>Rydberg!C63</f>
        <v>m/s^2</v>
      </c>
      <c r="D58" s="37">
        <f>Rydberg!D63</f>
        <v>9.8066499999999994</v>
      </c>
      <c r="E58" s="38">
        <v>7</v>
      </c>
      <c r="F58" s="37">
        <f>D58/(F$3/F$4/F$4)</f>
        <v>28.262704327271635</v>
      </c>
      <c r="G58" s="37"/>
      <c r="H58" s="321">
        <f t="shared" si="1"/>
        <v>0</v>
      </c>
      <c r="I58" s="326">
        <f t="shared" si="2"/>
        <v>28.262704327271635</v>
      </c>
      <c r="J58" s="327"/>
    </row>
    <row r="59" spans="1:10" ht="15" customHeight="1">
      <c r="A59" s="746"/>
      <c r="B59" s="666" t="str">
        <f>Rydberg!B64</f>
        <v>Gravitational radius of the Earth</v>
      </c>
      <c r="C59" s="666" t="str">
        <f>Rydberg!C64</f>
        <v>m</v>
      </c>
      <c r="D59" s="21">
        <f>Rydberg!D64</f>
        <v>4.4350280391176706E-3</v>
      </c>
      <c r="E59" s="8">
        <v>10</v>
      </c>
      <c r="F59" s="21">
        <f>D59/F$3</f>
        <v>1.712229299822593E-2</v>
      </c>
      <c r="G59" s="37"/>
      <c r="H59" s="321">
        <f t="shared" si="1"/>
        <v>-3</v>
      </c>
      <c r="I59" s="285">
        <f t="shared" si="2"/>
        <v>17.12229299822593</v>
      </c>
      <c r="J59" s="39"/>
    </row>
    <row r="60" spans="1:10" ht="15" customHeight="1">
      <c r="A60" s="746"/>
      <c r="B60" s="666" t="str">
        <f>Rydberg!B65</f>
        <v>Equatorial radius of the Earth</v>
      </c>
      <c r="C60" s="666" t="str">
        <f>Rydberg!C65</f>
        <v>m</v>
      </c>
      <c r="D60" s="21">
        <f>Rydberg!D65</f>
        <v>6378140</v>
      </c>
      <c r="E60" s="8">
        <v>7</v>
      </c>
      <c r="F60" s="21">
        <f>D60/F$3</f>
        <v>24624056.691517841</v>
      </c>
      <c r="G60" s="37"/>
      <c r="H60" s="321">
        <f t="shared" si="1"/>
        <v>6</v>
      </c>
      <c r="I60" s="285">
        <f t="shared" si="2"/>
        <v>24.62405669151784</v>
      </c>
      <c r="J60" s="39"/>
    </row>
    <row r="61" spans="1:10" ht="15" customHeight="1">
      <c r="A61" s="746"/>
      <c r="B61" s="666" t="str">
        <f>Rydberg!B66</f>
        <v>Meridian length of the Earth / 4</v>
      </c>
      <c r="C61" s="666" t="str">
        <f>Rydberg!C66</f>
        <v>m</v>
      </c>
      <c r="D61" s="21">
        <f>Rydberg!D66</f>
        <v>10001965</v>
      </c>
      <c r="E61" s="8">
        <v>7</v>
      </c>
      <c r="F61" s="21">
        <f>D61/F$3</f>
        <v>38614541.729497515</v>
      </c>
      <c r="G61" s="37"/>
      <c r="H61" s="321">
        <f t="shared" si="1"/>
        <v>6</v>
      </c>
      <c r="I61" s="285">
        <f t="shared" si="2"/>
        <v>38.614541729497518</v>
      </c>
      <c r="J61" s="39"/>
    </row>
    <row r="62" spans="1:10" ht="15" customHeight="1">
      <c r="A62" s="746"/>
      <c r="B62" s="666" t="str">
        <f>Rydberg!B67</f>
        <v>Gravitational radius of the Sun</v>
      </c>
      <c r="C62" s="666" t="str">
        <f>Rydberg!C67</f>
        <v>m</v>
      </c>
      <c r="D62" s="21">
        <f>Rydberg!D67</f>
        <v>1476.6250157971238</v>
      </c>
      <c r="E62" s="8">
        <v>8</v>
      </c>
      <c r="F62" s="21">
        <f>D62/F$3</f>
        <v>5700.7996220060713</v>
      </c>
      <c r="G62" s="37"/>
      <c r="H62" s="321">
        <f t="shared" si="1"/>
        <v>3</v>
      </c>
      <c r="I62" s="285">
        <f t="shared" si="2"/>
        <v>5.7007996220060715</v>
      </c>
      <c r="J62" s="39"/>
    </row>
    <row r="63" spans="1:10" ht="15" customHeight="1">
      <c r="A63" s="746"/>
      <c r="B63" s="666" t="str">
        <f>Rydberg!B68</f>
        <v>Astronomical unit</v>
      </c>
      <c r="C63" s="666" t="str">
        <f>Rydberg!C68</f>
        <v>m</v>
      </c>
      <c r="D63" s="21">
        <f>Rydberg!D68</f>
        <v>149597870000</v>
      </c>
      <c r="E63" s="8">
        <v>9</v>
      </c>
      <c r="F63" s="21">
        <f>D63/F$3</f>
        <v>577551830441.21265</v>
      </c>
      <c r="G63" s="37"/>
      <c r="H63" s="321">
        <f t="shared" si="1"/>
        <v>9</v>
      </c>
      <c r="I63" s="285">
        <f t="shared" si="2"/>
        <v>577.5518304412127</v>
      </c>
      <c r="J63" s="39"/>
    </row>
    <row r="64" spans="1:10" ht="15" customHeight="1" thickBot="1">
      <c r="A64" s="747"/>
      <c r="B64" s="667" t="str">
        <f>Rydberg!B69</f>
        <v>Astronomical unit / c0</v>
      </c>
      <c r="C64" s="667" t="str">
        <f>Rydberg!C69</f>
        <v>s</v>
      </c>
      <c r="D64" s="32">
        <f>Rydberg!D69</f>
        <v>499.00478150120773</v>
      </c>
      <c r="E64" s="33">
        <v>9</v>
      </c>
      <c r="F64" s="32">
        <f>D64/F$4</f>
        <v>577.5518304412127</v>
      </c>
      <c r="G64" s="47"/>
      <c r="H64" s="323">
        <f t="shared" si="1"/>
        <v>0</v>
      </c>
      <c r="I64" s="324">
        <f t="shared" si="2"/>
        <v>577.5518304412127</v>
      </c>
      <c r="J64" s="49"/>
    </row>
  </sheetData>
  <mergeCells count="3">
    <mergeCell ref="A1:A26"/>
    <mergeCell ref="A27:A64"/>
    <mergeCell ref="H27:I27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2"/>
  <sheetViews>
    <sheetView topLeftCell="A46" zoomScaleNormal="100" workbookViewId="0">
      <selection activeCell="D69" sqref="D69"/>
    </sheetView>
  </sheetViews>
  <sheetFormatPr defaultRowHeight="12"/>
  <cols>
    <col min="1" max="1" width="2.75" style="14" customWidth="1"/>
    <col min="2" max="2" width="27.625" style="14" customWidth="1"/>
    <col min="3" max="3" width="8.625" style="14" customWidth="1"/>
    <col min="4" max="4" width="14.125" style="14" customWidth="1"/>
    <col min="5" max="5" width="3.5" style="14" customWidth="1"/>
    <col min="6" max="6" width="13.875" style="14" customWidth="1"/>
    <col min="7" max="7" width="13.75" style="14" customWidth="1"/>
    <col min="8" max="8" width="7" style="14" customWidth="1"/>
    <col min="9" max="9" width="2.75" style="343" customWidth="1"/>
    <col min="10" max="10" width="3.625" style="14" customWidth="1"/>
    <col min="11" max="11" width="9.125" style="14" customWidth="1"/>
    <col min="12" max="12" width="15.625" style="14" customWidth="1"/>
    <col min="13" max="13" width="3.125" style="14" customWidth="1"/>
    <col min="14" max="14" width="8.625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9" style="14" customWidth="1"/>
    <col min="37" max="37" width="3.125" style="14" customWidth="1"/>
    <col min="38" max="16384" width="9" style="14"/>
  </cols>
  <sheetData>
    <row r="1" spans="1:37" ht="11.25" customHeight="1">
      <c r="A1" s="718" t="s">
        <v>26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105</v>
      </c>
      <c r="H1" s="18" t="s">
        <v>1675</v>
      </c>
      <c r="I1" s="349" t="s">
        <v>767</v>
      </c>
      <c r="J1" s="19"/>
      <c r="K1" s="56" t="s">
        <v>46</v>
      </c>
      <c r="L1" s="20"/>
    </row>
    <row r="2" spans="1:37" ht="13.5" customHeight="1">
      <c r="A2" s="719"/>
      <c r="B2" s="2" t="s">
        <v>31</v>
      </c>
      <c r="C2" s="2" t="s">
        <v>56</v>
      </c>
      <c r="D2" s="21"/>
      <c r="E2" s="8"/>
      <c r="F2" s="8"/>
      <c r="G2" s="8"/>
      <c r="H2" s="8"/>
      <c r="I2" s="333"/>
      <c r="J2" s="8"/>
      <c r="K2" s="57"/>
      <c r="L2" s="122" t="s">
        <v>56</v>
      </c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719"/>
      <c r="B3" s="2" t="s">
        <v>17</v>
      </c>
      <c r="C3" s="2" t="s">
        <v>57</v>
      </c>
      <c r="D3" s="21">
        <f>1/D$34</f>
        <v>9.1126705055348926E-8</v>
      </c>
      <c r="E3" s="8">
        <v>6</v>
      </c>
      <c r="F3" s="21">
        <f t="shared" ref="F3:F15" si="0">D3*POWER(12,E3)</f>
        <v>0.27210288326799098</v>
      </c>
      <c r="G3" s="21"/>
      <c r="H3" s="26"/>
      <c r="I3" s="334"/>
      <c r="J3" s="8">
        <v>-3</v>
      </c>
      <c r="K3" s="58">
        <f t="shared" ref="K3:K30" si="1">F3/POWER(10,J3)</f>
        <v>272.10288326799099</v>
      </c>
      <c r="L3" s="122" t="s">
        <v>228</v>
      </c>
      <c r="M3" s="23"/>
      <c r="N3" s="82">
        <f t="shared" ref="N3:N30" si="2">-LOG(F3)/(LOG(12)-LOG(10))</f>
        <v>7.138898217975207</v>
      </c>
      <c r="O3" s="24"/>
      <c r="P3" s="83">
        <f t="shared" ref="P3:P30" si="3">POWER(12,N3)*F3/POWER(10,N3)</f>
        <v>0.999999999999999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719"/>
      <c r="B4" s="2" t="s">
        <v>15</v>
      </c>
      <c r="C4" s="2" t="s">
        <v>56</v>
      </c>
      <c r="D4" s="21">
        <f>D$3/D$35</f>
        <v>3.0396596920176331E-16</v>
      </c>
      <c r="E4" s="8">
        <v>14</v>
      </c>
      <c r="F4" s="21">
        <f t="shared" si="0"/>
        <v>0.39026752045263524</v>
      </c>
      <c r="G4" s="21"/>
      <c r="H4" s="283"/>
      <c r="I4" s="335"/>
      <c r="J4" s="8">
        <v>-3</v>
      </c>
      <c r="K4" s="58">
        <f t="shared" si="1"/>
        <v>390.26752045263521</v>
      </c>
      <c r="L4" s="122" t="s">
        <v>229</v>
      </c>
      <c r="M4" s="23"/>
      <c r="N4" s="82">
        <f t="shared" si="2"/>
        <v>5.1607875759822299</v>
      </c>
      <c r="O4" s="24"/>
      <c r="P4" s="83">
        <f t="shared" si="3"/>
        <v>0.99999999999999944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719"/>
      <c r="B5" s="2" t="s">
        <v>18</v>
      </c>
      <c r="C5" s="2" t="s">
        <v>58</v>
      </c>
      <c r="D5" s="21">
        <f>D$36/D$4</f>
        <v>3.4693745578473212E-19</v>
      </c>
      <c r="E5" s="8">
        <v>16</v>
      </c>
      <c r="F5" s="21">
        <f t="shared" si="0"/>
        <v>6.4143274395689662E-2</v>
      </c>
      <c r="G5" s="21"/>
      <c r="H5" s="21"/>
      <c r="I5" s="333"/>
      <c r="J5" s="8">
        <v>-3</v>
      </c>
      <c r="K5" s="58">
        <f t="shared" si="1"/>
        <v>64.143274395689659</v>
      </c>
      <c r="L5" s="122" t="s">
        <v>230</v>
      </c>
      <c r="M5" s="23"/>
      <c r="N5" s="82">
        <f t="shared" si="2"/>
        <v>15.064790382220611</v>
      </c>
      <c r="O5" s="24"/>
      <c r="P5" s="83">
        <f t="shared" si="3"/>
        <v>0.99999999999999656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719"/>
      <c r="B6" s="2" t="s">
        <v>19</v>
      </c>
      <c r="C6" s="2" t="s">
        <v>59</v>
      </c>
      <c r="D6" s="21">
        <f>D$5/D$37</f>
        <v>25128.586367856475</v>
      </c>
      <c r="E6" s="136">
        <v>-8</v>
      </c>
      <c r="F6" s="139">
        <f t="shared" si="0"/>
        <v>5.844106063495427E-5</v>
      </c>
      <c r="G6" s="21"/>
      <c r="H6" s="21"/>
      <c r="I6" s="333"/>
      <c r="J6" s="136">
        <v>-6</v>
      </c>
      <c r="K6" s="140">
        <f t="shared" si="1"/>
        <v>58.441060634954276</v>
      </c>
      <c r="L6" s="137" t="s">
        <v>268</v>
      </c>
      <c r="M6" s="23"/>
      <c r="N6" s="82">
        <f t="shared" si="2"/>
        <v>53.463188849005803</v>
      </c>
      <c r="O6" s="24"/>
      <c r="P6" s="83">
        <f t="shared" si="3"/>
        <v>0.9999999999999849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719"/>
      <c r="B7" s="2" t="s">
        <v>267</v>
      </c>
      <c r="C7" s="2" t="s">
        <v>60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">
        <v>60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719"/>
      <c r="B8" s="2" t="s">
        <v>20</v>
      </c>
      <c r="C8" s="2" t="s">
        <v>217</v>
      </c>
      <c r="D8" s="21">
        <f>D$5/(D$35*D$35)</f>
        <v>3.8601997962598198E-36</v>
      </c>
      <c r="E8" s="8">
        <f>E5+2*(E4-E3)</f>
        <v>32</v>
      </c>
      <c r="F8" s="21">
        <f t="shared" si="0"/>
        <v>0.13195007973601611</v>
      </c>
      <c r="G8" s="21"/>
      <c r="H8" s="21"/>
      <c r="I8" s="333"/>
      <c r="J8" s="8">
        <v>-3</v>
      </c>
      <c r="K8" s="58">
        <f t="shared" si="1"/>
        <v>131.95007973601611</v>
      </c>
      <c r="L8" s="122" t="s">
        <v>217</v>
      </c>
      <c r="M8" s="23"/>
      <c r="N8" s="82">
        <f t="shared" si="2"/>
        <v>11.108569098234657</v>
      </c>
      <c r="O8" s="24"/>
      <c r="P8" s="83">
        <f t="shared" si="3"/>
        <v>0.99999999999999689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719"/>
      <c r="B9" s="2" t="s">
        <v>1136</v>
      </c>
      <c r="C9" s="2" t="s">
        <v>62</v>
      </c>
      <c r="D9" s="21">
        <f>D$5/D$4</f>
        <v>1.1413693996594916E-3</v>
      </c>
      <c r="E9" s="8">
        <f>E5-E4</f>
        <v>2</v>
      </c>
      <c r="F9" s="21">
        <f t="shared" si="0"/>
        <v>0.16435719355096678</v>
      </c>
      <c r="G9" s="21"/>
      <c r="H9" s="21"/>
      <c r="I9" s="333"/>
      <c r="J9" s="8">
        <v>-3</v>
      </c>
      <c r="K9" s="58">
        <f t="shared" si="1"/>
        <v>164.35719355096677</v>
      </c>
      <c r="L9" s="122" t="s">
        <v>231</v>
      </c>
      <c r="M9" s="23"/>
      <c r="N9" s="82">
        <f t="shared" si="2"/>
        <v>9.9040028062383794</v>
      </c>
      <c r="O9" s="24"/>
      <c r="P9" s="83">
        <f t="shared" si="3"/>
        <v>0.99999999999999534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719"/>
      <c r="B10" s="2" t="s">
        <v>22</v>
      </c>
      <c r="C10" s="2" t="s">
        <v>63</v>
      </c>
      <c r="D10" s="21">
        <f>D$5/D$3</f>
        <v>3.8071985108427628E-12</v>
      </c>
      <c r="E10" s="8">
        <f>E5-E3</f>
        <v>10</v>
      </c>
      <c r="F10" s="21">
        <f t="shared" si="0"/>
        <v>0.23573169686892176</v>
      </c>
      <c r="G10" s="21"/>
      <c r="H10" s="21"/>
      <c r="I10" s="333"/>
      <c r="J10" s="8">
        <v>-3</v>
      </c>
      <c r="K10" s="58">
        <f t="shared" si="1"/>
        <v>235.73169686892174</v>
      </c>
      <c r="L10" s="122" t="s">
        <v>232</v>
      </c>
      <c r="M10" s="23"/>
      <c r="N10" s="82">
        <f t="shared" si="2"/>
        <v>7.925892164245405</v>
      </c>
      <c r="O10" s="24"/>
      <c r="P10" s="83">
        <f t="shared" si="3"/>
        <v>0.99999999999999722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719"/>
      <c r="B11" s="2" t="s">
        <v>23</v>
      </c>
      <c r="C11" s="2" t="s">
        <v>218</v>
      </c>
      <c r="D11" s="21">
        <f>D$5/POWER(D$3,3)</f>
        <v>458.47344596335245</v>
      </c>
      <c r="E11" s="8">
        <f>E5-3*E3</f>
        <v>-2</v>
      </c>
      <c r="F11" s="21">
        <f t="shared" si="0"/>
        <v>3.1838433747455031</v>
      </c>
      <c r="G11" s="21"/>
      <c r="H11" s="21"/>
      <c r="I11" s="333"/>
      <c r="J11" s="8">
        <v>0</v>
      </c>
      <c r="K11" s="58">
        <f t="shared" si="1"/>
        <v>3.1838433747455031</v>
      </c>
      <c r="L11" s="122" t="s">
        <v>64</v>
      </c>
      <c r="M11" s="23"/>
      <c r="N11" s="82">
        <f t="shared" si="2"/>
        <v>-6.3519042717050072</v>
      </c>
      <c r="O11" s="24"/>
      <c r="P11" s="83">
        <f t="shared" si="3"/>
        <v>1.0000000000000004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719"/>
      <c r="B12" s="2" t="s">
        <v>24</v>
      </c>
      <c r="C12" s="2" t="s">
        <v>65</v>
      </c>
      <c r="D12" s="21">
        <f>SQRT(D$36/29.9792458)</f>
        <v>1.8755460225984499E-18</v>
      </c>
      <c r="E12" s="8">
        <f>(E5+E4)/2</f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">
        <v>233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719"/>
      <c r="B13" s="6" t="s">
        <v>719</v>
      </c>
      <c r="C13" s="6" t="s">
        <v>66</v>
      </c>
      <c r="D13" s="29">
        <f>D$12/D$4</f>
        <v>6.1702500037216987E-3</v>
      </c>
      <c r="E13" s="30">
        <f>E12-E4</f>
        <v>1</v>
      </c>
      <c r="F13" s="29">
        <f t="shared" si="0"/>
        <v>7.4043000044660384E-2</v>
      </c>
      <c r="G13" s="29"/>
      <c r="H13" s="21"/>
      <c r="I13" s="333"/>
      <c r="J13" s="30">
        <v>-3</v>
      </c>
      <c r="K13" s="59">
        <f t="shared" si="1"/>
        <v>74.043000044660388</v>
      </c>
      <c r="L13" s="123" t="s">
        <v>234</v>
      </c>
      <c r="M13" s="23"/>
      <c r="N13" s="82">
        <f t="shared" si="2"/>
        <v>14.277572650379364</v>
      </c>
      <c r="O13" s="24"/>
      <c r="P13" s="83">
        <f t="shared" si="3"/>
        <v>0.99999999999999667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719"/>
      <c r="B14" s="2" t="s">
        <v>364</v>
      </c>
      <c r="C14" s="2" t="s">
        <v>365</v>
      </c>
      <c r="D14" s="21">
        <f>D13/D3</f>
        <v>67710.667251427411</v>
      </c>
      <c r="E14" s="8">
        <f>E13-E3</f>
        <v>-5</v>
      </c>
      <c r="F14" s="21">
        <f t="shared" si="0"/>
        <v>0.27211398554618144</v>
      </c>
      <c r="G14" s="21"/>
      <c r="H14" s="21"/>
      <c r="I14" s="333"/>
      <c r="J14" s="8">
        <v>-3</v>
      </c>
      <c r="K14" s="58">
        <f t="shared" si="1"/>
        <v>272.11398554618142</v>
      </c>
      <c r="L14" s="122" t="s">
        <v>368</v>
      </c>
      <c r="M14" s="23"/>
      <c r="N14" s="82">
        <f t="shared" si="2"/>
        <v>7.1386744324041551</v>
      </c>
      <c r="O14" s="24"/>
      <c r="P14" s="83">
        <f t="shared" si="3"/>
        <v>0.99999999999999745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719"/>
      <c r="B15" s="2" t="s">
        <v>366</v>
      </c>
      <c r="C15" s="2" t="s">
        <v>367</v>
      </c>
      <c r="D15" s="21">
        <f>D12/D3/D3</f>
        <v>2.2585847456985526E-4</v>
      </c>
      <c r="E15" s="8">
        <f>E12-2*E3</f>
        <v>3</v>
      </c>
      <c r="F15" s="21">
        <f t="shared" si="0"/>
        <v>0.39028344405670989</v>
      </c>
      <c r="G15" s="21"/>
      <c r="H15" s="21"/>
      <c r="I15" s="333"/>
      <c r="J15" s="8">
        <v>-3</v>
      </c>
      <c r="K15" s="58">
        <f t="shared" si="1"/>
        <v>390.28344405670987</v>
      </c>
      <c r="L15" s="122" t="s">
        <v>369</v>
      </c>
      <c r="M15" s="23"/>
      <c r="N15" s="82">
        <f t="shared" si="2"/>
        <v>5.1605637904111807</v>
      </c>
      <c r="O15" s="24"/>
      <c r="P15" s="83">
        <f t="shared" si="3"/>
        <v>0.99999999999999734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719"/>
      <c r="B16" s="6" t="s">
        <v>96</v>
      </c>
      <c r="C16" s="6" t="s">
        <v>216</v>
      </c>
      <c r="D16" s="29">
        <f>D$35/10000000</f>
        <v>29.979245800000001</v>
      </c>
      <c r="E16" s="30">
        <v>0</v>
      </c>
      <c r="F16" s="29">
        <f t="shared" ref="F16:F22" si="4">D16*POWER(12,E16)</f>
        <v>29.979245800000001</v>
      </c>
      <c r="G16" s="29"/>
      <c r="H16" s="21"/>
      <c r="I16" s="333"/>
      <c r="J16" s="30">
        <v>0</v>
      </c>
      <c r="K16" s="59">
        <f t="shared" si="1"/>
        <v>29.979245800000001</v>
      </c>
      <c r="L16" s="123" t="s">
        <v>216</v>
      </c>
      <c r="M16" s="115"/>
      <c r="N16" s="116">
        <f t="shared" si="2"/>
        <v>-18.651142494520347</v>
      </c>
      <c r="O16" s="117"/>
      <c r="P16" s="118">
        <f t="shared" si="3"/>
        <v>1.0000000000000056</v>
      </c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</row>
    <row r="17" spans="1:37" ht="14.25" customHeight="1">
      <c r="A17" s="719"/>
      <c r="B17" s="2" t="s">
        <v>724</v>
      </c>
      <c r="C17" s="6" t="s">
        <v>1672</v>
      </c>
      <c r="D17" s="21">
        <f>D13*D$16</f>
        <v>0.18497944150902373</v>
      </c>
      <c r="E17" s="8">
        <f>E13</f>
        <v>1</v>
      </c>
      <c r="F17" s="21">
        <f t="shared" ref="F17" si="5">D17*POWER(12,E17)</f>
        <v>2.2197532981082846</v>
      </c>
      <c r="G17" s="21"/>
      <c r="H17" s="21"/>
      <c r="I17" s="333"/>
      <c r="J17" s="8">
        <v>0</v>
      </c>
      <c r="K17" s="58">
        <f t="shared" si="1"/>
        <v>2.2197532981082846</v>
      </c>
      <c r="L17" s="122" t="s">
        <v>78</v>
      </c>
      <c r="M17" s="119"/>
      <c r="N17" s="120">
        <f t="shared" si="2"/>
        <v>-4.3735698441409809</v>
      </c>
      <c r="O17" s="76"/>
      <c r="P17" s="121">
        <f t="shared" si="3"/>
        <v>1.000000000000002</v>
      </c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</row>
    <row r="18" spans="1:37" ht="14.25" customHeight="1">
      <c r="A18" s="719"/>
      <c r="B18" s="2" t="s">
        <v>725</v>
      </c>
      <c r="C18" s="2" t="s">
        <v>220</v>
      </c>
      <c r="D18" s="21">
        <f>D4/D16</f>
        <v>1.0139213348781553E-17</v>
      </c>
      <c r="E18" s="8">
        <f>E4</f>
        <v>14</v>
      </c>
      <c r="F18" s="21">
        <f t="shared" si="4"/>
        <v>1.3017923234500958E-2</v>
      </c>
      <c r="G18" s="21"/>
      <c r="H18" s="21"/>
      <c r="I18" s="333"/>
      <c r="J18" s="8">
        <v>-3</v>
      </c>
      <c r="K18" s="58">
        <f t="shared" si="1"/>
        <v>13.017923234500957</v>
      </c>
      <c r="L18" s="122" t="s">
        <v>235</v>
      </c>
      <c r="M18" s="119"/>
      <c r="N18" s="120">
        <f t="shared" si="2"/>
        <v>23.811930070502573</v>
      </c>
      <c r="O18" s="76"/>
      <c r="P18" s="121">
        <f t="shared" si="3"/>
        <v>0.999999999999999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719"/>
      <c r="B19" s="2" t="s">
        <v>221</v>
      </c>
      <c r="C19" s="2" t="s">
        <v>1673</v>
      </c>
      <c r="D19" s="21">
        <f>D12*D16</f>
        <v>5.6227455220691289E-17</v>
      </c>
      <c r="E19" s="8">
        <f>E12</f>
        <v>15</v>
      </c>
      <c r="F19" s="21">
        <f t="shared" si="4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">
        <v>222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719"/>
      <c r="B20" s="2" t="s">
        <v>223</v>
      </c>
      <c r="C20" s="2" t="s">
        <v>1674</v>
      </c>
      <c r="D20" s="21">
        <f>D19/D3/D3</f>
        <v>6.7710667251427411E-3</v>
      </c>
      <c r="E20" s="8">
        <f>E15</f>
        <v>3</v>
      </c>
      <c r="F20" s="21">
        <f t="shared" si="4"/>
        <v>11.700403301046656</v>
      </c>
      <c r="G20" s="21"/>
      <c r="H20" s="21"/>
      <c r="I20" s="333"/>
      <c r="J20" s="8">
        <v>0</v>
      </c>
      <c r="K20" s="58">
        <f t="shared" si="1"/>
        <v>11.700403301046656</v>
      </c>
      <c r="L20" s="122" t="s">
        <v>224</v>
      </c>
      <c r="M20" s="119"/>
      <c r="N20" s="120">
        <f t="shared" si="2"/>
        <v>-13.490578704109163</v>
      </c>
      <c r="O20" s="76"/>
      <c r="P20" s="121">
        <f t="shared" si="3"/>
        <v>1.0000000000000082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719"/>
      <c r="B21" s="6" t="s">
        <v>225</v>
      </c>
      <c r="C21" s="6" t="s">
        <v>226</v>
      </c>
      <c r="D21" s="29">
        <f>D4*D$16</f>
        <v>9.1126705055348916E-15</v>
      </c>
      <c r="E21" s="30">
        <f>E4</f>
        <v>14</v>
      </c>
      <c r="F21" s="29">
        <f t="shared" si="4"/>
        <v>11.699925923406079</v>
      </c>
      <c r="G21" s="29"/>
      <c r="H21" s="29"/>
      <c r="I21" s="336"/>
      <c r="J21" s="30">
        <v>0</v>
      </c>
      <c r="K21" s="59">
        <f t="shared" si="1"/>
        <v>11.699925923406079</v>
      </c>
      <c r="L21" s="31" t="s">
        <v>227</v>
      </c>
      <c r="M21" s="119"/>
      <c r="N21" s="120">
        <f t="shared" si="2"/>
        <v>-13.490354918538115</v>
      </c>
      <c r="O21" s="76"/>
      <c r="P21" s="121">
        <f t="shared" si="3"/>
        <v>1.0000000000000067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719"/>
      <c r="B22" s="2" t="s">
        <v>777</v>
      </c>
      <c r="C22" s="2" t="s">
        <v>710</v>
      </c>
      <c r="D22" s="29">
        <f>1/D4</f>
        <v>3289841960355208.5</v>
      </c>
      <c r="E22" s="30">
        <f>-E4</f>
        <v>-14</v>
      </c>
      <c r="F22" s="29">
        <f t="shared" si="4"/>
        <v>2.5623449239131975</v>
      </c>
      <c r="G22" s="21"/>
      <c r="H22" s="21"/>
      <c r="I22" s="333"/>
      <c r="J22" s="8">
        <v>0</v>
      </c>
      <c r="K22" s="58">
        <f t="shared" si="1"/>
        <v>2.5623449239131975</v>
      </c>
      <c r="L22" s="122" t="s">
        <v>711</v>
      </c>
      <c r="M22" s="23"/>
      <c r="N22" s="82">
        <f t="shared" si="2"/>
        <v>-5.1607875759822299</v>
      </c>
      <c r="O22" s="24"/>
      <c r="P22" s="83">
        <f t="shared" si="3"/>
        <v>1.0000000000000004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>
      <c r="A23" s="719"/>
      <c r="B23" s="2" t="s">
        <v>770</v>
      </c>
      <c r="C23" s="2" t="s">
        <v>1296</v>
      </c>
      <c r="D23" s="21">
        <f>D9*683/R23</f>
        <v>0.80398051079470934</v>
      </c>
      <c r="E23" s="8">
        <f>E9</f>
        <v>2</v>
      </c>
      <c r="F23" s="21">
        <f t="shared" ref="F23" si="6">D23*POWER(12,E23)</f>
        <v>115.77319355443814</v>
      </c>
      <c r="G23" s="21"/>
      <c r="H23" s="21"/>
      <c r="I23" s="333"/>
      <c r="J23" s="8">
        <v>0</v>
      </c>
      <c r="K23" s="58">
        <f t="shared" si="1"/>
        <v>115.77319355443814</v>
      </c>
      <c r="L23" s="122" t="s">
        <v>696</v>
      </c>
      <c r="M23" s="23"/>
      <c r="N23" s="82">
        <f t="shared" si="2"/>
        <v>-26.061827974318238</v>
      </c>
      <c r="O23" s="24"/>
      <c r="P23" s="83">
        <f t="shared" si="3"/>
        <v>1.0000000000000016</v>
      </c>
      <c r="Q23" s="24"/>
      <c r="R23" s="297">
        <f>1/K58</f>
        <v>0.96961964811418999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719"/>
      <c r="B24" s="6" t="s">
        <v>771</v>
      </c>
      <c r="C24" s="2" t="s">
        <v>1297</v>
      </c>
      <c r="D24" s="21">
        <f>D23</f>
        <v>0.80398051079470934</v>
      </c>
      <c r="E24" s="8">
        <f>E9</f>
        <v>2</v>
      </c>
      <c r="F24" s="21">
        <f t="shared" ref="F24" si="7">D24*POWER(12,E24)</f>
        <v>115.77319355443814</v>
      </c>
      <c r="G24" s="21"/>
      <c r="H24" s="21"/>
      <c r="I24" s="333"/>
      <c r="J24" s="8">
        <v>0</v>
      </c>
      <c r="K24" s="58">
        <f t="shared" si="1"/>
        <v>115.77319355443814</v>
      </c>
      <c r="L24" s="122" t="s">
        <v>699</v>
      </c>
      <c r="M24" s="23"/>
      <c r="N24" s="82">
        <f t="shared" si="2"/>
        <v>-26.061827974318238</v>
      </c>
      <c r="O24" s="24"/>
      <c r="P24" s="83">
        <f t="shared" si="3"/>
        <v>1.0000000000000016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719"/>
      <c r="B25" s="299"/>
      <c r="C25" s="2" t="s">
        <v>1298</v>
      </c>
      <c r="D25" s="21">
        <f>D23/(4*PI())</f>
        <v>6.3978736221262461E-2</v>
      </c>
      <c r="E25" s="8">
        <f>E9</f>
        <v>2</v>
      </c>
      <c r="F25" s="21">
        <f t="shared" ref="F25" si="8">D25*POWER(12,E25)</f>
        <v>9.2129380158617948</v>
      </c>
      <c r="G25" s="21"/>
      <c r="H25" s="21"/>
      <c r="I25" s="333"/>
      <c r="J25" s="8">
        <v>0</v>
      </c>
      <c r="K25" s="58">
        <f t="shared" si="1"/>
        <v>9.2129380158617948</v>
      </c>
      <c r="L25" s="122" t="s">
        <v>699</v>
      </c>
      <c r="M25" s="23"/>
      <c r="N25" s="82">
        <f t="shared" si="2"/>
        <v>-12.179628351430789</v>
      </c>
      <c r="O25" s="24"/>
      <c r="P25" s="83">
        <f t="shared" si="3"/>
        <v>1.0000000000000062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719"/>
      <c r="B26" s="2" t="s">
        <v>772</v>
      </c>
      <c r="C26" s="2" t="s">
        <v>1299</v>
      </c>
      <c r="D26" s="21">
        <f>D23/D3/D3</f>
        <v>96817571823916.375</v>
      </c>
      <c r="E26" s="8">
        <f>E9-2*E3</f>
        <v>-10</v>
      </c>
      <c r="F26" s="21">
        <f t="shared" ref="F26" si="9">D26*POWER(12,E26)</f>
        <v>1563.6578371401117</v>
      </c>
      <c r="G26" s="21"/>
      <c r="H26" s="21"/>
      <c r="I26" s="333"/>
      <c r="J26" s="8">
        <v>3</v>
      </c>
      <c r="K26" s="58">
        <f t="shared" si="1"/>
        <v>1.5636578371401118</v>
      </c>
      <c r="L26" s="122" t="s">
        <v>700</v>
      </c>
      <c r="M26" s="23"/>
      <c r="N26" s="82">
        <f t="shared" si="2"/>
        <v>-40.339624410268648</v>
      </c>
      <c r="O26" s="24"/>
      <c r="P26" s="83">
        <f t="shared" si="3"/>
        <v>1.0000000000000171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719"/>
      <c r="B27" s="2" t="s">
        <v>773</v>
      </c>
      <c r="C27" s="2" t="s">
        <v>704</v>
      </c>
      <c r="D27" s="21">
        <f>D7/D4</f>
        <v>5.462911012005259E-9</v>
      </c>
      <c r="E27" s="8">
        <f>E7-E4</f>
        <v>10</v>
      </c>
      <c r="F27" s="21">
        <f t="shared" ref="F27" si="10">D27*POWER(12,E27)</f>
        <v>338.24905085363008</v>
      </c>
      <c r="G27" s="21"/>
      <c r="H27" s="21"/>
      <c r="I27" s="333"/>
      <c r="J27" s="8">
        <v>0</v>
      </c>
      <c r="K27" s="58">
        <f t="shared" si="1"/>
        <v>338.24905085363008</v>
      </c>
      <c r="L27" s="122" t="s">
        <v>703</v>
      </c>
      <c r="M27" s="23"/>
      <c r="N27" s="82">
        <f t="shared" si="2"/>
        <v>-31.942369094504055</v>
      </c>
      <c r="O27" s="24"/>
      <c r="P27" s="83">
        <f t="shared" si="3"/>
        <v>1.0000000000000064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719"/>
      <c r="B28" s="2" t="s">
        <v>774</v>
      </c>
      <c r="C28" s="2" t="s">
        <v>702</v>
      </c>
      <c r="D28" s="21">
        <f>1/D4</f>
        <v>3289841960355208.5</v>
      </c>
      <c r="E28" s="8">
        <f>-E4</f>
        <v>-14</v>
      </c>
      <c r="F28" s="21">
        <f t="shared" ref="F28" si="11">D28*POWER(12,E28)</f>
        <v>2.5623449239131975</v>
      </c>
      <c r="G28" s="21"/>
      <c r="H28" s="21"/>
      <c r="I28" s="333"/>
      <c r="J28" s="8">
        <v>0</v>
      </c>
      <c r="K28" s="58">
        <f t="shared" si="1"/>
        <v>2.5623449239131975</v>
      </c>
      <c r="L28" s="122" t="s">
        <v>705</v>
      </c>
      <c r="M28" s="23"/>
      <c r="N28" s="82">
        <f t="shared" si="2"/>
        <v>-5.1607875759822299</v>
      </c>
      <c r="O28" s="24"/>
      <c r="P28" s="83">
        <f t="shared" si="3"/>
        <v>1.0000000000000004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719"/>
      <c r="B29" s="2" t="s">
        <v>775</v>
      </c>
      <c r="C29" s="2" t="s">
        <v>706</v>
      </c>
      <c r="D29" s="21">
        <f>D5/D8</f>
        <v>8.987551787368176E+16</v>
      </c>
      <c r="E29" s="8">
        <f>E5-E8</f>
        <v>-16</v>
      </c>
      <c r="F29" s="21">
        <f t="shared" ref="F29" si="12">D29*POWER(12,E29)</f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707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720"/>
      <c r="B30" s="4" t="s">
        <v>776</v>
      </c>
      <c r="C30" s="4" t="s">
        <v>1300</v>
      </c>
      <c r="D30" s="21">
        <f>D5/D8/R30</f>
        <v>8.987551787368176E+16</v>
      </c>
      <c r="E30" s="33">
        <f>E5-E8</f>
        <v>-16</v>
      </c>
      <c r="F30" s="32">
        <f t="shared" ref="F30" si="13">D30*POWER(12,E30)</f>
        <v>0.48611773879952869</v>
      </c>
      <c r="G30" s="29"/>
      <c r="H30" s="32"/>
      <c r="I30" s="337"/>
      <c r="J30" s="30">
        <v>0</v>
      </c>
      <c r="K30" s="59">
        <f t="shared" si="1"/>
        <v>0.48611773879952869</v>
      </c>
      <c r="L30" s="123" t="s">
        <v>708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>
      <c r="A31" s="718" t="s">
        <v>27</v>
      </c>
      <c r="B31" s="291" t="s">
        <v>42</v>
      </c>
      <c r="C31" s="18" t="s">
        <v>95</v>
      </c>
      <c r="D31" s="291" t="s">
        <v>43</v>
      </c>
      <c r="E31" s="18" t="s">
        <v>54</v>
      </c>
      <c r="F31" s="291" t="s">
        <v>47</v>
      </c>
      <c r="G31" s="291" t="s">
        <v>45</v>
      </c>
      <c r="H31" s="18" t="str">
        <f>Rydberg!H$1</f>
        <v>difference</v>
      </c>
      <c r="I31" s="338"/>
      <c r="J31" s="713" t="s">
        <v>80</v>
      </c>
      <c r="K31" s="714"/>
      <c r="L31" s="292" t="s">
        <v>213</v>
      </c>
      <c r="M31" s="294">
        <v>0</v>
      </c>
      <c r="N31" s="295"/>
      <c r="O31" s="295">
        <f>M31+1</f>
        <v>1</v>
      </c>
      <c r="P31" s="295"/>
      <c r="Q31" s="295">
        <f>O31+1</f>
        <v>2</v>
      </c>
      <c r="R31" s="295"/>
      <c r="S31" s="295">
        <f>Q31+1</f>
        <v>3</v>
      </c>
      <c r="T31" s="295"/>
      <c r="U31" s="295">
        <f>S31+1</f>
        <v>4</v>
      </c>
      <c r="V31" s="295"/>
      <c r="W31" s="295">
        <f>U31+1</f>
        <v>5</v>
      </c>
      <c r="X31" s="295"/>
      <c r="Y31" s="295">
        <f>W31+1</f>
        <v>6</v>
      </c>
      <c r="Z31" s="295"/>
      <c r="AA31" s="295">
        <f>Y31+1</f>
        <v>7</v>
      </c>
      <c r="AB31" s="295"/>
      <c r="AC31" s="295">
        <f>AA31+1</f>
        <v>8</v>
      </c>
      <c r="AD31" s="295"/>
      <c r="AE31" s="295">
        <f>AC31+1</f>
        <v>9</v>
      </c>
      <c r="AF31" s="295"/>
      <c r="AG31" s="295">
        <f>AE31+1</f>
        <v>10</v>
      </c>
      <c r="AH31" s="295"/>
      <c r="AI31" s="295">
        <f>AG31+1</f>
        <v>11</v>
      </c>
      <c r="AJ31" s="295"/>
      <c r="AK31" s="295">
        <f>AI31+1</f>
        <v>12</v>
      </c>
    </row>
    <row r="32" spans="1:37" ht="14.25" customHeight="1">
      <c r="A32" s="719"/>
      <c r="B32" s="2" t="s">
        <v>28</v>
      </c>
      <c r="C32" s="65" t="s">
        <v>110</v>
      </c>
      <c r="D32" s="21"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centy</v>
      </c>
      <c r="M32" s="40" t="str">
        <f t="shared" ref="M32:M70" si="1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1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1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1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1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2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2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2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2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2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2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26">IF($E32&gt;=AK$31,MID($J$31,IF($E32&gt;AK$31,INT(AJ32),ROUND(AJ32,0))+1,1),"")</f>
        <v/>
      </c>
    </row>
    <row r="33" spans="1:37" ht="15" customHeight="1">
      <c r="A33" s="719"/>
      <c r="B33" s="3" t="s">
        <v>0</v>
      </c>
      <c r="C33" s="3" t="s">
        <v>67</v>
      </c>
      <c r="D33" s="21">
        <v>6.0221408570000002E+23</v>
      </c>
      <c r="E33" s="8">
        <v>7</v>
      </c>
      <c r="F33" s="21">
        <f>D33/(1/F$7)</f>
        <v>7.9496847203390861E+25</v>
      </c>
      <c r="G33" s="37" t="str">
        <f t="shared" ref="G33:G70" si="27">M33&amp;";"&amp;O33&amp;Q33&amp;S33&amp;U33&amp;W33&amp;Y33&amp;AA33&amp;AC33&amp;AE33&amp;AG33&amp;AI33&amp;AK33</f>
        <v>1;0000000</v>
      </c>
      <c r="H33" s="330">
        <f t="shared" ref="H33:H50" si="28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tri-cosmic</v>
      </c>
      <c r="M33" s="40" t="str">
        <f t="shared" si="14"/>
        <v>1</v>
      </c>
      <c r="N33" s="24">
        <f t="shared" ref="N33:N68" si="29">(K33-INT(K33))*12</f>
        <v>1.2003731342247193E-11</v>
      </c>
      <c r="O33" s="41" t="str">
        <f t="shared" si="15"/>
        <v>0</v>
      </c>
      <c r="P33" s="24">
        <f t="shared" ref="P33:P68" si="30">(N33-INT(N33))*12</f>
        <v>1.4404477610696631E-10</v>
      </c>
      <c r="Q33" s="41" t="str">
        <f t="shared" si="16"/>
        <v>0</v>
      </c>
      <c r="R33" s="24">
        <f t="shared" ref="R33:R68" si="31">(P33-INT(P33))*12</f>
        <v>1.7285373132835957E-9</v>
      </c>
      <c r="S33" s="41" t="str">
        <f t="shared" si="17"/>
        <v>0</v>
      </c>
      <c r="T33" s="24">
        <f t="shared" ref="T33:T68" si="32">(R33-INT(R33))*12</f>
        <v>2.0742447759403149E-8</v>
      </c>
      <c r="U33" s="41" t="str">
        <f t="shared" si="18"/>
        <v>0</v>
      </c>
      <c r="V33" s="24">
        <f t="shared" ref="V33:V68" si="33">(T33-INT(T33))*12</f>
        <v>2.4890937311283778E-7</v>
      </c>
      <c r="W33" s="41" t="str">
        <f t="shared" si="19"/>
        <v>0</v>
      </c>
      <c r="X33" s="24">
        <f t="shared" ref="X33:X68" si="34">(V33-INT(V33))*12</f>
        <v>2.9869124773540534E-6</v>
      </c>
      <c r="Y33" s="41" t="str">
        <f t="shared" si="20"/>
        <v>0</v>
      </c>
      <c r="Z33" s="24">
        <f t="shared" ref="Z33:Z68" si="35">(X33-INT(X33))*12</f>
        <v>3.5842949728248641E-5</v>
      </c>
      <c r="AA33" s="41" t="str">
        <f t="shared" si="21"/>
        <v>0</v>
      </c>
      <c r="AB33" s="24">
        <f t="shared" ref="AB33:AB68" si="36">(Z33-INT(Z33))*12</f>
        <v>4.3011539673898369E-4</v>
      </c>
      <c r="AC33" s="41" t="str">
        <f t="shared" si="22"/>
        <v/>
      </c>
      <c r="AD33" s="24">
        <f t="shared" ref="AD33:AD68" si="37">(AB33-INT(AB33))*12</f>
        <v>5.1613847608678043E-3</v>
      </c>
      <c r="AE33" s="41" t="str">
        <f t="shared" si="23"/>
        <v/>
      </c>
      <c r="AF33" s="24">
        <f t="shared" ref="AF33:AF68" si="38">(AD33-INT(AD33))*12</f>
        <v>6.1936617130413651E-2</v>
      </c>
      <c r="AG33" s="41" t="str">
        <f t="shared" si="24"/>
        <v/>
      </c>
      <c r="AH33" s="24">
        <f t="shared" ref="AH33:AH68" si="39">(AF33-INT(AF33))*12</f>
        <v>0.74323940556496382</v>
      </c>
      <c r="AI33" s="41" t="str">
        <f t="shared" si="25"/>
        <v/>
      </c>
      <c r="AJ33" s="24">
        <f t="shared" ref="AJ33:AJ68" si="40">(AH33-INT(AH33))*12</f>
        <v>8.9188728667795658</v>
      </c>
      <c r="AK33" s="41" t="str">
        <f t="shared" si="26"/>
        <v/>
      </c>
    </row>
    <row r="34" spans="1:37" ht="15" customHeight="1">
      <c r="A34" s="719"/>
      <c r="B34" s="3" t="s">
        <v>1</v>
      </c>
      <c r="C34" s="3" t="s">
        <v>698</v>
      </c>
      <c r="D34" s="53">
        <v>10973731.568507999</v>
      </c>
      <c r="E34" s="8">
        <v>12</v>
      </c>
      <c r="F34" s="21">
        <f>D34/(1/F$3)</f>
        <v>2985983.9999999995</v>
      </c>
      <c r="G34" s="37" t="str">
        <f t="shared" si="27"/>
        <v>1;000000000000</v>
      </c>
      <c r="H34" s="330">
        <f t="shared" si="28"/>
        <v>9.9920072216264089E-15</v>
      </c>
      <c r="I34" s="333"/>
      <c r="J34" s="38">
        <v>6</v>
      </c>
      <c r="K34" s="61">
        <f>F34/POWER(12,J34)+0.00000000000001</f>
        <v>1.00000000000001</v>
      </c>
      <c r="L34" s="39" t="str">
        <f>INDEX(powers!$H$2:$H$75,33+J34)</f>
        <v>cosmic centy</v>
      </c>
      <c r="M34" s="40" t="str">
        <f t="shared" si="14"/>
        <v>1</v>
      </c>
      <c r="N34" s="24">
        <f t="shared" si="29"/>
        <v>1.1990408665951691E-13</v>
      </c>
      <c r="O34" s="41" t="str">
        <f t="shared" si="15"/>
        <v>0</v>
      </c>
      <c r="P34" s="24">
        <f t="shared" si="30"/>
        <v>1.4388490399142029E-12</v>
      </c>
      <c r="Q34" s="41" t="str">
        <f t="shared" si="16"/>
        <v>0</v>
      </c>
      <c r="R34" s="24">
        <f t="shared" si="31"/>
        <v>1.7266188478970435E-11</v>
      </c>
      <c r="S34" s="41" t="str">
        <f t="shared" si="17"/>
        <v>0</v>
      </c>
      <c r="T34" s="24">
        <f t="shared" si="32"/>
        <v>2.0719426174764521E-10</v>
      </c>
      <c r="U34" s="41" t="str">
        <f t="shared" si="18"/>
        <v>0</v>
      </c>
      <c r="V34" s="24">
        <f t="shared" si="33"/>
        <v>2.4863311409717426E-9</v>
      </c>
      <c r="W34" s="41" t="str">
        <f t="shared" si="19"/>
        <v>0</v>
      </c>
      <c r="X34" s="24">
        <f t="shared" si="34"/>
        <v>2.9835973691660911E-8</v>
      </c>
      <c r="Y34" s="41" t="str">
        <f t="shared" si="20"/>
        <v>0</v>
      </c>
      <c r="Z34" s="24">
        <f t="shared" si="35"/>
        <v>3.5803168429993093E-7</v>
      </c>
      <c r="AA34" s="41" t="str">
        <f t="shared" si="21"/>
        <v>0</v>
      </c>
      <c r="AB34" s="24">
        <f t="shared" si="36"/>
        <v>4.2963802115991712E-6</v>
      </c>
      <c r="AC34" s="41" t="str">
        <f t="shared" si="22"/>
        <v>0</v>
      </c>
      <c r="AD34" s="24">
        <f t="shared" si="37"/>
        <v>5.1556562539190054E-5</v>
      </c>
      <c r="AE34" s="41" t="str">
        <f t="shared" si="23"/>
        <v>0</v>
      </c>
      <c r="AF34" s="24">
        <f t="shared" si="38"/>
        <v>6.1867875047028065E-4</v>
      </c>
      <c r="AG34" s="41" t="str">
        <f t="shared" si="24"/>
        <v>0</v>
      </c>
      <c r="AH34" s="24">
        <f t="shared" si="39"/>
        <v>7.4241450056433678E-3</v>
      </c>
      <c r="AI34" s="41" t="str">
        <f t="shared" si="25"/>
        <v>0</v>
      </c>
      <c r="AJ34" s="24">
        <f t="shared" si="40"/>
        <v>8.9089740067720413E-2</v>
      </c>
      <c r="AK34" s="41" t="str">
        <f t="shared" si="26"/>
        <v>0</v>
      </c>
    </row>
    <row r="35" spans="1:37" ht="15" customHeight="1">
      <c r="A35" s="719"/>
      <c r="B35" s="3" t="s">
        <v>30</v>
      </c>
      <c r="C35" s="3" t="s">
        <v>68</v>
      </c>
      <c r="D35" s="21">
        <v>299792458</v>
      </c>
      <c r="E35" s="8">
        <v>12</v>
      </c>
      <c r="F35" s="21">
        <f>D35/(F$3/F$4)</f>
        <v>429981696</v>
      </c>
      <c r="G35" s="37" t="str">
        <f t="shared" si="27"/>
        <v>1;000000000000</v>
      </c>
      <c r="H35" s="330">
        <f t="shared" si="28"/>
        <v>0</v>
      </c>
      <c r="I35" s="333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14"/>
        <v>1</v>
      </c>
      <c r="N35" s="24">
        <f t="shared" si="29"/>
        <v>0</v>
      </c>
      <c r="O35" s="41" t="str">
        <f t="shared" si="15"/>
        <v>0</v>
      </c>
      <c r="P35" s="24">
        <f t="shared" si="30"/>
        <v>0</v>
      </c>
      <c r="Q35" s="41" t="str">
        <f t="shared" si="16"/>
        <v>0</v>
      </c>
      <c r="R35" s="24">
        <f t="shared" si="31"/>
        <v>0</v>
      </c>
      <c r="S35" s="41" t="str">
        <f t="shared" si="17"/>
        <v>0</v>
      </c>
      <c r="T35" s="24">
        <f t="shared" si="32"/>
        <v>0</v>
      </c>
      <c r="U35" s="41" t="str">
        <f t="shared" si="18"/>
        <v>0</v>
      </c>
      <c r="V35" s="24">
        <f t="shared" si="33"/>
        <v>0</v>
      </c>
      <c r="W35" s="41" t="str">
        <f t="shared" si="19"/>
        <v>0</v>
      </c>
      <c r="X35" s="24">
        <f t="shared" si="34"/>
        <v>0</v>
      </c>
      <c r="Y35" s="41" t="str">
        <f t="shared" si="20"/>
        <v>0</v>
      </c>
      <c r="Z35" s="24">
        <f t="shared" si="35"/>
        <v>0</v>
      </c>
      <c r="AA35" s="41" t="str">
        <f t="shared" si="21"/>
        <v>0</v>
      </c>
      <c r="AB35" s="24">
        <f t="shared" si="36"/>
        <v>0</v>
      </c>
      <c r="AC35" s="41" t="str">
        <f t="shared" si="22"/>
        <v>0</v>
      </c>
      <c r="AD35" s="24">
        <f t="shared" si="37"/>
        <v>0</v>
      </c>
      <c r="AE35" s="41" t="str">
        <f t="shared" si="23"/>
        <v>0</v>
      </c>
      <c r="AF35" s="24">
        <f t="shared" si="38"/>
        <v>0</v>
      </c>
      <c r="AG35" s="41" t="str">
        <f t="shared" si="24"/>
        <v>0</v>
      </c>
      <c r="AH35" s="24">
        <f t="shared" si="39"/>
        <v>0</v>
      </c>
      <c r="AI35" s="41" t="str">
        <f t="shared" si="25"/>
        <v>0</v>
      </c>
      <c r="AJ35" s="24">
        <f t="shared" si="40"/>
        <v>0</v>
      </c>
      <c r="AK35" s="41" t="str">
        <f t="shared" si="26"/>
        <v>0</v>
      </c>
    </row>
    <row r="36" spans="1:37" ht="15" customHeight="1">
      <c r="A36" s="719"/>
      <c r="B36" s="3" t="s">
        <v>2</v>
      </c>
      <c r="C36" s="3" t="s">
        <v>69</v>
      </c>
      <c r="D36" s="21">
        <v>1.0545718E-34</v>
      </c>
      <c r="E36" s="8">
        <v>7</v>
      </c>
      <c r="F36" s="21">
        <f>D36/(F$5*F$4)</f>
        <v>4.2127202330874253E-33</v>
      </c>
      <c r="G36" s="37" t="str">
        <f t="shared" si="27"/>
        <v>1;0000000</v>
      </c>
      <c r="H36" s="330">
        <f t="shared" si="28"/>
        <v>1.000088900582341E-12</v>
      </c>
      <c r="I36" s="333"/>
      <c r="J36" s="38">
        <v>-30</v>
      </c>
      <c r="K36" s="61">
        <f>F36/POWER(12,J36)+0.000000000001</f>
        <v>1.0000000000010001</v>
      </c>
      <c r="L36" s="39" t="str">
        <f>INDEX(powers!$H$2:$H$75,33+J36)</f>
        <v>tetra-atomic hecty</v>
      </c>
      <c r="M36" s="40" t="str">
        <f t="shared" si="14"/>
        <v>1</v>
      </c>
      <c r="N36" s="24">
        <f t="shared" si="29"/>
        <v>1.2001066806988092E-11</v>
      </c>
      <c r="O36" s="41" t="str">
        <f t="shared" si="15"/>
        <v>0</v>
      </c>
      <c r="P36" s="24">
        <f t="shared" si="30"/>
        <v>1.4401280168385711E-10</v>
      </c>
      <c r="Q36" s="41" t="str">
        <f t="shared" si="16"/>
        <v>0</v>
      </c>
      <c r="R36" s="24">
        <f t="shared" si="31"/>
        <v>1.7281536202062853E-9</v>
      </c>
      <c r="S36" s="41" t="str">
        <f t="shared" si="17"/>
        <v>0</v>
      </c>
      <c r="T36" s="24">
        <f t="shared" si="32"/>
        <v>2.0737843442475423E-8</v>
      </c>
      <c r="U36" s="41" t="str">
        <f t="shared" si="18"/>
        <v>0</v>
      </c>
      <c r="V36" s="24">
        <f t="shared" si="33"/>
        <v>2.4885412130970508E-7</v>
      </c>
      <c r="W36" s="41" t="str">
        <f t="shared" si="19"/>
        <v>0</v>
      </c>
      <c r="X36" s="24">
        <f t="shared" si="34"/>
        <v>2.9862494557164609E-6</v>
      </c>
      <c r="Y36" s="41" t="str">
        <f t="shared" si="20"/>
        <v>0</v>
      </c>
      <c r="Z36" s="24">
        <f t="shared" si="35"/>
        <v>3.5834993468597531E-5</v>
      </c>
      <c r="AA36" s="41" t="str">
        <f t="shared" si="21"/>
        <v>0</v>
      </c>
      <c r="AB36" s="24">
        <f t="shared" si="36"/>
        <v>4.3001992162317038E-4</v>
      </c>
      <c r="AC36" s="41" t="str">
        <f t="shared" si="22"/>
        <v/>
      </c>
      <c r="AD36" s="24">
        <f t="shared" si="37"/>
        <v>5.1602390594780445E-3</v>
      </c>
      <c r="AE36" s="41" t="str">
        <f t="shared" si="23"/>
        <v/>
      </c>
      <c r="AF36" s="24">
        <f t="shared" si="38"/>
        <v>6.1922868713736534E-2</v>
      </c>
      <c r="AG36" s="41" t="str">
        <f t="shared" si="24"/>
        <v/>
      </c>
      <c r="AH36" s="24">
        <f t="shared" si="39"/>
        <v>0.74307442456483841</v>
      </c>
      <c r="AI36" s="41" t="str">
        <f t="shared" si="25"/>
        <v/>
      </c>
      <c r="AJ36" s="24">
        <f t="shared" si="40"/>
        <v>8.9168930947780609</v>
      </c>
      <c r="AK36" s="41" t="str">
        <f t="shared" si="26"/>
        <v/>
      </c>
    </row>
    <row r="37" spans="1:37" ht="15" customHeight="1">
      <c r="A37" s="719"/>
      <c r="B37" s="3" t="s">
        <v>3</v>
      </c>
      <c r="C37" s="3" t="s">
        <v>70</v>
      </c>
      <c r="D37" s="21">
        <v>1.3806485199999999E-23</v>
      </c>
      <c r="E37" s="8">
        <v>6</v>
      </c>
      <c r="F37" s="21">
        <f>D37/(F$5/F$6)</f>
        <v>1.2579115212475321E-26</v>
      </c>
      <c r="G37" s="37" t="str">
        <f t="shared" si="27"/>
        <v>1;000000</v>
      </c>
      <c r="H37" s="330">
        <f t="shared" si="28"/>
        <v>0</v>
      </c>
      <c r="I37" s="333"/>
      <c r="J37" s="135">
        <v>-24</v>
      </c>
      <c r="K37" s="61">
        <f t="shared" ref="K37:K70" si="41">F37/POWER(12,J37)</f>
        <v>1</v>
      </c>
      <c r="L37" s="138" t="str">
        <f>INDEX(powers!$H$2:$H$75,33+J37)</f>
        <v>tri-atomic</v>
      </c>
      <c r="M37" s="40" t="str">
        <f t="shared" si="14"/>
        <v>1</v>
      </c>
      <c r="N37" s="24">
        <f t="shared" si="29"/>
        <v>0</v>
      </c>
      <c r="O37" s="41" t="str">
        <f t="shared" si="15"/>
        <v>0</v>
      </c>
      <c r="P37" s="24">
        <f t="shared" si="30"/>
        <v>0</v>
      </c>
      <c r="Q37" s="41" t="str">
        <f t="shared" si="16"/>
        <v>0</v>
      </c>
      <c r="R37" s="24">
        <f t="shared" si="31"/>
        <v>0</v>
      </c>
      <c r="S37" s="41" t="str">
        <f t="shared" si="17"/>
        <v>0</v>
      </c>
      <c r="T37" s="24">
        <f t="shared" si="32"/>
        <v>0</v>
      </c>
      <c r="U37" s="41" t="str">
        <f t="shared" si="18"/>
        <v>0</v>
      </c>
      <c r="V37" s="24">
        <f t="shared" si="33"/>
        <v>0</v>
      </c>
      <c r="W37" s="41" t="str">
        <f t="shared" si="19"/>
        <v>0</v>
      </c>
      <c r="X37" s="24">
        <f t="shared" si="34"/>
        <v>0</v>
      </c>
      <c r="Y37" s="41" t="str">
        <f t="shared" si="20"/>
        <v>0</v>
      </c>
      <c r="Z37" s="24">
        <f t="shared" si="35"/>
        <v>0</v>
      </c>
      <c r="AA37" s="41" t="str">
        <f t="shared" si="21"/>
        <v/>
      </c>
      <c r="AB37" s="24">
        <f t="shared" si="36"/>
        <v>0</v>
      </c>
      <c r="AC37" s="41" t="str">
        <f t="shared" si="22"/>
        <v/>
      </c>
      <c r="AD37" s="24">
        <f t="shared" si="37"/>
        <v>0</v>
      </c>
      <c r="AE37" s="41" t="str">
        <f t="shared" si="23"/>
        <v/>
      </c>
      <c r="AF37" s="24">
        <f t="shared" si="38"/>
        <v>0</v>
      </c>
      <c r="AG37" s="41" t="str">
        <f t="shared" si="24"/>
        <v/>
      </c>
      <c r="AH37" s="24">
        <f t="shared" si="39"/>
        <v>0</v>
      </c>
      <c r="AI37" s="41" t="str">
        <f t="shared" si="25"/>
        <v/>
      </c>
      <c r="AJ37" s="24">
        <f t="shared" si="40"/>
        <v>0</v>
      </c>
      <c r="AK37" s="41" t="str">
        <f t="shared" si="26"/>
        <v/>
      </c>
    </row>
    <row r="38" spans="1:37" ht="15" customHeight="1">
      <c r="A38" s="719"/>
      <c r="B38" s="3" t="s">
        <v>4</v>
      </c>
      <c r="C38" s="3" t="s">
        <v>71</v>
      </c>
      <c r="D38" s="21">
        <f>D37*D33</f>
        <v>8.3144598614485812</v>
      </c>
      <c r="E38" s="8">
        <v>6</v>
      </c>
      <c r="F38" s="21">
        <f>D38/(F$5/F$6/F$7)</f>
        <v>1.0000000000000002</v>
      </c>
      <c r="G38" s="37" t="str">
        <f t="shared" si="27"/>
        <v>1;000000</v>
      </c>
      <c r="H38" s="330">
        <f t="shared" si="28"/>
        <v>0</v>
      </c>
      <c r="I38" s="333"/>
      <c r="J38" s="135">
        <v>0</v>
      </c>
      <c r="K38" s="61">
        <f t="shared" si="41"/>
        <v>1.0000000000000002</v>
      </c>
      <c r="L38" s="138" t="str">
        <f>INDEX(powers!$H$2:$H$75,33+J38)</f>
        <v xml:space="preserve"> </v>
      </c>
      <c r="M38" s="40" t="str">
        <f t="shared" si="14"/>
        <v>1</v>
      </c>
      <c r="N38" s="24">
        <f t="shared" si="29"/>
        <v>2.6645352591003757E-15</v>
      </c>
      <c r="O38" s="41" t="str">
        <f t="shared" si="15"/>
        <v>0</v>
      </c>
      <c r="P38" s="24">
        <f t="shared" si="30"/>
        <v>3.1974423109204508E-14</v>
      </c>
      <c r="Q38" s="41" t="str">
        <f t="shared" si="16"/>
        <v>0</v>
      </c>
      <c r="R38" s="24">
        <f t="shared" si="31"/>
        <v>3.836930773104541E-13</v>
      </c>
      <c r="S38" s="41" t="str">
        <f t="shared" si="17"/>
        <v>0</v>
      </c>
      <c r="T38" s="24">
        <f t="shared" si="32"/>
        <v>4.6043169277254492E-12</v>
      </c>
      <c r="U38" s="41" t="str">
        <f t="shared" si="18"/>
        <v>0</v>
      </c>
      <c r="V38" s="24">
        <f t="shared" si="33"/>
        <v>5.525180313270539E-11</v>
      </c>
      <c r="W38" s="41" t="str">
        <f t="shared" si="19"/>
        <v>0</v>
      </c>
      <c r="X38" s="24">
        <f t="shared" si="34"/>
        <v>6.6302163759246469E-10</v>
      </c>
      <c r="Y38" s="41" t="str">
        <f t="shared" si="20"/>
        <v>0</v>
      </c>
      <c r="Z38" s="24">
        <f t="shared" si="35"/>
        <v>7.9562596511095762E-9</v>
      </c>
      <c r="AA38" s="41" t="str">
        <f t="shared" si="21"/>
        <v/>
      </c>
      <c r="AB38" s="24">
        <f t="shared" si="36"/>
        <v>9.5475115813314915E-8</v>
      </c>
      <c r="AC38" s="41" t="str">
        <f t="shared" si="22"/>
        <v/>
      </c>
      <c r="AD38" s="24">
        <f t="shared" si="37"/>
        <v>1.145701389759779E-6</v>
      </c>
      <c r="AE38" s="41" t="str">
        <f t="shared" si="23"/>
        <v/>
      </c>
      <c r="AF38" s="24">
        <f t="shared" si="38"/>
        <v>1.3748416677117348E-5</v>
      </c>
      <c r="AG38" s="41" t="str">
        <f t="shared" si="24"/>
        <v/>
      </c>
      <c r="AH38" s="24">
        <f t="shared" si="39"/>
        <v>1.6498100012540817E-4</v>
      </c>
      <c r="AI38" s="41" t="str">
        <f t="shared" si="25"/>
        <v/>
      </c>
      <c r="AJ38" s="24">
        <f t="shared" si="40"/>
        <v>1.9797720015048981E-3</v>
      </c>
      <c r="AK38" s="41" t="str">
        <f t="shared" si="26"/>
        <v/>
      </c>
    </row>
    <row r="39" spans="1:37" ht="15" customHeight="1">
      <c r="A39" s="719"/>
      <c r="B39" s="3" t="s">
        <v>5</v>
      </c>
      <c r="C39" s="3" t="s">
        <v>61</v>
      </c>
      <c r="D39" s="21">
        <v>1.6605390399999999E-27</v>
      </c>
      <c r="E39" s="8">
        <v>7</v>
      </c>
      <c r="F39" s="21">
        <f>D39/F$8</f>
        <v>1.2584600504388718E-26</v>
      </c>
      <c r="G39" s="37" t="str">
        <f t="shared" si="27"/>
        <v>1;0009061</v>
      </c>
      <c r="H39" s="330">
        <f t="shared" si="28"/>
        <v>4.3606341310531427E-4</v>
      </c>
      <c r="I39" s="333"/>
      <c r="J39" s="38">
        <v>-24</v>
      </c>
      <c r="K39" s="61">
        <f t="shared" si="41"/>
        <v>1.0004360634131053</v>
      </c>
      <c r="L39" s="39" t="str">
        <f>INDEX(powers!$H$2:$H$75,33+J39)</f>
        <v>tri-atomic</v>
      </c>
      <c r="M39" s="40" t="str">
        <f t="shared" si="14"/>
        <v>1</v>
      </c>
      <c r="N39" s="24">
        <f t="shared" si="29"/>
        <v>5.2327609572637712E-3</v>
      </c>
      <c r="O39" s="41" t="str">
        <f t="shared" si="15"/>
        <v>0</v>
      </c>
      <c r="P39" s="24">
        <f t="shared" si="30"/>
        <v>6.2793131487165255E-2</v>
      </c>
      <c r="Q39" s="41" t="str">
        <f t="shared" si="16"/>
        <v>0</v>
      </c>
      <c r="R39" s="24">
        <f t="shared" si="31"/>
        <v>0.75351757784598306</v>
      </c>
      <c r="S39" s="41" t="str">
        <f t="shared" si="17"/>
        <v>0</v>
      </c>
      <c r="T39" s="24">
        <f t="shared" si="32"/>
        <v>9.0422109341517967</v>
      </c>
      <c r="U39" s="41" t="str">
        <f t="shared" si="18"/>
        <v>9</v>
      </c>
      <c r="V39" s="24">
        <f t="shared" si="33"/>
        <v>0.50653120982155997</v>
      </c>
      <c r="W39" s="41" t="str">
        <f t="shared" si="19"/>
        <v>0</v>
      </c>
      <c r="X39" s="24">
        <f t="shared" si="34"/>
        <v>6.0783745178587196</v>
      </c>
      <c r="Y39" s="41" t="str">
        <f t="shared" si="20"/>
        <v>6</v>
      </c>
      <c r="Z39" s="24">
        <f t="shared" si="35"/>
        <v>0.94049421430463553</v>
      </c>
      <c r="AA39" s="41" t="str">
        <f t="shared" si="21"/>
        <v>1</v>
      </c>
      <c r="AB39" s="24">
        <f t="shared" si="36"/>
        <v>11.285930571655626</v>
      </c>
      <c r="AC39" s="41" t="str">
        <f t="shared" si="22"/>
        <v/>
      </c>
      <c r="AD39" s="24">
        <f t="shared" si="37"/>
        <v>3.4311668598675169</v>
      </c>
      <c r="AE39" s="41" t="str">
        <f t="shared" si="23"/>
        <v/>
      </c>
      <c r="AF39" s="24">
        <f t="shared" si="38"/>
        <v>5.1740023184102029</v>
      </c>
      <c r="AG39" s="41" t="str">
        <f t="shared" si="24"/>
        <v/>
      </c>
      <c r="AH39" s="24">
        <f t="shared" si="39"/>
        <v>2.0880278209224343</v>
      </c>
      <c r="AI39" s="41" t="str">
        <f t="shared" si="25"/>
        <v/>
      </c>
      <c r="AJ39" s="24">
        <f t="shared" si="40"/>
        <v>1.056333851069212</v>
      </c>
      <c r="AK39" s="41" t="str">
        <f t="shared" si="26"/>
        <v/>
      </c>
    </row>
    <row r="40" spans="1:37" ht="15" customHeight="1">
      <c r="A40" s="719"/>
      <c r="B40" s="3" t="s">
        <v>6</v>
      </c>
      <c r="C40" s="3" t="s">
        <v>57</v>
      </c>
      <c r="D40" s="21">
        <v>5.2917721067E-11</v>
      </c>
      <c r="E40" s="8">
        <v>9</v>
      </c>
      <c r="F40" s="21">
        <f>D40/F$3</f>
        <v>1.944768847409895E-10</v>
      </c>
      <c r="G40" s="37" t="str">
        <f t="shared" si="27"/>
        <v>1;005E85686</v>
      </c>
      <c r="H40" s="330">
        <f t="shared" si="28"/>
        <v>3.4580088047262425E-3</v>
      </c>
      <c r="I40" s="333"/>
      <c r="J40" s="38">
        <v>-9</v>
      </c>
      <c r="K40" s="61">
        <f t="shared" si="41"/>
        <v>1.0034580088047262</v>
      </c>
      <c r="L40" s="39" t="str">
        <f>INDEX(powers!$H$2:$H$75,33+J40)</f>
        <v>atomic dour</v>
      </c>
      <c r="M40" s="40" t="str">
        <f t="shared" si="14"/>
        <v>1</v>
      </c>
      <c r="N40" s="24">
        <f t="shared" si="29"/>
        <v>4.149610565671491E-2</v>
      </c>
      <c r="O40" s="41" t="str">
        <f t="shared" si="15"/>
        <v>0</v>
      </c>
      <c r="P40" s="24">
        <f t="shared" si="30"/>
        <v>0.49795326788057892</v>
      </c>
      <c r="Q40" s="41" t="str">
        <f t="shared" si="16"/>
        <v>0</v>
      </c>
      <c r="R40" s="24">
        <f t="shared" si="31"/>
        <v>5.975439214566947</v>
      </c>
      <c r="S40" s="41" t="str">
        <f t="shared" si="17"/>
        <v>5</v>
      </c>
      <c r="T40" s="24">
        <f t="shared" si="32"/>
        <v>11.705270574803365</v>
      </c>
      <c r="U40" s="41" t="str">
        <f t="shared" si="18"/>
        <v>E</v>
      </c>
      <c r="V40" s="24">
        <f t="shared" si="33"/>
        <v>8.4632468976403743</v>
      </c>
      <c r="W40" s="41" t="str">
        <f t="shared" si="19"/>
        <v>8</v>
      </c>
      <c r="X40" s="24">
        <f t="shared" si="34"/>
        <v>5.5589627716844916</v>
      </c>
      <c r="Y40" s="41" t="str">
        <f t="shared" si="20"/>
        <v>5</v>
      </c>
      <c r="Z40" s="24">
        <f t="shared" si="35"/>
        <v>6.7075532602138992</v>
      </c>
      <c r="AA40" s="41" t="str">
        <f t="shared" si="21"/>
        <v>6</v>
      </c>
      <c r="AB40" s="24">
        <f t="shared" si="36"/>
        <v>8.4906391225667903</v>
      </c>
      <c r="AC40" s="41" t="str">
        <f t="shared" si="22"/>
        <v>8</v>
      </c>
      <c r="AD40" s="24">
        <f t="shared" si="37"/>
        <v>5.8876694708014838</v>
      </c>
      <c r="AE40" s="41" t="str">
        <f t="shared" si="23"/>
        <v>6</v>
      </c>
      <c r="AF40" s="24">
        <f t="shared" si="38"/>
        <v>10.652033649617806</v>
      </c>
      <c r="AG40" s="41" t="str">
        <f t="shared" si="24"/>
        <v/>
      </c>
      <c r="AH40" s="24">
        <f t="shared" si="39"/>
        <v>7.8244037954136729</v>
      </c>
      <c r="AI40" s="41" t="str">
        <f t="shared" si="25"/>
        <v/>
      </c>
      <c r="AJ40" s="24">
        <f t="shared" si="40"/>
        <v>9.8928455449640751</v>
      </c>
      <c r="AK40" s="41" t="str">
        <f t="shared" si="26"/>
        <v/>
      </c>
    </row>
    <row r="41" spans="1:37" ht="15" customHeight="1">
      <c r="A41" s="719"/>
      <c r="B41" s="3" t="s">
        <v>7</v>
      </c>
      <c r="C41" s="3" t="s">
        <v>65</v>
      </c>
      <c r="D41" s="21">
        <f>SQRT(D$36/D$16*D$32)</f>
        <v>1.6021766207155676E-19</v>
      </c>
      <c r="E41" s="8">
        <v>9</v>
      </c>
      <c r="F41" s="21">
        <f>D41/F$12</f>
        <v>5.5445202501610299E-18</v>
      </c>
      <c r="G41" s="37" t="str">
        <f t="shared" si="27"/>
        <v>1;0374439E2</v>
      </c>
      <c r="H41" s="330">
        <f t="shared" si="28"/>
        <v>2.5094517379544046E-2</v>
      </c>
      <c r="I41" s="333"/>
      <c r="J41" s="38">
        <v>-16</v>
      </c>
      <c r="K41" s="61">
        <f t="shared" si="41"/>
        <v>1.025094517379544</v>
      </c>
      <c r="L41" s="39" t="str">
        <f>INDEX(powers!$H$2:$H$75,33+J41)</f>
        <v>di-atomic</v>
      </c>
      <c r="M41" s="40" t="str">
        <f t="shared" si="14"/>
        <v>1</v>
      </c>
      <c r="N41" s="24">
        <f t="shared" si="29"/>
        <v>0.30113420855452855</v>
      </c>
      <c r="O41" s="41" t="str">
        <f t="shared" si="15"/>
        <v>0</v>
      </c>
      <c r="P41" s="24">
        <f t="shared" si="30"/>
        <v>3.6136105026543426</v>
      </c>
      <c r="Q41" s="41" t="str">
        <f t="shared" si="16"/>
        <v>3</v>
      </c>
      <c r="R41" s="24">
        <f t="shared" si="31"/>
        <v>7.363326031852111</v>
      </c>
      <c r="S41" s="41" t="str">
        <f t="shared" si="17"/>
        <v>7</v>
      </c>
      <c r="T41" s="24">
        <f t="shared" si="32"/>
        <v>4.3599123822253318</v>
      </c>
      <c r="U41" s="41" t="str">
        <f t="shared" si="18"/>
        <v>4</v>
      </c>
      <c r="V41" s="24">
        <f t="shared" si="33"/>
        <v>4.3189485867039821</v>
      </c>
      <c r="W41" s="41" t="str">
        <f t="shared" si="19"/>
        <v>4</v>
      </c>
      <c r="X41" s="24">
        <f t="shared" si="34"/>
        <v>3.8273830404477849</v>
      </c>
      <c r="Y41" s="41" t="str">
        <f t="shared" si="20"/>
        <v>3</v>
      </c>
      <c r="Z41" s="24">
        <f t="shared" si="35"/>
        <v>9.9285964853734185</v>
      </c>
      <c r="AA41" s="41" t="str">
        <f t="shared" si="21"/>
        <v>9</v>
      </c>
      <c r="AB41" s="24">
        <f t="shared" si="36"/>
        <v>11.143157824481023</v>
      </c>
      <c r="AC41" s="41" t="str">
        <f t="shared" si="22"/>
        <v>E</v>
      </c>
      <c r="AD41" s="24">
        <f t="shared" si="37"/>
        <v>1.7178938937722705</v>
      </c>
      <c r="AE41" s="41" t="str">
        <f t="shared" si="23"/>
        <v>2</v>
      </c>
      <c r="AF41" s="24">
        <f t="shared" si="38"/>
        <v>8.6147267252672464</v>
      </c>
      <c r="AG41" s="41" t="str">
        <f t="shared" si="24"/>
        <v/>
      </c>
      <c r="AH41" s="24">
        <f t="shared" si="39"/>
        <v>7.3767207032069564</v>
      </c>
      <c r="AI41" s="41" t="str">
        <f t="shared" si="25"/>
        <v/>
      </c>
      <c r="AJ41" s="24">
        <f t="shared" si="40"/>
        <v>4.5206484384834766</v>
      </c>
      <c r="AK41" s="41" t="str">
        <f t="shared" si="26"/>
        <v/>
      </c>
    </row>
    <row r="42" spans="1:37" ht="15" customHeight="1">
      <c r="A42" s="719"/>
      <c r="B42" s="3" t="s">
        <v>50</v>
      </c>
      <c r="C42" s="3" t="s">
        <v>61</v>
      </c>
      <c r="D42" s="21">
        <v>9.1093835599999998E-31</v>
      </c>
      <c r="E42" s="8">
        <v>7</v>
      </c>
      <c r="F42" s="21">
        <f>D42/F$8</f>
        <v>6.9036590036357289E-30</v>
      </c>
      <c r="G42" s="37" t="str">
        <f t="shared" si="27"/>
        <v>0;E469222</v>
      </c>
      <c r="H42" s="330">
        <f t="shared" si="28"/>
        <v>-5.1640552075439272E-2</v>
      </c>
      <c r="I42" s="333"/>
      <c r="J42" s="38">
        <v>-27</v>
      </c>
      <c r="K42" s="61">
        <f t="shared" si="41"/>
        <v>0.94835944792456073</v>
      </c>
      <c r="L42" s="39" t="str">
        <f>INDEX(powers!$H$2:$H$75,33+J42)</f>
        <v>tri-atomic milly</v>
      </c>
      <c r="M42" s="40" t="str">
        <f t="shared" si="14"/>
        <v>0</v>
      </c>
      <c r="N42" s="24">
        <f t="shared" si="29"/>
        <v>11.38031337509473</v>
      </c>
      <c r="O42" s="41" t="str">
        <f t="shared" si="15"/>
        <v>E</v>
      </c>
      <c r="P42" s="24">
        <f t="shared" si="30"/>
        <v>4.5637605011367555</v>
      </c>
      <c r="Q42" s="41" t="str">
        <f t="shared" si="16"/>
        <v>4</v>
      </c>
      <c r="R42" s="24">
        <f t="shared" si="31"/>
        <v>6.7651260136410656</v>
      </c>
      <c r="S42" s="41" t="str">
        <f t="shared" si="17"/>
        <v>6</v>
      </c>
      <c r="T42" s="24">
        <f t="shared" si="32"/>
        <v>9.181512163692787</v>
      </c>
      <c r="U42" s="41" t="str">
        <f t="shared" si="18"/>
        <v>9</v>
      </c>
      <c r="V42" s="24">
        <f t="shared" si="33"/>
        <v>2.178145964313444</v>
      </c>
      <c r="W42" s="41" t="str">
        <f t="shared" si="19"/>
        <v>2</v>
      </c>
      <c r="X42" s="24">
        <f t="shared" si="34"/>
        <v>2.1377515717613278</v>
      </c>
      <c r="Y42" s="41" t="str">
        <f t="shared" si="20"/>
        <v>2</v>
      </c>
      <c r="Z42" s="24">
        <f t="shared" si="35"/>
        <v>1.6530188611359335</v>
      </c>
      <c r="AA42" s="41" t="str">
        <f t="shared" si="21"/>
        <v>2</v>
      </c>
      <c r="AB42" s="24">
        <f t="shared" si="36"/>
        <v>7.8362263336312026</v>
      </c>
      <c r="AC42" s="41" t="str">
        <f t="shared" si="22"/>
        <v/>
      </c>
      <c r="AD42" s="24">
        <f t="shared" si="37"/>
        <v>10.034716003574431</v>
      </c>
      <c r="AE42" s="41" t="str">
        <f t="shared" si="23"/>
        <v/>
      </c>
      <c r="AF42" s="24">
        <f t="shared" si="38"/>
        <v>0.41659204289317131</v>
      </c>
      <c r="AG42" s="41" t="str">
        <f t="shared" si="24"/>
        <v/>
      </c>
      <c r="AH42" s="24">
        <f t="shared" si="39"/>
        <v>4.9991045147180557</v>
      </c>
      <c r="AI42" s="41" t="str">
        <f t="shared" si="25"/>
        <v/>
      </c>
      <c r="AJ42" s="24">
        <f t="shared" si="40"/>
        <v>11.989254176616669</v>
      </c>
      <c r="AK42" s="41" t="str">
        <f t="shared" si="26"/>
        <v/>
      </c>
    </row>
    <row r="43" spans="1:37" ht="15" customHeight="1">
      <c r="A43" s="719"/>
      <c r="B43" s="573" t="s">
        <v>1429</v>
      </c>
      <c r="C43" s="573" t="s">
        <v>61</v>
      </c>
      <c r="D43" s="21">
        <f>D39*1.007276466879</f>
        <v>1.6726218973258461E-27</v>
      </c>
      <c r="E43" s="8">
        <v>7</v>
      </c>
      <c r="F43" s="21">
        <f>D43/F$8</f>
        <v>1.2676171933144348E-26</v>
      </c>
      <c r="G43" s="37" t="str">
        <f t="shared" ref="G43" si="42">M43&amp;";"&amp;O43&amp;Q43&amp;S43&amp;U43&amp;W43&amp;Y43&amp;AA43&amp;AC43&amp;AE43&amp;AG43&amp;AI43&amp;AK43</f>
        <v>1;0113EX</v>
      </c>
      <c r="H43" s="330">
        <f t="shared" ref="H43" si="43">K43*POWER(12,I43)/ROUND(K43*POWER(12,I43),0)-1</f>
        <v>7.7157032930879055E-3</v>
      </c>
      <c r="I43" s="333"/>
      <c r="J43" s="38">
        <v>-24</v>
      </c>
      <c r="K43" s="61">
        <f t="shared" ref="K43" si="44">F43/POWER(12,J43)</f>
        <v>1.0077157032930879</v>
      </c>
      <c r="L43" s="39" t="str">
        <f>INDEX(powers!$H$2:$H$75,33+J43)</f>
        <v>tri-atomic</v>
      </c>
      <c r="M43" s="40" t="str">
        <f t="shared" ref="M43" si="45">IF($E43&gt;=M$31,MID($J$31,IF($E43&gt;M$31,INT(K43),ROUND(K43,0))+1,1),"")</f>
        <v>1</v>
      </c>
      <c r="N43" s="24">
        <f t="shared" ref="N43" si="46">(K43-INT(K43))*12</f>
        <v>9.2588439517054866E-2</v>
      </c>
      <c r="O43" s="41" t="str">
        <f t="shared" ref="O43" si="47">IF($E43&gt;=O$31,MID($J$31,IF($E43&gt;O$31,INT(N43),ROUND(N43,0))+1,1),"")</f>
        <v>0</v>
      </c>
      <c r="P43" s="24">
        <f t="shared" ref="P43" si="48">(N43-INT(N43))*12</f>
        <v>1.1110612742046584</v>
      </c>
      <c r="Q43" s="41" t="str">
        <f t="shared" ref="Q43" si="49">IF($E43&gt;=Q$31,MID($J$31,IF($E43&gt;Q$31,INT(P43),ROUND(P43,0))+1,1),"")</f>
        <v>1</v>
      </c>
      <c r="R43" s="24">
        <f t="shared" ref="R43" si="50">(P43-INT(P43))*12</f>
        <v>1.3327352904559007</v>
      </c>
      <c r="S43" s="41" t="str">
        <f t="shared" ref="S43" si="51">IF($E43&gt;=S$31,MID($J$31,IF($E43&gt;S$31,INT(R43),ROUND(R43,0))+1,1),"")</f>
        <v>1</v>
      </c>
      <c r="T43" s="24">
        <f t="shared" ref="T43" si="52">(R43-INT(R43))*12</f>
        <v>3.992823485470808</v>
      </c>
      <c r="U43" s="41" t="str">
        <f t="shared" ref="U43" si="53">IF($E43&gt;=U$31,MID($J$31,IF($E43&gt;U$31,INT(T43),ROUND(T43,0))+1,1),"")</f>
        <v>3</v>
      </c>
      <c r="V43" s="24">
        <f t="shared" ref="V43" si="54">(T43-INT(T43))*12</f>
        <v>11.913881825649696</v>
      </c>
      <c r="W43" s="41" t="str">
        <f t="shared" ref="W43" si="55">IF($E43&gt;=W$31,MID($J$31,IF($E43&gt;W$31,INT(V43),ROUND(V43,0))+1,1),"")</f>
        <v>E</v>
      </c>
      <c r="X43" s="24">
        <f t="shared" ref="X43" si="56">(V43-INT(V43))*12</f>
        <v>10.966581907796353</v>
      </c>
      <c r="Y43" s="41" t="str">
        <f t="shared" ref="Y43" si="57">IF($E43&gt;=Y$31,MID($J$31,IF($E43&gt;Y$31,INT(X43),ROUND(X43,0))+1,1),"")</f>
        <v>X</v>
      </c>
      <c r="Z43" s="24">
        <f t="shared" ref="Z43" si="58">(X43-INT(X43))*12</f>
        <v>11.59898289355624</v>
      </c>
      <c r="AA43" s="41" t="str">
        <f t="shared" ref="AA43" si="59">IF($E43&gt;=AA$31,MID($J$31,IF($E43&gt;AA$31,INT(Z43),ROUND(Z43,0))+1,1),"")</f>
        <v/>
      </c>
      <c r="AB43" s="24">
        <f t="shared" ref="AB43" si="60">(Z43-INT(Z43))*12</f>
        <v>7.1877947226748802</v>
      </c>
      <c r="AC43" s="41" t="str">
        <f t="shared" ref="AC43" si="61">IF($E43&gt;=AC$31,MID($J$31,IF($E43&gt;AC$31,INT(AB43),ROUND(AB43,0))+1,1),"")</f>
        <v/>
      </c>
      <c r="AD43" s="24">
        <f t="shared" ref="AD43" si="62">(AB43-INT(AB43))*12</f>
        <v>2.2535366720985621</v>
      </c>
      <c r="AE43" s="41" t="str">
        <f t="shared" ref="AE43" si="63">IF($E43&gt;=AE$31,MID($J$31,IF($E43&gt;AE$31,INT(AD43),ROUND(AD43,0))+1,1),"")</f>
        <v/>
      </c>
      <c r="AF43" s="24">
        <f t="shared" ref="AF43" si="64">(AD43-INT(AD43))*12</f>
        <v>3.0424400651827455</v>
      </c>
      <c r="AG43" s="41" t="str">
        <f t="shared" ref="AG43" si="65">IF($E43&gt;=AG$31,MID($J$31,IF($E43&gt;AG$31,INT(AF43),ROUND(AF43,0))+1,1),"")</f>
        <v/>
      </c>
      <c r="AH43" s="24">
        <f t="shared" ref="AH43" si="66">(AF43-INT(AF43))*12</f>
        <v>0.50928078219294548</v>
      </c>
      <c r="AI43" s="41" t="str">
        <f t="shared" ref="AI43" si="67">IF($E43&gt;=AI$31,MID($J$31,IF($E43&gt;AI$31,INT(AH43),ROUND(AH43,0))+1,1),"")</f>
        <v/>
      </c>
      <c r="AJ43" s="24">
        <f t="shared" ref="AJ43" si="68">(AH43-INT(AH43))*12</f>
        <v>6.1113693863153458</v>
      </c>
      <c r="AK43" s="41" t="str">
        <f t="shared" ref="AK43" si="69">IF($E43&gt;=AK$31,MID($J$31,IF($E43&gt;AK$31,INT(AJ43),ROUND(AJ43,0))+1,1),"")</f>
        <v/>
      </c>
    </row>
    <row r="44" spans="1:37" ht="15" customHeight="1">
      <c r="A44" s="719"/>
      <c r="B44" s="3" t="s">
        <v>8</v>
      </c>
      <c r="C44" s="3" t="s">
        <v>72</v>
      </c>
      <c r="D44" s="21">
        <f>gravitation!D31</f>
        <v>6.674079999999999E-11</v>
      </c>
      <c r="E44" s="8">
        <v>4</v>
      </c>
      <c r="F44" s="21">
        <f>D44/(POWER(F$3/F$4,4)/F$10)</f>
        <v>6.6577341952300354E-11</v>
      </c>
      <c r="G44" s="37" t="str">
        <f t="shared" si="27"/>
        <v>4;1574</v>
      </c>
      <c r="H44" s="330">
        <f t="shared" si="28"/>
        <v>3.0573382681594152E-2</v>
      </c>
      <c r="I44" s="333"/>
      <c r="J44" s="38">
        <v>-10</v>
      </c>
      <c r="K44" s="61">
        <f t="shared" si="41"/>
        <v>4.1222935307263766</v>
      </c>
      <c r="L44" s="39" t="str">
        <f>INDEX(powers!$H$2:$H$75,33+J44)</f>
        <v>atomic centy</v>
      </c>
      <c r="M44" s="40" t="str">
        <f t="shared" si="14"/>
        <v>4</v>
      </c>
      <c r="N44" s="24">
        <f t="shared" si="29"/>
        <v>1.4675223687165193</v>
      </c>
      <c r="O44" s="41" t="str">
        <f t="shared" si="15"/>
        <v>1</v>
      </c>
      <c r="P44" s="24">
        <f t="shared" si="30"/>
        <v>5.6102684245982317</v>
      </c>
      <c r="Q44" s="41" t="str">
        <f t="shared" si="16"/>
        <v>5</v>
      </c>
      <c r="R44" s="24">
        <f t="shared" si="31"/>
        <v>7.3232210951787806</v>
      </c>
      <c r="S44" s="41" t="str">
        <f t="shared" si="17"/>
        <v>7</v>
      </c>
      <c r="T44" s="24">
        <f t="shared" si="32"/>
        <v>3.8786531421453674</v>
      </c>
      <c r="U44" s="41" t="str">
        <f t="shared" si="18"/>
        <v>4</v>
      </c>
      <c r="V44" s="24">
        <f t="shared" si="33"/>
        <v>10.543837705744409</v>
      </c>
      <c r="W44" s="41" t="str">
        <f t="shared" si="19"/>
        <v/>
      </c>
      <c r="X44" s="24">
        <f t="shared" si="34"/>
        <v>6.5260524689329031</v>
      </c>
      <c r="Y44" s="41" t="str">
        <f t="shared" si="20"/>
        <v/>
      </c>
      <c r="Z44" s="24">
        <f t="shared" si="35"/>
        <v>6.3126296271948377</v>
      </c>
      <c r="AA44" s="41" t="str">
        <f t="shared" si="21"/>
        <v/>
      </c>
      <c r="AB44" s="24">
        <f t="shared" si="36"/>
        <v>3.751555526338052</v>
      </c>
      <c r="AC44" s="41" t="str">
        <f t="shared" si="22"/>
        <v/>
      </c>
      <c r="AD44" s="24">
        <f t="shared" si="37"/>
        <v>9.0186663160566241</v>
      </c>
      <c r="AE44" s="41" t="str">
        <f t="shared" si="23"/>
        <v/>
      </c>
      <c r="AF44" s="24">
        <f t="shared" si="38"/>
        <v>0.22399579267948866</v>
      </c>
      <c r="AG44" s="41" t="str">
        <f t="shared" si="24"/>
        <v/>
      </c>
      <c r="AH44" s="24">
        <f t="shared" si="39"/>
        <v>2.6879495121538639</v>
      </c>
      <c r="AI44" s="41" t="str">
        <f t="shared" si="25"/>
        <v/>
      </c>
      <c r="AJ44" s="24">
        <f t="shared" si="40"/>
        <v>8.2553941458463669</v>
      </c>
      <c r="AK44" s="41" t="str">
        <f t="shared" si="26"/>
        <v/>
      </c>
    </row>
    <row r="45" spans="1:37" ht="15" customHeight="1">
      <c r="A45" s="719"/>
      <c r="B45" s="259" t="s">
        <v>1431</v>
      </c>
      <c r="C45" s="259" t="s">
        <v>63</v>
      </c>
      <c r="D45" s="21">
        <f>POWER(D$35,4)/D$44</f>
        <v>1.2102954584096223E+44</v>
      </c>
      <c r="E45" s="8">
        <v>4</v>
      </c>
      <c r="F45" s="21">
        <f>D45/F$10</f>
        <v>5.1342075524217909E+44</v>
      </c>
      <c r="G45" s="37" t="str">
        <f t="shared" ref="G45:G46" si="70">M45&amp;";"&amp;O45&amp;Q45&amp;S45&amp;U45&amp;W45&amp;Y45&amp;AA45&amp;AC45&amp;AE45&amp;AG45&amp;AI45&amp;AK45</f>
        <v>2;XE23</v>
      </c>
      <c r="H45" s="331">
        <f t="shared" si="28"/>
        <v>-1.9425633766670947E-3</v>
      </c>
      <c r="I45" s="339">
        <v>1</v>
      </c>
      <c r="J45" s="38">
        <v>41</v>
      </c>
      <c r="K45" s="61">
        <f t="shared" si="41"/>
        <v>2.9110008568180543</v>
      </c>
      <c r="L45" s="39" t="str">
        <f>INDEX(powers!$H$2:$H$75,33+J45)</f>
        <v>penta-cosmic dirac</v>
      </c>
      <c r="M45" s="40" t="str">
        <f t="shared" si="14"/>
        <v>2</v>
      </c>
      <c r="N45" s="24">
        <f t="shared" ref="N45:N46" si="71">(K45-INT(K45))*12</f>
        <v>10.932010281816652</v>
      </c>
      <c r="O45" s="41" t="str">
        <f t="shared" si="15"/>
        <v>X</v>
      </c>
      <c r="P45" s="24">
        <f t="shared" ref="P45:P46" si="72">(N45-INT(N45))*12</f>
        <v>11.184123381799822</v>
      </c>
      <c r="Q45" s="41" t="str">
        <f t="shared" si="16"/>
        <v>E</v>
      </c>
      <c r="R45" s="24">
        <f t="shared" ref="R45:R46" si="73">(P45-INT(P45))*12</f>
        <v>2.2094805815978589</v>
      </c>
      <c r="S45" s="41" t="str">
        <f t="shared" si="17"/>
        <v>2</v>
      </c>
      <c r="T45" s="24">
        <f t="shared" ref="T45:T46" si="74">(R45-INT(R45))*12</f>
        <v>2.5137669791743065</v>
      </c>
      <c r="U45" s="41" t="str">
        <f t="shared" si="18"/>
        <v>3</v>
      </c>
      <c r="V45" s="24">
        <f t="shared" ref="V45:V46" si="75">(T45-INT(T45))*12</f>
        <v>6.1652037500916776</v>
      </c>
      <c r="W45" s="41" t="str">
        <f t="shared" si="19"/>
        <v/>
      </c>
      <c r="X45" s="24">
        <f t="shared" ref="X45:X46" si="76">(V45-INT(V45))*12</f>
        <v>1.9824450011001318</v>
      </c>
      <c r="Y45" s="41" t="str">
        <f t="shared" si="20"/>
        <v/>
      </c>
      <c r="Z45" s="24">
        <f t="shared" ref="Z45:Z46" si="77">(X45-INT(X45))*12</f>
        <v>11.789340013201581</v>
      </c>
      <c r="AA45" s="41" t="str">
        <f t="shared" si="21"/>
        <v/>
      </c>
      <c r="AB45" s="24">
        <f t="shared" ref="AB45:AB46" si="78">(Z45-INT(Z45))*12</f>
        <v>9.4720801584189758</v>
      </c>
      <c r="AC45" s="41" t="str">
        <f t="shared" si="22"/>
        <v/>
      </c>
      <c r="AD45" s="24">
        <f t="shared" ref="AD45:AD46" si="79">(AB45-INT(AB45))*12</f>
        <v>5.6649619010277092</v>
      </c>
      <c r="AE45" s="41" t="str">
        <f t="shared" si="23"/>
        <v/>
      </c>
      <c r="AF45" s="24">
        <f t="shared" ref="AF45:AF46" si="80">(AD45-INT(AD45))*12</f>
        <v>7.9795428123325109</v>
      </c>
      <c r="AG45" s="41" t="str">
        <f t="shared" si="24"/>
        <v/>
      </c>
      <c r="AH45" s="24">
        <f t="shared" ref="AH45:AH46" si="81">(AF45-INT(AF45))*12</f>
        <v>11.754513747990131</v>
      </c>
      <c r="AI45" s="41" t="str">
        <f t="shared" si="25"/>
        <v/>
      </c>
      <c r="AJ45" s="24">
        <f t="shared" ref="AJ45:AJ46" si="82">(AH45-INT(AH45))*12</f>
        <v>9.0541649758815765</v>
      </c>
      <c r="AK45" s="41" t="str">
        <f t="shared" si="26"/>
        <v/>
      </c>
    </row>
    <row r="46" spans="1:37" ht="15" customHeight="1">
      <c r="A46" s="719"/>
      <c r="B46" s="259" t="s">
        <v>1290</v>
      </c>
      <c r="C46" s="259" t="s">
        <v>665</v>
      </c>
      <c r="D46" s="21">
        <f>D$47*SQRT(35)</f>
        <v>9.5617360022251509E-35</v>
      </c>
      <c r="E46" s="8">
        <v>4</v>
      </c>
      <c r="F46" s="21">
        <f>D46/F$3</f>
        <v>3.5140149517665741E-34</v>
      </c>
      <c r="G46" s="37" t="str">
        <f t="shared" si="70"/>
        <v>1;0018</v>
      </c>
      <c r="H46" s="330">
        <f t="shared" si="28"/>
        <v>9.7269906515018434E-4</v>
      </c>
      <c r="I46" s="333"/>
      <c r="J46" s="38">
        <v>-31</v>
      </c>
      <c r="K46" s="61">
        <f t="shared" si="41"/>
        <v>1.0009726990651502</v>
      </c>
      <c r="L46" s="39" t="str">
        <f>INDEX(powers!$H$2:$H$75,33+J46)</f>
        <v>tetra-atomic dirac</v>
      </c>
      <c r="M46" s="40" t="str">
        <f t="shared" si="14"/>
        <v>1</v>
      </c>
      <c r="N46" s="24">
        <f t="shared" si="71"/>
        <v>1.1672388781802212E-2</v>
      </c>
      <c r="O46" s="41" t="str">
        <f t="shared" si="15"/>
        <v>0</v>
      </c>
      <c r="P46" s="24">
        <f t="shared" si="72"/>
        <v>0.14006866538162654</v>
      </c>
      <c r="Q46" s="41" t="str">
        <f t="shared" si="16"/>
        <v>0</v>
      </c>
      <c r="R46" s="24">
        <f t="shared" si="73"/>
        <v>1.6808239845795185</v>
      </c>
      <c r="S46" s="41" t="str">
        <f t="shared" si="17"/>
        <v>1</v>
      </c>
      <c r="T46" s="24">
        <f t="shared" si="74"/>
        <v>8.1698878149542224</v>
      </c>
      <c r="U46" s="41" t="str">
        <f t="shared" si="18"/>
        <v>8</v>
      </c>
      <c r="V46" s="24">
        <f t="shared" si="75"/>
        <v>2.0386537794506694</v>
      </c>
      <c r="W46" s="41" t="str">
        <f t="shared" si="19"/>
        <v/>
      </c>
      <c r="X46" s="24">
        <f t="shared" si="76"/>
        <v>0.46384535340803268</v>
      </c>
      <c r="Y46" s="41" t="str">
        <f t="shared" si="20"/>
        <v/>
      </c>
      <c r="Z46" s="24">
        <f t="shared" si="77"/>
        <v>5.5661442408963921</v>
      </c>
      <c r="AA46" s="41" t="str">
        <f t="shared" si="21"/>
        <v/>
      </c>
      <c r="AB46" s="24">
        <f t="shared" si="78"/>
        <v>6.7937308907567058</v>
      </c>
      <c r="AC46" s="41" t="str">
        <f t="shared" si="22"/>
        <v/>
      </c>
      <c r="AD46" s="24">
        <f t="shared" si="79"/>
        <v>9.5247706890804693</v>
      </c>
      <c r="AE46" s="41" t="str">
        <f t="shared" si="23"/>
        <v/>
      </c>
      <c r="AF46" s="24">
        <f t="shared" si="80"/>
        <v>6.2972482689656317</v>
      </c>
      <c r="AG46" s="41" t="str">
        <f t="shared" si="24"/>
        <v/>
      </c>
      <c r="AH46" s="24">
        <f t="shared" si="81"/>
        <v>3.5669792275875807</v>
      </c>
      <c r="AI46" s="41" t="str">
        <f t="shared" si="25"/>
        <v/>
      </c>
      <c r="AJ46" s="24">
        <f t="shared" si="82"/>
        <v>6.8037507310509682</v>
      </c>
      <c r="AK46" s="41" t="str">
        <f t="shared" si="26"/>
        <v/>
      </c>
    </row>
    <row r="47" spans="1:37" ht="15" customHeight="1">
      <c r="A47" s="719"/>
      <c r="B47" s="3" t="s">
        <v>29</v>
      </c>
      <c r="C47" s="3" t="s">
        <v>57</v>
      </c>
      <c r="D47" s="21">
        <f>SQRT(D36*D44/D35/D35/D35)</f>
        <v>1.6162283729742846E-35</v>
      </c>
      <c r="E47" s="8">
        <v>4</v>
      </c>
      <c r="F47" s="21">
        <f>D47/F$3</f>
        <v>5.9397693753302858E-35</v>
      </c>
      <c r="G47" s="37" t="str">
        <f t="shared" si="27"/>
        <v>2;0445</v>
      </c>
      <c r="H47" s="330">
        <f t="shared" si="28"/>
        <v>1.5171602578398558E-2</v>
      </c>
      <c r="I47" s="333"/>
      <c r="J47" s="38">
        <v>-32</v>
      </c>
      <c r="K47" s="61">
        <f t="shared" si="41"/>
        <v>2.0303432051567971</v>
      </c>
      <c r="L47" s="39" t="str">
        <f>INDEX(powers!$H$2:$H$75,33+J47)</f>
        <v>tetra-atomic</v>
      </c>
      <c r="M47" s="40" t="str">
        <f t="shared" si="14"/>
        <v>2</v>
      </c>
      <c r="N47" s="24">
        <f t="shared" si="29"/>
        <v>0.36411846188156538</v>
      </c>
      <c r="O47" s="41" t="str">
        <f t="shared" si="15"/>
        <v>0</v>
      </c>
      <c r="P47" s="24">
        <f t="shared" si="30"/>
        <v>4.3694215425787846</v>
      </c>
      <c r="Q47" s="41" t="str">
        <f t="shared" si="16"/>
        <v>4</v>
      </c>
      <c r="R47" s="24">
        <f t="shared" si="31"/>
        <v>4.4330585109454148</v>
      </c>
      <c r="S47" s="41" t="str">
        <f t="shared" si="17"/>
        <v>4</v>
      </c>
      <c r="T47" s="24">
        <f t="shared" si="32"/>
        <v>5.1967021313449777</v>
      </c>
      <c r="U47" s="41" t="str">
        <f t="shared" si="18"/>
        <v>5</v>
      </c>
      <c r="V47" s="24">
        <f t="shared" si="33"/>
        <v>2.3604255761397326</v>
      </c>
      <c r="W47" s="41" t="str">
        <f t="shared" si="19"/>
        <v/>
      </c>
      <c r="X47" s="24">
        <f t="shared" si="34"/>
        <v>4.325106913676791</v>
      </c>
      <c r="Y47" s="41" t="str">
        <f t="shared" si="20"/>
        <v/>
      </c>
      <c r="Z47" s="24">
        <f t="shared" si="35"/>
        <v>3.9012829641214921</v>
      </c>
      <c r="AA47" s="41" t="str">
        <f t="shared" si="21"/>
        <v/>
      </c>
      <c r="AB47" s="24">
        <f t="shared" si="36"/>
        <v>10.815395569457905</v>
      </c>
      <c r="AC47" s="41" t="str">
        <f t="shared" si="22"/>
        <v/>
      </c>
      <c r="AD47" s="24">
        <f t="shared" si="37"/>
        <v>9.7847468334948644</v>
      </c>
      <c r="AE47" s="41" t="str">
        <f t="shared" si="23"/>
        <v/>
      </c>
      <c r="AF47" s="24">
        <f t="shared" si="38"/>
        <v>9.4169620019383729</v>
      </c>
      <c r="AG47" s="41" t="str">
        <f t="shared" si="24"/>
        <v/>
      </c>
      <c r="AH47" s="24">
        <f t="shared" si="39"/>
        <v>5.0035440232604742</v>
      </c>
      <c r="AI47" s="41" t="str">
        <f t="shared" si="25"/>
        <v/>
      </c>
      <c r="AJ47" s="24">
        <f t="shared" si="40"/>
        <v>4.252827912569046E-2</v>
      </c>
      <c r="AK47" s="41" t="str">
        <f t="shared" si="26"/>
        <v/>
      </c>
    </row>
    <row r="48" spans="1:37" ht="15" customHeight="1">
      <c r="A48" s="719"/>
      <c r="B48" s="3" t="s">
        <v>9</v>
      </c>
      <c r="C48" s="3" t="s">
        <v>57</v>
      </c>
      <c r="D48" s="21">
        <f>D47/SQRT(D$32)</f>
        <v>1.8919953376855748E-34</v>
      </c>
      <c r="E48" s="8">
        <v>4</v>
      </c>
      <c r="F48" s="21">
        <f>D48/F$3</f>
        <v>6.9532351695890355E-34</v>
      </c>
      <c r="G48" s="37" t="str">
        <f t="shared" si="27"/>
        <v>1;E927</v>
      </c>
      <c r="H48" s="330">
        <f t="shared" si="28"/>
        <v>-9.679999876022527E-3</v>
      </c>
      <c r="I48" s="333"/>
      <c r="J48" s="38">
        <v>-31</v>
      </c>
      <c r="K48" s="61">
        <f t="shared" si="41"/>
        <v>1.9806400002479549</v>
      </c>
      <c r="L48" s="39" t="str">
        <f>INDEX(powers!$H$2:$H$75,33+J48)</f>
        <v>tetra-atomic dirac</v>
      </c>
      <c r="M48" s="40" t="str">
        <f t="shared" si="14"/>
        <v>1</v>
      </c>
      <c r="N48" s="24">
        <f t="shared" si="29"/>
        <v>11.76768000297546</v>
      </c>
      <c r="O48" s="41" t="str">
        <f t="shared" si="15"/>
        <v>E</v>
      </c>
      <c r="P48" s="24">
        <f t="shared" si="30"/>
        <v>9.2121600357055229</v>
      </c>
      <c r="Q48" s="41" t="str">
        <f t="shared" si="16"/>
        <v>9</v>
      </c>
      <c r="R48" s="24">
        <f t="shared" si="31"/>
        <v>2.5459204284662746</v>
      </c>
      <c r="S48" s="41" t="str">
        <f t="shared" si="17"/>
        <v>2</v>
      </c>
      <c r="T48" s="24">
        <f t="shared" si="32"/>
        <v>6.5510451415952957</v>
      </c>
      <c r="U48" s="41" t="str">
        <f t="shared" si="18"/>
        <v>7</v>
      </c>
      <c r="V48" s="24">
        <f t="shared" si="33"/>
        <v>6.6125416991435486</v>
      </c>
      <c r="W48" s="41" t="str">
        <f t="shared" si="19"/>
        <v/>
      </c>
      <c r="X48" s="24">
        <f t="shared" si="34"/>
        <v>7.3505003897225833</v>
      </c>
      <c r="Y48" s="41" t="str">
        <f t="shared" si="20"/>
        <v/>
      </c>
      <c r="Z48" s="24">
        <f t="shared" si="35"/>
        <v>4.2060046766710002</v>
      </c>
      <c r="AA48" s="41" t="str">
        <f t="shared" si="21"/>
        <v/>
      </c>
      <c r="AB48" s="24">
        <f t="shared" si="36"/>
        <v>2.4720561200520024</v>
      </c>
      <c r="AC48" s="41" t="str">
        <f t="shared" si="22"/>
        <v/>
      </c>
      <c r="AD48" s="24">
        <f t="shared" si="37"/>
        <v>5.6646734406240284</v>
      </c>
      <c r="AE48" s="41" t="str">
        <f t="shared" si="23"/>
        <v/>
      </c>
      <c r="AF48" s="24">
        <f t="shared" si="38"/>
        <v>7.9760812874883413</v>
      </c>
      <c r="AG48" s="41" t="str">
        <f t="shared" si="24"/>
        <v/>
      </c>
      <c r="AH48" s="24">
        <f t="shared" si="39"/>
        <v>11.712975449860096</v>
      </c>
      <c r="AI48" s="41" t="str">
        <f t="shared" si="25"/>
        <v/>
      </c>
      <c r="AJ48" s="24">
        <f t="shared" si="40"/>
        <v>8.5557053983211517</v>
      </c>
      <c r="AK48" s="41" t="str">
        <f t="shared" si="26"/>
        <v/>
      </c>
    </row>
    <row r="49" spans="1:37" ht="15" customHeight="1">
      <c r="A49" s="719"/>
      <c r="B49" s="3" t="s">
        <v>1292</v>
      </c>
      <c r="C49" s="64" t="s">
        <v>76</v>
      </c>
      <c r="D49" s="21">
        <f>PI()*PI()*POWER(D$37,4)/(60*POWER(D$36,3)*POWER(D$35,2))</f>
        <v>5.6703668183272694E-8</v>
      </c>
      <c r="E49" s="8">
        <v>6</v>
      </c>
      <c r="F49" s="21">
        <f>D49/(F$9*POWER(F$3,-2)*POWER(F$6,-4))</f>
        <v>2.979621380708558E-25</v>
      </c>
      <c r="G49" s="37" t="str">
        <f t="shared" si="27"/>
        <v>1;E82E28</v>
      </c>
      <c r="H49" s="330">
        <f t="shared" si="28"/>
        <v>-1.3039559891063868E-2</v>
      </c>
      <c r="I49" s="333"/>
      <c r="J49" s="135">
        <v>-23</v>
      </c>
      <c r="K49" s="61">
        <f t="shared" si="41"/>
        <v>1.9739208802178723</v>
      </c>
      <c r="L49" s="138" t="str">
        <f>INDEX(powers!$H$2:$H$75,33+J49)</f>
        <v>tri-atomic dirac</v>
      </c>
      <c r="M49" s="40" t="str">
        <f t="shared" si="14"/>
        <v>1</v>
      </c>
      <c r="N49" s="24">
        <f t="shared" si="29"/>
        <v>11.687050562614466</v>
      </c>
      <c r="O49" s="41" t="str">
        <f t="shared" si="15"/>
        <v>E</v>
      </c>
      <c r="P49" s="24">
        <f t="shared" si="30"/>
        <v>8.2446067513735954</v>
      </c>
      <c r="Q49" s="41" t="str">
        <f t="shared" si="16"/>
        <v>8</v>
      </c>
      <c r="R49" s="24">
        <f t="shared" si="31"/>
        <v>2.9352810164831453</v>
      </c>
      <c r="S49" s="41" t="str">
        <f t="shared" si="17"/>
        <v>2</v>
      </c>
      <c r="T49" s="24">
        <f t="shared" si="32"/>
        <v>11.223372197797744</v>
      </c>
      <c r="U49" s="41" t="str">
        <f t="shared" si="18"/>
        <v>E</v>
      </c>
      <c r="V49" s="24">
        <f t="shared" si="33"/>
        <v>2.6804663735729264</v>
      </c>
      <c r="W49" s="41" t="str">
        <f t="shared" si="19"/>
        <v>2</v>
      </c>
      <c r="X49" s="24">
        <f t="shared" si="34"/>
        <v>8.1655964828751166</v>
      </c>
      <c r="Y49" s="41" t="str">
        <f t="shared" si="20"/>
        <v>8</v>
      </c>
      <c r="Z49" s="24">
        <f t="shared" si="35"/>
        <v>1.9871577945013996</v>
      </c>
      <c r="AA49" s="41" t="str">
        <f t="shared" si="21"/>
        <v/>
      </c>
      <c r="AB49" s="24">
        <f t="shared" si="36"/>
        <v>11.845893534016795</v>
      </c>
      <c r="AC49" s="41" t="str">
        <f t="shared" si="22"/>
        <v/>
      </c>
      <c r="AD49" s="24">
        <f t="shared" si="37"/>
        <v>10.150722408201545</v>
      </c>
      <c r="AE49" s="41" t="str">
        <f t="shared" si="23"/>
        <v/>
      </c>
      <c r="AF49" s="24">
        <f t="shared" si="38"/>
        <v>1.8086688984185457</v>
      </c>
      <c r="AG49" s="41" t="str">
        <f t="shared" si="24"/>
        <v/>
      </c>
      <c r="AH49" s="24">
        <f t="shared" si="39"/>
        <v>9.7040267810225487</v>
      </c>
      <c r="AI49" s="41" t="str">
        <f t="shared" si="25"/>
        <v/>
      </c>
      <c r="AJ49" s="24">
        <f t="shared" si="40"/>
        <v>8.4483213722705841</v>
      </c>
      <c r="AK49" s="41" t="str">
        <f t="shared" si="26"/>
        <v/>
      </c>
    </row>
    <row r="50" spans="1:37" ht="15" customHeight="1">
      <c r="A50" s="719"/>
      <c r="B50" s="3" t="s">
        <v>13</v>
      </c>
      <c r="C50" s="3" t="s">
        <v>109</v>
      </c>
      <c r="D50" s="21">
        <f>D$49*POWER(273.15,4)</f>
        <v>315.65739918733362</v>
      </c>
      <c r="E50" s="8">
        <v>6</v>
      </c>
      <c r="F50" s="21">
        <f>D50/(F$9*POWER(F$3,-2))</f>
        <v>142.19801840251861</v>
      </c>
      <c r="G50" s="37" t="str">
        <f t="shared" si="27"/>
        <v>0;EX2462</v>
      </c>
      <c r="H50" s="330">
        <f t="shared" si="28"/>
        <v>-1.251376109362079E-2</v>
      </c>
      <c r="I50" s="333"/>
      <c r="J50" s="38">
        <v>2</v>
      </c>
      <c r="K50" s="61">
        <f t="shared" si="41"/>
        <v>0.98748623890637921</v>
      </c>
      <c r="L50" s="39" t="str">
        <f>INDEX(powers!$H$2:$H$75,33+J50)</f>
        <v>hecty</v>
      </c>
      <c r="M50" s="40" t="str">
        <f t="shared" si="14"/>
        <v>0</v>
      </c>
      <c r="N50" s="24">
        <f t="shared" si="29"/>
        <v>11.849834866876551</v>
      </c>
      <c r="O50" s="41" t="str">
        <f t="shared" si="15"/>
        <v>E</v>
      </c>
      <c r="P50" s="24">
        <f t="shared" si="30"/>
        <v>10.198018402518606</v>
      </c>
      <c r="Q50" s="41" t="str">
        <f t="shared" si="16"/>
        <v>X</v>
      </c>
      <c r="R50" s="24">
        <f t="shared" si="31"/>
        <v>2.376220830223275</v>
      </c>
      <c r="S50" s="41" t="str">
        <f t="shared" si="17"/>
        <v>2</v>
      </c>
      <c r="T50" s="24">
        <f t="shared" si="32"/>
        <v>4.5146499626793002</v>
      </c>
      <c r="U50" s="41" t="str">
        <f t="shared" si="18"/>
        <v>4</v>
      </c>
      <c r="V50" s="24">
        <f t="shared" si="33"/>
        <v>6.1757995521516023</v>
      </c>
      <c r="W50" s="41" t="str">
        <f t="shared" si="19"/>
        <v>6</v>
      </c>
      <c r="X50" s="24">
        <f t="shared" si="34"/>
        <v>2.1095946258192271</v>
      </c>
      <c r="Y50" s="41" t="str">
        <f t="shared" si="20"/>
        <v>2</v>
      </c>
      <c r="Z50" s="24">
        <f t="shared" si="35"/>
        <v>1.3151355098307249</v>
      </c>
      <c r="AA50" s="41" t="str">
        <f t="shared" si="21"/>
        <v/>
      </c>
      <c r="AB50" s="24">
        <f t="shared" si="36"/>
        <v>3.781626117968699</v>
      </c>
      <c r="AC50" s="41" t="str">
        <f t="shared" si="22"/>
        <v/>
      </c>
      <c r="AD50" s="24">
        <f t="shared" si="37"/>
        <v>9.3795134156243876</v>
      </c>
      <c r="AE50" s="41" t="str">
        <f t="shared" si="23"/>
        <v/>
      </c>
      <c r="AF50" s="24">
        <f t="shared" si="38"/>
        <v>4.5541609874926507</v>
      </c>
      <c r="AG50" s="41" t="str">
        <f t="shared" si="24"/>
        <v/>
      </c>
      <c r="AH50" s="24">
        <f t="shared" si="39"/>
        <v>6.649931849911809</v>
      </c>
      <c r="AI50" s="41" t="str">
        <f t="shared" si="25"/>
        <v/>
      </c>
      <c r="AJ50" s="24">
        <f t="shared" si="40"/>
        <v>7.7991821989417076</v>
      </c>
      <c r="AK50" s="41" t="str">
        <f t="shared" si="26"/>
        <v/>
      </c>
    </row>
    <row r="51" spans="1:37" ht="15" customHeight="1">
      <c r="A51" s="719"/>
      <c r="B51" s="3" t="s">
        <v>93</v>
      </c>
      <c r="C51" s="3" t="s">
        <v>59</v>
      </c>
      <c r="D51" s="21">
        <v>273.16000000000003</v>
      </c>
      <c r="E51" s="8">
        <v>6</v>
      </c>
      <c r="F51" s="21">
        <f>D51/F$6</f>
        <v>4674110.9253006931</v>
      </c>
      <c r="G51" s="37" t="str">
        <f t="shared" si="27"/>
        <v>1;694E13</v>
      </c>
      <c r="H51" s="330"/>
      <c r="I51" s="333"/>
      <c r="J51" s="135">
        <v>6</v>
      </c>
      <c r="K51" s="61">
        <f t="shared" si="41"/>
        <v>1.5653502916628801</v>
      </c>
      <c r="L51" s="138" t="str">
        <f>INDEX(powers!$H$2:$H$75,33+J51)</f>
        <v>cosmic centy</v>
      </c>
      <c r="M51" s="40" t="str">
        <f t="shared" si="14"/>
        <v>1</v>
      </c>
      <c r="N51" s="24">
        <f t="shared" si="29"/>
        <v>6.7842034999545611</v>
      </c>
      <c r="O51" s="41" t="str">
        <f t="shared" si="15"/>
        <v>6</v>
      </c>
      <c r="P51" s="24">
        <f t="shared" si="30"/>
        <v>9.4104419994547328</v>
      </c>
      <c r="Q51" s="41" t="str">
        <f t="shared" si="16"/>
        <v>9</v>
      </c>
      <c r="R51" s="24">
        <f t="shared" si="31"/>
        <v>4.9253039934567937</v>
      </c>
      <c r="S51" s="41" t="str">
        <f t="shared" si="17"/>
        <v>4</v>
      </c>
      <c r="T51" s="24">
        <f t="shared" si="32"/>
        <v>11.103647921481524</v>
      </c>
      <c r="U51" s="41" t="str">
        <f t="shared" si="18"/>
        <v>E</v>
      </c>
      <c r="V51" s="24">
        <f t="shared" si="33"/>
        <v>1.2437750577782936</v>
      </c>
      <c r="W51" s="41" t="str">
        <f t="shared" si="19"/>
        <v>1</v>
      </c>
      <c r="X51" s="24">
        <f t="shared" si="34"/>
        <v>2.9253006933395227</v>
      </c>
      <c r="Y51" s="41" t="str">
        <f t="shared" si="20"/>
        <v>3</v>
      </c>
      <c r="Z51" s="24">
        <f t="shared" si="35"/>
        <v>11.103608320074272</v>
      </c>
      <c r="AA51" s="41" t="str">
        <f t="shared" si="21"/>
        <v/>
      </c>
      <c r="AB51" s="24">
        <f t="shared" si="36"/>
        <v>1.2432998408912681</v>
      </c>
      <c r="AC51" s="41" t="str">
        <f t="shared" si="22"/>
        <v/>
      </c>
      <c r="AD51" s="24">
        <f t="shared" si="37"/>
        <v>2.9195980906952173</v>
      </c>
      <c r="AE51" s="41" t="str">
        <f t="shared" si="23"/>
        <v/>
      </c>
      <c r="AF51" s="24">
        <f t="shared" si="38"/>
        <v>11.035177088342607</v>
      </c>
      <c r="AG51" s="41" t="str">
        <f t="shared" si="24"/>
        <v/>
      </c>
      <c r="AH51" s="24">
        <f t="shared" si="39"/>
        <v>0.42212506011128426</v>
      </c>
      <c r="AI51" s="41" t="str">
        <f t="shared" si="25"/>
        <v/>
      </c>
      <c r="AJ51" s="24">
        <f t="shared" si="40"/>
        <v>5.0655007213354111</v>
      </c>
      <c r="AK51" s="41" t="str">
        <f t="shared" si="26"/>
        <v/>
      </c>
    </row>
    <row r="52" spans="1:37" ht="15" customHeight="1">
      <c r="A52" s="719"/>
      <c r="B52" s="3" t="s">
        <v>14</v>
      </c>
      <c r="C52" s="3" t="s">
        <v>73</v>
      </c>
      <c r="D52" s="21">
        <v>2.2413961999999999E-2</v>
      </c>
      <c r="E52" s="8">
        <v>6</v>
      </c>
      <c r="F52" s="21">
        <f>D52/(POWER(F$3,3)/F$7)</f>
        <v>146.8649615725935</v>
      </c>
      <c r="G52" s="37" t="str">
        <f t="shared" ref="G52:G53" si="83">M52&amp;";"&amp;O52&amp;Q52&amp;S52&amp;U52&amp;W52&amp;Y52&amp;AA52&amp;AC52&amp;AE52&amp;AG52&amp;AI52&amp;AK52</f>
        <v>1;02X468</v>
      </c>
      <c r="H52" s="330">
        <f>K52*POWER(12,I52)/ROUND(K52*POWER(12,I52),0)-1</f>
        <v>1.9895566476343829E-2</v>
      </c>
      <c r="I52" s="333"/>
      <c r="J52" s="38">
        <v>2</v>
      </c>
      <c r="K52" s="61">
        <f t="shared" si="41"/>
        <v>1.0198955664763438</v>
      </c>
      <c r="L52" s="39" t="str">
        <f>INDEX(powers!$H$2:$H$75,33+J52)</f>
        <v>hecty</v>
      </c>
      <c r="M52" s="40" t="str">
        <f t="shared" si="14"/>
        <v>1</v>
      </c>
      <c r="N52" s="24">
        <f t="shared" ref="N52:N53" si="84">(K52-INT(K52))*12</f>
        <v>0.23874679771612595</v>
      </c>
      <c r="O52" s="41" t="str">
        <f t="shared" si="15"/>
        <v>0</v>
      </c>
      <c r="P52" s="24">
        <f t="shared" ref="P52:P53" si="85">(N52-INT(N52))*12</f>
        <v>2.8649615725935114</v>
      </c>
      <c r="Q52" s="41" t="str">
        <f t="shared" si="16"/>
        <v>2</v>
      </c>
      <c r="R52" s="24">
        <f t="shared" ref="R52:R53" si="86">(P52-INT(P52))*12</f>
        <v>10.379538871122136</v>
      </c>
      <c r="S52" s="41" t="str">
        <f t="shared" si="17"/>
        <v>X</v>
      </c>
      <c r="T52" s="24">
        <f t="shared" ref="T52:T53" si="87">(R52-INT(R52))*12</f>
        <v>4.5544664534656363</v>
      </c>
      <c r="U52" s="41" t="str">
        <f t="shared" si="18"/>
        <v>4</v>
      </c>
      <c r="V52" s="24">
        <f t="shared" ref="V52:V53" si="88">(T52-INT(T52))*12</f>
        <v>6.6535974415876353</v>
      </c>
      <c r="W52" s="41" t="str">
        <f t="shared" si="19"/>
        <v>6</v>
      </c>
      <c r="X52" s="24">
        <f t="shared" ref="X52:X53" si="89">(V52-INT(V52))*12</f>
        <v>7.843169299051624</v>
      </c>
      <c r="Y52" s="41" t="str">
        <f t="shared" si="20"/>
        <v>8</v>
      </c>
      <c r="Z52" s="24">
        <f t="shared" ref="Z52:Z53" si="90">(X52-INT(X52))*12</f>
        <v>10.118031588619488</v>
      </c>
      <c r="AA52" s="41" t="str">
        <f t="shared" si="21"/>
        <v/>
      </c>
      <c r="AB52" s="24">
        <f t="shared" ref="AB52:AB53" si="91">(Z52-INT(Z52))*12</f>
        <v>1.4163790634338511</v>
      </c>
      <c r="AC52" s="41" t="str">
        <f t="shared" si="22"/>
        <v/>
      </c>
      <c r="AD52" s="24">
        <f t="shared" ref="AD52:AD53" si="92">(AB52-INT(AB52))*12</f>
        <v>4.9965487612062134</v>
      </c>
      <c r="AE52" s="41" t="str">
        <f t="shared" si="23"/>
        <v/>
      </c>
      <c r="AF52" s="24">
        <f t="shared" ref="AF52:AF53" si="93">(AD52-INT(AD52))*12</f>
        <v>11.958585134474561</v>
      </c>
      <c r="AG52" s="41" t="str">
        <f t="shared" si="24"/>
        <v/>
      </c>
      <c r="AH52" s="24">
        <f t="shared" ref="AH52:AH53" si="94">(AF52-INT(AF52))*12</f>
        <v>11.503021613694727</v>
      </c>
      <c r="AI52" s="41" t="str">
        <f t="shared" si="25"/>
        <v/>
      </c>
      <c r="AJ52" s="24">
        <f t="shared" ref="AJ52:AJ53" si="95">(AH52-INT(AH52))*12</f>
        <v>6.036259364336729</v>
      </c>
      <c r="AK52" s="41" t="str">
        <f t="shared" si="26"/>
        <v/>
      </c>
    </row>
    <row r="53" spans="1:37" ht="15" customHeight="1">
      <c r="A53" s="719"/>
      <c r="B53" s="67" t="s">
        <v>111</v>
      </c>
      <c r="C53" s="3" t="s">
        <v>112</v>
      </c>
      <c r="D53" s="21">
        <f>SQRT(0.00000001008)</f>
        <v>1.0039920318408906E-4</v>
      </c>
      <c r="E53" s="8">
        <v>4</v>
      </c>
      <c r="F53" s="21">
        <f>-LOG(D$53/(F$7*POWER(F$3,-3)))/LOG(12)</f>
        <v>7.2412945714610002</v>
      </c>
      <c r="G53" s="37" t="str">
        <f t="shared" si="83"/>
        <v>7;2X8E</v>
      </c>
      <c r="H53" s="330"/>
      <c r="I53" s="333"/>
      <c r="J53" s="38">
        <v>0</v>
      </c>
      <c r="K53" s="61">
        <f t="shared" si="41"/>
        <v>7.2412945714610002</v>
      </c>
      <c r="L53" s="39" t="str">
        <f>INDEX(powers!$H$2:$H$75,33+J53)</f>
        <v xml:space="preserve"> </v>
      </c>
      <c r="M53" s="40" t="str">
        <f t="shared" si="14"/>
        <v>7</v>
      </c>
      <c r="N53" s="24">
        <f t="shared" si="84"/>
        <v>2.8955348575320023</v>
      </c>
      <c r="O53" s="41" t="str">
        <f t="shared" si="15"/>
        <v>2</v>
      </c>
      <c r="P53" s="24">
        <f t="shared" si="85"/>
        <v>10.746418290384028</v>
      </c>
      <c r="Q53" s="41" t="str">
        <f t="shared" si="16"/>
        <v>X</v>
      </c>
      <c r="R53" s="24">
        <f t="shared" si="86"/>
        <v>8.9570194846083382</v>
      </c>
      <c r="S53" s="41" t="str">
        <f t="shared" si="17"/>
        <v>8</v>
      </c>
      <c r="T53" s="24">
        <f t="shared" si="87"/>
        <v>11.484233815300058</v>
      </c>
      <c r="U53" s="41" t="str">
        <f t="shared" si="18"/>
        <v>E</v>
      </c>
      <c r="V53" s="24">
        <f t="shared" si="88"/>
        <v>5.8108057836006992</v>
      </c>
      <c r="W53" s="41" t="str">
        <f t="shared" si="19"/>
        <v/>
      </c>
      <c r="X53" s="24">
        <f t="shared" si="89"/>
        <v>9.7296694032083906</v>
      </c>
      <c r="Y53" s="41" t="str">
        <f t="shared" si="20"/>
        <v/>
      </c>
      <c r="Z53" s="24">
        <f t="shared" si="90"/>
        <v>8.7560328385006869</v>
      </c>
      <c r="AA53" s="41" t="str">
        <f t="shared" si="21"/>
        <v/>
      </c>
      <c r="AB53" s="24">
        <f t="shared" si="91"/>
        <v>9.0723940620082431</v>
      </c>
      <c r="AC53" s="41" t="str">
        <f t="shared" si="22"/>
        <v/>
      </c>
      <c r="AD53" s="24">
        <f t="shared" si="92"/>
        <v>0.86872874409891665</v>
      </c>
      <c r="AE53" s="41" t="str">
        <f t="shared" si="23"/>
        <v/>
      </c>
      <c r="AF53" s="24">
        <f t="shared" si="93"/>
        <v>10.424744929187</v>
      </c>
      <c r="AG53" s="41" t="str">
        <f t="shared" si="24"/>
        <v/>
      </c>
      <c r="AH53" s="24">
        <f t="shared" si="94"/>
        <v>5.0969391502439976</v>
      </c>
      <c r="AI53" s="41" t="str">
        <f t="shared" si="25"/>
        <v/>
      </c>
      <c r="AJ53" s="24">
        <f t="shared" si="95"/>
        <v>1.1632698029279709</v>
      </c>
      <c r="AK53" s="41" t="str">
        <f t="shared" si="26"/>
        <v/>
      </c>
    </row>
    <row r="54" spans="1:37" ht="15" customHeight="1">
      <c r="A54" s="719"/>
      <c r="B54" s="3" t="s">
        <v>10</v>
      </c>
      <c r="C54" s="3" t="s">
        <v>74</v>
      </c>
      <c r="D54" s="21">
        <v>999.97199999999998</v>
      </c>
      <c r="E54" s="8">
        <v>6</v>
      </c>
      <c r="F54" s="21">
        <f>D54/(F$8*POWER(F$3,-3))</f>
        <v>152.67840477287871</v>
      </c>
      <c r="G54" s="37" t="str">
        <f t="shared" si="27"/>
        <v>1;088183</v>
      </c>
      <c r="H54" s="351">
        <f t="shared" ref="H54:H62" si="96">K54*POWER(12,I54)/ROUND(K54*POWER(12,I54),0)-1</f>
        <v>6.0266699811657665E-2</v>
      </c>
      <c r="I54" s="352"/>
      <c r="J54" s="38">
        <v>2</v>
      </c>
      <c r="K54" s="61">
        <f t="shared" si="41"/>
        <v>1.0602666998116577</v>
      </c>
      <c r="L54" s="39" t="str">
        <f>INDEX(powers!$H$2:$H$75,33+J54)</f>
        <v>hecty</v>
      </c>
      <c r="M54" s="40" t="str">
        <f t="shared" si="14"/>
        <v>1</v>
      </c>
      <c r="N54" s="24">
        <f t="shared" si="29"/>
        <v>0.72320039773989198</v>
      </c>
      <c r="O54" s="41" t="str">
        <f t="shared" si="15"/>
        <v>0</v>
      </c>
      <c r="P54" s="24">
        <f t="shared" si="30"/>
        <v>8.6784047728787037</v>
      </c>
      <c r="Q54" s="41" t="str">
        <f t="shared" si="16"/>
        <v>8</v>
      </c>
      <c r="R54" s="24">
        <f t="shared" si="31"/>
        <v>8.1408572745444445</v>
      </c>
      <c r="S54" s="41" t="str">
        <f t="shared" si="17"/>
        <v>8</v>
      </c>
      <c r="T54" s="24">
        <f t="shared" si="32"/>
        <v>1.6902872945333343</v>
      </c>
      <c r="U54" s="41" t="str">
        <f t="shared" si="18"/>
        <v>1</v>
      </c>
      <c r="V54" s="24">
        <f t="shared" si="33"/>
        <v>8.2834475344000111</v>
      </c>
      <c r="W54" s="41" t="str">
        <f t="shared" si="19"/>
        <v>8</v>
      </c>
      <c r="X54" s="24">
        <f t="shared" si="34"/>
        <v>3.4013704128001336</v>
      </c>
      <c r="Y54" s="41" t="str">
        <f t="shared" si="20"/>
        <v>3</v>
      </c>
      <c r="Z54" s="24">
        <f t="shared" si="35"/>
        <v>4.8164449536016036</v>
      </c>
      <c r="AA54" s="41" t="str">
        <f t="shared" si="21"/>
        <v/>
      </c>
      <c r="AB54" s="24">
        <f t="shared" si="36"/>
        <v>9.7973394432192435</v>
      </c>
      <c r="AC54" s="41" t="str">
        <f t="shared" si="22"/>
        <v/>
      </c>
      <c r="AD54" s="24">
        <f t="shared" si="37"/>
        <v>9.5680733186309226</v>
      </c>
      <c r="AE54" s="41" t="str">
        <f t="shared" si="23"/>
        <v/>
      </c>
      <c r="AF54" s="24">
        <f t="shared" si="38"/>
        <v>6.816879823571071</v>
      </c>
      <c r="AG54" s="41" t="str">
        <f t="shared" si="24"/>
        <v/>
      </c>
      <c r="AH54" s="24">
        <f t="shared" si="39"/>
        <v>9.8025578828528523</v>
      </c>
      <c r="AI54" s="41" t="str">
        <f t="shared" si="25"/>
        <v/>
      </c>
      <c r="AJ54" s="24">
        <f t="shared" si="40"/>
        <v>9.6306945942342281</v>
      </c>
      <c r="AK54" s="41" t="str">
        <f t="shared" si="26"/>
        <v/>
      </c>
    </row>
    <row r="55" spans="1:37" ht="15" customHeight="1">
      <c r="A55" s="719"/>
      <c r="B55" s="3" t="s">
        <v>53</v>
      </c>
      <c r="C55" s="3" t="s">
        <v>74</v>
      </c>
      <c r="D55" s="21">
        <v>916.8</v>
      </c>
      <c r="E55" s="8">
        <v>4</v>
      </c>
      <c r="F55" s="21">
        <f>D55/(F$8*POWER(F$3,-3))</f>
        <v>139.97948092124099</v>
      </c>
      <c r="G55" s="37" t="str">
        <f t="shared" si="27"/>
        <v>0;E7E9</v>
      </c>
      <c r="H55" s="330">
        <f t="shared" si="96"/>
        <v>-2.7920271380270867E-2</v>
      </c>
      <c r="I55" s="333"/>
      <c r="J55" s="38">
        <v>2</v>
      </c>
      <c r="K55" s="61">
        <f t="shared" si="41"/>
        <v>0.97207972861972913</v>
      </c>
      <c r="L55" s="39" t="str">
        <f>INDEX(powers!$H$2:$H$75,33+J55)</f>
        <v>hecty</v>
      </c>
      <c r="M55" s="40" t="str">
        <f t="shared" si="14"/>
        <v>0</v>
      </c>
      <c r="N55" s="24">
        <f t="shared" si="29"/>
        <v>11.66495674343675</v>
      </c>
      <c r="O55" s="41" t="str">
        <f t="shared" si="15"/>
        <v>E</v>
      </c>
      <c r="P55" s="24">
        <f t="shared" si="30"/>
        <v>7.9794809212410058</v>
      </c>
      <c r="Q55" s="41" t="str">
        <f t="shared" si="16"/>
        <v>7</v>
      </c>
      <c r="R55" s="24">
        <f t="shared" si="31"/>
        <v>11.75377105489207</v>
      </c>
      <c r="S55" s="41" t="str">
        <f t="shared" si="17"/>
        <v>E</v>
      </c>
      <c r="T55" s="24">
        <f t="shared" si="32"/>
        <v>9.0452526587048396</v>
      </c>
      <c r="U55" s="41" t="str">
        <f t="shared" si="18"/>
        <v>9</v>
      </c>
      <c r="V55" s="24">
        <f t="shared" si="33"/>
        <v>0.54303190445807559</v>
      </c>
      <c r="W55" s="41" t="str">
        <f t="shared" si="19"/>
        <v/>
      </c>
      <c r="X55" s="24">
        <f t="shared" si="34"/>
        <v>6.516382853496907</v>
      </c>
      <c r="Y55" s="41" t="str">
        <f t="shared" si="20"/>
        <v/>
      </c>
      <c r="Z55" s="24">
        <f t="shared" si="35"/>
        <v>6.1965942419628846</v>
      </c>
      <c r="AA55" s="41" t="str">
        <f t="shared" si="21"/>
        <v/>
      </c>
      <c r="AB55" s="24">
        <f t="shared" si="36"/>
        <v>2.3591309035546146</v>
      </c>
      <c r="AC55" s="41" t="str">
        <f t="shared" si="22"/>
        <v/>
      </c>
      <c r="AD55" s="24">
        <f t="shared" si="37"/>
        <v>4.3095708426553756</v>
      </c>
      <c r="AE55" s="41" t="str">
        <f t="shared" si="23"/>
        <v/>
      </c>
      <c r="AF55" s="24">
        <f t="shared" si="38"/>
        <v>3.7148501118645072</v>
      </c>
      <c r="AG55" s="41" t="str">
        <f t="shared" si="24"/>
        <v/>
      </c>
      <c r="AH55" s="24">
        <f t="shared" si="39"/>
        <v>8.5782013423740864</v>
      </c>
      <c r="AI55" s="41" t="str">
        <f t="shared" si="25"/>
        <v/>
      </c>
      <c r="AJ55" s="24">
        <f t="shared" si="40"/>
        <v>6.9384161084890366</v>
      </c>
      <c r="AK55" s="41" t="str">
        <f t="shared" si="26"/>
        <v/>
      </c>
    </row>
    <row r="56" spans="1:37" ht="15" customHeight="1">
      <c r="A56" s="719"/>
      <c r="B56" s="3" t="s">
        <v>48</v>
      </c>
      <c r="C56" s="3" t="s">
        <v>97</v>
      </c>
      <c r="D56" s="21">
        <v>4184</v>
      </c>
      <c r="E56" s="8">
        <v>4</v>
      </c>
      <c r="F56" s="21">
        <f>D56/(F$5/F$8/F$6)</f>
        <v>0.50300036016066019</v>
      </c>
      <c r="G56" s="37" t="str">
        <f t="shared" si="27"/>
        <v>6;0523</v>
      </c>
      <c r="H56" s="351">
        <f t="shared" si="96"/>
        <v>6.0007203213203741E-3</v>
      </c>
      <c r="I56" s="352"/>
      <c r="J56" s="135">
        <v>-1</v>
      </c>
      <c r="K56" s="61">
        <f t="shared" si="41"/>
        <v>6.0360043219279227</v>
      </c>
      <c r="L56" s="138" t="str">
        <f>INDEX(powers!$H$2:$H$75,33+J56)</f>
        <v>dour</v>
      </c>
      <c r="M56" s="40" t="str">
        <f t="shared" si="14"/>
        <v>6</v>
      </c>
      <c r="N56" s="24">
        <f t="shared" si="29"/>
        <v>0.43205186313507227</v>
      </c>
      <c r="O56" s="41" t="str">
        <f t="shared" si="15"/>
        <v>0</v>
      </c>
      <c r="P56" s="24">
        <f t="shared" si="30"/>
        <v>5.1846223576208672</v>
      </c>
      <c r="Q56" s="41" t="str">
        <f t="shared" si="16"/>
        <v>5</v>
      </c>
      <c r="R56" s="24">
        <f t="shared" si="31"/>
        <v>2.2154682914504065</v>
      </c>
      <c r="S56" s="41" t="str">
        <f t="shared" si="17"/>
        <v>2</v>
      </c>
      <c r="T56" s="24">
        <f t="shared" si="32"/>
        <v>2.5856194974048776</v>
      </c>
      <c r="U56" s="41" t="str">
        <f t="shared" si="18"/>
        <v>3</v>
      </c>
      <c r="V56" s="24">
        <f t="shared" si="33"/>
        <v>7.0274339688585314</v>
      </c>
      <c r="W56" s="41" t="str">
        <f t="shared" si="19"/>
        <v/>
      </c>
      <c r="X56" s="24">
        <f t="shared" si="34"/>
        <v>0.32920762630237732</v>
      </c>
      <c r="Y56" s="41" t="str">
        <f t="shared" si="20"/>
        <v/>
      </c>
      <c r="Z56" s="24">
        <f t="shared" si="35"/>
        <v>3.9504915156285278</v>
      </c>
      <c r="AA56" s="41" t="str">
        <f t="shared" si="21"/>
        <v/>
      </c>
      <c r="AB56" s="24">
        <f t="shared" si="36"/>
        <v>11.405898187542334</v>
      </c>
      <c r="AC56" s="41" t="str">
        <f t="shared" si="22"/>
        <v/>
      </c>
      <c r="AD56" s="24">
        <f t="shared" si="37"/>
        <v>4.8707782505080104</v>
      </c>
      <c r="AE56" s="41" t="str">
        <f t="shared" si="23"/>
        <v/>
      </c>
      <c r="AF56" s="24">
        <f t="shared" si="38"/>
        <v>10.449339006096125</v>
      </c>
      <c r="AG56" s="41" t="str">
        <f t="shared" si="24"/>
        <v/>
      </c>
      <c r="AH56" s="24">
        <f t="shared" si="39"/>
        <v>5.3920680731534958</v>
      </c>
      <c r="AI56" s="41" t="str">
        <f t="shared" si="25"/>
        <v/>
      </c>
      <c r="AJ56" s="24">
        <f t="shared" si="40"/>
        <v>4.7048168778419495</v>
      </c>
      <c r="AK56" s="41" t="str">
        <f t="shared" si="26"/>
        <v/>
      </c>
    </row>
    <row r="57" spans="1:37" ht="15" customHeight="1">
      <c r="A57" s="719"/>
      <c r="B57" s="3" t="s">
        <v>113</v>
      </c>
      <c r="C57" s="3" t="s">
        <v>114</v>
      </c>
      <c r="D57" s="21">
        <v>7.1970000000000006E-2</v>
      </c>
      <c r="E57" s="8">
        <v>4</v>
      </c>
      <c r="F57" s="21">
        <f>D$57/(F$10/F$3)</f>
        <v>8.3074294924736169E-2</v>
      </c>
      <c r="G57" s="37" t="str">
        <f t="shared" ref="G57:G58" si="97">M57&amp;";"&amp;O57&amp;Q57&amp;S57&amp;U57&amp;W57&amp;Y57&amp;AA57&amp;AC57&amp;AE57&amp;AG57&amp;AI57&amp;AK57</f>
        <v>0;EE68</v>
      </c>
      <c r="H57" s="330">
        <f t="shared" si="96"/>
        <v>-3.108460903165966E-3</v>
      </c>
      <c r="I57" s="333"/>
      <c r="J57" s="38">
        <v>-1</v>
      </c>
      <c r="K57" s="61">
        <f t="shared" si="41"/>
        <v>0.99689153909683403</v>
      </c>
      <c r="L57" s="39" t="str">
        <f>INDEX(powers!$H$2:$H$75,33+J57)</f>
        <v>dour</v>
      </c>
      <c r="M57" s="40" t="str">
        <f t="shared" si="14"/>
        <v>0</v>
      </c>
      <c r="N57" s="24">
        <f t="shared" ref="N57:N58" si="98">(K57-INT(K57))*12</f>
        <v>11.962698469162008</v>
      </c>
      <c r="O57" s="41" t="str">
        <f t="shared" si="15"/>
        <v>E</v>
      </c>
      <c r="P57" s="24">
        <f t="shared" ref="P57:P58" si="99">(N57-INT(N57))*12</f>
        <v>11.552381629944101</v>
      </c>
      <c r="Q57" s="41" t="str">
        <f t="shared" si="16"/>
        <v>E</v>
      </c>
      <c r="R57" s="24">
        <f t="shared" ref="R57:R58" si="100">(P57-INT(P57))*12</f>
        <v>6.6285795593292107</v>
      </c>
      <c r="S57" s="41" t="str">
        <f t="shared" si="17"/>
        <v>6</v>
      </c>
      <c r="T57" s="24">
        <f t="shared" ref="T57:T58" si="101">(R57-INT(R57))*12</f>
        <v>7.5429547119505287</v>
      </c>
      <c r="U57" s="41" t="str">
        <f t="shared" si="18"/>
        <v>8</v>
      </c>
      <c r="V57" s="24">
        <f t="shared" ref="V57:V58" si="102">(T57-INT(T57))*12</f>
        <v>6.5154565434063443</v>
      </c>
      <c r="W57" s="41" t="str">
        <f t="shared" si="19"/>
        <v/>
      </c>
      <c r="X57" s="24">
        <f t="shared" ref="X57:X58" si="103">(V57-INT(V57))*12</f>
        <v>6.1854785208761314</v>
      </c>
      <c r="Y57" s="41" t="str">
        <f t="shared" si="20"/>
        <v/>
      </c>
      <c r="Z57" s="24">
        <f t="shared" ref="Z57:Z58" si="104">(X57-INT(X57))*12</f>
        <v>2.2257422505135764</v>
      </c>
      <c r="AA57" s="41" t="str">
        <f t="shared" si="21"/>
        <v/>
      </c>
      <c r="AB57" s="24">
        <f t="shared" ref="AB57:AB58" si="105">(Z57-INT(Z57))*12</f>
        <v>2.7089070061629172</v>
      </c>
      <c r="AC57" s="41" t="str">
        <f t="shared" si="22"/>
        <v/>
      </c>
      <c r="AD57" s="24">
        <f t="shared" ref="AD57:AD58" si="106">(AB57-INT(AB57))*12</f>
        <v>8.5068840739550069</v>
      </c>
      <c r="AE57" s="41" t="str">
        <f t="shared" si="23"/>
        <v/>
      </c>
      <c r="AF57" s="24">
        <f t="shared" ref="AF57:AF58" si="107">(AD57-INT(AD57))*12</f>
        <v>6.0826088874600828</v>
      </c>
      <c r="AG57" s="41" t="str">
        <f t="shared" si="24"/>
        <v/>
      </c>
      <c r="AH57" s="24">
        <f t="shared" ref="AH57:AH58" si="108">(AF57-INT(AF57))*12</f>
        <v>0.99130664952099323</v>
      </c>
      <c r="AI57" s="41" t="str">
        <f t="shared" si="25"/>
        <v/>
      </c>
      <c r="AJ57" s="24">
        <f t="shared" ref="AJ57:AJ58" si="109">(AH57-INT(AH57))*12</f>
        <v>11.895679794251919</v>
      </c>
      <c r="AK57" s="41" t="str">
        <f t="shared" si="26"/>
        <v/>
      </c>
    </row>
    <row r="58" spans="1:37" ht="15" customHeight="1">
      <c r="A58" s="719"/>
      <c r="B58" s="5" t="s">
        <v>692</v>
      </c>
      <c r="C58" s="276" t="s">
        <v>693</v>
      </c>
      <c r="D58" s="21">
        <f>D36*540000000000000*(2*PI())</f>
        <v>3.5780778211280019E-19</v>
      </c>
      <c r="E58" s="8">
        <v>7</v>
      </c>
      <c r="F58" s="21">
        <f>D58/F$5</f>
        <v>5.5782587571931684E-18</v>
      </c>
      <c r="G58" s="37" t="str">
        <f t="shared" si="97"/>
        <v>1;0461857</v>
      </c>
      <c r="H58" s="330">
        <f t="shared" si="96"/>
        <v>3.1332236248405865E-2</v>
      </c>
      <c r="I58" s="333"/>
      <c r="J58" s="38">
        <v>-16</v>
      </c>
      <c r="K58" s="61">
        <f t="shared" si="41"/>
        <v>1.0313322362484059</v>
      </c>
      <c r="L58" s="39" t="str">
        <f>INDEX(powers!$H$2:$H$75,33+J58)</f>
        <v>di-atomic</v>
      </c>
      <c r="M58" s="40" t="str">
        <f t="shared" si="14"/>
        <v>1</v>
      </c>
      <c r="N58" s="24">
        <f t="shared" si="98"/>
        <v>0.37598683498087038</v>
      </c>
      <c r="O58" s="41" t="str">
        <f t="shared" si="15"/>
        <v>0</v>
      </c>
      <c r="P58" s="24">
        <f t="shared" si="99"/>
        <v>4.5118420197704445</v>
      </c>
      <c r="Q58" s="41" t="str">
        <f t="shared" si="16"/>
        <v>4</v>
      </c>
      <c r="R58" s="24">
        <f t="shared" si="100"/>
        <v>6.1421042372453343</v>
      </c>
      <c r="S58" s="41" t="str">
        <f t="shared" si="17"/>
        <v>6</v>
      </c>
      <c r="T58" s="24">
        <f t="shared" si="101"/>
        <v>1.7052508469440113</v>
      </c>
      <c r="U58" s="41" t="str">
        <f t="shared" si="18"/>
        <v>1</v>
      </c>
      <c r="V58" s="24">
        <f t="shared" si="102"/>
        <v>8.4630101633281356</v>
      </c>
      <c r="W58" s="41" t="str">
        <f t="shared" si="19"/>
        <v>8</v>
      </c>
      <c r="X58" s="24">
        <f t="shared" si="103"/>
        <v>5.5561219599376273</v>
      </c>
      <c r="Y58" s="41" t="str">
        <f t="shared" si="20"/>
        <v>5</v>
      </c>
      <c r="Z58" s="24">
        <f t="shared" si="104"/>
        <v>6.673463519251527</v>
      </c>
      <c r="AA58" s="41" t="str">
        <f t="shared" si="21"/>
        <v>7</v>
      </c>
      <c r="AB58" s="24">
        <f t="shared" si="105"/>
        <v>8.0815622310183244</v>
      </c>
      <c r="AC58" s="41" t="str">
        <f t="shared" si="22"/>
        <v/>
      </c>
      <c r="AD58" s="24">
        <f t="shared" si="106"/>
        <v>0.97874677221989259</v>
      </c>
      <c r="AE58" s="41" t="str">
        <f t="shared" si="23"/>
        <v/>
      </c>
      <c r="AF58" s="24">
        <f t="shared" si="107"/>
        <v>11.744961266638711</v>
      </c>
      <c r="AG58" s="41" t="str">
        <f t="shared" si="24"/>
        <v/>
      </c>
      <c r="AH58" s="24">
        <f t="shared" si="108"/>
        <v>8.9395351996645331</v>
      </c>
      <c r="AI58" s="41" t="str">
        <f t="shared" si="25"/>
        <v/>
      </c>
      <c r="AJ58" s="24">
        <f t="shared" si="109"/>
        <v>11.274422395974398</v>
      </c>
      <c r="AK58" s="41" t="str">
        <f t="shared" si="26"/>
        <v/>
      </c>
    </row>
    <row r="59" spans="1:37" ht="15" customHeight="1">
      <c r="A59" s="719"/>
      <c r="B59" s="237" t="s">
        <v>694</v>
      </c>
      <c r="C59" s="6" t="s">
        <v>1671</v>
      </c>
      <c r="D59" s="21">
        <f>D58/D41</f>
        <v>2.2332605374867804</v>
      </c>
      <c r="E59" s="8">
        <v>7</v>
      </c>
      <c r="F59" s="21">
        <f>D59/F$17</f>
        <v>1.0060850182720786</v>
      </c>
      <c r="G59" s="37" t="str">
        <f t="shared" ref="G59:G61" si="110">M59&amp;";"&amp;O59&amp;Q59&amp;S59&amp;U59&amp;W59&amp;Y59&amp;AA59&amp;AC59&amp;AE59&amp;AG59&amp;AI59&amp;AK59</f>
        <v>1;00X6219</v>
      </c>
      <c r="H59" s="330">
        <f t="shared" si="96"/>
        <v>6.085018272078635E-3</v>
      </c>
      <c r="I59" s="333"/>
      <c r="J59" s="38">
        <v>0</v>
      </c>
      <c r="K59" s="61">
        <f t="shared" si="41"/>
        <v>1.0060850182720786</v>
      </c>
      <c r="L59" s="293">
        <f>540/K59</f>
        <v>536.73396402168282</v>
      </c>
      <c r="M59" s="40" t="str">
        <f t="shared" si="14"/>
        <v>1</v>
      </c>
      <c r="N59" s="24">
        <f t="shared" ref="N59:N61" si="111">(K59-INT(K59))*12</f>
        <v>7.302021926494362E-2</v>
      </c>
      <c r="O59" s="41" t="str">
        <f t="shared" si="15"/>
        <v>0</v>
      </c>
      <c r="P59" s="24">
        <f t="shared" ref="P59:P61" si="112">(N59-INT(N59))*12</f>
        <v>0.87624263117932344</v>
      </c>
      <c r="Q59" s="41" t="str">
        <f t="shared" si="16"/>
        <v>0</v>
      </c>
      <c r="R59" s="24">
        <f t="shared" ref="R59:R61" si="113">(P59-INT(P59))*12</f>
        <v>10.514911574151881</v>
      </c>
      <c r="S59" s="41" t="str">
        <f t="shared" si="17"/>
        <v>X</v>
      </c>
      <c r="T59" s="24">
        <f t="shared" ref="T59:T61" si="114">(R59-INT(R59))*12</f>
        <v>6.1789388898225752</v>
      </c>
      <c r="U59" s="41" t="str">
        <f t="shared" si="18"/>
        <v>6</v>
      </c>
      <c r="V59" s="24">
        <f t="shared" ref="V59:V61" si="115">(T59-INT(T59))*12</f>
        <v>2.1472666778709026</v>
      </c>
      <c r="W59" s="41" t="str">
        <f t="shared" si="19"/>
        <v>2</v>
      </c>
      <c r="X59" s="24">
        <f t="shared" ref="X59:X61" si="116">(V59-INT(V59))*12</f>
        <v>1.7672001344508317</v>
      </c>
      <c r="Y59" s="41" t="str">
        <f t="shared" si="20"/>
        <v>1</v>
      </c>
      <c r="Z59" s="24">
        <f t="shared" ref="Z59:Z61" si="117">(X59-INT(X59))*12</f>
        <v>9.2064016134099802</v>
      </c>
      <c r="AA59" s="41" t="str">
        <f t="shared" si="21"/>
        <v>9</v>
      </c>
      <c r="AB59" s="24">
        <f t="shared" ref="AB59:AB61" si="118">(Z59-INT(Z59))*12</f>
        <v>2.4768193609197624</v>
      </c>
      <c r="AC59" s="41" t="str">
        <f t="shared" si="22"/>
        <v/>
      </c>
      <c r="AD59" s="24">
        <f t="shared" ref="AD59:AD61" si="119">(AB59-INT(AB59))*12</f>
        <v>5.7218323310371488</v>
      </c>
      <c r="AE59" s="41" t="str">
        <f t="shared" si="23"/>
        <v/>
      </c>
      <c r="AF59" s="24">
        <f t="shared" ref="AF59:AF61" si="120">(AD59-INT(AD59))*12</f>
        <v>8.661987972445786</v>
      </c>
      <c r="AG59" s="41" t="str">
        <f t="shared" si="24"/>
        <v/>
      </c>
      <c r="AH59" s="24">
        <f t="shared" ref="AH59:AH61" si="121">(AF59-INT(AF59))*12</f>
        <v>7.943855669349432</v>
      </c>
      <c r="AI59" s="41" t="str">
        <f t="shared" si="25"/>
        <v/>
      </c>
      <c r="AJ59" s="24">
        <f t="shared" ref="AJ59:AJ61" si="122">(AH59-INT(AH59))*12</f>
        <v>11.326268032193184</v>
      </c>
      <c r="AK59" s="41" t="str">
        <f t="shared" si="26"/>
        <v/>
      </c>
    </row>
    <row r="60" spans="1:37" ht="15" customHeight="1">
      <c r="A60" s="719"/>
      <c r="B60" s="315">
        <v>1.024</v>
      </c>
      <c r="C60" s="311" t="s">
        <v>754</v>
      </c>
      <c r="D60" s="21">
        <f>D54*D63*B60</f>
        <v>10041.728423731198</v>
      </c>
      <c r="E60" s="8">
        <v>6</v>
      </c>
      <c r="F60" s="21">
        <f>D60/(F11/F3)</f>
        <v>858.20278684714117</v>
      </c>
      <c r="G60" s="37" t="str">
        <f t="shared" si="110"/>
        <v>5;E62525</v>
      </c>
      <c r="H60" s="330">
        <f t="shared" si="96"/>
        <v>-6.7097374454384573E-3</v>
      </c>
      <c r="I60" s="333"/>
      <c r="J60" s="38">
        <v>2</v>
      </c>
      <c r="K60" s="61">
        <f t="shared" si="41"/>
        <v>5.959741575327369</v>
      </c>
      <c r="L60" s="39" t="str">
        <f>INDEX(powers!$H$2:$H$75,33+J60)</f>
        <v>hecty</v>
      </c>
      <c r="M60" s="40" t="str">
        <f t="shared" si="14"/>
        <v>5</v>
      </c>
      <c r="N60" s="24">
        <f t="shared" si="111"/>
        <v>11.516898903928428</v>
      </c>
      <c r="O60" s="41" t="str">
        <f t="shared" si="15"/>
        <v>E</v>
      </c>
      <c r="P60" s="24">
        <f t="shared" si="112"/>
        <v>6.2027868471411409</v>
      </c>
      <c r="Q60" s="41" t="str">
        <f t="shared" si="16"/>
        <v>6</v>
      </c>
      <c r="R60" s="24">
        <f t="shared" si="113"/>
        <v>2.4334421656936911</v>
      </c>
      <c r="S60" s="41" t="str">
        <f t="shared" si="17"/>
        <v>2</v>
      </c>
      <c r="T60" s="24">
        <f t="shared" si="114"/>
        <v>5.2013059883242931</v>
      </c>
      <c r="U60" s="41" t="str">
        <f t="shared" si="18"/>
        <v>5</v>
      </c>
      <c r="V60" s="24">
        <f t="shared" si="115"/>
        <v>2.4156718598915177</v>
      </c>
      <c r="W60" s="41" t="str">
        <f t="shared" si="19"/>
        <v>2</v>
      </c>
      <c r="X60" s="24">
        <f t="shared" si="116"/>
        <v>4.988062318698212</v>
      </c>
      <c r="Y60" s="41" t="str">
        <f t="shared" si="20"/>
        <v>5</v>
      </c>
      <c r="Z60" s="24">
        <f t="shared" si="117"/>
        <v>11.856747824378544</v>
      </c>
      <c r="AA60" s="41" t="str">
        <f t="shared" si="21"/>
        <v/>
      </c>
      <c r="AB60" s="24">
        <f t="shared" si="118"/>
        <v>10.280973892542534</v>
      </c>
      <c r="AC60" s="41" t="str">
        <f t="shared" si="22"/>
        <v/>
      </c>
      <c r="AD60" s="24">
        <f t="shared" si="119"/>
        <v>3.3716867105104029</v>
      </c>
      <c r="AE60" s="41" t="str">
        <f t="shared" si="23"/>
        <v/>
      </c>
      <c r="AF60" s="24">
        <f t="shared" si="120"/>
        <v>4.460240526124835</v>
      </c>
      <c r="AG60" s="41" t="str">
        <f t="shared" si="24"/>
        <v/>
      </c>
      <c r="AH60" s="24">
        <f t="shared" si="121"/>
        <v>5.5228863134980202</v>
      </c>
      <c r="AI60" s="41" t="str">
        <f t="shared" si="25"/>
        <v/>
      </c>
      <c r="AJ60" s="24">
        <f t="shared" si="122"/>
        <v>6.2746357619762421</v>
      </c>
      <c r="AK60" s="41" t="str">
        <f t="shared" si="26"/>
        <v/>
      </c>
    </row>
    <row r="61" spans="1:37" ht="15" customHeight="1">
      <c r="A61" s="719"/>
      <c r="B61" s="311" t="s">
        <v>753</v>
      </c>
      <c r="C61" s="311" t="s">
        <v>752</v>
      </c>
      <c r="D61" s="21">
        <f>D62/D60</f>
        <v>10.090394374791382</v>
      </c>
      <c r="E61" s="8">
        <v>6</v>
      </c>
      <c r="F61" s="21">
        <f>D61/F$3</f>
        <v>37.083011593278371</v>
      </c>
      <c r="G61" s="37" t="str">
        <f t="shared" si="110"/>
        <v>3;10EE54</v>
      </c>
      <c r="H61" s="331">
        <f t="shared" si="96"/>
        <v>2.2435565750911213E-3</v>
      </c>
      <c r="I61" s="339">
        <v>1</v>
      </c>
      <c r="J61" s="38">
        <v>1</v>
      </c>
      <c r="K61" s="61">
        <f t="shared" si="41"/>
        <v>3.0902509661065309</v>
      </c>
      <c r="L61" s="39" t="str">
        <f>INDEX(powers!$H$2:$H$75,33+J61)</f>
        <v>dirac</v>
      </c>
      <c r="M61" s="40" t="str">
        <f t="shared" si="14"/>
        <v>3</v>
      </c>
      <c r="N61" s="24">
        <f t="shared" si="111"/>
        <v>1.0830115932783713</v>
      </c>
      <c r="O61" s="41" t="str">
        <f t="shared" si="15"/>
        <v>1</v>
      </c>
      <c r="P61" s="24">
        <f t="shared" si="112"/>
        <v>0.99613911934045518</v>
      </c>
      <c r="Q61" s="41" t="str">
        <f t="shared" si="16"/>
        <v>0</v>
      </c>
      <c r="R61" s="24">
        <f t="shared" si="113"/>
        <v>11.953669432085462</v>
      </c>
      <c r="S61" s="41" t="str">
        <f t="shared" si="17"/>
        <v>E</v>
      </c>
      <c r="T61" s="24">
        <f t="shared" si="114"/>
        <v>11.444033185025546</v>
      </c>
      <c r="U61" s="41" t="str">
        <f t="shared" si="18"/>
        <v>E</v>
      </c>
      <c r="V61" s="24">
        <f t="shared" si="115"/>
        <v>5.3283982203065534</v>
      </c>
      <c r="W61" s="41" t="str">
        <f t="shared" si="19"/>
        <v>5</v>
      </c>
      <c r="X61" s="24">
        <f t="shared" si="116"/>
        <v>3.9407786436786409</v>
      </c>
      <c r="Y61" s="41" t="str">
        <f t="shared" si="20"/>
        <v>4</v>
      </c>
      <c r="Z61" s="24">
        <f t="shared" si="117"/>
        <v>11.289343724143691</v>
      </c>
      <c r="AA61" s="41" t="str">
        <f t="shared" si="21"/>
        <v/>
      </c>
      <c r="AB61" s="24">
        <f t="shared" si="118"/>
        <v>3.4721246897242963</v>
      </c>
      <c r="AC61" s="41" t="str">
        <f t="shared" si="22"/>
        <v/>
      </c>
      <c r="AD61" s="24">
        <f t="shared" si="119"/>
        <v>5.665496276691556</v>
      </c>
      <c r="AE61" s="41" t="str">
        <f t="shared" si="23"/>
        <v/>
      </c>
      <c r="AF61" s="24">
        <f t="shared" si="120"/>
        <v>7.9859553202986717</v>
      </c>
      <c r="AG61" s="41" t="str">
        <f t="shared" si="24"/>
        <v/>
      </c>
      <c r="AH61" s="24">
        <f t="shared" si="121"/>
        <v>11.831463843584061</v>
      </c>
      <c r="AI61" s="41" t="str">
        <f t="shared" si="25"/>
        <v/>
      </c>
      <c r="AJ61" s="24">
        <f t="shared" si="122"/>
        <v>9.977566123008728</v>
      </c>
      <c r="AK61" s="41" t="str">
        <f t="shared" si="26"/>
        <v/>
      </c>
    </row>
    <row r="62" spans="1:37" ht="15" customHeight="1">
      <c r="A62" s="719"/>
      <c r="B62" s="3" t="s">
        <v>94</v>
      </c>
      <c r="C62" s="3" t="s">
        <v>218</v>
      </c>
      <c r="D62" s="21">
        <v>101325</v>
      </c>
      <c r="E62" s="8">
        <v>6</v>
      </c>
      <c r="F62" s="21">
        <f>D62/F$11</f>
        <v>31824.743894036339</v>
      </c>
      <c r="G62" s="37" t="str">
        <f t="shared" ref="G62" si="123">M62&amp;";"&amp;O62&amp;Q62&amp;S62&amp;U62&amp;W62&amp;Y62&amp;AA62&amp;AC62&amp;AE62&amp;AG62&amp;AI62&amp;AK62</f>
        <v>1;65008E</v>
      </c>
      <c r="H62" s="331">
        <f t="shared" si="96"/>
        <v>2.3375252524493462E-5</v>
      </c>
      <c r="I62" s="339">
        <v>2</v>
      </c>
      <c r="J62" s="38">
        <v>4</v>
      </c>
      <c r="K62" s="61">
        <f t="shared" si="41"/>
        <v>1.5347580967417216</v>
      </c>
      <c r="L62" s="39" t="str">
        <f>INDEX(powers!$H$2:$H$75,33+J62)</f>
        <v>super</v>
      </c>
      <c r="M62" s="40" t="str">
        <f t="shared" si="14"/>
        <v>1</v>
      </c>
      <c r="N62" s="24">
        <f t="shared" ref="N62" si="124">(K62-INT(K62))*12</f>
        <v>6.4170971609006591</v>
      </c>
      <c r="O62" s="41" t="str">
        <f t="shared" si="15"/>
        <v>6</v>
      </c>
      <c r="P62" s="24">
        <f t="shared" ref="P62" si="125">(N62-INT(N62))*12</f>
        <v>5.0051659308079088</v>
      </c>
      <c r="Q62" s="41" t="str">
        <f t="shared" si="16"/>
        <v>5</v>
      </c>
      <c r="R62" s="24">
        <f t="shared" ref="R62" si="126">(P62-INT(P62))*12</f>
        <v>6.1991169694906034E-2</v>
      </c>
      <c r="S62" s="41" t="str">
        <f t="shared" si="17"/>
        <v>0</v>
      </c>
      <c r="T62" s="24">
        <f t="shared" ref="T62" si="127">(R62-INT(R62))*12</f>
        <v>0.74389403633887241</v>
      </c>
      <c r="U62" s="41" t="str">
        <f t="shared" si="18"/>
        <v>0</v>
      </c>
      <c r="V62" s="24">
        <f t="shared" ref="V62" si="128">(T62-INT(T62))*12</f>
        <v>8.9267284360664689</v>
      </c>
      <c r="W62" s="41" t="str">
        <f t="shared" si="19"/>
        <v>8</v>
      </c>
      <c r="X62" s="24">
        <f t="shared" ref="X62" si="129">(V62-INT(V62))*12</f>
        <v>11.120741232797627</v>
      </c>
      <c r="Y62" s="41" t="str">
        <f t="shared" si="20"/>
        <v>E</v>
      </c>
      <c r="Z62" s="24">
        <f t="shared" ref="Z62" si="130">(X62-INT(X62))*12</f>
        <v>1.448894793571526</v>
      </c>
      <c r="AA62" s="41" t="str">
        <f t="shared" si="21"/>
        <v/>
      </c>
      <c r="AB62" s="24">
        <f t="shared" ref="AB62" si="131">(Z62-INT(Z62))*12</f>
        <v>5.3867375228583114</v>
      </c>
      <c r="AC62" s="41" t="str">
        <f t="shared" si="22"/>
        <v/>
      </c>
      <c r="AD62" s="24">
        <f t="shared" ref="AD62" si="132">(AB62-INT(AB62))*12</f>
        <v>4.6408502742997371</v>
      </c>
      <c r="AE62" s="41" t="str">
        <f t="shared" si="23"/>
        <v/>
      </c>
      <c r="AF62" s="24">
        <f t="shared" ref="AF62" si="133">(AD62-INT(AD62))*12</f>
        <v>7.6902032915968448</v>
      </c>
      <c r="AG62" s="41" t="str">
        <f t="shared" si="24"/>
        <v/>
      </c>
      <c r="AH62" s="24">
        <f t="shared" ref="AH62" si="134">(AF62-INT(AF62))*12</f>
        <v>8.2824394991621375</v>
      </c>
      <c r="AI62" s="41" t="str">
        <f t="shared" si="25"/>
        <v/>
      </c>
      <c r="AJ62" s="24">
        <f t="shared" ref="AJ62" si="135">(AH62-INT(AH62))*12</f>
        <v>3.3892739899456501</v>
      </c>
      <c r="AK62" s="41" t="str">
        <f t="shared" si="26"/>
        <v/>
      </c>
    </row>
    <row r="63" spans="1:37" ht="15" customHeight="1">
      <c r="A63" s="719"/>
      <c r="B63" s="3" t="s">
        <v>11</v>
      </c>
      <c r="C63" s="3" t="s">
        <v>75</v>
      </c>
      <c r="D63" s="21">
        <v>9.8066499999999994</v>
      </c>
      <c r="E63" s="8">
        <v>7</v>
      </c>
      <c r="F63" s="21">
        <f>D63/(F$3/F$4/F$4)</f>
        <v>5.4892416532458173</v>
      </c>
      <c r="G63" s="37" t="str">
        <f t="shared" si="27"/>
        <v>5;5X54XE9</v>
      </c>
      <c r="H63" s="353">
        <f>K63*POWER(12,I63)/ROUND(K63*POWER(12,I63)+1,0)-1</f>
        <v>-8.5126391125697087E-2</v>
      </c>
      <c r="I63" s="354">
        <v>0</v>
      </c>
      <c r="J63" s="38">
        <v>0</v>
      </c>
      <c r="K63" s="61">
        <f t="shared" si="41"/>
        <v>5.4892416532458173</v>
      </c>
      <c r="L63" s="39" t="str">
        <f>INDEX(powers!$H$2:$H$75,33+J63)</f>
        <v xml:space="preserve"> </v>
      </c>
      <c r="M63" s="40" t="str">
        <f t="shared" si="14"/>
        <v>5</v>
      </c>
      <c r="N63" s="24">
        <f t="shared" si="29"/>
        <v>5.870899838949807</v>
      </c>
      <c r="O63" s="41" t="str">
        <f t="shared" si="15"/>
        <v>5</v>
      </c>
      <c r="P63" s="24">
        <f t="shared" si="30"/>
        <v>10.450798067397685</v>
      </c>
      <c r="Q63" s="41" t="str">
        <f t="shared" si="16"/>
        <v>X</v>
      </c>
      <c r="R63" s="24">
        <f t="shared" si="31"/>
        <v>5.4095768087722149</v>
      </c>
      <c r="S63" s="41" t="str">
        <f t="shared" si="17"/>
        <v>5</v>
      </c>
      <c r="T63" s="24">
        <f t="shared" si="32"/>
        <v>4.914921705266579</v>
      </c>
      <c r="U63" s="41" t="str">
        <f t="shared" si="18"/>
        <v>4</v>
      </c>
      <c r="V63" s="24">
        <f t="shared" si="33"/>
        <v>10.979060463198948</v>
      </c>
      <c r="W63" s="41" t="str">
        <f t="shared" si="19"/>
        <v>X</v>
      </c>
      <c r="X63" s="24">
        <f t="shared" si="34"/>
        <v>11.748725558387378</v>
      </c>
      <c r="Y63" s="41" t="str">
        <f t="shared" si="20"/>
        <v>E</v>
      </c>
      <c r="Z63" s="24">
        <f t="shared" si="35"/>
        <v>8.9847067006485304</v>
      </c>
      <c r="AA63" s="41" t="str">
        <f t="shared" si="21"/>
        <v>9</v>
      </c>
      <c r="AB63" s="24">
        <f t="shared" si="36"/>
        <v>11.816480407782365</v>
      </c>
      <c r="AC63" s="41" t="str">
        <f t="shared" si="22"/>
        <v/>
      </c>
      <c r="AD63" s="24">
        <f t="shared" si="37"/>
        <v>9.7977648933883756</v>
      </c>
      <c r="AE63" s="41" t="str">
        <f t="shared" si="23"/>
        <v/>
      </c>
      <c r="AF63" s="24">
        <f t="shared" si="38"/>
        <v>9.5731787206605077</v>
      </c>
      <c r="AG63" s="41" t="str">
        <f t="shared" si="24"/>
        <v/>
      </c>
      <c r="AH63" s="24">
        <f t="shared" si="39"/>
        <v>6.8781446479260921</v>
      </c>
      <c r="AI63" s="41" t="str">
        <f t="shared" si="25"/>
        <v/>
      </c>
      <c r="AJ63" s="24">
        <f t="shared" si="40"/>
        <v>10.537735775113106</v>
      </c>
      <c r="AK63" s="41" t="str">
        <f t="shared" si="26"/>
        <v/>
      </c>
    </row>
    <row r="64" spans="1:37" ht="15" customHeight="1">
      <c r="A64" s="719"/>
      <c r="B64" s="3" t="s">
        <v>1526</v>
      </c>
      <c r="C64" s="3" t="s">
        <v>57</v>
      </c>
      <c r="D64" s="21">
        <f>398600441800000/(D$35*D$35)</f>
        <v>4.4350280391176706E-3</v>
      </c>
      <c r="E64" s="8">
        <v>10</v>
      </c>
      <c r="F64" s="21">
        <f>D64/F$3</f>
        <v>1.6299085058755745E-2</v>
      </c>
      <c r="G64" s="37" t="str">
        <f t="shared" si="27"/>
        <v>2;41E8982X13</v>
      </c>
      <c r="H64" s="330"/>
      <c r="I64" s="333"/>
      <c r="J64" s="38">
        <v>-2</v>
      </c>
      <c r="K64" s="61">
        <f t="shared" si="41"/>
        <v>2.3470682484608272</v>
      </c>
      <c r="L64" s="39" t="str">
        <f>INDEX(powers!$H$2:$H$75,33+J64)</f>
        <v>centy</v>
      </c>
      <c r="M64" s="40" t="str">
        <f t="shared" si="14"/>
        <v>2</v>
      </c>
      <c r="N64" s="24">
        <f t="shared" si="29"/>
        <v>4.1648189815299261</v>
      </c>
      <c r="O64" s="41" t="str">
        <f t="shared" si="15"/>
        <v>4</v>
      </c>
      <c r="P64" s="24">
        <f t="shared" si="30"/>
        <v>1.9778277783591136</v>
      </c>
      <c r="Q64" s="41" t="str">
        <f t="shared" si="16"/>
        <v>1</v>
      </c>
      <c r="R64" s="24">
        <f t="shared" si="31"/>
        <v>11.733933340309363</v>
      </c>
      <c r="S64" s="41" t="str">
        <f t="shared" si="17"/>
        <v>E</v>
      </c>
      <c r="T64" s="24">
        <f t="shared" si="32"/>
        <v>8.8072000837123596</v>
      </c>
      <c r="U64" s="41" t="str">
        <f t="shared" si="18"/>
        <v>8</v>
      </c>
      <c r="V64" s="24">
        <f t="shared" si="33"/>
        <v>9.6864010045483155</v>
      </c>
      <c r="W64" s="41" t="str">
        <f t="shared" si="19"/>
        <v>9</v>
      </c>
      <c r="X64" s="24">
        <f t="shared" si="34"/>
        <v>8.2368120545797865</v>
      </c>
      <c r="Y64" s="41" t="str">
        <f t="shared" si="20"/>
        <v>8</v>
      </c>
      <c r="Z64" s="24">
        <f t="shared" si="35"/>
        <v>2.8417446549574379</v>
      </c>
      <c r="AA64" s="41" t="str">
        <f t="shared" si="21"/>
        <v>2</v>
      </c>
      <c r="AB64" s="24">
        <f t="shared" si="36"/>
        <v>10.100935859489255</v>
      </c>
      <c r="AC64" s="41" t="str">
        <f t="shared" si="22"/>
        <v>X</v>
      </c>
      <c r="AD64" s="24">
        <f t="shared" si="37"/>
        <v>1.2112303138710558</v>
      </c>
      <c r="AE64" s="41" t="str">
        <f t="shared" si="23"/>
        <v>1</v>
      </c>
      <c r="AF64" s="24">
        <f t="shared" si="38"/>
        <v>2.5347637664526701</v>
      </c>
      <c r="AG64" s="41" t="str">
        <f t="shared" si="24"/>
        <v>3</v>
      </c>
      <c r="AH64" s="24">
        <f t="shared" si="39"/>
        <v>6.4171651974320412</v>
      </c>
      <c r="AI64" s="41" t="str">
        <f t="shared" si="25"/>
        <v/>
      </c>
      <c r="AJ64" s="24">
        <f t="shared" si="40"/>
        <v>5.005982369184494</v>
      </c>
      <c r="AK64" s="41" t="str">
        <f t="shared" si="26"/>
        <v/>
      </c>
    </row>
    <row r="65" spans="1:37" ht="15" customHeight="1">
      <c r="A65" s="719"/>
      <c r="B65" s="3" t="s">
        <v>1527</v>
      </c>
      <c r="C65" s="3" t="s">
        <v>57</v>
      </c>
      <c r="D65" s="21">
        <v>6378140</v>
      </c>
      <c r="E65" s="8">
        <v>7</v>
      </c>
      <c r="F65" s="21">
        <f>D65/F$3</f>
        <v>23440177.933426172</v>
      </c>
      <c r="G65" s="37" t="str">
        <f t="shared" si="27"/>
        <v>0;7X24E02</v>
      </c>
      <c r="H65" s="330"/>
      <c r="I65" s="333"/>
      <c r="J65" s="38">
        <v>7</v>
      </c>
      <c r="K65" s="61">
        <f t="shared" si="41"/>
        <v>0.65417234691105097</v>
      </c>
      <c r="L65" s="39" t="str">
        <f>INDEX(powers!$H$2:$H$75,33+J65)</f>
        <v>cosmic dour</v>
      </c>
      <c r="M65" s="40" t="str">
        <f t="shared" si="14"/>
        <v>0</v>
      </c>
      <c r="N65" s="24">
        <f t="shared" si="29"/>
        <v>7.8500681629326117</v>
      </c>
      <c r="O65" s="41" t="str">
        <f t="shared" si="15"/>
        <v>7</v>
      </c>
      <c r="P65" s="24">
        <f t="shared" si="30"/>
        <v>10.20081795519134</v>
      </c>
      <c r="Q65" s="41" t="str">
        <f t="shared" si="16"/>
        <v>X</v>
      </c>
      <c r="R65" s="24">
        <f t="shared" si="31"/>
        <v>2.4098154622960806</v>
      </c>
      <c r="S65" s="41" t="str">
        <f t="shared" si="17"/>
        <v>2</v>
      </c>
      <c r="T65" s="24">
        <f t="shared" si="32"/>
        <v>4.9177855475529668</v>
      </c>
      <c r="U65" s="41" t="str">
        <f t="shared" si="18"/>
        <v>4</v>
      </c>
      <c r="V65" s="24">
        <f t="shared" si="33"/>
        <v>11.013426570635602</v>
      </c>
      <c r="W65" s="41" t="str">
        <f t="shared" si="19"/>
        <v>E</v>
      </c>
      <c r="X65" s="24">
        <f t="shared" si="34"/>
        <v>0.16111884762722184</v>
      </c>
      <c r="Y65" s="41" t="str">
        <f t="shared" si="20"/>
        <v>0</v>
      </c>
      <c r="Z65" s="24">
        <f t="shared" si="35"/>
        <v>1.9334261715266621</v>
      </c>
      <c r="AA65" s="41" t="str">
        <f t="shared" si="21"/>
        <v>2</v>
      </c>
      <c r="AB65" s="24">
        <f t="shared" si="36"/>
        <v>11.201114058319945</v>
      </c>
      <c r="AC65" s="41" t="str">
        <f t="shared" si="22"/>
        <v/>
      </c>
      <c r="AD65" s="24">
        <f t="shared" si="37"/>
        <v>2.4133686998393387</v>
      </c>
      <c r="AE65" s="41" t="str">
        <f t="shared" si="23"/>
        <v/>
      </c>
      <c r="AF65" s="24">
        <f t="shared" si="38"/>
        <v>4.9604243980720639</v>
      </c>
      <c r="AG65" s="41" t="str">
        <f t="shared" si="24"/>
        <v/>
      </c>
      <c r="AH65" s="24">
        <f t="shared" si="39"/>
        <v>11.525092776864767</v>
      </c>
      <c r="AI65" s="41" t="str">
        <f t="shared" si="25"/>
        <v/>
      </c>
      <c r="AJ65" s="24">
        <f t="shared" si="40"/>
        <v>6.3011133223772049</v>
      </c>
      <c r="AK65" s="41" t="str">
        <f t="shared" si="26"/>
        <v/>
      </c>
    </row>
    <row r="66" spans="1:37" ht="15" customHeight="1">
      <c r="A66" s="719"/>
      <c r="B66" s="3" t="s">
        <v>1528</v>
      </c>
      <c r="C66" s="3" t="s">
        <v>57</v>
      </c>
      <c r="D66" s="21">
        <f>40007860/4</f>
        <v>10001965</v>
      </c>
      <c r="E66" s="8">
        <v>7</v>
      </c>
      <c r="F66" s="21">
        <f>D66/F$3</f>
        <v>36758026.522450261</v>
      </c>
      <c r="G66" s="37" t="str">
        <f t="shared" si="27"/>
        <v>1;038800E</v>
      </c>
      <c r="H66" s="330">
        <f t="shared" ref="H66" si="136">K66*POWER(12,I66)/ROUND(K66*POWER(12,I66),0)-1</f>
        <v>2.584905909437385E-2</v>
      </c>
      <c r="I66" s="333"/>
      <c r="J66" s="38">
        <v>7</v>
      </c>
      <c r="K66" s="61">
        <f t="shared" si="41"/>
        <v>1.0258490590943738</v>
      </c>
      <c r="L66" s="39" t="str">
        <f>INDEX(powers!$H$2:$H$75,33+J66)</f>
        <v>cosmic dour</v>
      </c>
      <c r="M66" s="40" t="str">
        <f t="shared" si="14"/>
        <v>1</v>
      </c>
      <c r="N66" s="24">
        <f t="shared" si="29"/>
        <v>0.3101887091324862</v>
      </c>
      <c r="O66" s="41" t="str">
        <f t="shared" si="15"/>
        <v>0</v>
      </c>
      <c r="P66" s="24">
        <f t="shared" si="30"/>
        <v>3.7222645095898343</v>
      </c>
      <c r="Q66" s="41" t="str">
        <f t="shared" si="16"/>
        <v>3</v>
      </c>
      <c r="R66" s="24">
        <f t="shared" si="31"/>
        <v>8.6671741150780122</v>
      </c>
      <c r="S66" s="41" t="str">
        <f t="shared" si="17"/>
        <v>8</v>
      </c>
      <c r="T66" s="24">
        <f t="shared" si="32"/>
        <v>8.006089380936146</v>
      </c>
      <c r="U66" s="41" t="str">
        <f t="shared" si="18"/>
        <v>8</v>
      </c>
      <c r="V66" s="24">
        <f t="shared" si="33"/>
        <v>7.307257123375166E-2</v>
      </c>
      <c r="W66" s="41" t="str">
        <f t="shared" si="19"/>
        <v>0</v>
      </c>
      <c r="X66" s="24">
        <f t="shared" si="34"/>
        <v>0.87687085480501992</v>
      </c>
      <c r="Y66" s="41" t="str">
        <f t="shared" si="20"/>
        <v>0</v>
      </c>
      <c r="Z66" s="24">
        <f t="shared" si="35"/>
        <v>10.522450257660239</v>
      </c>
      <c r="AA66" s="41" t="str">
        <f t="shared" si="21"/>
        <v>E</v>
      </c>
      <c r="AB66" s="24">
        <f t="shared" si="36"/>
        <v>6.269403091922868</v>
      </c>
      <c r="AC66" s="41" t="str">
        <f t="shared" si="22"/>
        <v/>
      </c>
      <c r="AD66" s="24">
        <f t="shared" si="37"/>
        <v>3.2328371030744165</v>
      </c>
      <c r="AE66" s="41" t="str">
        <f t="shared" si="23"/>
        <v/>
      </c>
      <c r="AF66" s="24">
        <f t="shared" si="38"/>
        <v>2.7940452368929982</v>
      </c>
      <c r="AG66" s="41" t="str">
        <f t="shared" si="24"/>
        <v/>
      </c>
      <c r="AH66" s="24">
        <f t="shared" si="39"/>
        <v>9.5285428427159786</v>
      </c>
      <c r="AI66" s="41" t="str">
        <f t="shared" si="25"/>
        <v/>
      </c>
      <c r="AJ66" s="24">
        <f t="shared" si="40"/>
        <v>6.3425141125917435</v>
      </c>
      <c r="AK66" s="41" t="str">
        <f t="shared" si="26"/>
        <v/>
      </c>
    </row>
    <row r="67" spans="1:37" ht="15" customHeight="1">
      <c r="A67" s="719"/>
      <c r="B67" s="3" t="s">
        <v>1529</v>
      </c>
      <c r="C67" s="3" t="s">
        <v>57</v>
      </c>
      <c r="D67" s="21">
        <f>132712438000000000000/(D$35*D$35)</f>
        <v>1476.6250157971238</v>
      </c>
      <c r="E67" s="8">
        <v>8</v>
      </c>
      <c r="F67" s="21">
        <f>D67/F$3</f>
        <v>5426.7157997837639</v>
      </c>
      <c r="G67" s="37" t="str">
        <f t="shared" si="27"/>
        <v>3;182870XX</v>
      </c>
      <c r="H67" s="330"/>
      <c r="I67" s="333"/>
      <c r="J67" s="38">
        <v>3</v>
      </c>
      <c r="K67" s="61">
        <f t="shared" si="41"/>
        <v>3.1404605322822707</v>
      </c>
      <c r="L67" s="39" t="str">
        <f>INDEX(powers!$H$2:$H$75,33+J67)</f>
        <v>kily</v>
      </c>
      <c r="M67" s="40" t="str">
        <f t="shared" si="14"/>
        <v>3</v>
      </c>
      <c r="N67" s="24">
        <f t="shared" si="29"/>
        <v>1.6855263873872488</v>
      </c>
      <c r="O67" s="41" t="str">
        <f t="shared" si="15"/>
        <v>1</v>
      </c>
      <c r="P67" s="24">
        <f t="shared" si="30"/>
        <v>8.2263166486469856</v>
      </c>
      <c r="Q67" s="41" t="str">
        <f t="shared" si="16"/>
        <v>8</v>
      </c>
      <c r="R67" s="24">
        <f t="shared" si="31"/>
        <v>2.7157997837638277</v>
      </c>
      <c r="S67" s="41" t="str">
        <f t="shared" si="17"/>
        <v>2</v>
      </c>
      <c r="T67" s="24">
        <f t="shared" si="32"/>
        <v>8.5895974051659323</v>
      </c>
      <c r="U67" s="41" t="str">
        <f t="shared" si="18"/>
        <v>8</v>
      </c>
      <c r="V67" s="24">
        <f t="shared" si="33"/>
        <v>7.0751688619911874</v>
      </c>
      <c r="W67" s="41" t="str">
        <f t="shared" si="19"/>
        <v>7</v>
      </c>
      <c r="X67" s="24">
        <f t="shared" si="34"/>
        <v>0.90202634389424929</v>
      </c>
      <c r="Y67" s="41" t="str">
        <f t="shared" si="20"/>
        <v>0</v>
      </c>
      <c r="Z67" s="24">
        <f t="shared" si="35"/>
        <v>10.824316126730992</v>
      </c>
      <c r="AA67" s="41" t="str">
        <f t="shared" si="21"/>
        <v>X</v>
      </c>
      <c r="AB67" s="24">
        <f t="shared" si="36"/>
        <v>9.8917935207718983</v>
      </c>
      <c r="AC67" s="41" t="str">
        <f t="shared" si="22"/>
        <v>X</v>
      </c>
      <c r="AD67" s="24">
        <f t="shared" si="37"/>
        <v>10.70152224926278</v>
      </c>
      <c r="AE67" s="41" t="str">
        <f t="shared" si="23"/>
        <v/>
      </c>
      <c r="AF67" s="24">
        <f t="shared" si="38"/>
        <v>8.4182669911533594</v>
      </c>
      <c r="AG67" s="41" t="str">
        <f t="shared" si="24"/>
        <v/>
      </c>
      <c r="AH67" s="24">
        <f t="shared" si="39"/>
        <v>5.019203893840313</v>
      </c>
      <c r="AI67" s="41" t="str">
        <f t="shared" si="25"/>
        <v/>
      </c>
      <c r="AJ67" s="24">
        <f t="shared" si="40"/>
        <v>0.23044672608375549</v>
      </c>
      <c r="AK67" s="41" t="str">
        <f t="shared" si="26"/>
        <v/>
      </c>
    </row>
    <row r="68" spans="1:37" ht="15" customHeight="1">
      <c r="A68" s="719"/>
      <c r="B68" s="5" t="s">
        <v>12</v>
      </c>
      <c r="C68" s="5" t="s">
        <v>57</v>
      </c>
      <c r="D68" s="29">
        <v>149597870000</v>
      </c>
      <c r="E68" s="30">
        <v>9</v>
      </c>
      <c r="F68" s="29">
        <f>D68/F$3</f>
        <v>549784214718.01453</v>
      </c>
      <c r="G68" s="37" t="str">
        <f t="shared" si="27"/>
        <v>8;X67575537</v>
      </c>
      <c r="H68" s="330"/>
      <c r="I68" s="336"/>
      <c r="J68" s="43">
        <v>10</v>
      </c>
      <c r="K68" s="62">
        <f t="shared" si="41"/>
        <v>8.8793220061669036</v>
      </c>
      <c r="L68" s="39" t="str">
        <f>INDEX(powers!$H$2:$H$75,33+J68)</f>
        <v>cosmic hecty</v>
      </c>
      <c r="M68" s="40" t="str">
        <f t="shared" si="14"/>
        <v>8</v>
      </c>
      <c r="N68" s="24">
        <f t="shared" si="29"/>
        <v>10.551864074002843</v>
      </c>
      <c r="O68" s="41" t="str">
        <f t="shared" si="15"/>
        <v>X</v>
      </c>
      <c r="P68" s="24">
        <f t="shared" si="30"/>
        <v>6.6223688880341172</v>
      </c>
      <c r="Q68" s="41" t="str">
        <f t="shared" si="16"/>
        <v>6</v>
      </c>
      <c r="R68" s="24">
        <f t="shared" si="31"/>
        <v>7.468426656409406</v>
      </c>
      <c r="S68" s="41" t="str">
        <f t="shared" si="17"/>
        <v>7</v>
      </c>
      <c r="T68" s="24">
        <f t="shared" si="32"/>
        <v>5.6211198769128714</v>
      </c>
      <c r="U68" s="41" t="str">
        <f t="shared" si="18"/>
        <v>5</v>
      </c>
      <c r="V68" s="24">
        <f t="shared" si="33"/>
        <v>7.4534385229544569</v>
      </c>
      <c r="W68" s="41" t="str">
        <f t="shared" si="19"/>
        <v>7</v>
      </c>
      <c r="X68" s="24">
        <f t="shared" si="34"/>
        <v>5.4412622754534823</v>
      </c>
      <c r="Y68" s="41" t="str">
        <f t="shared" si="20"/>
        <v>5</v>
      </c>
      <c r="Z68" s="24">
        <f t="shared" si="35"/>
        <v>5.2951473054417875</v>
      </c>
      <c r="AA68" s="41" t="str">
        <f t="shared" si="21"/>
        <v>5</v>
      </c>
      <c r="AB68" s="24">
        <f t="shared" si="36"/>
        <v>3.5417676653014496</v>
      </c>
      <c r="AC68" s="41" t="str">
        <f t="shared" si="22"/>
        <v>3</v>
      </c>
      <c r="AD68" s="24">
        <f t="shared" si="37"/>
        <v>6.5012119836173952</v>
      </c>
      <c r="AE68" s="41" t="str">
        <f t="shared" si="23"/>
        <v>7</v>
      </c>
      <c r="AF68" s="24">
        <f t="shared" si="38"/>
        <v>6.014543803408742</v>
      </c>
      <c r="AG68" s="41" t="str">
        <f t="shared" si="24"/>
        <v/>
      </c>
      <c r="AH68" s="24">
        <f t="shared" si="39"/>
        <v>0.17452564090490341</v>
      </c>
      <c r="AI68" s="41" t="str">
        <f t="shared" si="25"/>
        <v/>
      </c>
      <c r="AJ68" s="24">
        <f t="shared" si="40"/>
        <v>2.0943076908588409</v>
      </c>
      <c r="AK68" s="41" t="str">
        <f t="shared" si="26"/>
        <v/>
      </c>
    </row>
    <row r="69" spans="1:37" ht="15" customHeight="1">
      <c r="A69" s="719"/>
      <c r="B69" s="5" t="s">
        <v>51</v>
      </c>
      <c r="C69" s="5" t="s">
        <v>56</v>
      </c>
      <c r="D69" s="29">
        <f>D68/D35</f>
        <v>499.00478150120773</v>
      </c>
      <c r="E69" s="30">
        <v>9</v>
      </c>
      <c r="F69" s="29">
        <f>D69/F$4</f>
        <v>1278.6223688880341</v>
      </c>
      <c r="G69" s="37" t="str">
        <f t="shared" si="27"/>
        <v>8;X67575537</v>
      </c>
      <c r="H69" s="330"/>
      <c r="I69" s="336"/>
      <c r="J69" s="43">
        <v>2</v>
      </c>
      <c r="K69" s="62">
        <f t="shared" si="41"/>
        <v>8.8793220061669036</v>
      </c>
      <c r="L69" s="39" t="str">
        <f>INDEX(powers!$H$2:$H$75,33+J69)</f>
        <v>hecty</v>
      </c>
      <c r="M69" s="40" t="str">
        <f t="shared" si="14"/>
        <v>8</v>
      </c>
      <c r="N69" s="24">
        <f t="shared" ref="N69:N70" si="137">(K69-INT(K69))*12</f>
        <v>10.551864074002843</v>
      </c>
      <c r="O69" s="41" t="str">
        <f t="shared" si="15"/>
        <v>X</v>
      </c>
      <c r="P69" s="24">
        <f t="shared" ref="P69:P70" si="138">(N69-INT(N69))*12</f>
        <v>6.6223688880341172</v>
      </c>
      <c r="Q69" s="41" t="str">
        <f t="shared" si="16"/>
        <v>6</v>
      </c>
      <c r="R69" s="24">
        <f t="shared" ref="R69:R70" si="139">(P69-INT(P69))*12</f>
        <v>7.468426656409406</v>
      </c>
      <c r="S69" s="41" t="str">
        <f t="shared" si="17"/>
        <v>7</v>
      </c>
      <c r="T69" s="24">
        <f t="shared" ref="T69:T70" si="140">(R69-INT(R69))*12</f>
        <v>5.6211198769128714</v>
      </c>
      <c r="U69" s="41" t="str">
        <f t="shared" si="18"/>
        <v>5</v>
      </c>
      <c r="V69" s="24">
        <f t="shared" ref="V69:V70" si="141">(T69-INT(T69))*12</f>
        <v>7.4534385229544569</v>
      </c>
      <c r="W69" s="41" t="str">
        <f t="shared" si="19"/>
        <v>7</v>
      </c>
      <c r="X69" s="24">
        <f t="shared" ref="X69:X70" si="142">(V69-INT(V69))*12</f>
        <v>5.4412622754534823</v>
      </c>
      <c r="Y69" s="41" t="str">
        <f t="shared" si="20"/>
        <v>5</v>
      </c>
      <c r="Z69" s="24">
        <f t="shared" ref="Z69:Z70" si="143">(X69-INT(X69))*12</f>
        <v>5.2951473054417875</v>
      </c>
      <c r="AA69" s="41" t="str">
        <f t="shared" si="21"/>
        <v>5</v>
      </c>
      <c r="AB69" s="24">
        <f t="shared" ref="AB69:AB70" si="144">(Z69-INT(Z69))*12</f>
        <v>3.5417676653014496</v>
      </c>
      <c r="AC69" s="41" t="str">
        <f t="shared" si="22"/>
        <v>3</v>
      </c>
      <c r="AD69" s="24">
        <f t="shared" ref="AD69:AD70" si="145">(AB69-INT(AB69))*12</f>
        <v>6.5012119836173952</v>
      </c>
      <c r="AE69" s="41" t="str">
        <f t="shared" si="23"/>
        <v>7</v>
      </c>
      <c r="AF69" s="24">
        <f t="shared" ref="AF69:AF70" si="146">(AD69-INT(AD69))*12</f>
        <v>6.014543803408742</v>
      </c>
      <c r="AG69" s="41" t="str">
        <f t="shared" si="24"/>
        <v/>
      </c>
      <c r="AH69" s="24">
        <f t="shared" ref="AH69:AH70" si="147">(AF69-INT(AF69))*12</f>
        <v>0.17452564090490341</v>
      </c>
      <c r="AI69" s="41" t="str">
        <f t="shared" si="25"/>
        <v/>
      </c>
      <c r="AJ69" s="24">
        <f t="shared" ref="AJ69:AJ70" si="148">(AH69-INT(AH69))*12</f>
        <v>2.0943076908588409</v>
      </c>
      <c r="AK69" s="41" t="str">
        <f t="shared" si="26"/>
        <v/>
      </c>
    </row>
    <row r="70" spans="1:37" ht="15" customHeight="1" thickBot="1">
      <c r="A70" s="720"/>
      <c r="B70" s="5" t="s">
        <v>52</v>
      </c>
      <c r="C70" s="66" t="s">
        <v>110</v>
      </c>
      <c r="D70" s="29">
        <f>D69/50</f>
        <v>9.9800956300241541</v>
      </c>
      <c r="E70" s="30">
        <v>9</v>
      </c>
      <c r="F70" s="29">
        <f>D70</f>
        <v>9.9800956300241541</v>
      </c>
      <c r="G70" s="37" t="str">
        <f t="shared" si="27"/>
        <v>9;E91731X53</v>
      </c>
      <c r="H70" s="330"/>
      <c r="I70" s="336"/>
      <c r="J70" s="43">
        <v>0</v>
      </c>
      <c r="K70" s="62">
        <f t="shared" si="41"/>
        <v>9.9800956300241541</v>
      </c>
      <c r="L70" s="44" t="str">
        <f>INDEX(powers!$H$2:$H$75,33+J70)</f>
        <v xml:space="preserve"> </v>
      </c>
      <c r="M70" s="40" t="str">
        <f t="shared" si="14"/>
        <v>9</v>
      </c>
      <c r="N70" s="24">
        <f t="shared" si="137"/>
        <v>11.761147560289849</v>
      </c>
      <c r="O70" s="41" t="str">
        <f t="shared" si="15"/>
        <v>E</v>
      </c>
      <c r="P70" s="24">
        <f t="shared" si="138"/>
        <v>9.1337707234781931</v>
      </c>
      <c r="Q70" s="41" t="str">
        <f t="shared" si="16"/>
        <v>9</v>
      </c>
      <c r="R70" s="24">
        <f t="shared" si="139"/>
        <v>1.6052486817383169</v>
      </c>
      <c r="S70" s="41" t="str">
        <f t="shared" si="17"/>
        <v>1</v>
      </c>
      <c r="T70" s="24">
        <f t="shared" si="140"/>
        <v>7.262984180859803</v>
      </c>
      <c r="U70" s="41" t="str">
        <f t="shared" si="18"/>
        <v>7</v>
      </c>
      <c r="V70" s="24">
        <f t="shared" si="141"/>
        <v>3.1558101703176362</v>
      </c>
      <c r="W70" s="41" t="str">
        <f t="shared" si="19"/>
        <v>3</v>
      </c>
      <c r="X70" s="24">
        <f t="shared" si="142"/>
        <v>1.8697220438116346</v>
      </c>
      <c r="Y70" s="41" t="str">
        <f t="shared" si="20"/>
        <v>1</v>
      </c>
      <c r="Z70" s="24">
        <f t="shared" si="143"/>
        <v>10.436664525739616</v>
      </c>
      <c r="AA70" s="41" t="str">
        <f t="shared" si="21"/>
        <v>X</v>
      </c>
      <c r="AB70" s="24">
        <f t="shared" si="144"/>
        <v>5.2399743088753894</v>
      </c>
      <c r="AC70" s="41" t="str">
        <f t="shared" si="22"/>
        <v>5</v>
      </c>
      <c r="AD70" s="24">
        <f t="shared" si="145"/>
        <v>2.8796917065046728</v>
      </c>
      <c r="AE70" s="41" t="str">
        <f t="shared" si="23"/>
        <v>3</v>
      </c>
      <c r="AF70" s="24">
        <f t="shared" si="146"/>
        <v>10.556300478056073</v>
      </c>
      <c r="AG70" s="41" t="str">
        <f t="shared" si="24"/>
        <v/>
      </c>
      <c r="AH70" s="24">
        <f t="shared" si="147"/>
        <v>6.6756057366728783</v>
      </c>
      <c r="AI70" s="41" t="str">
        <f t="shared" si="25"/>
        <v/>
      </c>
      <c r="AJ70" s="24">
        <f t="shared" si="148"/>
        <v>8.1072688400745392</v>
      </c>
      <c r="AK70" s="41" t="str">
        <f t="shared" si="26"/>
        <v/>
      </c>
    </row>
    <row r="71" spans="1:37">
      <c r="A71" s="715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45</v>
      </c>
      <c r="H71" s="329"/>
      <c r="I71" s="332"/>
      <c r="J71" s="18" t="s">
        <v>44</v>
      </c>
      <c r="K71" s="56" t="s">
        <v>46</v>
      </c>
      <c r="L71" s="143" t="str">
        <f>L31</f>
        <v>Prefix</v>
      </c>
    </row>
    <row r="72" spans="1:37" ht="11.25" customHeight="1">
      <c r="A72" s="716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49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150">F72/POWER(12,J72)</f>
        <v>1.0508187695616</v>
      </c>
      <c r="L72" s="39" t="str">
        <f>INDEX(powers!$H$2:$H$75,33+J72)</f>
        <v>centy</v>
      </c>
      <c r="M72" s="40" t="str">
        <f t="shared" ref="M72:M88" si="151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52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53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54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55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56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57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58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59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60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61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62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63">IF($E72&gt;=AK$31,MID($J$31,IF($E72&gt;AK$31,INT(AJ72),ROUND(AJ72,0))+1,1),"")</f>
        <v/>
      </c>
    </row>
    <row r="73" spans="1:37" ht="13.5" customHeight="1">
      <c r="A73" s="716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49"/>
        <v>0;E5052258X</v>
      </c>
      <c r="H73" s="37"/>
      <c r="I73" s="340"/>
      <c r="J73" s="38">
        <v>2</v>
      </c>
      <c r="K73" s="61">
        <f t="shared" si="150"/>
        <v>0.9516388829038509</v>
      </c>
      <c r="L73" s="39" t="str">
        <f>INDEX(powers!$H$2:$H$75,33+J73)</f>
        <v>hecty</v>
      </c>
      <c r="M73" s="40" t="str">
        <f t="shared" si="151"/>
        <v>0</v>
      </c>
      <c r="N73" s="24">
        <f t="shared" ref="N73:N88" si="164">(K73-INT(K73))*12</f>
        <v>11.419666594846211</v>
      </c>
      <c r="O73" s="41" t="str">
        <f t="shared" si="152"/>
        <v>E</v>
      </c>
      <c r="P73" s="24">
        <f t="shared" ref="P73:P88" si="165">(N73-INT(N73))*12</f>
        <v>5.0359991381545299</v>
      </c>
      <c r="Q73" s="41" t="str">
        <f t="shared" si="153"/>
        <v>5</v>
      </c>
      <c r="R73" s="24">
        <f t="shared" ref="R73:R88" si="166">(P73-INT(P73))*12</f>
        <v>0.43198965785435917</v>
      </c>
      <c r="S73" s="41" t="str">
        <f t="shared" si="154"/>
        <v>0</v>
      </c>
      <c r="T73" s="24">
        <f t="shared" ref="T73:T88" si="167">(R73-INT(R73))*12</f>
        <v>5.18387589425231</v>
      </c>
      <c r="U73" s="41" t="str">
        <f t="shared" si="155"/>
        <v>5</v>
      </c>
      <c r="V73" s="24">
        <f t="shared" ref="V73:V88" si="168">(T73-INT(T73))*12</f>
        <v>2.2065107310277199</v>
      </c>
      <c r="W73" s="41" t="str">
        <f t="shared" si="156"/>
        <v>2</v>
      </c>
      <c r="X73" s="24">
        <f t="shared" ref="X73:X88" si="169">(V73-INT(V73))*12</f>
        <v>2.4781287723326386</v>
      </c>
      <c r="Y73" s="41" t="str">
        <f t="shared" si="157"/>
        <v>2</v>
      </c>
      <c r="Z73" s="24">
        <f t="shared" ref="Z73:Z88" si="170">(X73-INT(X73))*12</f>
        <v>5.7375452679916634</v>
      </c>
      <c r="AA73" s="41" t="str">
        <f t="shared" si="158"/>
        <v>5</v>
      </c>
      <c r="AB73" s="24">
        <f t="shared" ref="AB73:AB88" si="171">(Z73-INT(Z73))*12</f>
        <v>8.8505432158999611</v>
      </c>
      <c r="AC73" s="41" t="str">
        <f t="shared" si="159"/>
        <v>8</v>
      </c>
      <c r="AD73" s="24">
        <f t="shared" ref="AD73:AD88" si="172">(AB73-INT(AB73))*12</f>
        <v>10.206518590799533</v>
      </c>
      <c r="AE73" s="41" t="str">
        <f t="shared" si="160"/>
        <v>X</v>
      </c>
      <c r="AF73" s="24">
        <f t="shared" ref="AF73:AF88" si="173">(AD73-INT(AD73))*12</f>
        <v>2.478223089594394</v>
      </c>
      <c r="AG73" s="41" t="str">
        <f t="shared" si="161"/>
        <v/>
      </c>
      <c r="AH73" s="24">
        <f t="shared" ref="AH73:AH88" si="174">(AF73-INT(AF73))*12</f>
        <v>5.7386770751327276</v>
      </c>
      <c r="AI73" s="41" t="str">
        <f t="shared" si="162"/>
        <v/>
      </c>
      <c r="AJ73" s="24">
        <f t="shared" ref="AJ73:AJ88" si="175">(AH73-INT(AH73))*12</f>
        <v>8.8641249015927315</v>
      </c>
      <c r="AK73" s="41" t="str">
        <f t="shared" si="163"/>
        <v/>
      </c>
    </row>
    <row r="74" spans="1:37" ht="13.5" customHeight="1">
      <c r="A74" s="716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150"/>
        <v>137.03599913815452</v>
      </c>
      <c r="L74" s="39" t="str">
        <f>INDEX(powers!$H$2:$H$75,33+J74)</f>
        <v xml:space="preserve"> </v>
      </c>
      <c r="M74" s="40" t="str">
        <f t="shared" si="151"/>
        <v/>
      </c>
      <c r="N74" s="24">
        <f t="shared" si="164"/>
        <v>0.4319896578542739</v>
      </c>
      <c r="O74" s="41" t="str">
        <f t="shared" si="152"/>
        <v>0</v>
      </c>
      <c r="P74" s="24">
        <f t="shared" si="165"/>
        <v>5.1838758942512868</v>
      </c>
      <c r="Q74" s="41" t="str">
        <f t="shared" si="153"/>
        <v>5</v>
      </c>
      <c r="R74" s="24">
        <f t="shared" si="166"/>
        <v>2.2065107310154417</v>
      </c>
      <c r="S74" s="41" t="str">
        <f t="shared" si="154"/>
        <v>2</v>
      </c>
      <c r="T74" s="24">
        <f t="shared" si="167"/>
        <v>2.4781287721853005</v>
      </c>
      <c r="U74" s="41" t="str">
        <f t="shared" si="155"/>
        <v>2</v>
      </c>
      <c r="V74" s="24">
        <f t="shared" si="168"/>
        <v>5.7375452662236057</v>
      </c>
      <c r="W74" s="41" t="str">
        <f t="shared" si="156"/>
        <v>5</v>
      </c>
      <c r="X74" s="24">
        <f t="shared" si="169"/>
        <v>8.8505431946832687</v>
      </c>
      <c r="Y74" s="41" t="str">
        <f t="shared" si="157"/>
        <v>8</v>
      </c>
      <c r="Z74" s="24">
        <f t="shared" si="170"/>
        <v>10.206518336199224</v>
      </c>
      <c r="AA74" s="41" t="str">
        <f t="shared" si="158"/>
        <v>X</v>
      </c>
      <c r="AB74" s="24">
        <f t="shared" si="171"/>
        <v>2.4782200343906879</v>
      </c>
      <c r="AC74" s="41" t="str">
        <f t="shared" si="159"/>
        <v>2</v>
      </c>
      <c r="AD74" s="24">
        <f t="shared" si="172"/>
        <v>5.7386404126882553</v>
      </c>
      <c r="AE74" s="41" t="str">
        <f t="shared" si="160"/>
        <v>6</v>
      </c>
      <c r="AF74" s="24">
        <f t="shared" si="173"/>
        <v>8.8636849522590637</v>
      </c>
      <c r="AG74" s="41" t="str">
        <f t="shared" si="161"/>
        <v/>
      </c>
      <c r="AH74" s="24">
        <f t="shared" si="174"/>
        <v>10.364219427108765</v>
      </c>
      <c r="AI74" s="41" t="str">
        <f t="shared" si="162"/>
        <v/>
      </c>
      <c r="AJ74" s="24">
        <f t="shared" si="175"/>
        <v>4.3706331253051758</v>
      </c>
      <c r="AK74" s="41" t="str">
        <f t="shared" si="163"/>
        <v/>
      </c>
    </row>
    <row r="75" spans="1:37" ht="13.5" customHeight="1">
      <c r="A75" s="716"/>
      <c r="B75" s="8" t="s">
        <v>39</v>
      </c>
      <c r="C75" s="8"/>
      <c r="D75" s="21"/>
      <c r="E75" s="8">
        <v>9</v>
      </c>
      <c r="F75" s="21">
        <f t="shared" ref="F75" si="176">SQRT($D$32)</f>
        <v>8.542454311496199E-2</v>
      </c>
      <c r="G75" s="37" t="str">
        <f t="shared" ref="G75:G78" si="177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150"/>
        <v>1.025094517379544</v>
      </c>
      <c r="L75" s="39" t="str">
        <f>INDEX(powers!$H$2:$H$75,33+J75)</f>
        <v>dour</v>
      </c>
      <c r="M75" s="40" t="str">
        <f t="shared" si="151"/>
        <v>1</v>
      </c>
      <c r="N75" s="24">
        <f t="shared" si="164"/>
        <v>0.30113420855452855</v>
      </c>
      <c r="O75" s="41" t="str">
        <f t="shared" si="152"/>
        <v>0</v>
      </c>
      <c r="P75" s="24">
        <f t="shared" si="165"/>
        <v>3.6136105026543426</v>
      </c>
      <c r="Q75" s="41" t="str">
        <f t="shared" si="153"/>
        <v>3</v>
      </c>
      <c r="R75" s="24">
        <f t="shared" si="166"/>
        <v>7.363326031852111</v>
      </c>
      <c r="S75" s="41" t="str">
        <f t="shared" si="154"/>
        <v>7</v>
      </c>
      <c r="T75" s="24">
        <f t="shared" si="167"/>
        <v>4.3599123822253318</v>
      </c>
      <c r="U75" s="41" t="str">
        <f t="shared" si="155"/>
        <v>4</v>
      </c>
      <c r="V75" s="24">
        <f t="shared" si="168"/>
        <v>4.3189485867039821</v>
      </c>
      <c r="W75" s="41" t="str">
        <f t="shared" si="156"/>
        <v>4</v>
      </c>
      <c r="X75" s="24">
        <f t="shared" si="169"/>
        <v>3.8273830404477849</v>
      </c>
      <c r="Y75" s="41" t="str">
        <f t="shared" si="157"/>
        <v>3</v>
      </c>
      <c r="Z75" s="24">
        <f t="shared" si="170"/>
        <v>9.9285964853734185</v>
      </c>
      <c r="AA75" s="41" t="str">
        <f t="shared" si="158"/>
        <v>9</v>
      </c>
      <c r="AB75" s="24">
        <f t="shared" si="171"/>
        <v>11.143157824481023</v>
      </c>
      <c r="AC75" s="41" t="str">
        <f t="shared" si="159"/>
        <v>E</v>
      </c>
      <c r="AD75" s="24">
        <f t="shared" si="172"/>
        <v>1.7178938937722705</v>
      </c>
      <c r="AE75" s="41" t="str">
        <f t="shared" si="160"/>
        <v>2</v>
      </c>
      <c r="AF75" s="24">
        <f t="shared" si="173"/>
        <v>8.6147267252672464</v>
      </c>
      <c r="AG75" s="41" t="str">
        <f t="shared" si="161"/>
        <v/>
      </c>
      <c r="AH75" s="24">
        <f t="shared" si="174"/>
        <v>7.3767207032069564</v>
      </c>
      <c r="AI75" s="41" t="str">
        <f t="shared" si="162"/>
        <v/>
      </c>
      <c r="AJ75" s="24">
        <f t="shared" si="175"/>
        <v>4.5206484384834766</v>
      </c>
      <c r="AK75" s="41" t="str">
        <f t="shared" si="163"/>
        <v/>
      </c>
    </row>
    <row r="76" spans="1:37" ht="13.5" customHeight="1">
      <c r="A76" s="716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77"/>
        <v>0;E85846628</v>
      </c>
      <c r="H76" s="37"/>
      <c r="I76" s="340"/>
      <c r="J76" s="38">
        <v>1</v>
      </c>
      <c r="K76" s="61">
        <f t="shared" si="150"/>
        <v>0.97551980138993111</v>
      </c>
      <c r="L76" s="39" t="str">
        <f>INDEX(powers!$H$2:$H$75,33+J76)</f>
        <v>dirac</v>
      </c>
      <c r="M76" s="40" t="str">
        <f t="shared" si="151"/>
        <v>0</v>
      </c>
      <c r="N76" s="24">
        <f t="shared" si="164"/>
        <v>11.706237616679173</v>
      </c>
      <c r="O76" s="41" t="str">
        <f t="shared" si="152"/>
        <v>E</v>
      </c>
      <c r="P76" s="24">
        <f t="shared" si="165"/>
        <v>8.4748514001500794</v>
      </c>
      <c r="Q76" s="41" t="str">
        <f t="shared" si="153"/>
        <v>8</v>
      </c>
      <c r="R76" s="24">
        <f t="shared" si="166"/>
        <v>5.6982168018009531</v>
      </c>
      <c r="S76" s="41" t="str">
        <f t="shared" si="154"/>
        <v>5</v>
      </c>
      <c r="T76" s="24">
        <f t="shared" si="167"/>
        <v>8.3786016216114376</v>
      </c>
      <c r="U76" s="41" t="str">
        <f t="shared" si="155"/>
        <v>8</v>
      </c>
      <c r="V76" s="24">
        <f t="shared" si="168"/>
        <v>4.5432194593372515</v>
      </c>
      <c r="W76" s="41" t="str">
        <f t="shared" si="156"/>
        <v>4</v>
      </c>
      <c r="X76" s="24">
        <f t="shared" si="169"/>
        <v>6.5186335120470176</v>
      </c>
      <c r="Y76" s="41" t="str">
        <f t="shared" si="157"/>
        <v>6</v>
      </c>
      <c r="Z76" s="24">
        <f t="shared" si="170"/>
        <v>6.2236021445642109</v>
      </c>
      <c r="AA76" s="41" t="str">
        <f t="shared" si="158"/>
        <v>6</v>
      </c>
      <c r="AB76" s="24">
        <f t="shared" si="171"/>
        <v>2.6832257347705308</v>
      </c>
      <c r="AC76" s="41" t="str">
        <f t="shared" si="159"/>
        <v>2</v>
      </c>
      <c r="AD76" s="24">
        <f t="shared" si="172"/>
        <v>8.19870881724637</v>
      </c>
      <c r="AE76" s="41" t="str">
        <f t="shared" si="160"/>
        <v>8</v>
      </c>
      <c r="AF76" s="24">
        <f t="shared" si="173"/>
        <v>2.3845058069564402</v>
      </c>
      <c r="AG76" s="41" t="str">
        <f t="shared" si="161"/>
        <v/>
      </c>
      <c r="AH76" s="24">
        <f t="shared" si="174"/>
        <v>4.6140696834772825</v>
      </c>
      <c r="AI76" s="41" t="str">
        <f t="shared" si="162"/>
        <v/>
      </c>
      <c r="AJ76" s="24">
        <f t="shared" si="175"/>
        <v>7.3688362017273903</v>
      </c>
      <c r="AK76" s="41" t="str">
        <f t="shared" si="163"/>
        <v/>
      </c>
    </row>
    <row r="77" spans="1:37" ht="13.5" customHeight="1">
      <c r="A77" s="716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77"/>
        <v>1;0696831713E1</v>
      </c>
      <c r="H77" s="37"/>
      <c r="I77" s="340"/>
      <c r="J77" s="38">
        <v>1</v>
      </c>
      <c r="K77" s="61">
        <f t="shared" si="150"/>
        <v>1.0471975511965976</v>
      </c>
      <c r="L77" s="39" t="str">
        <f>INDEX(powers!$H$2:$H$75,33+J77)</f>
        <v>dirac</v>
      </c>
      <c r="M77" s="40" t="str">
        <f t="shared" si="151"/>
        <v>1</v>
      </c>
      <c r="N77" s="24">
        <f t="shared" si="164"/>
        <v>0.56637061435917158</v>
      </c>
      <c r="O77" s="41" t="str">
        <f t="shared" si="152"/>
        <v>0</v>
      </c>
      <c r="P77" s="24">
        <f t="shared" si="165"/>
        <v>6.7964473723100589</v>
      </c>
      <c r="Q77" s="41" t="str">
        <f t="shared" si="153"/>
        <v>6</v>
      </c>
      <c r="R77" s="24">
        <f t="shared" si="166"/>
        <v>9.5573684677207069</v>
      </c>
      <c r="S77" s="41" t="str">
        <f t="shared" si="154"/>
        <v>9</v>
      </c>
      <c r="T77" s="24">
        <f t="shared" si="167"/>
        <v>6.688421612648483</v>
      </c>
      <c r="U77" s="41" t="str">
        <f t="shared" si="155"/>
        <v>6</v>
      </c>
      <c r="V77" s="24">
        <f t="shared" si="168"/>
        <v>8.2610593517817961</v>
      </c>
      <c r="W77" s="41" t="str">
        <f t="shared" si="156"/>
        <v>8</v>
      </c>
      <c r="X77" s="24">
        <f t="shared" si="169"/>
        <v>3.1327122213815528</v>
      </c>
      <c r="Y77" s="41" t="str">
        <f t="shared" si="157"/>
        <v>3</v>
      </c>
      <c r="Z77" s="24">
        <f t="shared" si="170"/>
        <v>1.5925466565786337</v>
      </c>
      <c r="AA77" s="41" t="str">
        <f t="shared" si="158"/>
        <v>1</v>
      </c>
      <c r="AB77" s="24">
        <f t="shared" si="171"/>
        <v>7.1105598789436044</v>
      </c>
      <c r="AC77" s="41" t="str">
        <f t="shared" si="159"/>
        <v>7</v>
      </c>
      <c r="AD77" s="24">
        <f t="shared" si="172"/>
        <v>1.326718547323253</v>
      </c>
      <c r="AE77" s="41" t="str">
        <f t="shared" si="160"/>
        <v>1</v>
      </c>
      <c r="AF77" s="24">
        <f t="shared" si="173"/>
        <v>3.9206225678790361</v>
      </c>
      <c r="AG77" s="41" t="str">
        <f t="shared" si="161"/>
        <v>3</v>
      </c>
      <c r="AH77" s="24">
        <f t="shared" si="174"/>
        <v>11.047470814548433</v>
      </c>
      <c r="AI77" s="41" t="str">
        <f t="shared" si="162"/>
        <v>E</v>
      </c>
      <c r="AJ77" s="24">
        <f t="shared" si="175"/>
        <v>0.56964977458119392</v>
      </c>
      <c r="AK77" s="41" t="str">
        <f t="shared" si="163"/>
        <v>1</v>
      </c>
    </row>
    <row r="78" spans="1:37" ht="13.5" customHeight="1">
      <c r="A78" s="716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77"/>
        <v>0;E5615082189E</v>
      </c>
      <c r="H78" s="37"/>
      <c r="I78" s="340"/>
      <c r="J78" s="38">
        <v>-1</v>
      </c>
      <c r="K78" s="61">
        <f t="shared" si="150"/>
        <v>0.95492965855137213</v>
      </c>
      <c r="L78" s="39" t="str">
        <f>INDEX(powers!$H$2:$H$75,33+J78)</f>
        <v>dour</v>
      </c>
      <c r="M78" s="40" t="str">
        <f t="shared" si="151"/>
        <v>0</v>
      </c>
      <c r="N78" s="24">
        <f t="shared" si="164"/>
        <v>11.459155902616466</v>
      </c>
      <c r="O78" s="41" t="str">
        <f t="shared" si="152"/>
        <v>E</v>
      </c>
      <c r="P78" s="24">
        <f t="shared" si="165"/>
        <v>5.5098708313975919</v>
      </c>
      <c r="Q78" s="41" t="str">
        <f t="shared" si="153"/>
        <v>5</v>
      </c>
      <c r="R78" s="24">
        <f t="shared" si="166"/>
        <v>6.1184499767711031</v>
      </c>
      <c r="S78" s="41" t="str">
        <f t="shared" si="154"/>
        <v>6</v>
      </c>
      <c r="T78" s="24">
        <f t="shared" si="167"/>
        <v>1.4213997212532377</v>
      </c>
      <c r="U78" s="41" t="str">
        <f t="shared" si="155"/>
        <v>1</v>
      </c>
      <c r="V78" s="24">
        <f t="shared" si="168"/>
        <v>5.0567966550388519</v>
      </c>
      <c r="W78" s="41" t="str">
        <f t="shared" si="156"/>
        <v>5</v>
      </c>
      <c r="X78" s="24">
        <f t="shared" si="169"/>
        <v>0.68155986046622274</v>
      </c>
      <c r="Y78" s="41" t="str">
        <f t="shared" si="157"/>
        <v>0</v>
      </c>
      <c r="Z78" s="24">
        <f t="shared" si="170"/>
        <v>8.1787183255946729</v>
      </c>
      <c r="AA78" s="41" t="str">
        <f t="shared" si="158"/>
        <v>8</v>
      </c>
      <c r="AB78" s="24">
        <f t="shared" si="171"/>
        <v>2.1446199071360752</v>
      </c>
      <c r="AC78" s="41" t="str">
        <f t="shared" si="159"/>
        <v>2</v>
      </c>
      <c r="AD78" s="24">
        <f t="shared" si="172"/>
        <v>1.7354388856329024</v>
      </c>
      <c r="AE78" s="41" t="str">
        <f t="shared" si="160"/>
        <v>1</v>
      </c>
      <c r="AF78" s="24">
        <f t="shared" si="173"/>
        <v>8.8252666275948286</v>
      </c>
      <c r="AG78" s="41" t="str">
        <f t="shared" si="161"/>
        <v>8</v>
      </c>
      <c r="AH78" s="24">
        <f t="shared" si="174"/>
        <v>9.9031995311379433</v>
      </c>
      <c r="AI78" s="41" t="str">
        <f t="shared" si="162"/>
        <v>9</v>
      </c>
      <c r="AJ78" s="24">
        <f t="shared" si="175"/>
        <v>10.838394373655319</v>
      </c>
      <c r="AK78" s="41" t="str">
        <f t="shared" si="163"/>
        <v>E</v>
      </c>
    </row>
    <row r="79" spans="1:37" ht="13.5" customHeight="1">
      <c r="A79" s="716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150"/>
        <v>137.50987083139759</v>
      </c>
      <c r="L79" s="39" t="str">
        <f>INDEX(powers!$H$2:$H$75,33+J79)</f>
        <v>milly</v>
      </c>
      <c r="M79" s="40" t="str">
        <f t="shared" si="151"/>
        <v/>
      </c>
      <c r="N79" s="24">
        <f t="shared" si="164"/>
        <v>6.1184499767711031</v>
      </c>
      <c r="O79" s="41" t="str">
        <f t="shared" si="152"/>
        <v>6</v>
      </c>
      <c r="P79" s="24">
        <f t="shared" si="165"/>
        <v>1.4213997212532377</v>
      </c>
      <c r="Q79" s="41" t="str">
        <f t="shared" si="153"/>
        <v>1</v>
      </c>
      <c r="R79" s="24">
        <f t="shared" si="166"/>
        <v>5.0567966550388519</v>
      </c>
      <c r="S79" s="41" t="str">
        <f t="shared" si="154"/>
        <v>5</v>
      </c>
      <c r="T79" s="24">
        <f t="shared" si="167"/>
        <v>0.68155986046622274</v>
      </c>
      <c r="U79" s="41" t="str">
        <f t="shared" si="155"/>
        <v>0</v>
      </c>
      <c r="V79" s="24">
        <f t="shared" si="168"/>
        <v>8.1787183255946729</v>
      </c>
      <c r="W79" s="41" t="str">
        <f t="shared" si="156"/>
        <v>8</v>
      </c>
      <c r="X79" s="24">
        <f t="shared" si="169"/>
        <v>2.1446199071360752</v>
      </c>
      <c r="Y79" s="41" t="str">
        <f t="shared" si="157"/>
        <v>2</v>
      </c>
      <c r="Z79" s="24">
        <f t="shared" si="170"/>
        <v>1.7354388856329024</v>
      </c>
      <c r="AA79" s="41" t="str">
        <f t="shared" si="158"/>
        <v>1</v>
      </c>
      <c r="AB79" s="24">
        <f t="shared" si="171"/>
        <v>8.8252666275948286</v>
      </c>
      <c r="AC79" s="41" t="str">
        <f t="shared" si="159"/>
        <v>8</v>
      </c>
      <c r="AD79" s="24">
        <f t="shared" si="172"/>
        <v>9.9031995311379433</v>
      </c>
      <c r="AE79" s="41" t="str">
        <f t="shared" si="160"/>
        <v>X</v>
      </c>
      <c r="AF79" s="24">
        <f t="shared" si="173"/>
        <v>10.838394373655319</v>
      </c>
      <c r="AG79" s="41" t="str">
        <f t="shared" si="161"/>
        <v/>
      </c>
      <c r="AH79" s="24">
        <f t="shared" si="174"/>
        <v>10.060732483863831</v>
      </c>
      <c r="AI79" s="41" t="str">
        <f t="shared" si="162"/>
        <v/>
      </c>
      <c r="AJ79" s="24">
        <f t="shared" si="175"/>
        <v>0.7287898063659668</v>
      </c>
      <c r="AK79" s="41" t="str">
        <f t="shared" si="163"/>
        <v/>
      </c>
    </row>
    <row r="80" spans="1:37" ht="13.5" customHeight="1">
      <c r="A80" s="716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2" si="178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150"/>
        <v>0.99655390780037834</v>
      </c>
      <c r="L80" s="39" t="str">
        <f>INDEX(powers!$H$2:$H$75,33+J80)</f>
        <v>kily</v>
      </c>
      <c r="M80" s="40" t="str">
        <f t="shared" si="151"/>
        <v>0</v>
      </c>
      <c r="N80" s="24">
        <f t="shared" si="164"/>
        <v>11.95864689360454</v>
      </c>
      <c r="O80" s="41" t="str">
        <f t="shared" si="152"/>
        <v>E</v>
      </c>
      <c r="P80" s="24">
        <f t="shared" si="165"/>
        <v>11.503762723254475</v>
      </c>
      <c r="Q80" s="41" t="str">
        <f t="shared" si="153"/>
        <v>E</v>
      </c>
      <c r="R80" s="24">
        <f t="shared" si="166"/>
        <v>6.0451526790537002</v>
      </c>
      <c r="S80" s="41" t="str">
        <f t="shared" si="154"/>
        <v>6</v>
      </c>
      <c r="T80" s="24">
        <f t="shared" si="167"/>
        <v>0.54183214864440288</v>
      </c>
      <c r="U80" s="41" t="str">
        <f t="shared" si="155"/>
        <v>0</v>
      </c>
      <c r="V80" s="24">
        <f t="shared" si="168"/>
        <v>6.5019857837328345</v>
      </c>
      <c r="W80" s="41" t="str">
        <f t="shared" si="156"/>
        <v>6</v>
      </c>
      <c r="X80" s="24">
        <f t="shared" si="169"/>
        <v>6.0238294047940144</v>
      </c>
      <c r="Y80" s="41" t="str">
        <f t="shared" si="157"/>
        <v>6</v>
      </c>
      <c r="Z80" s="24">
        <f t="shared" si="170"/>
        <v>0.2859528575281729</v>
      </c>
      <c r="AA80" s="41" t="str">
        <f t="shared" si="158"/>
        <v>0</v>
      </c>
      <c r="AB80" s="24">
        <f t="shared" si="171"/>
        <v>3.4314342903380748</v>
      </c>
      <c r="AC80" s="41" t="str">
        <f t="shared" si="159"/>
        <v>3</v>
      </c>
      <c r="AD80" s="24">
        <f t="shared" si="172"/>
        <v>5.1772114840568975</v>
      </c>
      <c r="AE80" s="41" t="str">
        <f t="shared" si="160"/>
        <v>5</v>
      </c>
      <c r="AF80" s="24">
        <f t="shared" si="173"/>
        <v>2.1265378086827695</v>
      </c>
      <c r="AG80" s="41" t="str">
        <f t="shared" si="161"/>
        <v/>
      </c>
      <c r="AH80" s="24">
        <f t="shared" si="174"/>
        <v>1.5184537041932344</v>
      </c>
      <c r="AI80" s="41" t="str">
        <f t="shared" si="162"/>
        <v/>
      </c>
      <c r="AJ80" s="24">
        <f t="shared" si="175"/>
        <v>6.2214444503188133</v>
      </c>
      <c r="AK80" s="41" t="str">
        <f t="shared" si="163"/>
        <v/>
      </c>
    </row>
    <row r="81" spans="1:37" ht="13.5" customHeight="1">
      <c r="A81" s="716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78"/>
        <v>1;005E85686</v>
      </c>
      <c r="H81" s="37"/>
      <c r="I81" s="340"/>
      <c r="J81" s="38">
        <v>-3</v>
      </c>
      <c r="K81" s="61">
        <f t="shared" si="150"/>
        <v>1.0034580088168317</v>
      </c>
      <c r="L81" s="39" t="str">
        <f>INDEX(powers!$H$2:$H$75,33+J81)</f>
        <v>milly</v>
      </c>
      <c r="M81" s="40" t="str">
        <f t="shared" si="151"/>
        <v>1</v>
      </c>
      <c r="N81" s="24">
        <f t="shared" si="164"/>
        <v>4.1496105801980043E-2</v>
      </c>
      <c r="O81" s="41" t="str">
        <f t="shared" si="152"/>
        <v>0</v>
      </c>
      <c r="P81" s="24">
        <f t="shared" si="165"/>
        <v>0.49795326962376052</v>
      </c>
      <c r="Q81" s="41" t="str">
        <f t="shared" si="153"/>
        <v>0</v>
      </c>
      <c r="R81" s="24">
        <f t="shared" si="166"/>
        <v>5.9754392354851262</v>
      </c>
      <c r="S81" s="41" t="str">
        <f t="shared" si="154"/>
        <v>5</v>
      </c>
      <c r="T81" s="24">
        <f t="shared" si="167"/>
        <v>11.705270825821515</v>
      </c>
      <c r="U81" s="41" t="str">
        <f t="shared" si="155"/>
        <v>E</v>
      </c>
      <c r="V81" s="24">
        <f t="shared" si="168"/>
        <v>8.4632499098581775</v>
      </c>
      <c r="W81" s="41" t="str">
        <f t="shared" si="156"/>
        <v>8</v>
      </c>
      <c r="X81" s="24">
        <f t="shared" si="169"/>
        <v>5.5589989182981299</v>
      </c>
      <c r="Y81" s="41" t="str">
        <f t="shared" si="157"/>
        <v>5</v>
      </c>
      <c r="Z81" s="24">
        <f t="shared" si="170"/>
        <v>6.7079870195775584</v>
      </c>
      <c r="AA81" s="41" t="str">
        <f t="shared" si="158"/>
        <v>6</v>
      </c>
      <c r="AB81" s="24">
        <f t="shared" si="171"/>
        <v>8.4958442349307006</v>
      </c>
      <c r="AC81" s="41" t="str">
        <f t="shared" si="159"/>
        <v>8</v>
      </c>
      <c r="AD81" s="24">
        <f t="shared" si="172"/>
        <v>5.9501308191684075</v>
      </c>
      <c r="AE81" s="41" t="str">
        <f t="shared" si="160"/>
        <v>6</v>
      </c>
      <c r="AF81" s="24">
        <f t="shared" si="173"/>
        <v>11.40156983002089</v>
      </c>
      <c r="AG81" s="41" t="str">
        <f t="shared" si="161"/>
        <v/>
      </c>
      <c r="AH81" s="24">
        <f t="shared" si="174"/>
        <v>4.8188379602506757</v>
      </c>
      <c r="AI81" s="41" t="str">
        <f t="shared" si="162"/>
        <v/>
      </c>
      <c r="AJ81" s="24">
        <f t="shared" si="175"/>
        <v>9.8260555230081081</v>
      </c>
      <c r="AK81" s="41" t="str">
        <f t="shared" si="163"/>
        <v/>
      </c>
    </row>
    <row r="82" spans="1:37" ht="13.5" customHeight="1">
      <c r="A82" s="716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78"/>
        <v>0;E46922178</v>
      </c>
      <c r="H82" s="37"/>
      <c r="I82" s="340"/>
      <c r="J82" s="38">
        <v>5</v>
      </c>
      <c r="K82" s="61">
        <f t="shared" si="150"/>
        <v>0.94835944757261925</v>
      </c>
      <c r="L82" s="39" t="str">
        <f>INDEX(powers!$H$2:$H$75,33+J82)</f>
        <v>cosmic milly</v>
      </c>
      <c r="M82" s="40" t="str">
        <f t="shared" si="151"/>
        <v>0</v>
      </c>
      <c r="N82" s="24">
        <f t="shared" si="164"/>
        <v>11.380313370871431</v>
      </c>
      <c r="O82" s="41" t="str">
        <f t="shared" si="152"/>
        <v>E</v>
      </c>
      <c r="P82" s="24">
        <f t="shared" si="165"/>
        <v>4.5637604504571669</v>
      </c>
      <c r="Q82" s="41" t="str">
        <f t="shared" si="153"/>
        <v>4</v>
      </c>
      <c r="R82" s="24">
        <f t="shared" si="166"/>
        <v>6.7651254054860033</v>
      </c>
      <c r="S82" s="41" t="str">
        <f t="shared" si="154"/>
        <v>6</v>
      </c>
      <c r="T82" s="24">
        <f t="shared" si="167"/>
        <v>9.1815048658320393</v>
      </c>
      <c r="U82" s="41" t="str">
        <f t="shared" si="155"/>
        <v>9</v>
      </c>
      <c r="V82" s="24">
        <f t="shared" si="168"/>
        <v>2.1780583899844714</v>
      </c>
      <c r="W82" s="41" t="str">
        <f t="shared" si="156"/>
        <v>2</v>
      </c>
      <c r="X82" s="24">
        <f t="shared" si="169"/>
        <v>2.1367006798136572</v>
      </c>
      <c r="Y82" s="41" t="str">
        <f t="shared" si="157"/>
        <v>2</v>
      </c>
      <c r="Z82" s="24">
        <f t="shared" si="170"/>
        <v>1.6404081577638863</v>
      </c>
      <c r="AA82" s="41" t="str">
        <f t="shared" si="158"/>
        <v>1</v>
      </c>
      <c r="AB82" s="24">
        <f t="shared" si="171"/>
        <v>7.6848978931666352</v>
      </c>
      <c r="AC82" s="41" t="str">
        <f t="shared" si="159"/>
        <v>7</v>
      </c>
      <c r="AD82" s="24">
        <f t="shared" si="172"/>
        <v>8.2187747179996222</v>
      </c>
      <c r="AE82" s="41" t="str">
        <f t="shared" si="160"/>
        <v>8</v>
      </c>
      <c r="AF82" s="24">
        <f t="shared" si="173"/>
        <v>2.6252966159954667</v>
      </c>
      <c r="AG82" s="41" t="str">
        <f t="shared" si="161"/>
        <v/>
      </c>
      <c r="AH82" s="24">
        <f t="shared" si="174"/>
        <v>7.5035593919456005</v>
      </c>
      <c r="AI82" s="41" t="str">
        <f t="shared" si="162"/>
        <v/>
      </c>
      <c r="AJ82" s="24">
        <f t="shared" si="175"/>
        <v>6.0427127033472061</v>
      </c>
      <c r="AK82" s="41" t="str">
        <f t="shared" si="163"/>
        <v/>
      </c>
    </row>
    <row r="83" spans="1:37" ht="14.25" customHeight="1">
      <c r="A83" s="716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ref="G83:G88" si="179">M83&amp;";"&amp;O83&amp;Q83&amp;S83&amp;U83&amp;W83&amp;Y83&amp;AA83&amp;AC83&amp;AE83&amp;AG83&amp;AI83&amp;AK83</f>
        <v>1;07X1163X8</v>
      </c>
      <c r="H83" s="112"/>
      <c r="I83" s="341"/>
      <c r="J83" s="43">
        <v>-5</v>
      </c>
      <c r="K83" s="62">
        <f t="shared" si="150"/>
        <v>1.054452510131636</v>
      </c>
      <c r="L83" s="44" t="str">
        <f>INDEX(powers!$H$2:$H$75,33+J83)</f>
        <v>atomic kily</v>
      </c>
      <c r="M83" s="40" t="str">
        <f t="shared" si="151"/>
        <v>1</v>
      </c>
      <c r="N83" s="24">
        <f t="shared" ref="N83:N86" si="180">(K83-INT(K83))*12</f>
        <v>0.65343012157963187</v>
      </c>
      <c r="O83" s="41" t="str">
        <f t="shared" si="152"/>
        <v>0</v>
      </c>
      <c r="P83" s="24">
        <f t="shared" ref="P83:P86" si="181">(N83-INT(N83))*12</f>
        <v>7.8411614589555825</v>
      </c>
      <c r="Q83" s="41" t="str">
        <f t="shared" si="153"/>
        <v>7</v>
      </c>
      <c r="R83" s="24">
        <f t="shared" ref="R83:R86" si="182">(P83-INT(P83))*12</f>
        <v>10.09393750746699</v>
      </c>
      <c r="S83" s="41" t="str">
        <f t="shared" si="154"/>
        <v>X</v>
      </c>
      <c r="T83" s="24">
        <f t="shared" ref="T83:T86" si="183">(R83-INT(R83))*12</f>
        <v>1.1272500896038764</v>
      </c>
      <c r="U83" s="41" t="str">
        <f t="shared" si="155"/>
        <v>1</v>
      </c>
      <c r="V83" s="24">
        <f t="shared" ref="V83:V86" si="184">(T83-INT(T83))*12</f>
        <v>1.5270010752465168</v>
      </c>
      <c r="W83" s="41" t="str">
        <f t="shared" si="156"/>
        <v>1</v>
      </c>
      <c r="X83" s="24">
        <f t="shared" ref="X83:X86" si="185">(V83-INT(V83))*12</f>
        <v>6.3240129029582022</v>
      </c>
      <c r="Y83" s="41" t="str">
        <f t="shared" si="157"/>
        <v>6</v>
      </c>
      <c r="Z83" s="24">
        <f t="shared" ref="Z83:Z86" si="186">(X83-INT(X83))*12</f>
        <v>3.8881548354984261</v>
      </c>
      <c r="AA83" s="41" t="str">
        <f t="shared" si="158"/>
        <v>3</v>
      </c>
      <c r="AB83" s="24">
        <f t="shared" ref="AB83:AB86" si="187">(Z83-INT(Z83))*12</f>
        <v>10.657858025981113</v>
      </c>
      <c r="AC83" s="41" t="str">
        <f t="shared" si="159"/>
        <v>X</v>
      </c>
      <c r="AD83" s="24">
        <f t="shared" ref="AD83:AD86" si="188">(AB83-INT(AB83))*12</f>
        <v>7.8942963117733598</v>
      </c>
      <c r="AE83" s="41" t="str">
        <f t="shared" si="160"/>
        <v>8</v>
      </c>
      <c r="AF83" s="24">
        <f t="shared" ref="AF83:AF86" si="189">(AD83-INT(AD83))*12</f>
        <v>10.731555741280317</v>
      </c>
      <c r="AG83" s="41" t="str">
        <f t="shared" si="161"/>
        <v/>
      </c>
      <c r="AH83" s="24">
        <f t="shared" ref="AH83:AH86" si="190">(AF83-INT(AF83))*12</f>
        <v>8.7786688953638077</v>
      </c>
      <c r="AI83" s="41" t="str">
        <f t="shared" si="162"/>
        <v/>
      </c>
      <c r="AJ83" s="24">
        <f t="shared" ref="AJ83:AJ86" si="191">(AH83-INT(AH83))*12</f>
        <v>9.3440267443656921</v>
      </c>
      <c r="AK83" s="41" t="str">
        <f t="shared" si="163"/>
        <v/>
      </c>
    </row>
    <row r="84" spans="1:37" ht="14.25" customHeight="1">
      <c r="A84" s="716"/>
      <c r="B84" s="30" t="s">
        <v>1432</v>
      </c>
      <c r="C84" s="30"/>
      <c r="D84" s="29"/>
      <c r="E84" s="30">
        <v>11</v>
      </c>
      <c r="F84" s="29">
        <v>1836.15267245</v>
      </c>
      <c r="G84" s="112" t="str">
        <f t="shared" ref="G84" si="192">M84&amp;";"&amp;O84&amp;Q84&amp;S84&amp;U84&amp;W84&amp;Y84&amp;AA84&amp;AC84&amp;AE84&amp;AG84&amp;AI84&amp;AK84</f>
        <v>1;09019E9995E</v>
      </c>
      <c r="H84" s="112"/>
      <c r="I84" s="341"/>
      <c r="J84" s="43">
        <v>3</v>
      </c>
      <c r="K84" s="62">
        <f t="shared" ref="K84" si="193">F84/POWER(12,J84)</f>
        <v>1.0625883521122685</v>
      </c>
      <c r="L84" s="44" t="str">
        <f>INDEX(powers!$H$2:$H$75,33+J84)</f>
        <v>kily</v>
      </c>
      <c r="M84" s="40" t="str">
        <f t="shared" ref="M84" si="194">IF($E84&gt;=M$31,MID($J$31,IF($E84&gt;M$31,INT(K84),ROUND(K84,0))+1,1),"")</f>
        <v>1</v>
      </c>
      <c r="N84" s="24">
        <f t="shared" ref="N84" si="195">(K84-INT(K84))*12</f>
        <v>0.7510602253472225</v>
      </c>
      <c r="O84" s="41" t="str">
        <f t="shared" ref="O84" si="196">IF($E84&gt;=O$31,MID($J$31,IF($E84&gt;O$31,INT(N84),ROUND(N84,0))+1,1),"")</f>
        <v>0</v>
      </c>
      <c r="P84" s="24">
        <f t="shared" ref="P84" si="197">(N84-INT(N84))*12</f>
        <v>9.01272270416667</v>
      </c>
      <c r="Q84" s="41" t="str">
        <f t="shared" ref="Q84" si="198">IF($E84&gt;=Q$31,MID($J$31,IF($E84&gt;Q$31,INT(P84),ROUND(P84,0))+1,1),"")</f>
        <v>9</v>
      </c>
      <c r="R84" s="24">
        <f t="shared" ref="R84" si="199">(P84-INT(P84))*12</f>
        <v>0.15267245000003982</v>
      </c>
      <c r="S84" s="41" t="str">
        <f t="shared" ref="S84" si="200">IF($E84&gt;=S$31,MID($J$31,IF($E84&gt;S$31,INT(R84),ROUND(R84,0))+1,1),"")</f>
        <v>0</v>
      </c>
      <c r="T84" s="24">
        <f t="shared" ref="T84" si="201">(R84-INT(R84))*12</f>
        <v>1.8320694000004778</v>
      </c>
      <c r="U84" s="41" t="str">
        <f t="shared" ref="U84" si="202">IF($E84&gt;=U$31,MID($J$31,IF($E84&gt;U$31,INT(T84),ROUND(T84,0))+1,1),"")</f>
        <v>1</v>
      </c>
      <c r="V84" s="24">
        <f t="shared" ref="V84" si="203">(T84-INT(T84))*12</f>
        <v>9.9848328000057336</v>
      </c>
      <c r="W84" s="41" t="str">
        <f t="shared" ref="W84" si="204">IF($E84&gt;=W$31,MID($J$31,IF($E84&gt;W$31,INT(V84),ROUND(V84,0))+1,1),"")</f>
        <v>9</v>
      </c>
      <c r="X84" s="24">
        <f t="shared" ref="X84" si="205">(V84-INT(V84))*12</f>
        <v>11.817993600068803</v>
      </c>
      <c r="Y84" s="41" t="str">
        <f t="shared" ref="Y84" si="206">IF($E84&gt;=Y$31,MID($J$31,IF($E84&gt;Y$31,INT(X84),ROUND(X84,0))+1,1),"")</f>
        <v>E</v>
      </c>
      <c r="Z84" s="24">
        <f t="shared" ref="Z84" si="207">(X84-INT(X84))*12</f>
        <v>9.8159232008256367</v>
      </c>
      <c r="AA84" s="41" t="str">
        <f t="shared" ref="AA84" si="208">IF($E84&gt;=AA$31,MID($J$31,IF($E84&gt;AA$31,INT(Z84),ROUND(Z84,0))+1,1),"")</f>
        <v>9</v>
      </c>
      <c r="AB84" s="24">
        <f t="shared" ref="AB84" si="209">(Z84-INT(Z84))*12</f>
        <v>9.7910784099076409</v>
      </c>
      <c r="AC84" s="41" t="str">
        <f t="shared" ref="AC84" si="210">IF($E84&gt;=AC$31,MID($J$31,IF($E84&gt;AC$31,INT(AB84),ROUND(AB84,0))+1,1),"")</f>
        <v>9</v>
      </c>
      <c r="AD84" s="24">
        <f t="shared" ref="AD84" si="211">(AB84-INT(AB84))*12</f>
        <v>9.4929409188916907</v>
      </c>
      <c r="AE84" s="41" t="str">
        <f t="shared" ref="AE84" si="212">IF($E84&gt;=AE$31,MID($J$31,IF($E84&gt;AE$31,INT(AD84),ROUND(AD84,0))+1,1),"")</f>
        <v>9</v>
      </c>
      <c r="AF84" s="24">
        <f t="shared" ref="AF84" si="213">(AD84-INT(AD84))*12</f>
        <v>5.9152910267002881</v>
      </c>
      <c r="AG84" s="41" t="str">
        <f t="shared" ref="AG84" si="214">IF($E84&gt;=AG$31,MID($J$31,IF($E84&gt;AG$31,INT(AF84),ROUND(AF84,0))+1,1),"")</f>
        <v>5</v>
      </c>
      <c r="AH84" s="24">
        <f t="shared" ref="AH84" si="215">(AF84-INT(AF84))*12</f>
        <v>10.983492320403457</v>
      </c>
      <c r="AI84" s="41" t="str">
        <f t="shared" ref="AI84" si="216">IF($E84&gt;=AI$31,MID($J$31,IF($E84&gt;AI$31,INT(AH84),ROUND(AH84,0))+1,1),"")</f>
        <v>E</v>
      </c>
      <c r="AJ84" s="24">
        <f t="shared" ref="AJ84" si="217">(AH84-INT(AH84))*12</f>
        <v>11.80190784484148</v>
      </c>
      <c r="AK84" s="41" t="str">
        <f t="shared" ref="AK84" si="218">IF($E84&gt;=AK$31,MID($J$31,IF($E84&gt;AK$31,INT(AJ84),ROUND(AJ84,0))+1,1),"")</f>
        <v/>
      </c>
    </row>
    <row r="85" spans="1:37" ht="14.25" customHeight="1">
      <c r="A85" s="716"/>
      <c r="B85" s="30" t="s">
        <v>1433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ref="G85" si="219">M85&amp;";"&amp;O85&amp;Q85&amp;S85&amp;U85&amp;W85&amp;Y85&amp;AA85&amp;AC85&amp;AE85&amp;AG85&amp;AI85&amp;AK85</f>
        <v>1;001XXX0E449</v>
      </c>
      <c r="H85" s="112"/>
      <c r="I85" s="341"/>
      <c r="J85" s="43">
        <v>49</v>
      </c>
      <c r="K85" s="62">
        <f t="shared" ref="K85" si="220">F85/POWER(12,J85)</f>
        <v>1.0011045199619639</v>
      </c>
      <c r="L85" s="44" t="s">
        <v>1670</v>
      </c>
      <c r="M85" s="40" t="str">
        <f t="shared" ref="M85" si="221">IF($E85&gt;=M$31,MID($J$31,IF($E85&gt;M$31,INT(K85),ROUND(K85,0))+1,1),"")</f>
        <v>1</v>
      </c>
      <c r="N85" s="24">
        <f t="shared" ref="N85" si="222">(K85-INT(K85))*12</f>
        <v>1.3254239543567081E-2</v>
      </c>
      <c r="O85" s="41" t="str">
        <f t="shared" ref="O85" si="223">IF($E85&gt;=O$31,MID($J$31,IF($E85&gt;O$31,INT(N85),ROUND(N85,0))+1,1),"")</f>
        <v>0</v>
      </c>
      <c r="P85" s="24">
        <f t="shared" ref="P85" si="224">(N85-INT(N85))*12</f>
        <v>0.15905087452280497</v>
      </c>
      <c r="Q85" s="41" t="str">
        <f t="shared" ref="Q85" si="225">IF($E85&gt;=Q$31,MID($J$31,IF($E85&gt;Q$31,INT(P85),ROUND(P85,0))+1,1),"")</f>
        <v>0</v>
      </c>
      <c r="R85" s="24">
        <f t="shared" ref="R85" si="226">(P85-INT(P85))*12</f>
        <v>1.9086104942736597</v>
      </c>
      <c r="S85" s="41" t="str">
        <f t="shared" ref="S85" si="227">IF($E85&gt;=S$31,MID($J$31,IF($E85&gt;S$31,INT(R85),ROUND(R85,0))+1,1),"")</f>
        <v>1</v>
      </c>
      <c r="T85" s="24">
        <f t="shared" ref="T85" si="228">(R85-INT(R85))*12</f>
        <v>10.903325931283916</v>
      </c>
      <c r="U85" s="41" t="str">
        <f t="shared" ref="U85" si="229">IF($E85&gt;=U$31,MID($J$31,IF($E85&gt;U$31,INT(T85),ROUND(T85,0))+1,1),"")</f>
        <v>X</v>
      </c>
      <c r="V85" s="24">
        <f t="shared" ref="V85" si="230">(T85-INT(T85))*12</f>
        <v>10.839911175406996</v>
      </c>
      <c r="W85" s="41" t="str">
        <f t="shared" ref="W85" si="231">IF($E85&gt;=W$31,MID($J$31,IF($E85&gt;W$31,INT(V85),ROUND(V85,0))+1,1),"")</f>
        <v>X</v>
      </c>
      <c r="X85" s="24">
        <f t="shared" ref="X85" si="232">(V85-INT(V85))*12</f>
        <v>10.078934104883956</v>
      </c>
      <c r="Y85" s="41" t="str">
        <f t="shared" ref="Y85" si="233">IF($E85&gt;=Y$31,MID($J$31,IF($E85&gt;Y$31,INT(X85),ROUND(X85,0))+1,1),"")</f>
        <v>X</v>
      </c>
      <c r="Z85" s="24">
        <f t="shared" ref="Z85" si="234">(X85-INT(X85))*12</f>
        <v>0.94720925860747229</v>
      </c>
      <c r="AA85" s="41" t="str">
        <f t="shared" ref="AA85" si="235">IF($E85&gt;=AA$31,MID($J$31,IF($E85&gt;AA$31,INT(Z85),ROUND(Z85,0))+1,1),"")</f>
        <v>0</v>
      </c>
      <c r="AB85" s="24">
        <f t="shared" ref="AB85" si="236">(Z85-INT(Z85))*12</f>
        <v>11.366511103289668</v>
      </c>
      <c r="AC85" s="41" t="str">
        <f t="shared" ref="AC85" si="237">IF($E85&gt;=AC$31,MID($J$31,IF($E85&gt;AC$31,INT(AB85),ROUND(AB85,0))+1,1),"")</f>
        <v>E</v>
      </c>
      <c r="AD85" s="24">
        <f t="shared" ref="AD85" si="238">(AB85-INT(AB85))*12</f>
        <v>4.3981332394760102</v>
      </c>
      <c r="AE85" s="41" t="str">
        <f t="shared" ref="AE85" si="239">IF($E85&gt;=AE$31,MID($J$31,IF($E85&gt;AE$31,INT(AD85),ROUND(AD85,0))+1,1),"")</f>
        <v>4</v>
      </c>
      <c r="AF85" s="24">
        <f t="shared" ref="AF85" si="240">(AD85-INT(AD85))*12</f>
        <v>4.7775988737121224</v>
      </c>
      <c r="AG85" s="41" t="str">
        <f t="shared" ref="AG85" si="241">IF($E85&gt;=AG$31,MID($J$31,IF($E85&gt;AG$31,INT(AF85),ROUND(AF85,0))+1,1),"")</f>
        <v>4</v>
      </c>
      <c r="AH85" s="24">
        <f t="shared" ref="AH85" si="242">(AF85-INT(AF85))*12</f>
        <v>9.3311864845454693</v>
      </c>
      <c r="AI85" s="41" t="str">
        <f t="shared" ref="AI85" si="243">IF($E85&gt;=AI$31,MID($J$31,IF($E85&gt;AI$31,INT(AH85),ROUND(AH85,0))+1,1),"")</f>
        <v>9</v>
      </c>
      <c r="AJ85" s="24">
        <f t="shared" ref="AJ85" si="244">(AH85-INT(AH85))*12</f>
        <v>3.9742378145456314</v>
      </c>
      <c r="AK85" s="41" t="str">
        <f t="shared" ref="AK85" si="245">IF($E85&gt;=AK$31,MID($J$31,IF($E85&gt;AK$31,INT(AJ85),ROUND(AJ85,0))+1,1),"")</f>
        <v/>
      </c>
    </row>
    <row r="86" spans="1:37" ht="14.25" customHeight="1">
      <c r="A86" s="716"/>
      <c r="B86" s="30" t="s">
        <v>372</v>
      </c>
      <c r="C86" s="30"/>
      <c r="D86" s="29"/>
      <c r="E86" s="30">
        <v>12</v>
      </c>
      <c r="F86" s="29">
        <f>POWER(2,43)</f>
        <v>8796093022208</v>
      </c>
      <c r="G86" s="112" t="str">
        <f t="shared" si="179"/>
        <v>0;EX08X990X0X8</v>
      </c>
      <c r="H86" s="112"/>
      <c r="I86" s="341"/>
      <c r="J86" s="43">
        <v>12</v>
      </c>
      <c r="K86" s="62">
        <f t="shared" si="150"/>
        <v>0.98654036854514426</v>
      </c>
      <c r="L86" s="44" t="str">
        <f>INDEX(powers!$H$2:$H$75,33+J86)</f>
        <v>cosmic super</v>
      </c>
      <c r="M86" s="40" t="str">
        <f t="shared" si="151"/>
        <v>0</v>
      </c>
      <c r="N86" s="24">
        <f t="shared" si="180"/>
        <v>11.838484422541731</v>
      </c>
      <c r="O86" s="41" t="str">
        <f t="shared" si="152"/>
        <v>E</v>
      </c>
      <c r="P86" s="24">
        <f t="shared" si="181"/>
        <v>10.061813070500769</v>
      </c>
      <c r="Q86" s="41" t="str">
        <f t="shared" si="153"/>
        <v>X</v>
      </c>
      <c r="R86" s="24">
        <f t="shared" si="182"/>
        <v>0.74175684600922409</v>
      </c>
      <c r="S86" s="41" t="str">
        <f t="shared" si="154"/>
        <v>0</v>
      </c>
      <c r="T86" s="24">
        <f t="shared" si="183"/>
        <v>8.9010821521106891</v>
      </c>
      <c r="U86" s="41" t="str">
        <f t="shared" si="155"/>
        <v>8</v>
      </c>
      <c r="V86" s="24">
        <f t="shared" si="184"/>
        <v>10.812985825328269</v>
      </c>
      <c r="W86" s="41" t="str">
        <f t="shared" si="156"/>
        <v>X</v>
      </c>
      <c r="X86" s="24">
        <f t="shared" si="185"/>
        <v>9.7558299039392296</v>
      </c>
      <c r="Y86" s="41" t="str">
        <f t="shared" si="157"/>
        <v>9</v>
      </c>
      <c r="Z86" s="24">
        <f t="shared" si="186"/>
        <v>9.0699588472707546</v>
      </c>
      <c r="AA86" s="41" t="str">
        <f t="shared" si="158"/>
        <v>9</v>
      </c>
      <c r="AB86" s="24">
        <f t="shared" si="187"/>
        <v>0.83950616724905558</v>
      </c>
      <c r="AC86" s="41" t="str">
        <f t="shared" si="159"/>
        <v>0</v>
      </c>
      <c r="AD86" s="24">
        <f t="shared" si="188"/>
        <v>10.074074006988667</v>
      </c>
      <c r="AE86" s="41" t="str">
        <f t="shared" si="160"/>
        <v>X</v>
      </c>
      <c r="AF86" s="24">
        <f t="shared" si="189"/>
        <v>0.88888808386400342</v>
      </c>
      <c r="AG86" s="41" t="str">
        <f t="shared" si="161"/>
        <v>0</v>
      </c>
      <c r="AH86" s="24">
        <f t="shared" si="190"/>
        <v>10.666657006368041</v>
      </c>
      <c r="AI86" s="41" t="str">
        <f t="shared" si="162"/>
        <v>X</v>
      </c>
      <c r="AJ86" s="24">
        <f t="shared" si="191"/>
        <v>7.9998840764164925</v>
      </c>
      <c r="AK86" s="41" t="str">
        <f t="shared" si="163"/>
        <v>8</v>
      </c>
    </row>
    <row r="87" spans="1:37" ht="14.25" customHeight="1">
      <c r="A87" s="716"/>
      <c r="B87" s="30" t="s">
        <v>682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ref="G87" si="246">M87&amp;";"&amp;O87&amp;Q87&amp;S87&amp;U87&amp;W87&amp;Y87&amp;AA87&amp;AC87&amp;AE87&amp;AG87&amp;AI87&amp;AK87</f>
        <v>4;68X10E696900</v>
      </c>
      <c r="H87" s="112"/>
      <c r="I87" s="341"/>
      <c r="J87" s="43">
        <v>2</v>
      </c>
      <c r="K87" s="62">
        <f t="shared" si="150"/>
        <v>4.5613946914672852</v>
      </c>
      <c r="L87" s="44" t="str">
        <f>INDEX(powers!$H$2:$H$75,33+J87)</f>
        <v>hecty</v>
      </c>
      <c r="M87" s="40" t="str">
        <f t="shared" si="151"/>
        <v>4</v>
      </c>
      <c r="N87" s="24">
        <f t="shared" ref="N87" si="247">(K87-INT(K87))*12</f>
        <v>6.7367362976074219</v>
      </c>
      <c r="O87" s="41" t="str">
        <f t="shared" si="152"/>
        <v>6</v>
      </c>
      <c r="P87" s="24">
        <f t="shared" ref="P87" si="248">(N87-INT(N87))*12</f>
        <v>8.8408355712890625</v>
      </c>
      <c r="Q87" s="41" t="str">
        <f t="shared" si="153"/>
        <v>8</v>
      </c>
      <c r="R87" s="24">
        <f t="shared" ref="R87" si="249">(P87-INT(P87))*12</f>
        <v>10.09002685546875</v>
      </c>
      <c r="S87" s="41" t="str">
        <f t="shared" si="154"/>
        <v>X</v>
      </c>
      <c r="T87" s="24">
        <f t="shared" ref="T87" si="250">(R87-INT(R87))*12</f>
        <v>1.080322265625</v>
      </c>
      <c r="U87" s="41" t="str">
        <f t="shared" si="155"/>
        <v>1</v>
      </c>
      <c r="V87" s="24">
        <f t="shared" ref="V87" si="251">(T87-INT(T87))*12</f>
        <v>0.9638671875</v>
      </c>
      <c r="W87" s="41" t="str">
        <f t="shared" si="156"/>
        <v>0</v>
      </c>
      <c r="X87" s="24">
        <f t="shared" ref="X87" si="252">(V87-INT(V87))*12</f>
        <v>11.56640625</v>
      </c>
      <c r="Y87" s="41" t="str">
        <f t="shared" si="157"/>
        <v>E</v>
      </c>
      <c r="Z87" s="24">
        <f t="shared" ref="Z87" si="253">(X87-INT(X87))*12</f>
        <v>6.796875</v>
      </c>
      <c r="AA87" s="41" t="str">
        <f t="shared" si="158"/>
        <v>6</v>
      </c>
      <c r="AB87" s="24">
        <f t="shared" ref="AB87" si="254">(Z87-INT(Z87))*12</f>
        <v>9.5625</v>
      </c>
      <c r="AC87" s="41" t="str">
        <f t="shared" si="159"/>
        <v>9</v>
      </c>
      <c r="AD87" s="24">
        <f t="shared" ref="AD87" si="255">(AB87-INT(AB87))*12</f>
        <v>6.75</v>
      </c>
      <c r="AE87" s="41" t="str">
        <f t="shared" si="160"/>
        <v>6</v>
      </c>
      <c r="AF87" s="24">
        <f t="shared" ref="AF87" si="256">(AD87-INT(AD87))*12</f>
        <v>9</v>
      </c>
      <c r="AG87" s="41" t="str">
        <f t="shared" si="161"/>
        <v>9</v>
      </c>
      <c r="AH87" s="24">
        <f t="shared" ref="AH87" si="257">(AF87-INT(AF87))*12</f>
        <v>0</v>
      </c>
      <c r="AI87" s="41" t="str">
        <f t="shared" si="162"/>
        <v>0</v>
      </c>
      <c r="AJ87" s="24">
        <f t="shared" ref="AJ87" si="258">(AH87-INT(AH87))*12</f>
        <v>0</v>
      </c>
      <c r="AK87" s="41" t="str">
        <f t="shared" si="163"/>
        <v>0</v>
      </c>
    </row>
    <row r="88" spans="1:37" ht="14.25" customHeight="1" thickBot="1">
      <c r="A88" s="717"/>
      <c r="B88" s="33" t="s">
        <v>373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79"/>
        <v>0;EE17EX582521</v>
      </c>
      <c r="H88" s="47"/>
      <c r="I88" s="342"/>
      <c r="J88" s="48">
        <v>-4</v>
      </c>
      <c r="K88" s="63">
        <f t="shared" si="150"/>
        <v>0.99401955054989555</v>
      </c>
      <c r="L88" s="49" t="str">
        <f>INDEX(powers!$H$2:$H$75,33+J88)</f>
        <v>sub</v>
      </c>
      <c r="M88" s="40" t="str">
        <f t="shared" si="151"/>
        <v>0</v>
      </c>
      <c r="N88" s="24">
        <f t="shared" si="164"/>
        <v>11.928234606598746</v>
      </c>
      <c r="O88" s="41" t="str">
        <f t="shared" si="152"/>
        <v>E</v>
      </c>
      <c r="P88" s="24">
        <f t="shared" si="165"/>
        <v>11.138815279184954</v>
      </c>
      <c r="Q88" s="41" t="str">
        <f t="shared" si="153"/>
        <v>E</v>
      </c>
      <c r="R88" s="24">
        <f t="shared" si="166"/>
        <v>1.6657833502194421</v>
      </c>
      <c r="S88" s="41" t="str">
        <f t="shared" si="154"/>
        <v>1</v>
      </c>
      <c r="T88" s="24">
        <f t="shared" si="167"/>
        <v>7.9894002026333055</v>
      </c>
      <c r="U88" s="41" t="str">
        <f t="shared" si="155"/>
        <v>7</v>
      </c>
      <c r="V88" s="24">
        <f t="shared" si="168"/>
        <v>11.872802431599666</v>
      </c>
      <c r="W88" s="41" t="str">
        <f t="shared" si="156"/>
        <v>E</v>
      </c>
      <c r="X88" s="24">
        <f t="shared" si="169"/>
        <v>10.473629179195996</v>
      </c>
      <c r="Y88" s="41" t="str">
        <f t="shared" si="157"/>
        <v>X</v>
      </c>
      <c r="Z88" s="24">
        <f t="shared" si="170"/>
        <v>5.6835501503519481</v>
      </c>
      <c r="AA88" s="41" t="str">
        <f t="shared" si="158"/>
        <v>5</v>
      </c>
      <c r="AB88" s="24">
        <f t="shared" si="171"/>
        <v>8.2026018042233773</v>
      </c>
      <c r="AC88" s="41" t="str">
        <f t="shared" si="159"/>
        <v>8</v>
      </c>
      <c r="AD88" s="24">
        <f t="shared" si="172"/>
        <v>2.4312216506805271</v>
      </c>
      <c r="AE88" s="41" t="str">
        <f t="shared" si="160"/>
        <v>2</v>
      </c>
      <c r="AF88" s="24">
        <f t="shared" si="173"/>
        <v>5.1746598081663251</v>
      </c>
      <c r="AG88" s="41" t="str">
        <f t="shared" si="161"/>
        <v>5</v>
      </c>
      <c r="AH88" s="24">
        <f t="shared" si="174"/>
        <v>2.0959176979959011</v>
      </c>
      <c r="AI88" s="41" t="str">
        <f t="shared" si="162"/>
        <v>2</v>
      </c>
      <c r="AJ88" s="24">
        <f t="shared" si="175"/>
        <v>1.1510123759508133</v>
      </c>
      <c r="AK88" s="41" t="str">
        <f t="shared" si="163"/>
        <v>1</v>
      </c>
    </row>
    <row r="89" spans="1:37">
      <c r="K89" s="79"/>
      <c r="L89" s="79"/>
      <c r="M89" s="79"/>
    </row>
    <row r="90" spans="1:37" ht="15" customHeight="1">
      <c r="B90" s="3" t="s">
        <v>269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2984358.6674706279</v>
      </c>
      <c r="G90" s="142" t="str">
        <f t="shared" ref="G90" si="259">M90&amp;";"&amp;O90&amp;Q90&amp;S90&amp;U90&amp;W90&amp;Y90&amp;AA90&amp;AC90&amp;AE90&amp;AG90&amp;AI90&amp;AK90</f>
        <v>0;EEE086801481</v>
      </c>
      <c r="H90" s="142"/>
      <c r="I90" s="344"/>
      <c r="J90" s="38">
        <v>6</v>
      </c>
      <c r="K90" s="61">
        <f>F90/POWER(12,J90)</f>
        <v>0.99945567942448044</v>
      </c>
      <c r="L90" s="39" t="str">
        <f>INDEX(powers!$H$2:$H$75,33+J90)</f>
        <v>cosmic centy</v>
      </c>
      <c r="M90" s="40" t="str">
        <f>IF($E90&gt;=M$31,MID($J$31,IF($E90&gt;M$31,INT(K90),ROUND(K90,0))+1,1),"")</f>
        <v>0</v>
      </c>
      <c r="N90" s="24">
        <f t="shared" ref="N90" si="260">(K90-INT(K90))*12</f>
        <v>11.993468153093765</v>
      </c>
      <c r="O90" s="41" t="str">
        <f>IF($E90&gt;=O$31,MID($J$31,IF($E90&gt;O$31,INT(N90),ROUND(N90,0))+1,1),"")</f>
        <v>E</v>
      </c>
      <c r="P90" s="24">
        <f t="shared" ref="P90" si="261">(N90-INT(N90))*12</f>
        <v>11.921617837125183</v>
      </c>
      <c r="Q90" s="41" t="str">
        <f>IF($E90&gt;=Q$31,MID($J$31,IF($E90&gt;Q$31,INT(P90),ROUND(P90,0))+1,1),"")</f>
        <v>E</v>
      </c>
      <c r="R90" s="24">
        <f t="shared" ref="R90" si="262">(P90-INT(P90))*12</f>
        <v>11.059414045502194</v>
      </c>
      <c r="S90" s="41" t="str">
        <f>IF($E90&gt;=S$31,MID($J$31,IF($E90&gt;S$31,INT(R90),ROUND(R90,0))+1,1),"")</f>
        <v>E</v>
      </c>
      <c r="T90" s="24">
        <f t="shared" ref="T90" si="263">(R90-INT(R90))*12</f>
        <v>0.71296854602633175</v>
      </c>
      <c r="U90" s="41" t="str">
        <f>IF($E90&gt;=U$31,MID($J$31,IF($E90&gt;U$31,INT(T90),ROUND(T90,0))+1,1),"")</f>
        <v>0</v>
      </c>
      <c r="V90" s="24">
        <f t="shared" ref="V90" si="264">(T90-INT(T90))*12</f>
        <v>8.555622552315981</v>
      </c>
      <c r="W90" s="41" t="str">
        <f>IF($E90&gt;=W$31,MID($J$31,IF($E90&gt;W$31,INT(V90),ROUND(V90,0))+1,1),"")</f>
        <v>8</v>
      </c>
      <c r="X90" s="24">
        <f t="shared" ref="X90" si="265">(V90-INT(V90))*12</f>
        <v>6.6674706277917721</v>
      </c>
      <c r="Y90" s="41" t="str">
        <f>IF($E90&gt;=Y$31,MID($J$31,IF($E90&gt;Y$31,INT(X90),ROUND(X90,0))+1,1),"")</f>
        <v>6</v>
      </c>
      <c r="Z90" s="24">
        <f t="shared" ref="Z90" si="266">(X90-INT(X90))*12</f>
        <v>8.0096475335012656</v>
      </c>
      <c r="AA90" s="41" t="str">
        <f>IF($E90&gt;=AA$31,MID($J$31,IF($E90&gt;AA$31,INT(Z90),ROUND(Z90,0))+1,1),"")</f>
        <v>8</v>
      </c>
      <c r="AB90" s="24">
        <f t="shared" ref="AB90" si="267">(Z90-INT(Z90))*12</f>
        <v>0.11577040201518685</v>
      </c>
      <c r="AC90" s="41" t="str">
        <f>IF($E90&gt;=AC$31,MID($J$31,IF($E90&gt;AC$31,INT(AB90),ROUND(AB90,0))+1,1),"")</f>
        <v>0</v>
      </c>
      <c r="AD90" s="24">
        <f t="shared" ref="AD90" si="268">(AB90-INT(AB90))*12</f>
        <v>1.3892448241822422</v>
      </c>
      <c r="AE90" s="41" t="str">
        <f>IF($E90&gt;=AE$31,MID($J$31,IF($E90&gt;AE$31,INT(AD90),ROUND(AD90,0))+1,1),"")</f>
        <v>1</v>
      </c>
      <c r="AF90" s="24">
        <f t="shared" ref="AF90" si="269">(AD90-INT(AD90))*12</f>
        <v>4.6709378901869059</v>
      </c>
      <c r="AG90" s="41" t="str">
        <f>IF($E90&gt;=AG$31,MID($J$31,IF($E90&gt;AG$31,INT(AF90),ROUND(AF90,0))+1,1),"")</f>
        <v>4</v>
      </c>
      <c r="AH90" s="24">
        <f t="shared" ref="AH90" si="270">(AF90-INT(AF90))*12</f>
        <v>8.0512546822428703</v>
      </c>
      <c r="AI90" s="41" t="str">
        <f>IF($E90&gt;=AI$31,MID($J$31,IF($E90&gt;AI$31,INT(AH90),ROUND(AH90,0))+1,1),"")</f>
        <v>8</v>
      </c>
      <c r="AJ90" s="24">
        <f t="shared" ref="AJ90" si="271">(AH90-INT(AH90))*12</f>
        <v>0.61505618691444397</v>
      </c>
      <c r="AK90" s="41" t="str">
        <f>IF($E90&gt;=AK$31,MID($J$31,IF($E90&gt;AK$31,INT(AJ90),ROUND(AJ90,0))+1,1),"")</f>
        <v>1</v>
      </c>
    </row>
    <row r="91" spans="1:37">
      <c r="B91" s="141" t="s">
        <v>270</v>
      </c>
      <c r="D91" s="14">
        <f>1/(1+0.00054461702177)</f>
        <v>0.99945567942448077</v>
      </c>
    </row>
    <row r="92" spans="1:37">
      <c r="B92" s="301" t="s">
        <v>1295</v>
      </c>
      <c r="C92" s="301"/>
      <c r="D92" s="21">
        <f>R23</f>
        <v>0.96961964811418999</v>
      </c>
      <c r="E92" s="8">
        <v>7</v>
      </c>
      <c r="F92" s="21">
        <f>D92</f>
        <v>0.96961964811418999</v>
      </c>
      <c r="G92" s="142" t="str">
        <f t="shared" ref="G92" si="272">M92&amp;";"&amp;O92&amp;Q92&amp;S92&amp;U92&amp;W92&amp;Y92&amp;AA92&amp;AC92&amp;AE92&amp;AG92&amp;AI92&amp;AK92</f>
        <v>0;E776049</v>
      </c>
      <c r="H92" s="142"/>
      <c r="I92" s="344"/>
      <c r="J92" s="38">
        <v>0</v>
      </c>
      <c r="K92" s="61">
        <f>F92/POWER(12,J92)</f>
        <v>0.96961964811418999</v>
      </c>
      <c r="L92" s="39" t="str">
        <f>INDEX(powers!$H$2:$H$75,33+J92)</f>
        <v xml:space="preserve"> </v>
      </c>
      <c r="M92" s="40" t="str">
        <f>IF($E92&gt;=M$31,MID($J$31,IF($E92&gt;M$31,INT(K92),ROUND(K92,0))+1,1),"")</f>
        <v>0</v>
      </c>
      <c r="N92" s="24">
        <f t="shared" ref="N92" si="273">(K92-INT(K92))*12</f>
        <v>11.635435777370279</v>
      </c>
      <c r="O92" s="41" t="str">
        <f>IF($E92&gt;=O$31,MID($J$31,IF($E92&gt;O$31,INT(N92),ROUND(N92,0))+1,1),"")</f>
        <v>E</v>
      </c>
      <c r="P92" s="24">
        <f t="shared" ref="P92" si="274">(N92-INT(N92))*12</f>
        <v>7.6252293284433534</v>
      </c>
      <c r="Q92" s="41" t="str">
        <f>IF($E92&gt;=Q$31,MID($J$31,IF($E92&gt;Q$31,INT(P92),ROUND(P92,0))+1,1),"")</f>
        <v>7</v>
      </c>
      <c r="R92" s="24">
        <f t="shared" ref="R92" si="275">(P92-INT(P92))*12</f>
        <v>7.5027519413202413</v>
      </c>
      <c r="S92" s="41" t="str">
        <f>IF($E92&gt;=S$31,MID($J$31,IF($E92&gt;S$31,INT(R92),ROUND(R92,0))+1,1),"")</f>
        <v>7</v>
      </c>
      <c r="T92" s="24">
        <f t="shared" ref="T92" si="276">(R92-INT(R92))*12</f>
        <v>6.0330232958428951</v>
      </c>
      <c r="U92" s="41" t="str">
        <f>IF($E92&gt;=U$31,MID($J$31,IF($E92&gt;U$31,INT(T92),ROUND(T92,0))+1,1),"")</f>
        <v>6</v>
      </c>
      <c r="V92" s="24">
        <f t="shared" ref="V92" si="277">(T92-INT(T92))*12</f>
        <v>0.39627955011474114</v>
      </c>
      <c r="W92" s="41" t="str">
        <f>IF($E92&gt;=W$31,MID($J$31,IF($E92&gt;W$31,INT(V92),ROUND(V92,0))+1,1),"")</f>
        <v>0</v>
      </c>
      <c r="X92" s="24">
        <f t="shared" ref="X92" si="278">(V92-INT(V92))*12</f>
        <v>4.7553546013768937</v>
      </c>
      <c r="Y92" s="41" t="str">
        <f>IF($E92&gt;=Y$31,MID($J$31,IF($E92&gt;Y$31,INT(X92),ROUND(X92,0))+1,1),"")</f>
        <v>4</v>
      </c>
      <c r="Z92" s="24">
        <f t="shared" ref="Z92" si="279">(X92-INT(X92))*12</f>
        <v>9.0642552165227244</v>
      </c>
      <c r="AA92" s="41" t="str">
        <f>IF($E92&gt;=AA$31,MID($J$31,IF($E92&gt;AA$31,INT(Z92),ROUND(Z92,0))+1,1),"")</f>
        <v>9</v>
      </c>
      <c r="AB92" s="24">
        <f t="shared" ref="AB92" si="280">(Z92-INT(Z92))*12</f>
        <v>0.77106259827269241</v>
      </c>
      <c r="AC92" s="41" t="str">
        <f>IF($E92&gt;=AC$31,MID($J$31,IF($E92&gt;AC$31,INT(AB92),ROUND(AB92,0))+1,1),"")</f>
        <v/>
      </c>
      <c r="AD92" s="24">
        <f t="shared" ref="AD92" si="281">(AB92-INT(AB92))*12</f>
        <v>9.2527511792723089</v>
      </c>
      <c r="AE92" s="41" t="str">
        <f>IF($E92&gt;=AE$31,MID($J$31,IF($E92&gt;AE$31,INT(AD92),ROUND(AD92,0))+1,1),"")</f>
        <v/>
      </c>
      <c r="AF92" s="24">
        <f t="shared" ref="AF92" si="282">(AD92-INT(AD92))*12</f>
        <v>3.0330141512677073</v>
      </c>
      <c r="AG92" s="41" t="str">
        <f>IF($E92&gt;=AG$31,MID($J$31,IF($E92&gt;AG$31,INT(AF92),ROUND(AF92,0))+1,1),"")</f>
        <v/>
      </c>
      <c r="AH92" s="24">
        <f t="shared" ref="AH92" si="283">(AF92-INT(AF92))*12</f>
        <v>0.39616981521248817</v>
      </c>
      <c r="AI92" s="41" t="str">
        <f>IF($E92&gt;=AI$31,MID($J$31,IF($E92&gt;AI$31,INT(AH92),ROUND(AH92,0))+1,1),"")</f>
        <v/>
      </c>
      <c r="AJ92" s="24">
        <f t="shared" ref="AJ92" si="284">(AH92-INT(AH92))*12</f>
        <v>4.7540377825498581</v>
      </c>
      <c r="AK92" s="41" t="str">
        <f>IF($E92&gt;=AK$31,MID($J$31,IF($E92&gt;AK$31,INT(AJ92),ROUND(AJ92,0))+1,1),"")</f>
        <v/>
      </c>
    </row>
    <row r="93" spans="1:37">
      <c r="B93" s="350" t="s">
        <v>769</v>
      </c>
      <c r="C93" s="350"/>
      <c r="D93" s="21">
        <v>540000000000000</v>
      </c>
      <c r="E93" s="8">
        <v>7</v>
      </c>
      <c r="F93" s="21">
        <f>D93/F22</f>
        <v>210744461044423.06</v>
      </c>
      <c r="G93" s="142" t="str">
        <f t="shared" ref="G93" si="285">M93&amp;";"&amp;O93&amp;Q93&amp;S93&amp;U93&amp;W93&amp;Y93&amp;AA93&amp;AC93&amp;AE93&amp;AG93&amp;AI93&amp;AK93</f>
        <v>1;E777832</v>
      </c>
      <c r="H93" s="142"/>
      <c r="I93" s="344"/>
      <c r="J93" s="38">
        <v>13</v>
      </c>
      <c r="K93" s="61">
        <f>F93/POWER(12,J93)</f>
        <v>1.9696994804274266</v>
      </c>
      <c r="L93" s="39" t="str">
        <f>INDEX(powers!$H$2:$H$75,33+J93)</f>
        <v>di-cosmic milly</v>
      </c>
      <c r="M93" s="40" t="str">
        <f>IF($E93&gt;=M$31,MID($J$31,IF($E93&gt;M$31,INT(K93),ROUND(K93,0))+1,1),"")</f>
        <v>1</v>
      </c>
      <c r="N93" s="24">
        <f t="shared" ref="N93" si="286">(K93-INT(K93))*12</f>
        <v>11.636393765129119</v>
      </c>
      <c r="O93" s="41" t="str">
        <f>IF($E93&gt;=O$31,MID($J$31,IF($E93&gt;O$31,INT(N93),ROUND(N93,0))+1,1),"")</f>
        <v>E</v>
      </c>
      <c r="P93" s="24">
        <f t="shared" ref="P93" si="287">(N93-INT(N93))*12</f>
        <v>7.6367251815494299</v>
      </c>
      <c r="Q93" s="41" t="str">
        <f>IF($E93&gt;=Q$31,MID($J$31,IF($E93&gt;Q$31,INT(P93),ROUND(P93,0))+1,1),"")</f>
        <v>7</v>
      </c>
      <c r="R93" s="24">
        <f t="shared" ref="R93" si="288">(P93-INT(P93))*12</f>
        <v>7.640702178593159</v>
      </c>
      <c r="S93" s="41" t="str">
        <f>IF($E93&gt;=S$31,MID($J$31,IF($E93&gt;S$31,INT(R93),ROUND(R93,0))+1,1),"")</f>
        <v>7</v>
      </c>
      <c r="T93" s="24">
        <f t="shared" ref="T93" si="289">(R93-INT(R93))*12</f>
        <v>7.6884261431179084</v>
      </c>
      <c r="U93" s="41" t="str">
        <f>IF($E93&gt;=U$31,MID($J$31,IF($E93&gt;U$31,INT(T93),ROUND(T93,0))+1,1),"")</f>
        <v>7</v>
      </c>
      <c r="V93" s="24">
        <f t="shared" ref="V93" si="290">(T93-INT(T93))*12</f>
        <v>8.2611137174149007</v>
      </c>
      <c r="W93" s="41" t="str">
        <f>IF($E93&gt;=W$31,MID($J$31,IF($E93&gt;W$31,INT(V93),ROUND(V93,0))+1,1),"")</f>
        <v>8</v>
      </c>
      <c r="X93" s="24">
        <f t="shared" ref="X93" si="291">(V93-INT(V93))*12</f>
        <v>3.133364608978809</v>
      </c>
      <c r="Y93" s="41" t="str">
        <f>IF($E93&gt;=Y$31,MID($J$31,IF($E93&gt;Y$31,INT(X93),ROUND(X93,0))+1,1),"")</f>
        <v>3</v>
      </c>
      <c r="Z93" s="24">
        <f t="shared" ref="Z93" si="292">(X93-INT(X93))*12</f>
        <v>1.6003753077457077</v>
      </c>
      <c r="AA93" s="41" t="str">
        <f>IF($E93&gt;=AA$31,MID($J$31,IF($E93&gt;AA$31,INT(Z93),ROUND(Z93,0))+1,1),"")</f>
        <v>2</v>
      </c>
      <c r="AB93" s="24">
        <f t="shared" ref="AB93" si="293">(Z93-INT(Z93))*12</f>
        <v>7.2045036929484922</v>
      </c>
      <c r="AC93" s="41" t="str">
        <f>IF($E93&gt;=AC$31,MID($J$31,IF($E93&gt;AC$31,INT(AB93),ROUND(AB93,0))+1,1),"")</f>
        <v/>
      </c>
      <c r="AD93" s="24">
        <f t="shared" ref="AD93" si="294">(AB93-INT(AB93))*12</f>
        <v>2.4540443153819069</v>
      </c>
      <c r="AE93" s="41" t="str">
        <f>IF($E93&gt;=AE$31,MID($J$31,IF($E93&gt;AE$31,INT(AD93),ROUND(AD93,0))+1,1),"")</f>
        <v/>
      </c>
      <c r="AF93" s="24">
        <f t="shared" ref="AF93" si="295">(AD93-INT(AD93))*12</f>
        <v>5.4485317845828831</v>
      </c>
      <c r="AG93" s="41" t="str">
        <f>IF($E93&gt;=AG$31,MID($J$31,IF($E93&gt;AG$31,INT(AF93),ROUND(AF93,0))+1,1),"")</f>
        <v/>
      </c>
      <c r="AH93" s="24">
        <f t="shared" ref="AH93" si="296">(AF93-INT(AF93))*12</f>
        <v>5.3823814149945974</v>
      </c>
      <c r="AI93" s="41" t="str">
        <f>IF($E93&gt;=AI$31,MID($J$31,IF($E93&gt;AI$31,INT(AH93),ROUND(AH93,0))+1,1),"")</f>
        <v/>
      </c>
      <c r="AJ93" s="24">
        <f t="shared" ref="AJ93" si="297">(AH93-INT(AH93))*12</f>
        <v>4.5885769799351692</v>
      </c>
      <c r="AK93" s="41" t="str">
        <f>IF($E93&gt;=AK$31,MID($J$31,IF($E93&gt;AK$31,INT(AJ93),ROUND(AJ93,0))+1,1),"")</f>
        <v/>
      </c>
    </row>
    <row r="94" spans="1:37">
      <c r="B94" s="14" t="s">
        <v>1887</v>
      </c>
      <c r="D94" s="204">
        <f>F22*F94</f>
        <v>548306993392534.69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6" spans="1:37">
      <c r="B96" s="14" t="s">
        <v>669</v>
      </c>
      <c r="C96" s="14" t="s">
        <v>670</v>
      </c>
      <c r="D96" s="204">
        <f>D34</f>
        <v>10973731.568507999</v>
      </c>
      <c r="E96" s="8">
        <v>12</v>
      </c>
      <c r="F96" s="21">
        <f>D96*0.3048</f>
        <v>3344793.3820812381</v>
      </c>
      <c r="G96" s="142" t="str">
        <f t="shared" ref="G96" si="298">M96&amp;";"&amp;O96&amp;Q96&amp;S96&amp;U96&amp;W96&amp;Y96&amp;AA96&amp;AC96&amp;AE96&amp;AG96&amp;AI96&amp;AK96</f>
        <v>1;1537894702X0</v>
      </c>
      <c r="H96" s="112"/>
      <c r="I96" s="341"/>
      <c r="J96" s="38">
        <v>6</v>
      </c>
      <c r="K96" s="61">
        <f>F96/POWER(12,J96)</f>
        <v>1.1201645360729455</v>
      </c>
      <c r="L96" s="39" t="str">
        <f>INDEX(powers!$H$2:$H$75,33+J96)</f>
        <v>cosmic centy</v>
      </c>
      <c r="M96" s="40" t="str">
        <f>IF($E96&gt;=M$31,MID($J$31,IF($E96&gt;M$31,INT(K96),ROUND(K96,0))+1,1),"")</f>
        <v>1</v>
      </c>
      <c r="N96" s="24">
        <f t="shared" ref="N96" si="299">(K96-INT(K96))*12</f>
        <v>1.4419744328753463</v>
      </c>
      <c r="O96" s="41" t="str">
        <f>IF($E96&gt;=O$31,MID($J$31,IF($E96&gt;O$31,INT(N96),ROUND(N96,0))+1,1),"")</f>
        <v>1</v>
      </c>
      <c r="P96" s="24">
        <f t="shared" ref="P96" si="300">(N96-INT(N96))*12</f>
        <v>5.3036931945041559</v>
      </c>
      <c r="Q96" s="41" t="str">
        <f>IF($E96&gt;=Q$31,MID($J$31,IF($E96&gt;Q$31,INT(P96),ROUND(P96,0))+1,1),"")</f>
        <v>5</v>
      </c>
      <c r="R96" s="24">
        <f t="shared" ref="R96" si="301">(P96-INT(P96))*12</f>
        <v>3.6443183340498706</v>
      </c>
      <c r="S96" s="41" t="str">
        <f>IF($E96&gt;=S$31,MID($J$31,IF($E96&gt;S$31,INT(R96),ROUND(R96,0))+1,1),"")</f>
        <v>3</v>
      </c>
      <c r="T96" s="24">
        <f t="shared" ref="T96" si="302">(R96-INT(R96))*12</f>
        <v>7.7318200085984472</v>
      </c>
      <c r="U96" s="41" t="str">
        <f>IF($E96&gt;=U$31,MID($J$31,IF($E96&gt;U$31,INT(T96),ROUND(T96,0))+1,1),"")</f>
        <v>7</v>
      </c>
      <c r="V96" s="24">
        <f t="shared" ref="V96" si="303">(T96-INT(T96))*12</f>
        <v>8.7818401031813664</v>
      </c>
      <c r="W96" s="41" t="str">
        <f>IF($E96&gt;=W$31,MID($J$31,IF($E96&gt;W$31,INT(V96),ROUND(V96,0))+1,1),"")</f>
        <v>8</v>
      </c>
      <c r="X96" s="24">
        <f t="shared" ref="X96" si="304">(V96-INT(V96))*12</f>
        <v>9.3820812381763972</v>
      </c>
      <c r="Y96" s="41" t="str">
        <f>IF($E96&gt;=Y$31,MID($J$31,IF($E96&gt;Y$31,INT(X96),ROUND(X96,0))+1,1),"")</f>
        <v>9</v>
      </c>
      <c r="Z96" s="24">
        <f t="shared" ref="Z96" si="305">(X96-INT(X96))*12</f>
        <v>4.584974858116766</v>
      </c>
      <c r="AA96" s="41" t="str">
        <f>IF($E96&gt;=AA$31,MID($J$31,IF($E96&gt;AA$31,INT(Z96),ROUND(Z96,0))+1,1),"")</f>
        <v>4</v>
      </c>
      <c r="AB96" s="24">
        <f t="shared" ref="AB96" si="306">(Z96-INT(Z96))*12</f>
        <v>7.0196982974011917</v>
      </c>
      <c r="AC96" s="41" t="str">
        <f>IF($E96&gt;=AC$31,MID($J$31,IF($E96&gt;AC$31,INT(AB96),ROUND(AB96,0))+1,1),"")</f>
        <v>7</v>
      </c>
      <c r="AD96" s="24">
        <f t="shared" ref="AD96" si="307">(AB96-INT(AB96))*12</f>
        <v>0.2363795688143</v>
      </c>
      <c r="AE96" s="41" t="str">
        <f>IF($E96&gt;=AE$31,MID($J$31,IF($E96&gt;AE$31,INT(AD96),ROUND(AD96,0))+1,1),"")</f>
        <v>0</v>
      </c>
      <c r="AF96" s="24">
        <f t="shared" ref="AF96" si="308">(AD96-INT(AD96))*12</f>
        <v>2.8365548257716</v>
      </c>
      <c r="AG96" s="41" t="str">
        <f>IF($E96&gt;=AG$31,MID($J$31,IF($E96&gt;AG$31,INT(AF96),ROUND(AF96,0))+1,1),"")</f>
        <v>2</v>
      </c>
      <c r="AH96" s="24">
        <f t="shared" ref="AH96" si="309">(AF96-INT(AF96))*12</f>
        <v>10.0386579092592</v>
      </c>
      <c r="AI96" s="41" t="str">
        <f>IF($E96&gt;=AI$31,MID($J$31,IF($E96&gt;AI$31,INT(AH96),ROUND(AH96,0))+1,1),"")</f>
        <v>X</v>
      </c>
      <c r="AJ96" s="24">
        <f t="shared" ref="AJ96" si="310">(AH96-INT(AH96))*12</f>
        <v>0.46389491111040115</v>
      </c>
      <c r="AK96" s="41" t="str">
        <f>IF($E96&gt;=AK$31,MID($J$31,IF($E96&gt;AK$31,INT(AJ96),ROUND(AJ96,0))+1,1),"")</f>
        <v>0</v>
      </c>
    </row>
    <row r="97" spans="2:37">
      <c r="B97" s="14" t="s">
        <v>673</v>
      </c>
      <c r="C97" s="14" t="s">
        <v>674</v>
      </c>
      <c r="D97" s="204">
        <f>D40</f>
        <v>5.2917721067E-11</v>
      </c>
      <c r="E97" s="8">
        <v>9</v>
      </c>
      <c r="F97" s="21">
        <f>D97/0.3048</f>
        <v>1.7361457042979002E-10</v>
      </c>
      <c r="G97" s="142" t="str">
        <f t="shared" ref="G97" si="311">M97&amp;";"&amp;O97&amp;Q97&amp;S97&amp;U97&amp;W97&amp;Y97&amp;AA97&amp;AC97&amp;AE97&amp;AG97&amp;AI97&amp;AK97</f>
        <v>0;X8EE6E523</v>
      </c>
      <c r="H97" s="112"/>
      <c r="I97" s="341"/>
      <c r="J97" s="38">
        <v>-9</v>
      </c>
      <c r="K97" s="61">
        <f>F97/POWER(12,J97)</f>
        <v>0.89581304932455075</v>
      </c>
      <c r="L97" s="39" t="str">
        <f>INDEX(powers!$H$2:$H$75,33+J97)</f>
        <v>atomic dour</v>
      </c>
      <c r="M97" s="40" t="str">
        <f>IF($E97&gt;=M$31,MID($J$31,IF($E97&gt;M$31,INT(K97),ROUND(K97,0))+1,1),"")</f>
        <v>0</v>
      </c>
      <c r="N97" s="24">
        <f t="shared" ref="N97" si="312">(K97-INT(K97))*12</f>
        <v>10.749756591894609</v>
      </c>
      <c r="O97" s="41" t="str">
        <f>IF($E97&gt;=O$31,MID($J$31,IF($E97&gt;O$31,INT(N97),ROUND(N97,0))+1,1),"")</f>
        <v>X</v>
      </c>
      <c r="P97" s="24">
        <f t="shared" ref="P97" si="313">(N97-INT(N97))*12</f>
        <v>8.997079102735313</v>
      </c>
      <c r="Q97" s="41" t="str">
        <f>IF($E97&gt;=Q$31,MID($J$31,IF($E97&gt;Q$31,INT(P97),ROUND(P97,0))+1,1),"")</f>
        <v>8</v>
      </c>
      <c r="R97" s="24">
        <f t="shared" ref="R97" si="314">(P97-INT(P97))*12</f>
        <v>11.964949232823756</v>
      </c>
      <c r="S97" s="41" t="str">
        <f>IF($E97&gt;=S$31,MID($J$31,IF($E97&gt;S$31,INT(R97),ROUND(R97,0))+1,1),"")</f>
        <v>E</v>
      </c>
      <c r="T97" s="24">
        <f t="shared" ref="T97" si="315">(R97-INT(R97))*12</f>
        <v>11.579390793885068</v>
      </c>
      <c r="U97" s="41" t="str">
        <f>IF($E97&gt;=U$31,MID($J$31,IF($E97&gt;U$31,INT(T97),ROUND(T97,0))+1,1),"")</f>
        <v>E</v>
      </c>
      <c r="V97" s="24">
        <f t="shared" ref="V97" si="316">(T97-INT(T97))*12</f>
        <v>6.9526895266208157</v>
      </c>
      <c r="W97" s="41" t="str">
        <f>IF($E97&gt;=W$31,MID($J$31,IF($E97&gt;W$31,INT(V97),ROUND(V97,0))+1,1),"")</f>
        <v>6</v>
      </c>
      <c r="X97" s="24">
        <f t="shared" ref="X97" si="317">(V97-INT(V97))*12</f>
        <v>11.432274319449789</v>
      </c>
      <c r="Y97" s="41" t="str">
        <f>IF($E97&gt;=Y$31,MID($J$31,IF($E97&gt;Y$31,INT(X97),ROUND(X97,0))+1,1),"")</f>
        <v>E</v>
      </c>
      <c r="Z97" s="24">
        <f t="shared" ref="Z97" si="318">(X97-INT(X97))*12</f>
        <v>5.1872918333974667</v>
      </c>
      <c r="AA97" s="41" t="str">
        <f>IF($E97&gt;=AA$31,MID($J$31,IF($E97&gt;AA$31,INT(Z97),ROUND(Z97,0))+1,1),"")</f>
        <v>5</v>
      </c>
      <c r="AB97" s="24">
        <f t="shared" ref="AB97" si="319">(Z97-INT(Z97))*12</f>
        <v>2.2475020007696003</v>
      </c>
      <c r="AC97" s="41" t="str">
        <f>IF($E97&gt;=AC$31,MID($J$31,IF($E97&gt;AC$31,INT(AB97),ROUND(AB97,0))+1,1),"")</f>
        <v>2</v>
      </c>
      <c r="AD97" s="24">
        <f t="shared" ref="AD97" si="320">(AB97-INT(AB97))*12</f>
        <v>2.9700240092352033</v>
      </c>
      <c r="AE97" s="41" t="str">
        <f>IF($E97&gt;=AE$31,MID($J$31,IF($E97&gt;AE$31,INT(AD97),ROUND(AD97,0))+1,1),"")</f>
        <v>3</v>
      </c>
      <c r="AF97" s="24">
        <f t="shared" ref="AF97" si="321">(AD97-INT(AD97))*12</f>
        <v>11.640288110822439</v>
      </c>
      <c r="AG97" s="41" t="str">
        <f>IF($E97&gt;=AG$31,MID($J$31,IF($E97&gt;AG$31,INT(AF97),ROUND(AF97,0))+1,1),"")</f>
        <v/>
      </c>
      <c r="AH97" s="24">
        <f t="shared" ref="AH97" si="322">(AF97-INT(AF97))*12</f>
        <v>7.6834573298692703</v>
      </c>
      <c r="AI97" s="41" t="str">
        <f>IF($E97&gt;=AI$31,MID($J$31,IF($E97&gt;AI$31,INT(AH97),ROUND(AH97,0))+1,1),"")</f>
        <v/>
      </c>
      <c r="AJ97" s="24">
        <f t="shared" ref="AJ97" si="323">(AH97-INT(AH97))*12</f>
        <v>8.2014879584312439</v>
      </c>
      <c r="AK97" s="41" t="str">
        <f>IF($E97&gt;=AK$31,MID($J$31,IF($E97&gt;AK$31,INT(AJ97),ROUND(AJ97,0))+1,1),"")</f>
        <v/>
      </c>
    </row>
    <row r="98" spans="2:37">
      <c r="B98" s="55" t="s">
        <v>672</v>
      </c>
      <c r="C98" s="55" t="s">
        <v>671</v>
      </c>
      <c r="D98" s="204">
        <f>1/(D34*D40)</f>
        <v>1722.0451526998279</v>
      </c>
      <c r="E98" s="8">
        <v>9</v>
      </c>
      <c r="F98" s="21">
        <f>1/(F96*F97)</f>
        <v>1722.0451526998283</v>
      </c>
      <c r="G98" s="142" t="str">
        <f t="shared" ref="G98" si="324">M98&amp;";"&amp;O98&amp;Q98&amp;S98&amp;U98&amp;W98&amp;Y98&amp;AA98&amp;AC98&amp;AE98&amp;AG98&amp;AI98&amp;AK98</f>
        <v>0;EE6066035</v>
      </c>
      <c r="H98" s="37"/>
      <c r="I98" s="340"/>
      <c r="J98" s="38">
        <v>3</v>
      </c>
      <c r="K98" s="61">
        <f>F98/POWER(12,J98)</f>
        <v>0.99655390781240072</v>
      </c>
      <c r="L98" s="39" t="str">
        <f>INDEX(powers!$H$2:$H$75,33+J98)</f>
        <v>kily</v>
      </c>
      <c r="M98" s="40" t="str">
        <f>IF($E98&gt;=M$31,MID($J$31,IF($E98&gt;M$31,INT(K98),ROUND(K98,0))+1,1),"")</f>
        <v>0</v>
      </c>
      <c r="N98" s="24">
        <f t="shared" ref="N98" si="325">(K98-INT(K98))*12</f>
        <v>11.958646893748808</v>
      </c>
      <c r="O98" s="41" t="str">
        <f>IF($E98&gt;=O$31,MID($J$31,IF($E98&gt;O$31,INT(N98),ROUND(N98,0))+1,1),"")</f>
        <v>E</v>
      </c>
      <c r="P98" s="24">
        <f t="shared" ref="P98" si="326">(N98-INT(N98))*12</f>
        <v>11.503762724985698</v>
      </c>
      <c r="Q98" s="41" t="str">
        <f>IF($E98&gt;=Q$31,MID($J$31,IF($E98&gt;Q$31,INT(P98),ROUND(P98,0))+1,1),"")</f>
        <v>E</v>
      </c>
      <c r="R98" s="24">
        <f t="shared" ref="R98" si="327">(P98-INT(P98))*12</f>
        <v>6.0451526998283782</v>
      </c>
      <c r="S98" s="41" t="str">
        <f>IF($E98&gt;=S$31,MID($J$31,IF($E98&gt;S$31,INT(R98),ROUND(R98,0))+1,1),"")</f>
        <v>6</v>
      </c>
      <c r="T98" s="24">
        <f t="shared" ref="T98" si="328">(R98-INT(R98))*12</f>
        <v>0.54183239794053861</v>
      </c>
      <c r="U98" s="41" t="str">
        <f>IF($E98&gt;=U$31,MID($J$31,IF($E98&gt;U$31,INT(T98),ROUND(T98,0))+1,1),"")</f>
        <v>0</v>
      </c>
      <c r="V98" s="24">
        <f t="shared" ref="V98" si="329">(T98-INT(T98))*12</f>
        <v>6.5019887752864634</v>
      </c>
      <c r="W98" s="41" t="str">
        <f>IF($E98&gt;=W$31,MID($J$31,IF($E98&gt;W$31,INT(V98),ROUND(V98,0))+1,1),"")</f>
        <v>6</v>
      </c>
      <c r="X98" s="24">
        <f t="shared" ref="X98" si="330">(V98-INT(V98))*12</f>
        <v>6.0238653034375602</v>
      </c>
      <c r="Y98" s="41" t="str">
        <f>IF($E98&gt;=Y$31,MID($J$31,IF($E98&gt;Y$31,INT(X98),ROUND(X98,0))+1,1),"")</f>
        <v>6</v>
      </c>
      <c r="Z98" s="24">
        <f t="shared" ref="Z98" si="331">(X98-INT(X98))*12</f>
        <v>0.28638364125072258</v>
      </c>
      <c r="AA98" s="41" t="str">
        <f>IF($E98&gt;=AA$31,MID($J$31,IF($E98&gt;AA$31,INT(Z98),ROUND(Z98,0))+1,1),"")</f>
        <v>0</v>
      </c>
      <c r="AB98" s="24">
        <f t="shared" ref="AB98" si="332">(Z98-INT(Z98))*12</f>
        <v>3.4366036950086709</v>
      </c>
      <c r="AC98" s="41" t="str">
        <f>IF($E98&gt;=AC$31,MID($J$31,IF($E98&gt;AC$31,INT(AB98),ROUND(AB98,0))+1,1),"")</f>
        <v>3</v>
      </c>
      <c r="AD98" s="24">
        <f t="shared" ref="AD98" si="333">(AB98-INT(AB98))*12</f>
        <v>5.2392443401040509</v>
      </c>
      <c r="AE98" s="41" t="str">
        <f>IF($E98&gt;=AE$31,MID($J$31,IF($E98&gt;AE$31,INT(AD98),ROUND(AD98,0))+1,1),"")</f>
        <v>5</v>
      </c>
      <c r="AF98" s="24">
        <f t="shared" ref="AF98" si="334">(AD98-INT(AD98))*12</f>
        <v>2.8709320812486112</v>
      </c>
      <c r="AG98" s="41" t="str">
        <f>IF($E98&gt;=AG$31,MID($J$31,IF($E98&gt;AG$31,INT(AF98),ROUND(AF98,0))+1,1),"")</f>
        <v/>
      </c>
      <c r="AH98" s="24">
        <f t="shared" ref="AH98" si="335">(AF98-INT(AF98))*12</f>
        <v>10.451184974983335</v>
      </c>
      <c r="AI98" s="41" t="str">
        <f>IF($E98&gt;=AI$31,MID($J$31,IF($E98&gt;AI$31,INT(AH98),ROUND(AH98,0))+1,1),"")</f>
        <v/>
      </c>
      <c r="AJ98" s="24">
        <f t="shared" ref="AJ98" si="336">(AH98-INT(AH98))*12</f>
        <v>5.4142196998000145</v>
      </c>
      <c r="AK98" s="41" t="str">
        <f>IF($E98&gt;=AK$31,MID($J$31,IF($E98&gt;AK$31,INT(AJ98),ROUND(AJ98,0))+1,1),"")</f>
        <v/>
      </c>
    </row>
    <row r="100" spans="2:37">
      <c r="D100" s="574">
        <f>POWER(D$35,4)/(D$34*D$34*D$35*D$36*F$85*LOG(2*PI(),2)*POWER(4*PI(),2))</f>
        <v>6.6743055641331449E-11</v>
      </c>
      <c r="I100" s="14"/>
    </row>
    <row r="101" spans="2:37">
      <c r="I101" s="14"/>
    </row>
    <row r="102" spans="2:37">
      <c r="I102" s="14"/>
    </row>
    <row r="103" spans="2:37">
      <c r="I103" s="14"/>
    </row>
    <row r="104" spans="2:37">
      <c r="I104" s="14"/>
    </row>
    <row r="105" spans="2:37">
      <c r="I105" s="14"/>
    </row>
    <row r="106" spans="2:37">
      <c r="I106" s="14"/>
    </row>
    <row r="107" spans="2:37">
      <c r="I107" s="14"/>
    </row>
    <row r="108" spans="2:37">
      <c r="I108" s="14"/>
    </row>
    <row r="109" spans="2:37">
      <c r="I109" s="14"/>
    </row>
    <row r="110" spans="2:37">
      <c r="I110" s="14"/>
    </row>
    <row r="111" spans="2:37">
      <c r="I111" s="14"/>
    </row>
    <row r="112" spans="2:37">
      <c r="I112" s="14"/>
    </row>
    <row r="113" spans="8:9">
      <c r="I113" s="14"/>
    </row>
    <row r="114" spans="8:9">
      <c r="I114" s="14"/>
    </row>
    <row r="115" spans="8:9">
      <c r="I115" s="14"/>
    </row>
    <row r="116" spans="8:9">
      <c r="I116" s="14"/>
    </row>
    <row r="117" spans="8:9">
      <c r="I117" s="14"/>
    </row>
    <row r="118" spans="8:9">
      <c r="I118" s="14"/>
    </row>
    <row r="119" spans="8:9">
      <c r="I119" s="14"/>
    </row>
    <row r="120" spans="8:9">
      <c r="I120" s="14"/>
    </row>
    <row r="121" spans="8:9">
      <c r="I121" s="14"/>
    </row>
    <row r="122" spans="8:9">
      <c r="H122" s="249"/>
      <c r="I122" s="348"/>
    </row>
  </sheetData>
  <mergeCells count="4">
    <mergeCell ref="J31:K31"/>
    <mergeCell ref="A71:A88"/>
    <mergeCell ref="A31:A70"/>
    <mergeCell ref="A1:A30"/>
  </mergeCells>
  <phoneticPr fontId="1"/>
  <hyperlinks>
    <hyperlink ref="D100" r:id="rId1" display="http://www.vmig-ip.com/Law_of_Gravitation_in_11_Dimensions.pdf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58" orientation="portrait" r:id="rId2"/>
  <headerFooter>
    <oddHeader>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workbookViewId="0">
      <selection activeCell="K7" sqref="K7:L30"/>
    </sheetView>
  </sheetViews>
  <sheetFormatPr defaultRowHeight="12"/>
  <cols>
    <col min="1" max="1" width="2.75" style="14" customWidth="1"/>
    <col min="2" max="2" width="26" style="14" customWidth="1"/>
    <col min="3" max="3" width="8.625" style="14" customWidth="1"/>
    <col min="4" max="4" width="14.125" style="14" customWidth="1"/>
    <col min="5" max="5" width="3.5" style="14" customWidth="1"/>
    <col min="6" max="6" width="13.875" style="14" customWidth="1"/>
    <col min="7" max="7" width="14" style="14" customWidth="1"/>
    <col min="8" max="8" width="3.625" style="14" customWidth="1"/>
    <col min="9" max="9" width="9.125" style="14" customWidth="1"/>
    <col min="10" max="10" width="14.625" style="14" customWidth="1"/>
    <col min="11" max="11" width="9" style="14" customWidth="1"/>
    <col min="12" max="12" width="3.125" style="14" customWidth="1"/>
    <col min="13" max="16384" width="9" style="14"/>
  </cols>
  <sheetData>
    <row r="1" spans="1:12" ht="11.25" customHeight="1">
      <c r="A1" s="745" t="s">
        <v>26</v>
      </c>
      <c r="B1" s="313" t="s">
        <v>42</v>
      </c>
      <c r="C1" s="18" t="str">
        <f>Rydberg!C1</f>
        <v>Unit Symbol</v>
      </c>
      <c r="D1" s="313" t="s">
        <v>43</v>
      </c>
      <c r="E1" s="18" t="s">
        <v>44</v>
      </c>
      <c r="F1" s="313" t="s">
        <v>55</v>
      </c>
      <c r="G1" s="313" t="s">
        <v>778</v>
      </c>
      <c r="H1" s="19"/>
      <c r="I1" s="312" t="s">
        <v>46</v>
      </c>
      <c r="J1" s="314"/>
      <c r="K1" s="357"/>
    </row>
    <row r="2" spans="1:12" ht="13.5" customHeight="1">
      <c r="A2" s="746"/>
      <c r="B2" s="2" t="str">
        <f>Rydberg!B2</f>
        <v>Local Time</v>
      </c>
      <c r="C2" s="2" t="str">
        <f>Rydberg!C2</f>
        <v>s</v>
      </c>
      <c r="D2" s="322"/>
      <c r="E2" s="278"/>
      <c r="F2" s="278"/>
      <c r="G2" s="278"/>
      <c r="H2" s="278"/>
      <c r="I2" s="317"/>
      <c r="J2" s="318"/>
      <c r="K2" s="304"/>
      <c r="L2" s="24"/>
    </row>
    <row r="3" spans="1:12" ht="13.5" customHeight="1">
      <c r="A3" s="746"/>
      <c r="B3" s="2" t="str">
        <f>Rydberg!B3</f>
        <v>Length</v>
      </c>
      <c r="C3" s="7" t="str">
        <f>Rydberg!C3</f>
        <v>m</v>
      </c>
      <c r="D3" s="277">
        <f>'yard-pound'!D17*6</f>
        <v>1.8288000000000002</v>
      </c>
      <c r="E3" s="278">
        <v>0</v>
      </c>
      <c r="F3" s="279">
        <f>D3*POWER(10,E3)</f>
        <v>1.8288000000000002</v>
      </c>
      <c r="G3" s="279">
        <f>$D3</f>
        <v>1.8288000000000002</v>
      </c>
      <c r="H3" s="278">
        <v>0</v>
      </c>
      <c r="I3" s="281">
        <f>F3/POWER(10,H3)</f>
        <v>1.8288000000000002</v>
      </c>
      <c r="J3" s="282" t="s">
        <v>779</v>
      </c>
      <c r="K3" s="304"/>
      <c r="L3" s="319">
        <f>F3/G3</f>
        <v>1</v>
      </c>
    </row>
    <row r="4" spans="1:12" ht="13.5" customHeight="1">
      <c r="A4" s="746"/>
      <c r="B4" s="360" t="str">
        <f>Rydberg!B4</f>
        <v>Time</v>
      </c>
      <c r="C4" s="361" t="str">
        <f>Rydberg!C4</f>
        <v>s</v>
      </c>
      <c r="D4" s="362">
        <f>86400/200000</f>
        <v>0.432</v>
      </c>
      <c r="E4" s="284">
        <v>0</v>
      </c>
      <c r="F4" s="142">
        <f t="shared" ref="F4:F30" si="0">D4*POWER(10,E4)</f>
        <v>0.432</v>
      </c>
      <c r="G4" s="142">
        <f>$D4</f>
        <v>0.432</v>
      </c>
      <c r="H4" s="284">
        <v>0</v>
      </c>
      <c r="I4" s="363">
        <f t="shared" ref="I4:I30" si="1">F4/POWER(10,H4)</f>
        <v>0.432</v>
      </c>
      <c r="J4" s="364" t="s">
        <v>762</v>
      </c>
      <c r="K4" s="302"/>
      <c r="L4" s="319">
        <f t="shared" ref="L4:L30" si="2">F4/G4</f>
        <v>1</v>
      </c>
    </row>
    <row r="5" spans="1:12" ht="13.5" customHeight="1">
      <c r="A5" s="746"/>
      <c r="B5" s="2" t="str">
        <f>Rydberg!B5</f>
        <v>Energy</v>
      </c>
      <c r="C5" s="2" t="str">
        <f>Rydberg!C5</f>
        <v>J</v>
      </c>
      <c r="D5" s="279">
        <f>D8*POWER(D3/D4,2)</f>
        <v>109610.31130911486</v>
      </c>
      <c r="E5" s="278">
        <v>-3</v>
      </c>
      <c r="F5" s="279">
        <f t="shared" si="0"/>
        <v>109.61031130911486</v>
      </c>
      <c r="G5" s="279">
        <f>G8*POWER(G3/G4,2)</f>
        <v>109.61031130911485</v>
      </c>
      <c r="H5" s="278">
        <v>0</v>
      </c>
      <c r="I5" s="281">
        <f t="shared" si="1"/>
        <v>109.61031130911486</v>
      </c>
      <c r="J5" s="282" t="s">
        <v>755</v>
      </c>
      <c r="K5" s="302"/>
      <c r="L5" s="319">
        <f t="shared" si="2"/>
        <v>1.0000000000000002</v>
      </c>
    </row>
    <row r="6" spans="1:12" ht="13.5" customHeight="1">
      <c r="A6" s="746"/>
      <c r="B6" s="2" t="str">
        <f>Rydberg!B6</f>
        <v>Temperature</v>
      </c>
      <c r="C6" s="2" t="str">
        <f>Rydberg!C6</f>
        <v>K</v>
      </c>
      <c r="D6" s="279">
        <f>D5/D8/D55</f>
        <v>4.2832483535160419E-3</v>
      </c>
      <c r="E6" s="278">
        <v>3</v>
      </c>
      <c r="F6" s="279">
        <f t="shared" si="0"/>
        <v>4.2832483535160417</v>
      </c>
      <c r="G6" s="279">
        <f>G5/G8/D55*1000</f>
        <v>4.2832483535160417</v>
      </c>
      <c r="H6" s="278">
        <v>0</v>
      </c>
      <c r="I6" s="281">
        <f t="shared" si="1"/>
        <v>4.2832483535160417</v>
      </c>
      <c r="J6" s="282" t="s">
        <v>756</v>
      </c>
      <c r="K6" s="302"/>
      <c r="L6" s="319">
        <f t="shared" si="2"/>
        <v>1</v>
      </c>
    </row>
    <row r="7" spans="1:12" ht="13.5" customHeight="1">
      <c r="A7" s="746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79">
        <f t="shared" si="0"/>
        <v>6.1162676035838128</v>
      </c>
      <c r="G7" s="279">
        <f>$D7/1000</f>
        <v>6.1162676035838128</v>
      </c>
      <c r="H7" s="8">
        <v>0</v>
      </c>
      <c r="I7" s="58">
        <f t="shared" si="1"/>
        <v>6.1162676035838128</v>
      </c>
      <c r="J7" s="122" t="str">
        <f>Rydberg!L7</f>
        <v>mol</v>
      </c>
      <c r="K7" s="24"/>
      <c r="L7" s="319">
        <f t="shared" si="2"/>
        <v>1</v>
      </c>
    </row>
    <row r="8" spans="1:12" ht="13.5" customHeight="1">
      <c r="A8" s="746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79">
        <f t="shared" si="0"/>
        <v>6.1162676035838128</v>
      </c>
      <c r="G8" s="279">
        <f>$D8/1000</f>
        <v>6.1162676035838128</v>
      </c>
      <c r="H8" s="8">
        <v>0</v>
      </c>
      <c r="I8" s="58">
        <f t="shared" si="1"/>
        <v>6.1162676035838128</v>
      </c>
      <c r="J8" s="122" t="s">
        <v>61</v>
      </c>
      <c r="K8" s="24"/>
      <c r="L8" s="319">
        <f t="shared" si="2"/>
        <v>1</v>
      </c>
    </row>
    <row r="9" spans="1:12" ht="13.5" customHeight="1">
      <c r="A9" s="746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-3</v>
      </c>
      <c r="F9" s="279">
        <f t="shared" si="0"/>
        <v>253.72757247480291</v>
      </c>
      <c r="G9" s="21">
        <f>G5/G4</f>
        <v>253.72757247480288</v>
      </c>
      <c r="H9" s="8">
        <v>0</v>
      </c>
      <c r="I9" s="58">
        <f t="shared" si="1"/>
        <v>253.72757247480291</v>
      </c>
      <c r="J9" s="122" t="s">
        <v>757</v>
      </c>
      <c r="K9" s="24"/>
      <c r="L9" s="319">
        <f t="shared" si="2"/>
        <v>1.0000000000000002</v>
      </c>
    </row>
    <row r="10" spans="1:12" ht="13.5" customHeight="1">
      <c r="A10" s="746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-3</v>
      </c>
      <c r="F10" s="279">
        <f t="shared" si="0"/>
        <v>59.935647041292022</v>
      </c>
      <c r="G10" s="21">
        <f>G5/G3</f>
        <v>59.935647041292015</v>
      </c>
      <c r="H10" s="8">
        <v>0</v>
      </c>
      <c r="I10" s="58">
        <f t="shared" si="1"/>
        <v>59.935647041292022</v>
      </c>
      <c r="J10" s="122" t="s">
        <v>758</v>
      </c>
      <c r="K10" s="24"/>
      <c r="L10" s="319">
        <f t="shared" si="2"/>
        <v>1.0000000000000002</v>
      </c>
    </row>
    <row r="11" spans="1:12" ht="13.5" customHeight="1">
      <c r="A11" s="746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-3</v>
      </c>
      <c r="F11" s="279">
        <f t="shared" si="0"/>
        <v>17.920609320000008</v>
      </c>
      <c r="G11" s="21">
        <f>G10/(G3*G3)</f>
        <v>17.920609320000004</v>
      </c>
      <c r="H11" s="8">
        <v>0</v>
      </c>
      <c r="I11" s="58">
        <f t="shared" si="1"/>
        <v>17.920609320000008</v>
      </c>
      <c r="J11" s="122" t="str">
        <f>Rydberg!L11</f>
        <v>Pa</v>
      </c>
      <c r="K11" s="24"/>
      <c r="L11" s="319">
        <f t="shared" si="2"/>
        <v>1.0000000000000002</v>
      </c>
    </row>
    <row r="12" spans="1:12" ht="13.5" customHeight="1">
      <c r="A12" s="746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79">
        <f t="shared" si="0"/>
        <v>0.59013011569912821</v>
      </c>
      <c r="G12" s="279">
        <f>$D12/1000000000</f>
        <v>0.5901301156991281</v>
      </c>
      <c r="H12" s="8">
        <v>0</v>
      </c>
      <c r="I12" s="58">
        <f t="shared" si="1"/>
        <v>0.59013011569912821</v>
      </c>
      <c r="J12" s="122" t="s">
        <v>763</v>
      </c>
      <c r="K12" s="24"/>
      <c r="L12" s="319">
        <f t="shared" si="2"/>
        <v>1.0000000000000002</v>
      </c>
    </row>
    <row r="13" spans="1:12" ht="14.25" customHeight="1">
      <c r="A13" s="746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79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22" t="s">
        <v>764</v>
      </c>
      <c r="K13" s="24"/>
      <c r="L13" s="319">
        <f t="shared" si="2"/>
        <v>1.0000000000000002</v>
      </c>
    </row>
    <row r="14" spans="1:12" ht="14.25" customHeight="1">
      <c r="A14" s="746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-9</v>
      </c>
      <c r="F14" s="279">
        <f t="shared" si="0"/>
        <v>0.7469608128219174</v>
      </c>
      <c r="G14" s="21">
        <f>G13/G3</f>
        <v>0.74696081282191729</v>
      </c>
      <c r="H14" s="8">
        <v>0</v>
      </c>
      <c r="I14" s="58">
        <f t="shared" si="1"/>
        <v>0.7469608128219174</v>
      </c>
      <c r="J14" s="122" t="s">
        <v>689</v>
      </c>
      <c r="K14" s="24"/>
      <c r="L14" s="319">
        <f t="shared" si="2"/>
        <v>1.0000000000000002</v>
      </c>
    </row>
    <row r="15" spans="1:12" ht="14.25" customHeight="1">
      <c r="A15" s="746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-9</v>
      </c>
      <c r="F15" s="279">
        <f t="shared" si="0"/>
        <v>0.17644743609966551</v>
      </c>
      <c r="G15" s="21">
        <f>G12/(G3*G3)</f>
        <v>0.17644743609966548</v>
      </c>
      <c r="H15" s="8">
        <v>0</v>
      </c>
      <c r="I15" s="58">
        <f t="shared" si="1"/>
        <v>0.17644743609966551</v>
      </c>
      <c r="J15" s="122" t="s">
        <v>765</v>
      </c>
      <c r="K15" s="24"/>
      <c r="L15" s="319">
        <f t="shared" si="2"/>
        <v>1.0000000000000002</v>
      </c>
    </row>
    <row r="16" spans="1:12" ht="14.25" customHeight="1">
      <c r="A16" s="746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15</v>
      </c>
      <c r="F16" s="279">
        <f t="shared" si="0"/>
        <v>575.60169977697922</v>
      </c>
      <c r="G16" s="21">
        <f>F16</f>
        <v>575.60169977697922</v>
      </c>
      <c r="H16" s="8">
        <v>0</v>
      </c>
      <c r="I16" s="58">
        <f t="shared" si="1"/>
        <v>575.60169977697922</v>
      </c>
      <c r="J16" s="122" t="str">
        <f>Rydberg!L16</f>
        <v>Ω</v>
      </c>
      <c r="K16" s="24"/>
      <c r="L16" s="319">
        <f t="shared" si="2"/>
        <v>1</v>
      </c>
    </row>
    <row r="17" spans="1:12" ht="14.25" customHeight="1">
      <c r="A17" s="746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6</v>
      </c>
      <c r="F17" s="279">
        <f t="shared" si="0"/>
        <v>786.29605945834146</v>
      </c>
      <c r="G17" s="21">
        <f>G13*G16</f>
        <v>786.29605945834157</v>
      </c>
      <c r="H17" s="8">
        <v>0</v>
      </c>
      <c r="I17" s="58">
        <f t="shared" si="1"/>
        <v>786.29605945834146</v>
      </c>
      <c r="J17" s="122" t="str">
        <f>Rydberg!L17</f>
        <v>V</v>
      </c>
      <c r="K17" s="24"/>
      <c r="L17" s="319">
        <f t="shared" si="2"/>
        <v>0.99999999999999989</v>
      </c>
    </row>
    <row r="18" spans="1:12" ht="14.25" customHeight="1">
      <c r="A18" s="746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-15</v>
      </c>
      <c r="F18" s="279">
        <f t="shared" si="0"/>
        <v>7.505189789526011E-4</v>
      </c>
      <c r="G18" s="21">
        <f>G4/G16</f>
        <v>7.5051897895260099E-4</v>
      </c>
      <c r="H18" s="8">
        <v>-3</v>
      </c>
      <c r="I18" s="58">
        <f t="shared" si="1"/>
        <v>0.75051897895260111</v>
      </c>
      <c r="J18" s="122" t="str">
        <f>Rydberg!L18</f>
        <v>mF</v>
      </c>
      <c r="K18" s="76"/>
      <c r="L18" s="319">
        <f t="shared" si="2"/>
        <v>1.0000000000000002</v>
      </c>
    </row>
    <row r="19" spans="1:12" ht="14.25" customHeight="1">
      <c r="A19" s="746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6</v>
      </c>
      <c r="F19" s="279">
        <f t="shared" si="0"/>
        <v>339.67989768600359</v>
      </c>
      <c r="G19" s="21">
        <f>G12*G16</f>
        <v>339.67989768600353</v>
      </c>
      <c r="H19" s="8">
        <v>0</v>
      </c>
      <c r="I19" s="58">
        <f t="shared" si="1"/>
        <v>339.67989768600359</v>
      </c>
      <c r="J19" s="122" t="str">
        <f>Rydberg!L19</f>
        <v>Wb</v>
      </c>
      <c r="K19" s="76"/>
      <c r="L19" s="319">
        <f t="shared" si="2"/>
        <v>1.0000000000000002</v>
      </c>
    </row>
    <row r="20" spans="1:12" ht="14.25" customHeight="1">
      <c r="A20" s="746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6</v>
      </c>
      <c r="F20" s="279">
        <f t="shared" si="0"/>
        <v>101.56344414025739</v>
      </c>
      <c r="G20" s="21">
        <f>G15*G16</f>
        <v>101.56344414025737</v>
      </c>
      <c r="H20" s="8">
        <v>0</v>
      </c>
      <c r="I20" s="58">
        <f t="shared" si="1"/>
        <v>101.56344414025739</v>
      </c>
      <c r="J20" s="122" t="str">
        <f>Rydberg!L20</f>
        <v>T</v>
      </c>
      <c r="K20" s="76"/>
      <c r="L20" s="319">
        <f t="shared" si="2"/>
        <v>1.0000000000000002</v>
      </c>
    </row>
    <row r="21" spans="1:12" ht="14.25" customHeight="1">
      <c r="A21" s="746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15</v>
      </c>
      <c r="F21" s="279">
        <f t="shared" si="0"/>
        <v>248.65993430365501</v>
      </c>
      <c r="G21" s="21">
        <f>G4*G16</f>
        <v>248.65993430365501</v>
      </c>
      <c r="H21" s="8">
        <v>0</v>
      </c>
      <c r="I21" s="58">
        <f t="shared" si="1"/>
        <v>248.65993430365501</v>
      </c>
      <c r="J21" s="122" t="str">
        <f>Rydberg!L21</f>
        <v>H</v>
      </c>
      <c r="K21" s="76"/>
      <c r="L21" s="319">
        <f t="shared" si="2"/>
        <v>1</v>
      </c>
    </row>
    <row r="22" spans="1:12" ht="14.25" customHeight="1">
      <c r="A22" s="746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79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22" t="s">
        <v>711</v>
      </c>
      <c r="K22" s="296"/>
      <c r="L22" s="319">
        <f t="shared" si="2"/>
        <v>1</v>
      </c>
    </row>
    <row r="23" spans="1:12" ht="14.25" customHeight="1">
      <c r="A23" s="746"/>
      <c r="B23" s="2" t="str">
        <f>Rydberg!B23</f>
        <v>Luminous flux</v>
      </c>
      <c r="C23" s="2" t="str">
        <f>Rydberg!C23</f>
        <v>W_sen</v>
      </c>
      <c r="D23" s="21">
        <f>D9</f>
        <v>253727.5724748029</v>
      </c>
      <c r="E23" s="8">
        <f>E9</f>
        <v>-3</v>
      </c>
      <c r="F23" s="279">
        <f t="shared" si="0"/>
        <v>253.72757247480291</v>
      </c>
      <c r="G23" s="21">
        <f>G9</f>
        <v>253.72757247480288</v>
      </c>
      <c r="H23" s="8">
        <v>0</v>
      </c>
      <c r="I23" s="58">
        <f t="shared" si="1"/>
        <v>253.72757247480291</v>
      </c>
      <c r="J23" s="122" t="s">
        <v>759</v>
      </c>
      <c r="K23" s="297"/>
      <c r="L23" s="319">
        <f t="shared" si="2"/>
        <v>1.0000000000000002</v>
      </c>
    </row>
    <row r="24" spans="1:12" ht="14.25" customHeight="1">
      <c r="A24" s="746"/>
      <c r="B24" s="2" t="str">
        <f>Rydberg!B24</f>
        <v>Luminous intensity</v>
      </c>
      <c r="C24" s="2" t="str">
        <f>Rydberg!C24</f>
        <v>W_sen/sr</v>
      </c>
      <c r="D24" s="21">
        <f>D23</f>
        <v>253727.5724748029</v>
      </c>
      <c r="E24" s="8">
        <f>E9</f>
        <v>-3</v>
      </c>
      <c r="F24" s="279">
        <f t="shared" si="0"/>
        <v>253.72757247480291</v>
      </c>
      <c r="G24" s="21">
        <f>G23</f>
        <v>253.72757247480288</v>
      </c>
      <c r="H24" s="8">
        <v>0</v>
      </c>
      <c r="I24" s="58">
        <f t="shared" si="1"/>
        <v>253.72757247480291</v>
      </c>
      <c r="J24" s="122" t="s">
        <v>760</v>
      </c>
      <c r="K24" s="24"/>
      <c r="L24" s="319">
        <f t="shared" si="2"/>
        <v>1.0000000000000002</v>
      </c>
    </row>
    <row r="25" spans="1:12" ht="14.25" customHeight="1">
      <c r="A25" s="746"/>
      <c r="B25" s="2"/>
      <c r="C25" s="2" t="str">
        <f>Rydberg!C25</f>
        <v>W_sen/Ω_2</v>
      </c>
      <c r="D25" s="21">
        <f>D23/(4*PI())</f>
        <v>20190.998679036002</v>
      </c>
      <c r="E25" s="8">
        <f>E9</f>
        <v>-3</v>
      </c>
      <c r="F25" s="279">
        <f t="shared" si="0"/>
        <v>20.190998679036003</v>
      </c>
      <c r="G25" s="21">
        <f>G24/(4*PI())</f>
        <v>20.190998679036003</v>
      </c>
      <c r="H25" s="8">
        <v>0</v>
      </c>
      <c r="I25" s="58">
        <f t="shared" si="1"/>
        <v>20.190998679036003</v>
      </c>
      <c r="J25" s="122" t="s">
        <v>760</v>
      </c>
      <c r="K25" s="24"/>
      <c r="L25" s="319">
        <f t="shared" si="2"/>
        <v>1</v>
      </c>
    </row>
    <row r="26" spans="1:12" ht="14.25" customHeight="1">
      <c r="A26" s="746"/>
      <c r="B26" s="2" t="str">
        <f>Rydberg!B26</f>
        <v>Illuminance and luminous emittance</v>
      </c>
      <c r="C26" s="2" t="str">
        <f>Rydberg!C26</f>
        <v>W_sen/m^2</v>
      </c>
      <c r="D26" s="21">
        <f>D23/D3/D3</f>
        <v>75863.912788000031</v>
      </c>
      <c r="E26" s="8">
        <f>E9-2*E3</f>
        <v>-3</v>
      </c>
      <c r="F26" s="279">
        <f t="shared" si="0"/>
        <v>75.863912788000036</v>
      </c>
      <c r="G26" s="21">
        <f>G23/(G3*G3)</f>
        <v>75.863912788000036</v>
      </c>
      <c r="H26" s="8">
        <v>0</v>
      </c>
      <c r="I26" s="58">
        <f t="shared" si="1"/>
        <v>75.863912788000036</v>
      </c>
      <c r="J26" s="122" t="s">
        <v>761</v>
      </c>
      <c r="K26" s="24"/>
      <c r="L26" s="319">
        <f t="shared" si="2"/>
        <v>1</v>
      </c>
    </row>
    <row r="27" spans="1:12" ht="14.25" customHeight="1">
      <c r="A27" s="746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79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22" t="s">
        <v>703</v>
      </c>
      <c r="K27" s="24"/>
      <c r="L27" s="319">
        <f t="shared" si="2"/>
        <v>1.0000000000000002</v>
      </c>
    </row>
    <row r="28" spans="1:12" ht="14.25" customHeight="1">
      <c r="A28" s="746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79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22" t="s">
        <v>705</v>
      </c>
      <c r="K28" s="24"/>
      <c r="L28" s="319">
        <f t="shared" si="2"/>
        <v>1</v>
      </c>
    </row>
    <row r="29" spans="1:12" ht="14.25" customHeight="1">
      <c r="A29" s="746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0</v>
      </c>
      <c r="F29" s="279">
        <f t="shared" si="0"/>
        <v>17.92111111111112</v>
      </c>
      <c r="G29" s="21">
        <f>G5/G8</f>
        <v>17.92111111111112</v>
      </c>
      <c r="H29" s="8">
        <v>0</v>
      </c>
      <c r="I29" s="58">
        <f t="shared" si="1"/>
        <v>17.92111111111112</v>
      </c>
      <c r="J29" s="122" t="s">
        <v>707</v>
      </c>
      <c r="K29" s="24"/>
      <c r="L29" s="319">
        <f t="shared" si="2"/>
        <v>1</v>
      </c>
    </row>
    <row r="30" spans="1:12" ht="14.25" customHeight="1" thickBot="1">
      <c r="A30" s="795"/>
      <c r="B30" s="6" t="str">
        <f>Rydberg!B30</f>
        <v>Equivalent dose</v>
      </c>
      <c r="C30" s="6" t="str">
        <f>Rydberg!C30</f>
        <v>J_sen/g</v>
      </c>
      <c r="D30" s="29">
        <f>D5/D8/K30</f>
        <v>17.92111111111112</v>
      </c>
      <c r="E30" s="30">
        <v>0</v>
      </c>
      <c r="F30" s="287">
        <f t="shared" si="0"/>
        <v>17.92111111111112</v>
      </c>
      <c r="G30" s="29">
        <f>G29</f>
        <v>17.92111111111112</v>
      </c>
      <c r="H30" s="30">
        <v>0</v>
      </c>
      <c r="I30" s="59">
        <f t="shared" si="1"/>
        <v>17.92111111111112</v>
      </c>
      <c r="J30" s="123" t="s">
        <v>708</v>
      </c>
      <c r="K30" s="300">
        <v>1</v>
      </c>
      <c r="L30" s="319">
        <f t="shared" si="2"/>
        <v>1</v>
      </c>
    </row>
    <row r="31" spans="1:12" ht="11.25" customHeight="1">
      <c r="A31" s="745" t="s">
        <v>27</v>
      </c>
      <c r="B31" s="399" t="s">
        <v>42</v>
      </c>
      <c r="C31" s="18" t="str">
        <f>Rydberg!C31</f>
        <v>Unit Symbol</v>
      </c>
      <c r="D31" s="399" t="s">
        <v>43</v>
      </c>
      <c r="E31" s="18" t="s">
        <v>54</v>
      </c>
      <c r="F31" s="399" t="s">
        <v>47</v>
      </c>
      <c r="G31" s="399" t="s">
        <v>92</v>
      </c>
      <c r="H31" s="713"/>
      <c r="I31" s="714"/>
      <c r="J31" s="400" t="str">
        <f>Rydberg!L31</f>
        <v>Prefix</v>
      </c>
    </row>
    <row r="32" spans="1:12" ht="14.25" customHeight="1">
      <c r="A32" s="746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142"/>
      <c r="H32" s="321">
        <f>FLOOR(LOG10(F32)/3,1)*3</f>
        <v>-3</v>
      </c>
      <c r="I32" s="285">
        <f>F32/POWER(10,H32)</f>
        <v>7.2973525663999999</v>
      </c>
      <c r="J32" s="286"/>
    </row>
    <row r="33" spans="1:10" ht="15" customHeight="1">
      <c r="A33" s="746"/>
      <c r="B33" s="397" t="str">
        <f>Rydberg!B33</f>
        <v>Avogadro constant</v>
      </c>
      <c r="C33" s="397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142"/>
      <c r="H33" s="321">
        <f t="shared" ref="H33:H68" si="3">FLOOR(LOG10(F33)/3,1)*3</f>
        <v>24</v>
      </c>
      <c r="I33" s="285">
        <f t="shared" ref="I33:I68" si="4">F33/POWER(10,H33)</f>
        <v>3.6833025027887563</v>
      </c>
      <c r="J33" s="286"/>
    </row>
    <row r="34" spans="1:10" ht="15" customHeight="1">
      <c r="A34" s="746"/>
      <c r="B34" s="397" t="str">
        <f>Rydberg!B34</f>
        <v>Rydberg constant</v>
      </c>
      <c r="C34" s="397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20068760.292487431</v>
      </c>
      <c r="G34" s="142"/>
      <c r="H34" s="321">
        <f t="shared" si="3"/>
        <v>6</v>
      </c>
      <c r="I34" s="285">
        <f t="shared" si="4"/>
        <v>20.068760292487433</v>
      </c>
      <c r="J34" s="286"/>
    </row>
    <row r="35" spans="1:10" ht="15" customHeight="1">
      <c r="A35" s="746"/>
      <c r="B35" s="397" t="str">
        <f>Rydberg!B35</f>
        <v>Speed of light in vacuum</v>
      </c>
      <c r="C35" s="397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70817116.062992111</v>
      </c>
      <c r="G35" s="142"/>
      <c r="H35" s="321">
        <f t="shared" si="3"/>
        <v>6</v>
      </c>
      <c r="I35" s="285">
        <f t="shared" si="4"/>
        <v>70.817116062992113</v>
      </c>
      <c r="J35" s="286"/>
    </row>
    <row r="36" spans="1:10" ht="15" customHeight="1">
      <c r="A36" s="746"/>
      <c r="B36" s="397" t="str">
        <f>Rydberg!B36</f>
        <v>Quantum of action</v>
      </c>
      <c r="C36" s="397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2.2271065529971979E-36</v>
      </c>
      <c r="G36" s="142"/>
      <c r="H36" s="321">
        <f t="shared" si="3"/>
        <v>-36</v>
      </c>
      <c r="I36" s="285">
        <f t="shared" si="4"/>
        <v>2.2271065529971978</v>
      </c>
      <c r="J36" s="286"/>
    </row>
    <row r="37" spans="1:10" ht="15" customHeight="1">
      <c r="A37" s="746"/>
      <c r="B37" s="397" t="str">
        <f>Rydberg!B37</f>
        <v>Boltzmann constant</v>
      </c>
      <c r="C37" s="397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142"/>
      <c r="H37" s="321">
        <f t="shared" si="3"/>
        <v>-27</v>
      </c>
      <c r="I37" s="285">
        <f t="shared" si="4"/>
        <v>539.51680543969019</v>
      </c>
      <c r="J37" s="286"/>
    </row>
    <row r="38" spans="1:10" ht="15" customHeight="1">
      <c r="A38" s="746"/>
      <c r="B38" s="397" t="str">
        <f>Rydberg!B38</f>
        <v>Gas constant</v>
      </c>
      <c r="C38" s="397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142"/>
      <c r="H38" s="321">
        <f t="shared" si="3"/>
        <v>0</v>
      </c>
      <c r="I38" s="285">
        <f t="shared" si="4"/>
        <v>1.987203599772605</v>
      </c>
      <c r="J38" s="286"/>
    </row>
    <row r="39" spans="1:10" ht="15" customHeight="1">
      <c r="A39" s="746"/>
      <c r="B39" s="397" t="str">
        <f>Rydberg!B39</f>
        <v>Unified atomic mass unit</v>
      </c>
      <c r="C39" s="397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142"/>
      <c r="H39" s="321">
        <f t="shared" si="3"/>
        <v>-30</v>
      </c>
      <c r="I39" s="285">
        <f t="shared" si="4"/>
        <v>271.49548509404838</v>
      </c>
      <c r="J39" s="286"/>
    </row>
    <row r="40" spans="1:10" ht="15" customHeight="1">
      <c r="A40" s="746"/>
      <c r="B40" s="397" t="str">
        <f>Rydberg!B40</f>
        <v>Bohr Radius</v>
      </c>
      <c r="C40" s="397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2.8935761738298335E-11</v>
      </c>
      <c r="G40" s="142"/>
      <c r="H40" s="321">
        <f t="shared" si="3"/>
        <v>-12</v>
      </c>
      <c r="I40" s="285">
        <f t="shared" si="4"/>
        <v>28.935761738298336</v>
      </c>
      <c r="J40" s="286"/>
    </row>
    <row r="41" spans="1:10" ht="15" customHeight="1">
      <c r="A41" s="746"/>
      <c r="B41" s="397" t="str">
        <f>Rydberg!B41</f>
        <v>Elementary electric charge</v>
      </c>
      <c r="C41" s="397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142"/>
      <c r="H41" s="321">
        <f t="shared" si="3"/>
        <v>-21</v>
      </c>
      <c r="I41" s="285">
        <f t="shared" si="4"/>
        <v>271.49548516388904</v>
      </c>
      <c r="J41" s="286"/>
    </row>
    <row r="42" spans="1:10" ht="15" customHeight="1">
      <c r="A42" s="746"/>
      <c r="B42" s="397" t="str">
        <f>Rydberg!B42</f>
        <v>Electron mass</v>
      </c>
      <c r="C42" s="397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142"/>
      <c r="H42" s="321">
        <f t="shared" si="3"/>
        <v>-33</v>
      </c>
      <c r="I42" s="285">
        <f t="shared" si="4"/>
        <v>148.93696859604992</v>
      </c>
      <c r="J42" s="286"/>
    </row>
    <row r="43" spans="1:10" ht="15" customHeight="1">
      <c r="A43" s="746"/>
      <c r="B43" s="397" t="str">
        <f>Rydberg!B44</f>
        <v>Newtonian constant of gravitation</v>
      </c>
      <c r="C43" s="397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1.2455086307018339E-11</v>
      </c>
      <c r="G43" s="142"/>
      <c r="H43" s="321">
        <f t="shared" si="3"/>
        <v>-12</v>
      </c>
      <c r="I43" s="285">
        <f t="shared" si="4"/>
        <v>12.455086307018339</v>
      </c>
      <c r="J43" s="286"/>
    </row>
    <row r="44" spans="1:10" ht="15" customHeight="1">
      <c r="A44" s="746"/>
      <c r="B44" s="397" t="str">
        <f>Rydberg!B45</f>
        <v>Planck force</v>
      </c>
      <c r="C44" s="397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2.0193249229057329E+42</v>
      </c>
      <c r="G44" s="142"/>
      <c r="H44" s="321">
        <f t="shared" si="3"/>
        <v>42</v>
      </c>
      <c r="I44" s="285">
        <f t="shared" si="4"/>
        <v>2.0193249229057328</v>
      </c>
      <c r="J44" s="286"/>
    </row>
    <row r="45" spans="1:10" ht="15" customHeight="1">
      <c r="A45" s="746"/>
      <c r="B45" s="397" t="str">
        <f>Rydberg!B46</f>
        <v>Gravitic meter</v>
      </c>
      <c r="C45" s="397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5.2284208236139269E-35</v>
      </c>
      <c r="G45" s="142"/>
      <c r="H45" s="321">
        <f t="shared" si="3"/>
        <v>-36</v>
      </c>
      <c r="I45" s="285">
        <f t="shared" si="4"/>
        <v>52.284208236139271</v>
      </c>
      <c r="J45" s="286"/>
    </row>
    <row r="46" spans="1:10" ht="15" customHeight="1">
      <c r="A46" s="746"/>
      <c r="B46" s="397" t="str">
        <f>Rydberg!B47</f>
        <v>Planck length</v>
      </c>
      <c r="C46" s="397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8.8376442091769706E-36</v>
      </c>
      <c r="G46" s="142"/>
      <c r="H46" s="321">
        <f t="shared" si="3"/>
        <v>-36</v>
      </c>
      <c r="I46" s="285">
        <f t="shared" si="4"/>
        <v>8.8376442091769718</v>
      </c>
      <c r="J46" s="286"/>
    </row>
    <row r="47" spans="1:10" ht="15" customHeight="1">
      <c r="A47" s="746"/>
      <c r="B47" s="397" t="str">
        <f>Rydberg!B48</f>
        <v>Adjusted Planck length</v>
      </c>
      <c r="C47" s="397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1.0345556308429434E-34</v>
      </c>
      <c r="G47" s="142"/>
      <c r="H47" s="321">
        <f t="shared" si="3"/>
        <v>-36</v>
      </c>
      <c r="I47" s="285">
        <f t="shared" si="4"/>
        <v>103.45556308429434</v>
      </c>
      <c r="J47" s="286"/>
    </row>
    <row r="48" spans="1:10" ht="15" customHeight="1">
      <c r="A48" s="746"/>
      <c r="B48" s="397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2.5157584648482112E-7</v>
      </c>
      <c r="G48" s="142"/>
      <c r="H48" s="321">
        <f t="shared" si="3"/>
        <v>-9</v>
      </c>
      <c r="I48" s="285">
        <f t="shared" si="4"/>
        <v>251.57584648482111</v>
      </c>
      <c r="J48" s="286"/>
    </row>
    <row r="49" spans="1:10" ht="15" customHeight="1">
      <c r="A49" s="746"/>
      <c r="B49" s="397" t="str">
        <f>Rydberg!B50</f>
        <v>Black-body radiation at the ice point</v>
      </c>
      <c r="C49" s="397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</v>
      </c>
      <c r="G49" s="142"/>
      <c r="H49" s="321">
        <f t="shared" si="3"/>
        <v>0</v>
      </c>
      <c r="I49" s="285">
        <f t="shared" si="4"/>
        <v>4.160837314962003</v>
      </c>
      <c r="J49" s="286"/>
    </row>
    <row r="50" spans="1:10" ht="15" customHeight="1">
      <c r="A50" s="746"/>
      <c r="B50" s="397" t="str">
        <f>Rydberg!B51</f>
        <v>Temperature of the triple point of water</v>
      </c>
      <c r="C50" s="397" t="str">
        <f>Rydberg!C51</f>
        <v>K</v>
      </c>
      <c r="D50" s="21">
        <f>Rydberg!D51</f>
        <v>273.16000000000003</v>
      </c>
      <c r="E50" s="8">
        <v>6</v>
      </c>
      <c r="F50" s="21">
        <f>D50/F$6</f>
        <v>63.774027900055778</v>
      </c>
      <c r="G50" s="142"/>
      <c r="H50" s="321">
        <f t="shared" si="3"/>
        <v>0</v>
      </c>
      <c r="I50" s="285">
        <f t="shared" si="4"/>
        <v>63.774027900055778</v>
      </c>
      <c r="J50" s="286"/>
    </row>
    <row r="51" spans="1:10" ht="15" customHeight="1">
      <c r="A51" s="746"/>
      <c r="B51" s="397" t="str">
        <f>Rydberg!B52</f>
        <v>Molar volume of an ideal gas</v>
      </c>
      <c r="C51" s="397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2.2413334409063995E-2</v>
      </c>
      <c r="G51" s="142"/>
      <c r="H51" s="321">
        <f t="shared" si="3"/>
        <v>-3</v>
      </c>
      <c r="I51" s="285">
        <f t="shared" si="4"/>
        <v>22.413334409063992</v>
      </c>
      <c r="J51" s="286"/>
    </row>
    <row r="52" spans="1:10" ht="15" customHeight="1">
      <c r="A52" s="746"/>
      <c r="B52" s="67" t="str">
        <f>Rydberg!B53</f>
        <v>-log(Sqrt([H+][OH-])/(mol/m^3))</v>
      </c>
      <c r="C52" s="397" t="s">
        <v>766</v>
      </c>
      <c r="D52" s="21">
        <f>Rydberg!D53</f>
        <v>1.0039920318408906E-4</v>
      </c>
      <c r="E52" s="8">
        <v>4</v>
      </c>
      <c r="F52" s="21">
        <f>-LOG(D$52/(F$7*POWER(F$3,-3)))/LOG(10)</f>
        <v>3.9982575735295067</v>
      </c>
      <c r="G52" s="142"/>
      <c r="H52" s="321">
        <f t="shared" si="3"/>
        <v>0</v>
      </c>
      <c r="I52" s="285">
        <f t="shared" si="4"/>
        <v>3.9982575735295067</v>
      </c>
      <c r="J52" s="286"/>
    </row>
    <row r="53" spans="1:10" ht="15" customHeight="1">
      <c r="A53" s="746"/>
      <c r="B53" s="325" t="str">
        <f>Rydberg!B54</f>
        <v>Maximum density of water</v>
      </c>
      <c r="C53" s="325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1000.0000000000001</v>
      </c>
      <c r="G53" s="142"/>
      <c r="H53" s="321">
        <f t="shared" si="3"/>
        <v>3</v>
      </c>
      <c r="I53" s="326">
        <f t="shared" si="4"/>
        <v>1.0000000000000002</v>
      </c>
      <c r="J53" s="286"/>
    </row>
    <row r="54" spans="1:10" ht="15" customHeight="1">
      <c r="A54" s="746"/>
      <c r="B54" s="397" t="str">
        <f>Rydberg!B55</f>
        <v>Density of ice at the ice point</v>
      </c>
      <c r="C54" s="397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916.82567111879143</v>
      </c>
      <c r="G54" s="142"/>
      <c r="H54" s="321">
        <f t="shared" si="3"/>
        <v>0</v>
      </c>
      <c r="I54" s="285">
        <f t="shared" si="4"/>
        <v>916.82567111879143</v>
      </c>
      <c r="J54" s="286"/>
    </row>
    <row r="55" spans="1:10" ht="15" customHeight="1">
      <c r="A55" s="746"/>
      <c r="B55" s="325" t="str">
        <f>Rydberg!B56</f>
        <v>Specific heat of water</v>
      </c>
      <c r="C55" s="325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142"/>
      <c r="H55" s="321">
        <f t="shared" si="3"/>
        <v>3</v>
      </c>
      <c r="I55" s="326">
        <f t="shared" si="4"/>
        <v>0.99999999999999978</v>
      </c>
      <c r="J55" s="328"/>
    </row>
    <row r="56" spans="1:10" ht="15" customHeight="1">
      <c r="A56" s="746"/>
      <c r="B56" s="397" t="str">
        <f>Rydberg!B57</f>
        <v>Surface tension of water at 25℃</v>
      </c>
      <c r="C56" s="397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2.1960009192746799E-3</v>
      </c>
      <c r="G56" s="142"/>
      <c r="H56" s="321">
        <f t="shared" si="3"/>
        <v>-3</v>
      </c>
      <c r="I56" s="285">
        <f t="shared" si="4"/>
        <v>2.1960009192746797</v>
      </c>
      <c r="J56" s="286"/>
    </row>
    <row r="57" spans="1:10" ht="15" customHeight="1">
      <c r="A57" s="746"/>
      <c r="B57" s="5" t="str">
        <f>Rydberg!B58</f>
        <v>photon energy at 540THz</v>
      </c>
      <c r="C57" s="397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3.2643624294044492E-21</v>
      </c>
      <c r="G57" s="142"/>
      <c r="H57" s="321">
        <f t="shared" si="3"/>
        <v>-21</v>
      </c>
      <c r="I57" s="285">
        <f t="shared" si="4"/>
        <v>3.2643624294044495</v>
      </c>
      <c r="J57" s="286"/>
    </row>
    <row r="58" spans="1:10" ht="15" customHeight="1">
      <c r="A58" s="746"/>
      <c r="B58" s="237" t="str">
        <f>Rydberg!B59</f>
        <v>(according to the definition of candela)</v>
      </c>
      <c r="C58" s="397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2.8402285762759824E-3</v>
      </c>
      <c r="G58" s="142"/>
      <c r="H58" s="321">
        <f t="shared" si="3"/>
        <v>-3</v>
      </c>
      <c r="I58" s="285">
        <f t="shared" si="4"/>
        <v>2.8402285762759822</v>
      </c>
      <c r="J58" s="320"/>
    </row>
    <row r="59" spans="1:10" ht="15" customHeight="1">
      <c r="A59" s="746"/>
      <c r="B59" s="315">
        <f>Rydberg!B60</f>
        <v>1.024</v>
      </c>
      <c r="C59" s="397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1024.7594048503931</v>
      </c>
      <c r="G59" s="142"/>
      <c r="H59" s="321">
        <f t="shared" si="3"/>
        <v>3</v>
      </c>
      <c r="I59" s="285">
        <f t="shared" si="4"/>
        <v>1.0247594048503932</v>
      </c>
      <c r="J59" s="286"/>
    </row>
    <row r="60" spans="1:10" ht="15" customHeight="1">
      <c r="A60" s="746"/>
      <c r="B60" s="397" t="str">
        <f>Rydberg!B61</f>
        <v>Sea depth at standard atmosphere</v>
      </c>
      <c r="C60" s="397" t="str">
        <f>Rydberg!C61</f>
        <v>m</v>
      </c>
      <c r="D60" s="21">
        <f>D61/D59</f>
        <v>10.090394374791382</v>
      </c>
      <c r="E60" s="8">
        <v>6</v>
      </c>
      <c r="F60" s="21">
        <f>D60/F$3</f>
        <v>5.5174947368719272</v>
      </c>
      <c r="G60" s="37"/>
      <c r="H60" s="321">
        <f t="shared" si="3"/>
        <v>0</v>
      </c>
      <c r="I60" s="285">
        <f t="shared" si="4"/>
        <v>5.5174947368719272</v>
      </c>
      <c r="J60" s="39"/>
    </row>
    <row r="61" spans="1:10" ht="15" customHeight="1">
      <c r="A61" s="746"/>
      <c r="B61" s="397" t="str">
        <f>Rydberg!B62</f>
        <v>Standard atmosphere</v>
      </c>
      <c r="C61" s="397" t="str">
        <f>Rydberg!C62</f>
        <v>P</v>
      </c>
      <c r="D61" s="21">
        <f>Rydberg!D62</f>
        <v>101325</v>
      </c>
      <c r="E61" s="8">
        <v>6</v>
      </c>
      <c r="F61" s="21">
        <f>D61/F$11</f>
        <v>5654.1046228220521</v>
      </c>
      <c r="G61" s="37"/>
      <c r="H61" s="321">
        <f t="shared" si="3"/>
        <v>3</v>
      </c>
      <c r="I61" s="285">
        <f t="shared" si="4"/>
        <v>5.654104622822052</v>
      </c>
      <c r="J61" s="39"/>
    </row>
    <row r="62" spans="1:10" ht="15" customHeight="1">
      <c r="A62" s="746"/>
      <c r="B62" s="325" t="str">
        <f>Rydberg!B63</f>
        <v>Standard gravitational acceleration</v>
      </c>
      <c r="C62" s="325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1.0007416062992123</v>
      </c>
      <c r="G62" s="37"/>
      <c r="H62" s="321">
        <f t="shared" si="3"/>
        <v>0</v>
      </c>
      <c r="I62" s="326">
        <f t="shared" si="4"/>
        <v>1.0007416062992123</v>
      </c>
      <c r="J62" s="327"/>
    </row>
    <row r="63" spans="1:10" ht="15" customHeight="1">
      <c r="A63" s="746"/>
      <c r="B63" s="397" t="str">
        <f>Rydberg!B64</f>
        <v>Gravitational radius of the Earth</v>
      </c>
      <c r="C63" s="397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2.4251028210398461E-3</v>
      </c>
      <c r="G63" s="37"/>
      <c r="H63" s="321">
        <f t="shared" si="3"/>
        <v>-3</v>
      </c>
      <c r="I63" s="285">
        <f t="shared" si="4"/>
        <v>2.4251028210398462</v>
      </c>
      <c r="J63" s="39"/>
    </row>
    <row r="64" spans="1:10" ht="15" customHeight="1">
      <c r="A64" s="746"/>
      <c r="B64" s="397" t="str">
        <f>Rydberg!B65</f>
        <v>Equatorial radius of the Earth</v>
      </c>
      <c r="C64" s="397" t="str">
        <f>Rydberg!C65</f>
        <v>m</v>
      </c>
      <c r="D64" s="21">
        <f>Rydberg!D65</f>
        <v>6378140</v>
      </c>
      <c r="E64" s="8">
        <v>7</v>
      </c>
      <c r="F64" s="21">
        <f>D64/F$3</f>
        <v>3487609.3613298335</v>
      </c>
      <c r="G64" s="37"/>
      <c r="H64" s="321">
        <f t="shared" si="3"/>
        <v>6</v>
      </c>
      <c r="I64" s="285">
        <f t="shared" si="4"/>
        <v>3.4876093613298336</v>
      </c>
      <c r="J64" s="39"/>
    </row>
    <row r="65" spans="1:10" ht="15" customHeight="1">
      <c r="A65" s="746"/>
      <c r="B65" s="397" t="str">
        <f>Rydberg!B66</f>
        <v>Meridian length of the Earth / 4</v>
      </c>
      <c r="C65" s="397" t="str">
        <f>Rydberg!C66</f>
        <v>m</v>
      </c>
      <c r="D65" s="21">
        <f>Rydberg!D66</f>
        <v>10001965</v>
      </c>
      <c r="E65" s="8">
        <v>7</v>
      </c>
      <c r="F65" s="21">
        <f>D65/F$3</f>
        <v>5469140.9667541552</v>
      </c>
      <c r="G65" s="37"/>
      <c r="H65" s="321">
        <f t="shared" si="3"/>
        <v>6</v>
      </c>
      <c r="I65" s="285">
        <f t="shared" si="4"/>
        <v>5.4691409667541553</v>
      </c>
      <c r="J65" s="39"/>
    </row>
    <row r="66" spans="1:10" ht="15" customHeight="1">
      <c r="A66" s="746"/>
      <c r="B66" s="397" t="str">
        <f>Rydberg!B67</f>
        <v>Gravitational radius of the Sun</v>
      </c>
      <c r="C66" s="397" t="str">
        <f>Rydberg!C67</f>
        <v>m</v>
      </c>
      <c r="D66" s="21">
        <f>Rydberg!D67</f>
        <v>1476.6250157971238</v>
      </c>
      <c r="E66" s="8">
        <v>8</v>
      </c>
      <c r="F66" s="21">
        <f>D66/F$3</f>
        <v>807.42837696693107</v>
      </c>
      <c r="G66" s="37"/>
      <c r="H66" s="321">
        <f t="shared" si="3"/>
        <v>0</v>
      </c>
      <c r="I66" s="285">
        <f t="shared" si="4"/>
        <v>807.42837696693107</v>
      </c>
      <c r="J66" s="39"/>
    </row>
    <row r="67" spans="1:10" ht="15" customHeight="1">
      <c r="A67" s="746"/>
      <c r="B67" s="397" t="str">
        <f>Rydberg!B68</f>
        <v>Astronomical unit</v>
      </c>
      <c r="C67" s="397" t="str">
        <f>Rydberg!C68</f>
        <v>m</v>
      </c>
      <c r="D67" s="21">
        <f>Rydberg!D68</f>
        <v>149597870000</v>
      </c>
      <c r="E67" s="8">
        <v>9</v>
      </c>
      <c r="F67" s="21">
        <f>D67/F$3</f>
        <v>81801110017.497803</v>
      </c>
      <c r="G67" s="37"/>
      <c r="H67" s="321">
        <f t="shared" si="3"/>
        <v>9</v>
      </c>
      <c r="I67" s="285">
        <f t="shared" si="4"/>
        <v>81.801110017497805</v>
      </c>
      <c r="J67" s="39"/>
    </row>
    <row r="68" spans="1:10" ht="15" customHeight="1" thickBot="1">
      <c r="A68" s="747"/>
      <c r="B68" s="398" t="str">
        <f>Rydberg!B69</f>
        <v>Astronomical unit / c0</v>
      </c>
      <c r="C68" s="398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323">
        <f t="shared" si="3"/>
        <v>3</v>
      </c>
      <c r="I68" s="324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workbookViewId="0">
      <selection activeCell="E64" sqref="E64"/>
    </sheetView>
  </sheetViews>
  <sheetFormatPr defaultRowHeight="12"/>
  <cols>
    <col min="1" max="1" width="2.75" style="14" customWidth="1"/>
    <col min="2" max="2" width="26" style="14" customWidth="1"/>
    <col min="3" max="3" width="8.625" style="14" customWidth="1"/>
    <col min="4" max="4" width="14.125" style="14" customWidth="1"/>
    <col min="5" max="5" width="3.5" style="14" customWidth="1"/>
    <col min="6" max="6" width="13.875" style="14" customWidth="1"/>
    <col min="7" max="7" width="14" style="14" customWidth="1"/>
    <col min="8" max="8" width="3.625" style="14" customWidth="1"/>
    <col min="9" max="9" width="9.125" style="14" customWidth="1"/>
    <col min="10" max="10" width="14.625" style="14" customWidth="1"/>
    <col min="11" max="11" width="9" style="14" customWidth="1"/>
    <col min="12" max="12" width="3.125" style="14" customWidth="1"/>
    <col min="13" max="16384" width="9" style="14"/>
  </cols>
  <sheetData>
    <row r="1" spans="1:12" ht="11.25" customHeight="1">
      <c r="A1" s="745" t="s">
        <v>26</v>
      </c>
      <c r="B1" s="358" t="s">
        <v>42</v>
      </c>
      <c r="C1" s="18" t="str">
        <f>Rydberg!C1</f>
        <v>Unit Symbol</v>
      </c>
      <c r="D1" s="358" t="s">
        <v>43</v>
      </c>
      <c r="E1" s="18" t="s">
        <v>44</v>
      </c>
      <c r="F1" s="358" t="s">
        <v>55</v>
      </c>
      <c r="G1" s="358" t="s">
        <v>778</v>
      </c>
      <c r="H1" s="19"/>
      <c r="I1" s="356" t="s">
        <v>46</v>
      </c>
      <c r="J1" s="359"/>
      <c r="K1" s="357"/>
    </row>
    <row r="2" spans="1:12" ht="13.5" customHeight="1">
      <c r="A2" s="746"/>
      <c r="B2" s="2" t="str">
        <f>Rydberg!B2</f>
        <v>Local Time</v>
      </c>
      <c r="C2" s="2" t="str">
        <f>Rydberg!C2</f>
        <v>s</v>
      </c>
      <c r="D2" s="322"/>
      <c r="E2" s="278"/>
      <c r="F2" s="278"/>
      <c r="G2" s="278"/>
      <c r="H2" s="278"/>
      <c r="I2" s="317"/>
      <c r="J2" s="318"/>
      <c r="K2" s="304"/>
      <c r="L2" s="24"/>
    </row>
    <row r="3" spans="1:12" ht="13.5" customHeight="1">
      <c r="A3" s="746"/>
      <c r="B3" s="2" t="str">
        <f>Rydberg!B3</f>
        <v>Length</v>
      </c>
      <c r="C3" s="7" t="str">
        <f>Rydberg!C3</f>
        <v>m</v>
      </c>
      <c r="D3" s="277">
        <f>'yard-pound'!D17*6</f>
        <v>1.8288000000000002</v>
      </c>
      <c r="E3" s="278">
        <v>-1</v>
      </c>
      <c r="F3" s="279">
        <f>D3*POWER(10,E3)</f>
        <v>0.18288000000000004</v>
      </c>
      <c r="G3" s="279">
        <f>$D3/10</f>
        <v>0.18288000000000001</v>
      </c>
      <c r="H3" s="278">
        <v>0</v>
      </c>
      <c r="I3" s="281">
        <f>F3/POWER(10,H3)</f>
        <v>0.18288000000000004</v>
      </c>
      <c r="J3" s="282" t="s">
        <v>780</v>
      </c>
      <c r="K3" s="304"/>
      <c r="L3" s="319">
        <f>F3/G3</f>
        <v>1.0000000000000002</v>
      </c>
    </row>
    <row r="4" spans="1:12" ht="13.5" customHeight="1">
      <c r="A4" s="746"/>
      <c r="B4" s="360" t="str">
        <f>Rydberg!B4</f>
        <v>Time</v>
      </c>
      <c r="C4" s="361" t="str">
        <f>Rydberg!C4</f>
        <v>s</v>
      </c>
      <c r="D4" s="362">
        <f>86400/200000</f>
        <v>0.432</v>
      </c>
      <c r="E4" s="284">
        <v>0</v>
      </c>
      <c r="F4" s="142">
        <f t="shared" ref="F4:F30" si="0">D4*POWER(10,E4)</f>
        <v>0.432</v>
      </c>
      <c r="G4" s="142">
        <f>$D4</f>
        <v>0.432</v>
      </c>
      <c r="H4" s="284">
        <v>0</v>
      </c>
      <c r="I4" s="363">
        <f t="shared" ref="I4:I30" si="1">F4/POWER(10,H4)</f>
        <v>0.432</v>
      </c>
      <c r="J4" s="364" t="s">
        <v>56</v>
      </c>
      <c r="K4" s="302"/>
      <c r="L4" s="319">
        <f t="shared" ref="L4:L30" si="2">F4/G4</f>
        <v>1</v>
      </c>
    </row>
    <row r="5" spans="1:12" ht="13.5" customHeight="1">
      <c r="A5" s="746"/>
      <c r="B5" s="2" t="str">
        <f>Rydberg!B5</f>
        <v>Energy</v>
      </c>
      <c r="C5" s="2" t="str">
        <f>Rydberg!C5</f>
        <v>J</v>
      </c>
      <c r="D5" s="279">
        <f>D8*POWER(D3/D4,2)</f>
        <v>109610.31130911486</v>
      </c>
      <c r="E5" s="278">
        <v>-5</v>
      </c>
      <c r="F5" s="279">
        <f t="shared" si="0"/>
        <v>1.0961031130911487</v>
      </c>
      <c r="G5" s="279">
        <f>G8*POWER(G3/G4,2)</f>
        <v>1.0961031130911483</v>
      </c>
      <c r="H5" s="278">
        <v>0</v>
      </c>
      <c r="I5" s="281">
        <f t="shared" si="1"/>
        <v>1.0961031130911487</v>
      </c>
      <c r="J5" s="282" t="s">
        <v>58</v>
      </c>
      <c r="K5" s="302"/>
      <c r="L5" s="319">
        <f t="shared" si="2"/>
        <v>1.0000000000000004</v>
      </c>
    </row>
    <row r="6" spans="1:12" ht="13.5" customHeight="1">
      <c r="A6" s="746"/>
      <c r="B6" s="2" t="str">
        <f>Rydberg!B6</f>
        <v>Temperature</v>
      </c>
      <c r="C6" s="2" t="str">
        <f>Rydberg!C6</f>
        <v>K</v>
      </c>
      <c r="D6" s="279">
        <f>D5/D8/D55</f>
        <v>4.2832483535160419E-3</v>
      </c>
      <c r="E6" s="278">
        <v>1</v>
      </c>
      <c r="F6" s="279">
        <f t="shared" si="0"/>
        <v>4.2832483535160421E-2</v>
      </c>
      <c r="G6" s="279">
        <f>G5/G8/D55*1000</f>
        <v>4.2832483535160414E-2</v>
      </c>
      <c r="H6" s="278">
        <v>-3</v>
      </c>
      <c r="I6" s="281">
        <f t="shared" si="1"/>
        <v>42.832483535160421</v>
      </c>
      <c r="J6" s="282" t="s">
        <v>781</v>
      </c>
      <c r="K6" s="302"/>
      <c r="L6" s="319">
        <f t="shared" si="2"/>
        <v>1.0000000000000002</v>
      </c>
    </row>
    <row r="7" spans="1:12" ht="13.5" customHeight="1">
      <c r="A7" s="746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79">
        <f t="shared" si="0"/>
        <v>6.1162676035838128</v>
      </c>
      <c r="G7" s="279">
        <f>$D7/1000</f>
        <v>6.1162676035838128</v>
      </c>
      <c r="H7" s="8">
        <v>0</v>
      </c>
      <c r="I7" s="58">
        <f t="shared" si="1"/>
        <v>6.1162676035838128</v>
      </c>
      <c r="J7" s="122" t="str">
        <f>Rydberg!L7</f>
        <v>mol</v>
      </c>
      <c r="K7" s="24"/>
      <c r="L7" s="319">
        <f t="shared" si="2"/>
        <v>1</v>
      </c>
    </row>
    <row r="8" spans="1:12" ht="13.5" customHeight="1">
      <c r="A8" s="746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79">
        <f t="shared" si="0"/>
        <v>6.1162676035838128</v>
      </c>
      <c r="G8" s="279">
        <f>$D8/1000</f>
        <v>6.1162676035838128</v>
      </c>
      <c r="H8" s="8">
        <v>0</v>
      </c>
      <c r="I8" s="58">
        <f t="shared" si="1"/>
        <v>6.1162676035838128</v>
      </c>
      <c r="J8" s="122" t="s">
        <v>61</v>
      </c>
      <c r="K8" s="24"/>
      <c r="L8" s="319">
        <f t="shared" si="2"/>
        <v>1</v>
      </c>
    </row>
    <row r="9" spans="1:12" ht="13.5" customHeight="1">
      <c r="A9" s="746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-5</v>
      </c>
      <c r="F9" s="279">
        <f t="shared" si="0"/>
        <v>2.5372757247480293</v>
      </c>
      <c r="G9" s="21">
        <f>G5/G4</f>
        <v>2.5372757247480284</v>
      </c>
      <c r="H9" s="8">
        <v>0</v>
      </c>
      <c r="I9" s="58">
        <f t="shared" si="1"/>
        <v>2.5372757247480293</v>
      </c>
      <c r="J9" s="122" t="s">
        <v>62</v>
      </c>
      <c r="K9" s="24"/>
      <c r="L9" s="319">
        <f t="shared" si="2"/>
        <v>1.0000000000000004</v>
      </c>
    </row>
    <row r="10" spans="1:12" ht="13.5" customHeight="1">
      <c r="A10" s="746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-4</v>
      </c>
      <c r="F10" s="279">
        <f t="shared" si="0"/>
        <v>5.9935647041292022</v>
      </c>
      <c r="G10" s="21">
        <f>G5/G3</f>
        <v>5.9935647041292004</v>
      </c>
      <c r="H10" s="8">
        <v>0</v>
      </c>
      <c r="I10" s="58">
        <f t="shared" si="1"/>
        <v>5.9935647041292022</v>
      </c>
      <c r="J10" s="122" t="s">
        <v>63</v>
      </c>
      <c r="K10" s="24"/>
      <c r="L10" s="319">
        <f t="shared" si="2"/>
        <v>1.0000000000000002</v>
      </c>
    </row>
    <row r="11" spans="1:12" ht="13.5" customHeight="1">
      <c r="A11" s="746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-2</v>
      </c>
      <c r="F11" s="279">
        <f t="shared" si="0"/>
        <v>179.20609320000008</v>
      </c>
      <c r="G11" s="21">
        <f>G10/(G3*G3)</f>
        <v>179.20609320000003</v>
      </c>
      <c r="H11" s="8">
        <v>0</v>
      </c>
      <c r="I11" s="58">
        <f t="shared" si="1"/>
        <v>179.20609320000008</v>
      </c>
      <c r="J11" s="122" t="str">
        <f>Rydberg!L11</f>
        <v>Pa</v>
      </c>
      <c r="K11" s="24"/>
      <c r="L11" s="319">
        <f t="shared" si="2"/>
        <v>1.0000000000000002</v>
      </c>
    </row>
    <row r="12" spans="1:12" ht="13.5" customHeight="1">
      <c r="A12" s="746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79">
        <f t="shared" si="0"/>
        <v>0.59013011569912821</v>
      </c>
      <c r="G12" s="279">
        <f>$D12/1000000000</f>
        <v>0.5901301156991281</v>
      </c>
      <c r="H12" s="8">
        <v>0</v>
      </c>
      <c r="I12" s="58">
        <f t="shared" si="1"/>
        <v>0.59013011569912821</v>
      </c>
      <c r="J12" s="122" t="s">
        <v>65</v>
      </c>
      <c r="K12" s="24"/>
      <c r="L12" s="319">
        <f t="shared" si="2"/>
        <v>1.0000000000000002</v>
      </c>
    </row>
    <row r="13" spans="1:12" ht="14.25" customHeight="1">
      <c r="A13" s="746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79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22" t="s">
        <v>66</v>
      </c>
      <c r="K13" s="24"/>
      <c r="L13" s="319">
        <f t="shared" si="2"/>
        <v>1.0000000000000002</v>
      </c>
    </row>
    <row r="14" spans="1:12" ht="14.25" customHeight="1">
      <c r="A14" s="746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-8</v>
      </c>
      <c r="F14" s="279">
        <f t="shared" si="0"/>
        <v>7.4696081282191731</v>
      </c>
      <c r="G14" s="21">
        <f>G13/G3</f>
        <v>7.4696081282191731</v>
      </c>
      <c r="H14" s="8">
        <v>0</v>
      </c>
      <c r="I14" s="58">
        <f t="shared" si="1"/>
        <v>7.4696081282191731</v>
      </c>
      <c r="J14" s="122" t="s">
        <v>689</v>
      </c>
      <c r="K14" s="24"/>
      <c r="L14" s="319">
        <f t="shared" si="2"/>
        <v>1</v>
      </c>
    </row>
    <row r="15" spans="1:12" ht="14.25" customHeight="1">
      <c r="A15" s="746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-7</v>
      </c>
      <c r="F15" s="279">
        <f t="shared" si="0"/>
        <v>17.64474360996655</v>
      </c>
      <c r="G15" s="21">
        <f>G12/(G3*G3)</f>
        <v>17.644743609966547</v>
      </c>
      <c r="H15" s="8">
        <v>0</v>
      </c>
      <c r="I15" s="58">
        <f t="shared" si="1"/>
        <v>17.64474360996655</v>
      </c>
      <c r="J15" s="122" t="s">
        <v>765</v>
      </c>
      <c r="K15" s="24"/>
      <c r="L15" s="319">
        <f t="shared" si="2"/>
        <v>1.0000000000000002</v>
      </c>
    </row>
    <row r="16" spans="1:12" ht="14.25" customHeight="1">
      <c r="A16" s="746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12</v>
      </c>
      <c r="F16" s="279">
        <f t="shared" si="0"/>
        <v>0.57560169977697917</v>
      </c>
      <c r="G16" s="21">
        <f>F16</f>
        <v>0.57560169977697917</v>
      </c>
      <c r="H16" s="8">
        <v>0</v>
      </c>
      <c r="I16" s="58">
        <f t="shared" si="1"/>
        <v>0.57560169977697917</v>
      </c>
      <c r="J16" s="122" t="str">
        <f>Rydberg!L16</f>
        <v>Ω</v>
      </c>
      <c r="K16" s="24"/>
      <c r="L16" s="319">
        <f t="shared" si="2"/>
        <v>1</v>
      </c>
    </row>
    <row r="17" spans="1:12" ht="14.25" customHeight="1">
      <c r="A17" s="746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3</v>
      </c>
      <c r="F17" s="279">
        <f t="shared" si="0"/>
        <v>0.78629605945834147</v>
      </c>
      <c r="G17" s="21">
        <f>G13*G16</f>
        <v>0.78629605945834147</v>
      </c>
      <c r="H17" s="8">
        <v>0</v>
      </c>
      <c r="I17" s="58">
        <f t="shared" si="1"/>
        <v>0.78629605945834147</v>
      </c>
      <c r="J17" s="122" t="str">
        <f>Rydberg!L17</f>
        <v>V</v>
      </c>
      <c r="K17" s="24"/>
      <c r="L17" s="319">
        <f t="shared" si="2"/>
        <v>1</v>
      </c>
    </row>
    <row r="18" spans="1:12" ht="14.25" customHeight="1">
      <c r="A18" s="746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-12</v>
      </c>
      <c r="F18" s="279">
        <f t="shared" si="0"/>
        <v>0.75051897895260111</v>
      </c>
      <c r="G18" s="21">
        <f>G4/G16</f>
        <v>0.750518978952601</v>
      </c>
      <c r="H18" s="8">
        <v>-3</v>
      </c>
      <c r="I18" s="58">
        <f t="shared" si="1"/>
        <v>750.51897895260106</v>
      </c>
      <c r="J18" s="122" t="str">
        <f>Rydberg!L18</f>
        <v>mF</v>
      </c>
      <c r="K18" s="76"/>
      <c r="L18" s="319">
        <f t="shared" si="2"/>
        <v>1.0000000000000002</v>
      </c>
    </row>
    <row r="19" spans="1:12" ht="14.25" customHeight="1">
      <c r="A19" s="746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3</v>
      </c>
      <c r="F19" s="279">
        <f t="shared" si="0"/>
        <v>0.33967989768600354</v>
      </c>
      <c r="G19" s="21">
        <f>G12*G16</f>
        <v>0.33967989768600354</v>
      </c>
      <c r="H19" s="8">
        <v>0</v>
      </c>
      <c r="I19" s="58">
        <f t="shared" si="1"/>
        <v>0.33967989768600354</v>
      </c>
      <c r="J19" s="122" t="str">
        <f>Rydberg!L19</f>
        <v>Wb</v>
      </c>
      <c r="K19" s="76"/>
      <c r="L19" s="319">
        <f t="shared" si="2"/>
        <v>1</v>
      </c>
    </row>
    <row r="20" spans="1:12" ht="14.25" customHeight="1">
      <c r="A20" s="746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5</v>
      </c>
      <c r="F20" s="279">
        <f t="shared" si="0"/>
        <v>10.156344414025739</v>
      </c>
      <c r="G20" s="21">
        <f>G15*G16</f>
        <v>10.156344414025735</v>
      </c>
      <c r="H20" s="8">
        <v>0</v>
      </c>
      <c r="I20" s="58">
        <f t="shared" si="1"/>
        <v>10.156344414025739</v>
      </c>
      <c r="J20" s="122" t="str">
        <f>Rydberg!L20</f>
        <v>T</v>
      </c>
      <c r="K20" s="76"/>
      <c r="L20" s="319">
        <f t="shared" si="2"/>
        <v>1.0000000000000004</v>
      </c>
    </row>
    <row r="21" spans="1:12" ht="14.25" customHeight="1">
      <c r="A21" s="746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12</v>
      </c>
      <c r="F21" s="279">
        <f t="shared" si="0"/>
        <v>0.24865993430365499</v>
      </c>
      <c r="G21" s="21">
        <f>G4*G16</f>
        <v>0.24865993430365499</v>
      </c>
      <c r="H21" s="8">
        <v>0</v>
      </c>
      <c r="I21" s="58">
        <f t="shared" si="1"/>
        <v>0.24865993430365499</v>
      </c>
      <c r="J21" s="122" t="str">
        <f>Rydberg!L21</f>
        <v>H</v>
      </c>
      <c r="K21" s="76"/>
      <c r="L21" s="319">
        <f t="shared" si="2"/>
        <v>1</v>
      </c>
    </row>
    <row r="22" spans="1:12" ht="14.25" customHeight="1">
      <c r="A22" s="746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79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22" t="s">
        <v>711</v>
      </c>
      <c r="K22" s="296"/>
      <c r="L22" s="319">
        <f t="shared" si="2"/>
        <v>1</v>
      </c>
    </row>
    <row r="23" spans="1:12" ht="14.25" customHeight="1">
      <c r="A23" s="746"/>
      <c r="B23" s="2" t="str">
        <f>Rydberg!B23</f>
        <v>Luminous flux</v>
      </c>
      <c r="C23" s="2" t="str">
        <f>Rydberg!C23</f>
        <v>W_sen</v>
      </c>
      <c r="D23" s="21">
        <f>D9</f>
        <v>253727.5724748029</v>
      </c>
      <c r="E23" s="8">
        <f>E9</f>
        <v>-5</v>
      </c>
      <c r="F23" s="279">
        <f t="shared" si="0"/>
        <v>2.5372757247480293</v>
      </c>
      <c r="G23" s="21">
        <f>G9</f>
        <v>2.5372757247480284</v>
      </c>
      <c r="H23" s="8">
        <v>0</v>
      </c>
      <c r="I23" s="58">
        <f t="shared" si="1"/>
        <v>2.5372757247480293</v>
      </c>
      <c r="J23" s="122" t="s">
        <v>696</v>
      </c>
      <c r="K23" s="297"/>
      <c r="L23" s="319">
        <f t="shared" si="2"/>
        <v>1.0000000000000004</v>
      </c>
    </row>
    <row r="24" spans="1:12" ht="14.25" customHeight="1">
      <c r="A24" s="746"/>
      <c r="B24" s="2" t="str">
        <f>Rydberg!B24</f>
        <v>Luminous intensity</v>
      </c>
      <c r="C24" s="2" t="str">
        <f>Rydberg!C24</f>
        <v>W_sen/sr</v>
      </c>
      <c r="D24" s="21">
        <f>D23</f>
        <v>253727.5724748029</v>
      </c>
      <c r="E24" s="8">
        <f>E9</f>
        <v>-5</v>
      </c>
      <c r="F24" s="279">
        <f t="shared" si="0"/>
        <v>2.5372757247480293</v>
      </c>
      <c r="G24" s="21">
        <f>G23</f>
        <v>2.5372757247480284</v>
      </c>
      <c r="H24" s="8">
        <v>0</v>
      </c>
      <c r="I24" s="58">
        <f t="shared" si="1"/>
        <v>2.5372757247480293</v>
      </c>
      <c r="J24" s="122" t="s">
        <v>699</v>
      </c>
      <c r="K24" s="24"/>
      <c r="L24" s="319">
        <f t="shared" si="2"/>
        <v>1.0000000000000004</v>
      </c>
    </row>
    <row r="25" spans="1:12" ht="14.25" customHeight="1">
      <c r="A25" s="746"/>
      <c r="B25" s="2"/>
      <c r="C25" s="2" t="str">
        <f>Rydberg!C25</f>
        <v>W_sen/Ω_2</v>
      </c>
      <c r="D25" s="21">
        <f>D23/(4*PI())</f>
        <v>20190.998679036002</v>
      </c>
      <c r="E25" s="8">
        <f>E9</f>
        <v>-5</v>
      </c>
      <c r="F25" s="279">
        <f t="shared" si="0"/>
        <v>0.20190998679036004</v>
      </c>
      <c r="G25" s="21">
        <f>G24/(4*PI())</f>
        <v>0.20190998679035999</v>
      </c>
      <c r="H25" s="8">
        <v>0</v>
      </c>
      <c r="I25" s="58">
        <f t="shared" si="1"/>
        <v>0.20190998679036004</v>
      </c>
      <c r="J25" s="122" t="s">
        <v>699</v>
      </c>
      <c r="K25" s="24"/>
      <c r="L25" s="319">
        <f t="shared" si="2"/>
        <v>1.0000000000000002</v>
      </c>
    </row>
    <row r="26" spans="1:12" ht="14.25" customHeight="1">
      <c r="A26" s="746"/>
      <c r="B26" s="2" t="str">
        <f>Rydberg!B26</f>
        <v>Illuminance and luminous emittance</v>
      </c>
      <c r="C26" s="2" t="str">
        <f>Rydberg!C26</f>
        <v>W_sen/m^2</v>
      </c>
      <c r="D26" s="21">
        <f>D23/D3/D3</f>
        <v>75863.912788000031</v>
      </c>
      <c r="E26" s="8">
        <f>E9-2*E3</f>
        <v>-3</v>
      </c>
      <c r="F26" s="279">
        <f t="shared" si="0"/>
        <v>75.863912788000036</v>
      </c>
      <c r="G26" s="21">
        <f>G23/(G3*G3)</f>
        <v>75.863912788000022</v>
      </c>
      <c r="H26" s="8">
        <v>0</v>
      </c>
      <c r="I26" s="58">
        <f t="shared" si="1"/>
        <v>75.863912788000036</v>
      </c>
      <c r="J26" s="122" t="s">
        <v>712</v>
      </c>
      <c r="K26" s="24"/>
      <c r="L26" s="319">
        <f t="shared" si="2"/>
        <v>1.0000000000000002</v>
      </c>
    </row>
    <row r="27" spans="1:12" ht="14.25" customHeight="1">
      <c r="A27" s="746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79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22" t="s">
        <v>703</v>
      </c>
      <c r="K27" s="24"/>
      <c r="L27" s="319">
        <f t="shared" si="2"/>
        <v>1.0000000000000002</v>
      </c>
    </row>
    <row r="28" spans="1:12" ht="14.25" customHeight="1">
      <c r="A28" s="746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79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22" t="s">
        <v>705</v>
      </c>
      <c r="K28" s="24"/>
      <c r="L28" s="319">
        <f t="shared" si="2"/>
        <v>1</v>
      </c>
    </row>
    <row r="29" spans="1:12" ht="14.25" customHeight="1">
      <c r="A29" s="746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-2</v>
      </c>
      <c r="F29" s="279">
        <f t="shared" si="0"/>
        <v>0.17921111111111121</v>
      </c>
      <c r="G29" s="21">
        <f>G5/G8</f>
        <v>0.17921111111111115</v>
      </c>
      <c r="H29" s="8">
        <v>-3</v>
      </c>
      <c r="I29" s="58">
        <f t="shared" si="1"/>
        <v>179.21111111111119</v>
      </c>
      <c r="J29" s="122" t="s">
        <v>707</v>
      </c>
      <c r="K29" s="24"/>
      <c r="L29" s="319">
        <f t="shared" si="2"/>
        <v>1.0000000000000002</v>
      </c>
    </row>
    <row r="30" spans="1:12" ht="14.25" customHeight="1" thickBot="1">
      <c r="A30" s="795"/>
      <c r="B30" s="6" t="str">
        <f>Rydberg!B30</f>
        <v>Equivalent dose</v>
      </c>
      <c r="C30" s="6" t="str">
        <f>Rydberg!C30</f>
        <v>J_sen/g</v>
      </c>
      <c r="D30" s="29">
        <f>D5/D8/K30</f>
        <v>17.92111111111112</v>
      </c>
      <c r="E30" s="30">
        <v>-2</v>
      </c>
      <c r="F30" s="287">
        <f t="shared" si="0"/>
        <v>0.17921111111111121</v>
      </c>
      <c r="G30" s="29">
        <f>G29</f>
        <v>0.17921111111111115</v>
      </c>
      <c r="H30" s="30">
        <v>-3</v>
      </c>
      <c r="I30" s="59">
        <f t="shared" si="1"/>
        <v>179.21111111111119</v>
      </c>
      <c r="J30" s="123" t="s">
        <v>708</v>
      </c>
      <c r="K30" s="300">
        <v>1</v>
      </c>
      <c r="L30" s="319">
        <f t="shared" si="2"/>
        <v>1.0000000000000002</v>
      </c>
    </row>
    <row r="31" spans="1:12" ht="11.25" customHeight="1">
      <c r="A31" s="745" t="s">
        <v>27</v>
      </c>
      <c r="B31" s="399" t="s">
        <v>42</v>
      </c>
      <c r="C31" s="18" t="str">
        <f>Rydberg!C31</f>
        <v>Unit Symbol</v>
      </c>
      <c r="D31" s="399" t="s">
        <v>43</v>
      </c>
      <c r="E31" s="18" t="s">
        <v>54</v>
      </c>
      <c r="F31" s="399" t="s">
        <v>47</v>
      </c>
      <c r="G31" s="399" t="s">
        <v>92</v>
      </c>
      <c r="H31" s="713"/>
      <c r="I31" s="714"/>
      <c r="J31" s="400" t="str">
        <f>Rydberg!L31</f>
        <v>Prefix</v>
      </c>
    </row>
    <row r="32" spans="1:12" ht="14.25" customHeight="1">
      <c r="A32" s="746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142"/>
      <c r="H32" s="321">
        <f>FLOOR(LOG10(F32)/3,1)*3</f>
        <v>-3</v>
      </c>
      <c r="I32" s="285">
        <f>F32/POWER(10,H32)</f>
        <v>7.2973525663999999</v>
      </c>
      <c r="J32" s="286"/>
    </row>
    <row r="33" spans="1:10" ht="15" customHeight="1">
      <c r="A33" s="746"/>
      <c r="B33" s="397" t="str">
        <f>Rydberg!B33</f>
        <v>Avogadro constant</v>
      </c>
      <c r="C33" s="397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142"/>
      <c r="H33" s="321">
        <f t="shared" ref="H33:H68" si="3">FLOOR(LOG10(F33)/3,1)*3</f>
        <v>24</v>
      </c>
      <c r="I33" s="285">
        <f t="shared" ref="I33:I68" si="4">F33/POWER(10,H33)</f>
        <v>3.6833025027887563</v>
      </c>
      <c r="J33" s="286"/>
    </row>
    <row r="34" spans="1:10" ht="15" customHeight="1">
      <c r="A34" s="746"/>
      <c r="B34" s="397" t="str">
        <f>Rydberg!B34</f>
        <v>Rydberg constant</v>
      </c>
      <c r="C34" s="397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2006876.0292487436</v>
      </c>
      <c r="G34" s="142"/>
      <c r="H34" s="321">
        <f t="shared" si="3"/>
        <v>6</v>
      </c>
      <c r="I34" s="285">
        <f t="shared" si="4"/>
        <v>2.0068760292487435</v>
      </c>
      <c r="J34" s="286"/>
    </row>
    <row r="35" spans="1:10" ht="15" customHeight="1">
      <c r="A35" s="746"/>
      <c r="B35" s="397" t="str">
        <f>Rydberg!B35</f>
        <v>Speed of light in vacuum</v>
      </c>
      <c r="C35" s="397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708171160.62992108</v>
      </c>
      <c r="G35" s="142"/>
      <c r="H35" s="321">
        <f t="shared" si="3"/>
        <v>6</v>
      </c>
      <c r="I35" s="285">
        <f t="shared" si="4"/>
        <v>708.17116062992113</v>
      </c>
      <c r="J35" s="286"/>
    </row>
    <row r="36" spans="1:10" ht="15" customHeight="1">
      <c r="A36" s="746"/>
      <c r="B36" s="397" t="str">
        <f>Rydberg!B36</f>
        <v>Quantum of action</v>
      </c>
      <c r="C36" s="397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2.227106552997198E-34</v>
      </c>
      <c r="G36" s="142"/>
      <c r="H36" s="321">
        <f t="shared" si="3"/>
        <v>-36</v>
      </c>
      <c r="I36" s="285">
        <f t="shared" si="4"/>
        <v>222.7106552997198</v>
      </c>
      <c r="J36" s="286"/>
    </row>
    <row r="37" spans="1:10" ht="15" customHeight="1">
      <c r="A37" s="746"/>
      <c r="B37" s="397" t="str">
        <f>Rydberg!B37</f>
        <v>Boltzmann constant</v>
      </c>
      <c r="C37" s="397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142"/>
      <c r="H37" s="321">
        <f t="shared" si="3"/>
        <v>-27</v>
      </c>
      <c r="I37" s="285">
        <f t="shared" si="4"/>
        <v>539.51680543969019</v>
      </c>
      <c r="J37" s="286"/>
    </row>
    <row r="38" spans="1:10" ht="15" customHeight="1">
      <c r="A38" s="746"/>
      <c r="B38" s="397" t="str">
        <f>Rydberg!B38</f>
        <v>Gas constant</v>
      </c>
      <c r="C38" s="397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142"/>
      <c r="H38" s="321">
        <f t="shared" si="3"/>
        <v>0</v>
      </c>
      <c r="I38" s="285">
        <f t="shared" si="4"/>
        <v>1.987203599772605</v>
      </c>
      <c r="J38" s="286"/>
    </row>
    <row r="39" spans="1:10" ht="15" customHeight="1">
      <c r="A39" s="746"/>
      <c r="B39" s="397" t="str">
        <f>Rydberg!B39</f>
        <v>Unified atomic mass unit</v>
      </c>
      <c r="C39" s="397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142"/>
      <c r="H39" s="321">
        <f t="shared" si="3"/>
        <v>-30</v>
      </c>
      <c r="I39" s="285">
        <f t="shared" si="4"/>
        <v>271.49548509404838</v>
      </c>
      <c r="J39" s="286"/>
    </row>
    <row r="40" spans="1:10" ht="15" customHeight="1">
      <c r="A40" s="746"/>
      <c r="B40" s="397" t="str">
        <f>Rydberg!B40</f>
        <v>Bohr Radius</v>
      </c>
      <c r="C40" s="397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2.8935761738298332E-10</v>
      </c>
      <c r="G40" s="142"/>
      <c r="H40" s="321">
        <f t="shared" si="3"/>
        <v>-12</v>
      </c>
      <c r="I40" s="285">
        <f t="shared" si="4"/>
        <v>289.35761738298334</v>
      </c>
      <c r="J40" s="286"/>
    </row>
    <row r="41" spans="1:10" ht="15" customHeight="1">
      <c r="A41" s="746"/>
      <c r="B41" s="397" t="str">
        <f>Rydberg!B41</f>
        <v>Elementary electric charge</v>
      </c>
      <c r="C41" s="397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142"/>
      <c r="H41" s="321">
        <f t="shared" si="3"/>
        <v>-21</v>
      </c>
      <c r="I41" s="285">
        <f t="shared" si="4"/>
        <v>271.49548516388904</v>
      </c>
      <c r="J41" s="286"/>
    </row>
    <row r="42" spans="1:10" ht="15" customHeight="1">
      <c r="A42" s="746"/>
      <c r="B42" s="397" t="str">
        <f>Rydberg!B42</f>
        <v>Electron mass</v>
      </c>
      <c r="C42" s="397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142"/>
      <c r="H42" s="321">
        <f t="shared" si="3"/>
        <v>-33</v>
      </c>
      <c r="I42" s="285">
        <f t="shared" si="4"/>
        <v>148.93696859604992</v>
      </c>
      <c r="J42" s="286"/>
    </row>
    <row r="43" spans="1:10" ht="15" customHeight="1">
      <c r="A43" s="746"/>
      <c r="B43" s="397" t="str">
        <f>Rydberg!B44</f>
        <v>Newtonian constant of gravitation</v>
      </c>
      <c r="C43" s="397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1.2455086307018337E-8</v>
      </c>
      <c r="G43" s="142"/>
      <c r="H43" s="321">
        <f t="shared" si="3"/>
        <v>-9</v>
      </c>
      <c r="I43" s="285">
        <f t="shared" si="4"/>
        <v>12.455086307018336</v>
      </c>
      <c r="J43" s="286"/>
    </row>
    <row r="44" spans="1:10" ht="15" customHeight="1">
      <c r="A44" s="746"/>
      <c r="B44" s="397" t="str">
        <f>Rydberg!B45</f>
        <v>Planck force</v>
      </c>
      <c r="C44" s="397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2.0193249229057327E+43</v>
      </c>
      <c r="G44" s="142"/>
      <c r="H44" s="321">
        <f t="shared" si="3"/>
        <v>42</v>
      </c>
      <c r="I44" s="285">
        <f t="shared" si="4"/>
        <v>20.193249229057326</v>
      </c>
      <c r="J44" s="286"/>
    </row>
    <row r="45" spans="1:10" ht="15" customHeight="1">
      <c r="A45" s="746"/>
      <c r="B45" s="397" t="str">
        <f>Rydberg!B46</f>
        <v>Gravitic meter</v>
      </c>
      <c r="C45" s="397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5.2284208236139263E-34</v>
      </c>
      <c r="G45" s="142"/>
      <c r="H45" s="321">
        <f t="shared" si="3"/>
        <v>-36</v>
      </c>
      <c r="I45" s="285">
        <f t="shared" si="4"/>
        <v>522.84208236139261</v>
      </c>
      <c r="J45" s="286"/>
    </row>
    <row r="46" spans="1:10" ht="15" customHeight="1">
      <c r="A46" s="746"/>
      <c r="B46" s="397" t="str">
        <f>Rydberg!B47</f>
        <v>Planck length</v>
      </c>
      <c r="C46" s="397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8.8376442091769698E-35</v>
      </c>
      <c r="G46" s="142"/>
      <c r="H46" s="321">
        <f t="shared" si="3"/>
        <v>-36</v>
      </c>
      <c r="I46" s="285">
        <f t="shared" si="4"/>
        <v>88.376442091769704</v>
      </c>
      <c r="J46" s="286"/>
    </row>
    <row r="47" spans="1:10" ht="15" customHeight="1">
      <c r="A47" s="746"/>
      <c r="B47" s="397" t="str">
        <f>Rydberg!B48</f>
        <v>Adjusted Planck length</v>
      </c>
      <c r="C47" s="397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1.0345556308429431E-33</v>
      </c>
      <c r="G47" s="142"/>
      <c r="H47" s="321">
        <f t="shared" si="3"/>
        <v>-33</v>
      </c>
      <c r="I47" s="285">
        <f t="shared" si="4"/>
        <v>1.0345556308429431</v>
      </c>
      <c r="J47" s="286"/>
    </row>
    <row r="48" spans="1:10" ht="15" customHeight="1">
      <c r="A48" s="746"/>
      <c r="B48" s="397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2.5157584648482125E-15</v>
      </c>
      <c r="G48" s="142"/>
      <c r="H48" s="321">
        <f t="shared" si="3"/>
        <v>-15</v>
      </c>
      <c r="I48" s="285">
        <f t="shared" si="4"/>
        <v>2.5157584648482123</v>
      </c>
      <c r="J48" s="286"/>
    </row>
    <row r="49" spans="1:10" ht="15" customHeight="1">
      <c r="A49" s="746"/>
      <c r="B49" s="397" t="str">
        <f>Rydberg!B50</f>
        <v>Black-body radiation at the ice point</v>
      </c>
      <c r="C49" s="397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4.1608373149620039</v>
      </c>
      <c r="G49" s="142"/>
      <c r="H49" s="321">
        <f t="shared" si="3"/>
        <v>0</v>
      </c>
      <c r="I49" s="285">
        <f t="shared" si="4"/>
        <v>4.1608373149620039</v>
      </c>
      <c r="J49" s="286"/>
    </row>
    <row r="50" spans="1:10" ht="15" customHeight="1">
      <c r="A50" s="746"/>
      <c r="B50" s="397" t="str">
        <f>Rydberg!B51</f>
        <v>Temperature of the triple point of water</v>
      </c>
      <c r="C50" s="397" t="str">
        <f>Rydberg!C51</f>
        <v>K</v>
      </c>
      <c r="D50" s="21">
        <f>Rydberg!D51</f>
        <v>273.16000000000003</v>
      </c>
      <c r="E50" s="8">
        <v>6</v>
      </c>
      <c r="F50" s="21">
        <f>D50/F$6</f>
        <v>6377.4027900055771</v>
      </c>
      <c r="G50" s="142"/>
      <c r="H50" s="321">
        <f t="shared" si="3"/>
        <v>3</v>
      </c>
      <c r="I50" s="285">
        <f t="shared" si="4"/>
        <v>6.3774027900055774</v>
      </c>
      <c r="J50" s="286"/>
    </row>
    <row r="51" spans="1:10" ht="15" customHeight="1">
      <c r="A51" s="746"/>
      <c r="B51" s="397" t="str">
        <f>Rydberg!B52</f>
        <v>Molar volume of an ideal gas</v>
      </c>
      <c r="C51" s="397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22.413334409063989</v>
      </c>
      <c r="G51" s="142"/>
      <c r="H51" s="321">
        <f t="shared" si="3"/>
        <v>0</v>
      </c>
      <c r="I51" s="285">
        <f t="shared" si="4"/>
        <v>22.413334409063989</v>
      </c>
      <c r="J51" s="286"/>
    </row>
    <row r="52" spans="1:10" ht="15" customHeight="1">
      <c r="A52" s="746"/>
      <c r="B52" s="67" t="str">
        <f>Rydberg!B53</f>
        <v>-log(Sqrt([H+][OH-])/(mol/m^3))</v>
      </c>
      <c r="C52" s="397" t="s">
        <v>766</v>
      </c>
      <c r="D52" s="21">
        <f>Rydberg!D53</f>
        <v>1.0039920318408906E-4</v>
      </c>
      <c r="E52" s="8">
        <v>4</v>
      </c>
      <c r="F52" s="21">
        <f>-LOG(D$52/(F$7*POWER(F$3,-3)))/LOG(10)</f>
        <v>6.9982575735295072</v>
      </c>
      <c r="G52" s="142"/>
      <c r="H52" s="321">
        <f t="shared" si="3"/>
        <v>0</v>
      </c>
      <c r="I52" s="285">
        <f t="shared" si="4"/>
        <v>6.9982575735295072</v>
      </c>
      <c r="J52" s="286"/>
    </row>
    <row r="53" spans="1:10" ht="15" customHeight="1">
      <c r="A53" s="746"/>
      <c r="B53" s="325" t="str">
        <f>Rydberg!B54</f>
        <v>Maximum density of water</v>
      </c>
      <c r="C53" s="325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1.0000000000000002</v>
      </c>
      <c r="G53" s="142"/>
      <c r="H53" s="321">
        <f t="shared" si="3"/>
        <v>0</v>
      </c>
      <c r="I53" s="326">
        <f t="shared" si="4"/>
        <v>1.0000000000000002</v>
      </c>
      <c r="J53" s="286"/>
    </row>
    <row r="54" spans="1:10" ht="15" customHeight="1">
      <c r="A54" s="746"/>
      <c r="B54" s="397" t="str">
        <f>Rydberg!B55</f>
        <v>Density of ice at the ice point</v>
      </c>
      <c r="C54" s="397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0.91682567111879154</v>
      </c>
      <c r="G54" s="142"/>
      <c r="H54" s="321">
        <f t="shared" si="3"/>
        <v>-3</v>
      </c>
      <c r="I54" s="285">
        <f t="shared" si="4"/>
        <v>916.82567111879155</v>
      </c>
      <c r="J54" s="286"/>
    </row>
    <row r="55" spans="1:10" ht="15" customHeight="1">
      <c r="A55" s="746"/>
      <c r="B55" s="325" t="str">
        <f>Rydberg!B56</f>
        <v>Specific heat of water</v>
      </c>
      <c r="C55" s="325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142"/>
      <c r="H55" s="321">
        <f t="shared" si="3"/>
        <v>3</v>
      </c>
      <c r="I55" s="326">
        <f t="shared" si="4"/>
        <v>0.99999999999999978</v>
      </c>
      <c r="J55" s="328"/>
    </row>
    <row r="56" spans="1:10" ht="15" customHeight="1">
      <c r="A56" s="746"/>
      <c r="B56" s="397" t="str">
        <f>Rydberg!B57</f>
        <v>Surface tension of water at 25℃</v>
      </c>
      <c r="C56" s="397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2.1960009192746803E-3</v>
      </c>
      <c r="G56" s="142"/>
      <c r="H56" s="321">
        <f t="shared" si="3"/>
        <v>-3</v>
      </c>
      <c r="I56" s="285">
        <f t="shared" si="4"/>
        <v>2.1960009192746801</v>
      </c>
      <c r="J56" s="286"/>
    </row>
    <row r="57" spans="1:10" ht="15" customHeight="1">
      <c r="A57" s="746"/>
      <c r="B57" s="5" t="str">
        <f>Rydberg!B58</f>
        <v>photon energy at 540THz</v>
      </c>
      <c r="C57" s="397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3.2643624294044493E-19</v>
      </c>
      <c r="G57" s="142"/>
      <c r="H57" s="321">
        <f t="shared" si="3"/>
        <v>-21</v>
      </c>
      <c r="I57" s="285">
        <f t="shared" si="4"/>
        <v>326.43624294044497</v>
      </c>
      <c r="J57" s="286"/>
    </row>
    <row r="58" spans="1:10" ht="15" customHeight="1">
      <c r="A58" s="746"/>
      <c r="B58" s="237" t="str">
        <f>Rydberg!B59</f>
        <v>(according to the definition of candela)</v>
      </c>
      <c r="C58" s="397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2.8402285762759822</v>
      </c>
      <c r="G58" s="142"/>
      <c r="H58" s="321">
        <f t="shared" si="3"/>
        <v>0</v>
      </c>
      <c r="I58" s="285">
        <f t="shared" si="4"/>
        <v>2.8402285762759822</v>
      </c>
      <c r="J58" s="320"/>
    </row>
    <row r="59" spans="1:10" ht="15" customHeight="1">
      <c r="A59" s="746"/>
      <c r="B59" s="315">
        <f>Rydberg!B60</f>
        <v>1.024</v>
      </c>
      <c r="C59" s="397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10.247594048503933</v>
      </c>
      <c r="G59" s="142"/>
      <c r="H59" s="321">
        <f t="shared" si="3"/>
        <v>0</v>
      </c>
      <c r="I59" s="285">
        <f t="shared" si="4"/>
        <v>10.247594048503933</v>
      </c>
      <c r="J59" s="286"/>
    </row>
    <row r="60" spans="1:10" ht="15" customHeight="1">
      <c r="A60" s="746"/>
      <c r="B60" s="397" t="str">
        <f>Rydberg!B61</f>
        <v>Sea depth at standard atmosphere</v>
      </c>
      <c r="C60" s="397" t="str">
        <f>Rydberg!C61</f>
        <v>m</v>
      </c>
      <c r="D60" s="21">
        <f>D61/D59</f>
        <v>10.090394374791382</v>
      </c>
      <c r="E60" s="8">
        <v>6</v>
      </c>
      <c r="F60" s="21">
        <f>D60/F$3</f>
        <v>55.174947368719266</v>
      </c>
      <c r="G60" s="37"/>
      <c r="H60" s="321">
        <f t="shared" si="3"/>
        <v>0</v>
      </c>
      <c r="I60" s="285">
        <f t="shared" si="4"/>
        <v>55.174947368719266</v>
      </c>
      <c r="J60" s="39"/>
    </row>
    <row r="61" spans="1:10" ht="15" customHeight="1">
      <c r="A61" s="746"/>
      <c r="B61" s="397" t="str">
        <f>Rydberg!B62</f>
        <v>Standard atmosphere</v>
      </c>
      <c r="C61" s="397" t="str">
        <f>Rydberg!C62</f>
        <v>P</v>
      </c>
      <c r="D61" s="21">
        <f>Rydberg!D62</f>
        <v>101325</v>
      </c>
      <c r="E61" s="8">
        <v>6</v>
      </c>
      <c r="F61" s="21">
        <f>D61/F$11</f>
        <v>565.41046228220523</v>
      </c>
      <c r="G61" s="37"/>
      <c r="H61" s="321">
        <f t="shared" si="3"/>
        <v>0</v>
      </c>
      <c r="I61" s="285">
        <f t="shared" si="4"/>
        <v>565.41046228220523</v>
      </c>
      <c r="J61" s="39"/>
    </row>
    <row r="62" spans="1:10" ht="15" customHeight="1">
      <c r="A62" s="746"/>
      <c r="B62" s="325" t="str">
        <f>Rydberg!B63</f>
        <v>Standard gravitational acceleration</v>
      </c>
      <c r="C62" s="325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10.007416062992123</v>
      </c>
      <c r="G62" s="37"/>
      <c r="H62" s="321">
        <f t="shared" si="3"/>
        <v>0</v>
      </c>
      <c r="I62" s="326">
        <f t="shared" si="4"/>
        <v>10.007416062992123</v>
      </c>
      <c r="J62" s="327"/>
    </row>
    <row r="63" spans="1:10" ht="15" customHeight="1">
      <c r="A63" s="746"/>
      <c r="B63" s="397" t="str">
        <f>Rydberg!B64</f>
        <v>Gravitational radius of the Earth</v>
      </c>
      <c r="C63" s="397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2.4251028210398456E-2</v>
      </c>
      <c r="G63" s="37"/>
      <c r="H63" s="321">
        <f t="shared" si="3"/>
        <v>-3</v>
      </c>
      <c r="I63" s="285">
        <f t="shared" si="4"/>
        <v>24.251028210398456</v>
      </c>
      <c r="J63" s="39"/>
    </row>
    <row r="64" spans="1:10" ht="15" customHeight="1">
      <c r="A64" s="746"/>
      <c r="B64" s="397" t="str">
        <f>Rydberg!B65</f>
        <v>Equatorial radius of the Earth</v>
      </c>
      <c r="C64" s="397" t="str">
        <f>Rydberg!C65</f>
        <v>m</v>
      </c>
      <c r="D64" s="21">
        <f>Rydberg!D65</f>
        <v>6378140</v>
      </c>
      <c r="E64" s="8">
        <v>7</v>
      </c>
      <c r="F64" s="21">
        <f>D64/F$3</f>
        <v>34876093.613298327</v>
      </c>
      <c r="G64" s="37"/>
      <c r="H64" s="321">
        <f t="shared" si="3"/>
        <v>6</v>
      </c>
      <c r="I64" s="285">
        <f t="shared" si="4"/>
        <v>34.876093613298323</v>
      </c>
      <c r="J64" s="39"/>
    </row>
    <row r="65" spans="1:10" ht="15" customHeight="1">
      <c r="A65" s="746"/>
      <c r="B65" s="397" t="str">
        <f>Rydberg!B66</f>
        <v>Meridian length of the Earth / 4</v>
      </c>
      <c r="C65" s="397" t="str">
        <f>Rydberg!C66</f>
        <v>m</v>
      </c>
      <c r="D65" s="21">
        <f>Rydberg!D66</f>
        <v>10001965</v>
      </c>
      <c r="E65" s="8">
        <v>7</v>
      </c>
      <c r="F65" s="21">
        <f>D65/F$3</f>
        <v>54691409.667541541</v>
      </c>
      <c r="G65" s="37"/>
      <c r="H65" s="321">
        <f t="shared" si="3"/>
        <v>6</v>
      </c>
      <c r="I65" s="285">
        <f t="shared" si="4"/>
        <v>54.691409667541542</v>
      </c>
      <c r="J65" s="39"/>
    </row>
    <row r="66" spans="1:10" ht="15" customHeight="1">
      <c r="A66" s="746"/>
      <c r="B66" s="397" t="str">
        <f>Rydberg!B67</f>
        <v>Gravitational radius of the Sun</v>
      </c>
      <c r="C66" s="397" t="str">
        <f>Rydberg!C67</f>
        <v>m</v>
      </c>
      <c r="D66" s="21">
        <f>Rydberg!D67</f>
        <v>1476.6250157971238</v>
      </c>
      <c r="E66" s="8">
        <v>8</v>
      </c>
      <c r="F66" s="21">
        <f>D66/F$3</f>
        <v>8074.2837696693095</v>
      </c>
      <c r="G66" s="37"/>
      <c r="H66" s="321">
        <f t="shared" si="3"/>
        <v>3</v>
      </c>
      <c r="I66" s="285">
        <f t="shared" si="4"/>
        <v>8.0742837696693091</v>
      </c>
      <c r="J66" s="39"/>
    </row>
    <row r="67" spans="1:10" ht="15" customHeight="1">
      <c r="A67" s="746"/>
      <c r="B67" s="397" t="str">
        <f>Rydberg!B68</f>
        <v>Astronomical unit</v>
      </c>
      <c r="C67" s="397" t="str">
        <f>Rydberg!C68</f>
        <v>m</v>
      </c>
      <c r="D67" s="21">
        <f>Rydberg!D68</f>
        <v>149597870000</v>
      </c>
      <c r="E67" s="8">
        <v>9</v>
      </c>
      <c r="F67" s="21">
        <f>D67/F$3</f>
        <v>818011100174.97791</v>
      </c>
      <c r="G67" s="37"/>
      <c r="H67" s="321">
        <f t="shared" si="3"/>
        <v>9</v>
      </c>
      <c r="I67" s="285">
        <f t="shared" si="4"/>
        <v>818.01110017497786</v>
      </c>
      <c r="J67" s="39"/>
    </row>
    <row r="68" spans="1:10" ht="15" customHeight="1" thickBot="1">
      <c r="A68" s="747"/>
      <c r="B68" s="398" t="str">
        <f>Rydberg!B69</f>
        <v>Astronomical unit / c0</v>
      </c>
      <c r="C68" s="398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323">
        <f t="shared" si="3"/>
        <v>3</v>
      </c>
      <c r="I68" s="324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K6" sqref="K6"/>
    </sheetView>
  </sheetViews>
  <sheetFormatPr defaultRowHeight="12"/>
  <cols>
    <col min="1" max="1" width="16.5" style="14" customWidth="1"/>
    <col min="2" max="2" width="9.625" style="14" customWidth="1"/>
    <col min="3" max="4" width="9.625" style="245" customWidth="1"/>
    <col min="5" max="7" width="9.625" style="14" customWidth="1"/>
    <col min="8" max="8" width="9.625" style="474" customWidth="1"/>
    <col min="9" max="9" width="9.625" style="14" customWidth="1"/>
    <col min="10" max="16384" width="9" style="14"/>
  </cols>
  <sheetData>
    <row r="1" spans="1:8">
      <c r="A1" s="482" t="s">
        <v>1150</v>
      </c>
      <c r="B1" s="488">
        <v>1365.94</v>
      </c>
      <c r="C1" s="489" t="s">
        <v>1151</v>
      </c>
      <c r="D1" s="485">
        <f>$B1/(Clock_by_Rydberg!F9/POWER(Clock_by_Rydberg!F3,2))</f>
        <v>617.58993213124222</v>
      </c>
      <c r="E1" s="495" t="s">
        <v>1161</v>
      </c>
      <c r="F1" s="502">
        <f>$B1/(TGM!F9/POWER(TGM!F3,2))</f>
        <v>0.27650160097796167</v>
      </c>
      <c r="G1" s="503" t="s">
        <v>1166</v>
      </c>
      <c r="H1" s="498" t="s">
        <v>1179</v>
      </c>
    </row>
    <row r="2" spans="1:8">
      <c r="A2" s="483" t="s">
        <v>1165</v>
      </c>
      <c r="B2" s="95">
        <f>B1*B7*B7</f>
        <v>3.0569085248498895E+25</v>
      </c>
      <c r="C2" s="490" t="s">
        <v>1152</v>
      </c>
      <c r="D2" s="486">
        <f>$B2/Clock_by_Rydberg!F9</f>
        <v>1.863327669902472E+26</v>
      </c>
      <c r="E2" s="496" t="s">
        <v>1162</v>
      </c>
      <c r="F2" s="491">
        <f>$B2/TGM!F9</f>
        <v>7.0777629856157472E+22</v>
      </c>
      <c r="G2" s="504" t="s">
        <v>1167</v>
      </c>
      <c r="H2" s="499"/>
    </row>
    <row r="3" spans="1:8">
      <c r="A3" s="483" t="s">
        <v>1154</v>
      </c>
      <c r="B3" s="491">
        <f>C7*B7*B7</f>
        <v>2.8645789066927231E+27</v>
      </c>
      <c r="C3" s="492" t="s">
        <v>1155</v>
      </c>
      <c r="D3" s="486">
        <f>$B3/Clock_by_Rydberg!F24</f>
        <v>2.4765695559574514E+25</v>
      </c>
      <c r="E3" s="496" t="s">
        <v>1163</v>
      </c>
      <c r="F3" s="491">
        <f>$B3/TGM!F24</f>
        <v>2.4284391286245942E+27</v>
      </c>
      <c r="G3" s="504" t="s">
        <v>1168</v>
      </c>
      <c r="H3" s="500" t="s">
        <v>1170</v>
      </c>
    </row>
    <row r="4" spans="1:8" ht="12.75" thickBot="1">
      <c r="A4" s="484" t="s">
        <v>1156</v>
      </c>
      <c r="B4" s="493">
        <f>B3/B2</f>
        <v>93.708362007115966</v>
      </c>
      <c r="C4" s="494" t="s">
        <v>1157</v>
      </c>
      <c r="D4" s="487">
        <f>D3/D2</f>
        <v>0.13291111359319197</v>
      </c>
      <c r="E4" s="497" t="s">
        <v>1164</v>
      </c>
      <c r="F4" s="505">
        <f>F3/F2</f>
        <v>34310.82862706692</v>
      </c>
      <c r="G4" s="494" t="s">
        <v>1169</v>
      </c>
      <c r="H4" s="501"/>
    </row>
    <row r="5" spans="1:8" ht="12.75" thickBot="1"/>
    <row r="6" spans="1:8" ht="24.75" thickBot="1">
      <c r="A6" s="510" t="s">
        <v>1180</v>
      </c>
      <c r="B6" s="511" t="s">
        <v>1148</v>
      </c>
      <c r="C6" s="512" t="s">
        <v>1153</v>
      </c>
      <c r="D6" s="512" t="s">
        <v>1158</v>
      </c>
      <c r="E6" s="511" t="s">
        <v>1172</v>
      </c>
      <c r="F6" s="513" t="s">
        <v>1171</v>
      </c>
      <c r="G6" s="511" t="s">
        <v>1160</v>
      </c>
      <c r="H6" s="514" t="s">
        <v>1179</v>
      </c>
    </row>
    <row r="7" spans="1:8">
      <c r="A7" s="506" t="s">
        <v>1149</v>
      </c>
      <c r="B7" s="45">
        <f>Rydberg!D68</f>
        <v>149597870000</v>
      </c>
      <c r="C7" s="515">
        <v>128000</v>
      </c>
      <c r="D7" s="508">
        <f>(-26.74+4.83)/2-LOG10(360*60*60/(2*PI())*10)*2.5</f>
        <v>-26.741062832941147</v>
      </c>
      <c r="E7" s="508">
        <f t="shared" ref="E7:E13" si="0">-2*LOG(B7/B$14,2)</f>
        <v>43.897148650652433</v>
      </c>
      <c r="F7" s="507">
        <f>C7/Clock_by_Rydberg!F$26*POWER(12,16)</f>
        <v>1.5176144082023119E+19</v>
      </c>
      <c r="G7" s="508">
        <f t="shared" ref="G7:G16" si="1">E7-E$16</f>
        <v>63.718439083706201</v>
      </c>
      <c r="H7" s="509"/>
    </row>
    <row r="8" spans="1:8">
      <c r="A8" s="478" t="s">
        <v>1142</v>
      </c>
      <c r="B8" s="8">
        <f>Rydberg!D35*86400*365.25</f>
        <v>9460730472580800</v>
      </c>
      <c r="C8" s="12">
        <f t="shared" ref="C8:C16" si="2">C$7/POWER(B8/B$7,2)</f>
        <v>3.2004529695449158E-5</v>
      </c>
      <c r="D8" s="131">
        <f t="shared" ref="D8:D16" si="3">D$7+5*LOG10(B8/B$7)</f>
        <v>-2.7360665329429885</v>
      </c>
      <c r="E8" s="131">
        <f t="shared" si="0"/>
        <v>12</v>
      </c>
      <c r="F8" s="12">
        <f>C8/Clock_by_Rydberg!F$26*POWER(12,16)</f>
        <v>3794573077.6212811</v>
      </c>
      <c r="G8" s="131">
        <f t="shared" si="1"/>
        <v>31.821290433053768</v>
      </c>
      <c r="H8" s="475"/>
    </row>
    <row r="9" spans="1:8">
      <c r="A9" s="479">
        <f>B9/B$8</f>
        <v>3.5254398282029262</v>
      </c>
      <c r="B9" s="8">
        <f>B$14*POWER(10,(0-D$14)/5)</f>
        <v>3.3353236011929444E+16</v>
      </c>
      <c r="C9" s="12">
        <f t="shared" si="2"/>
        <v>2.5750450803308646E-6</v>
      </c>
      <c r="D9" s="131">
        <f t="shared" si="3"/>
        <v>0</v>
      </c>
      <c r="E9" s="131">
        <f t="shared" si="0"/>
        <v>8.364393485894249</v>
      </c>
      <c r="F9" s="12">
        <f>C9/Clock_by_Rydberg!F$26*POWER(12,16)</f>
        <v>305306680.91254687</v>
      </c>
      <c r="G9" s="131">
        <f t="shared" si="1"/>
        <v>28.185683918948016</v>
      </c>
      <c r="H9" s="475"/>
    </row>
    <row r="10" spans="1:8">
      <c r="A10" s="478" t="s">
        <v>1143</v>
      </c>
      <c r="B10" s="8">
        <f>360*60*60/(2*PI())*B7*10</f>
        <v>3.0856775670528307E+17</v>
      </c>
      <c r="C10" s="12">
        <f t="shared" si="2"/>
        <v>3.0085671090045293E-8</v>
      </c>
      <c r="D10" s="131">
        <f t="shared" si="3"/>
        <v>4.83106283294115</v>
      </c>
      <c r="E10" s="131">
        <f t="shared" si="0"/>
        <v>1.9450161447289163</v>
      </c>
      <c r="F10" s="12">
        <f>C10/Clock_by_Rydberg!F$26*POWER(12,16)</f>
        <v>3567066.2442725389</v>
      </c>
      <c r="G10" s="131">
        <f t="shared" si="1"/>
        <v>21.766306577782686</v>
      </c>
      <c r="H10" s="475"/>
    </row>
    <row r="11" spans="1:8">
      <c r="A11" s="480">
        <f>B11/B$8</f>
        <v>35.254398282029271</v>
      </c>
      <c r="B11" s="8">
        <f>B$14*POWER(10,(5-D$14)/5)</f>
        <v>3.3353236011929453E+17</v>
      </c>
      <c r="C11" s="12">
        <f t="shared" si="2"/>
        <v>2.5750450803308634E-8</v>
      </c>
      <c r="D11" s="131">
        <f t="shared" si="3"/>
        <v>5.0000000000000036</v>
      </c>
      <c r="E11" s="131">
        <f t="shared" si="0"/>
        <v>1.720537296119524</v>
      </c>
      <c r="F11" s="12">
        <f>C11/Clock_by_Rydberg!F$26*POWER(12,16)</f>
        <v>3053066.8091254672</v>
      </c>
      <c r="G11" s="131">
        <f t="shared" si="1"/>
        <v>21.541827729173292</v>
      </c>
      <c r="H11" s="475"/>
    </row>
    <row r="12" spans="1:8">
      <c r="A12" s="480">
        <f>B12/B$8</f>
        <v>55.874455841500961</v>
      </c>
      <c r="B12" s="8">
        <f>B$14*POWER(10,(6-D$14)/5)</f>
        <v>5.286131670185584E+17</v>
      </c>
      <c r="C12" s="12">
        <f t="shared" si="2"/>
        <v>1.0251439109782231E-8</v>
      </c>
      <c r="D12" s="131">
        <f t="shared" si="3"/>
        <v>6.0000000000000071</v>
      </c>
      <c r="E12" s="131">
        <f t="shared" si="0"/>
        <v>0.39176605816457932</v>
      </c>
      <c r="F12" s="12">
        <f>C12/Clock_by_Rydberg!F$26*POWER(12,16)</f>
        <v>1215447.7888917341</v>
      </c>
      <c r="G12" s="131">
        <f t="shared" si="1"/>
        <v>20.213056491218346</v>
      </c>
      <c r="H12" s="475"/>
    </row>
    <row r="13" spans="1:8">
      <c r="A13" s="478" t="s">
        <v>1159</v>
      </c>
      <c r="B13" s="8">
        <f>Clock_by_Rydberg!F$3*POWER(12,17)</f>
        <v>6.042436290282624E+17</v>
      </c>
      <c r="C13" s="12">
        <f t="shared" si="2"/>
        <v>7.8457890962598782E-9</v>
      </c>
      <c r="D13" s="131">
        <f t="shared" si="3"/>
        <v>6.2903705171273145</v>
      </c>
      <c r="E13" s="131">
        <f t="shared" si="0"/>
        <v>5.9300666557045804E-3</v>
      </c>
      <c r="F13" s="12">
        <f>C13/Clock_by_Rydberg!F$26*POWER(12,16)</f>
        <v>930225.20126567094</v>
      </c>
      <c r="G13" s="131">
        <f t="shared" si="1"/>
        <v>19.827220499709473</v>
      </c>
      <c r="H13" s="475"/>
    </row>
    <row r="14" spans="1:8">
      <c r="A14" s="480">
        <f t="shared" ref="A14:A16" si="4">B14/B$8</f>
        <v>64</v>
      </c>
      <c r="B14" s="8">
        <f>B$8*64</f>
        <v>6.054867502451712E+17</v>
      </c>
      <c r="C14" s="12">
        <f t="shared" si="2"/>
        <v>7.8136058826780172E-9</v>
      </c>
      <c r="D14" s="131">
        <f t="shared" si="3"/>
        <v>6.2948333369764455</v>
      </c>
      <c r="E14" s="131">
        <v>0</v>
      </c>
      <c r="F14" s="12">
        <f>C14/Clock_by_Rydberg!F$26*POWER(12,16)</f>
        <v>926409.44277863309</v>
      </c>
      <c r="G14" s="131">
        <f t="shared" si="1"/>
        <v>19.821290433053768</v>
      </c>
      <c r="H14" s="476" t="s">
        <v>1181</v>
      </c>
    </row>
    <row r="15" spans="1:8">
      <c r="A15" s="480">
        <f t="shared" si="4"/>
        <v>100</v>
      </c>
      <c r="B15" s="8">
        <f>B$8*100</f>
        <v>9.4607304725808E+17</v>
      </c>
      <c r="C15" s="12">
        <f t="shared" si="2"/>
        <v>3.2004529695449157E-9</v>
      </c>
      <c r="D15" s="131">
        <f t="shared" si="3"/>
        <v>7.2639334670570079</v>
      </c>
      <c r="E15" s="131">
        <f>-2*LOG(B15/B$14,2)</f>
        <v>-1.2877123795494494</v>
      </c>
      <c r="F15" s="12">
        <f>C15/Clock_by_Rydberg!F$26*POWER(12,16)</f>
        <v>379457.30776212807</v>
      </c>
      <c r="G15" s="131">
        <f t="shared" si="1"/>
        <v>18.533578053504318</v>
      </c>
      <c r="H15" s="475"/>
    </row>
    <row r="16" spans="1:8" ht="12.75" thickBot="1">
      <c r="A16" s="516">
        <f t="shared" si="4"/>
        <v>61600.106149431929</v>
      </c>
      <c r="B16" s="481">
        <f>B$14*SQRT(F$14)</f>
        <v>5.8278200136214256E+20</v>
      </c>
      <c r="C16" s="481">
        <f t="shared" si="2"/>
        <v>8.4342899822374644E-15</v>
      </c>
      <c r="D16" s="134">
        <f t="shared" si="3"/>
        <v>21.211840769768173</v>
      </c>
      <c r="E16" s="134">
        <f>-2*LOG(B16/B$14,2)</f>
        <v>-19.821290433053768</v>
      </c>
      <c r="F16" s="481">
        <f>C16/Clock_by_Rydberg!F$26*POWER(12,16)</f>
        <v>0.99999999999999978</v>
      </c>
      <c r="G16" s="134">
        <f t="shared" si="1"/>
        <v>0</v>
      </c>
      <c r="H16" s="477"/>
    </row>
  </sheetData>
  <phoneticPr fontId="1"/>
  <hyperlinks>
    <hyperlink ref="C7" r:id="rId1" display="http://www.ebyte.it/library/educards/constants/ConstantsOfPhysicsAndMath.html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50" fitToWidth="0" fitToHeight="0" orientation="landscape" r:id="rId2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3"/>
  <sheetViews>
    <sheetView topLeftCell="A40" workbookViewId="0">
      <selection activeCell="B43" sqref="B43:B44"/>
    </sheetView>
  </sheetViews>
  <sheetFormatPr defaultRowHeight="12"/>
  <cols>
    <col min="1" max="1" width="2.75" style="14" customWidth="1"/>
    <col min="2" max="2" width="26.875" style="14" customWidth="1"/>
    <col min="3" max="3" width="8.625" style="14" customWidth="1"/>
    <col min="4" max="4" width="14.125" style="14" customWidth="1"/>
    <col min="5" max="5" width="3.5" style="14" customWidth="1"/>
    <col min="6" max="7" width="13.875" style="14" customWidth="1"/>
    <col min="8" max="8" width="7" style="14" customWidth="1"/>
    <col min="9" max="9" width="2.75" style="343" customWidth="1"/>
    <col min="10" max="10" width="3.625" style="14" customWidth="1"/>
    <col min="11" max="11" width="9.125" style="14" customWidth="1"/>
    <col min="12" max="12" width="14.625" style="14" customWidth="1"/>
    <col min="13" max="13" width="3.125" style="14" customWidth="1"/>
    <col min="14" max="14" width="8.625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9" style="14" customWidth="1"/>
    <col min="37" max="37" width="3.125" style="14" customWidth="1"/>
    <col min="38" max="16384" width="9" style="14"/>
  </cols>
  <sheetData>
    <row r="1" spans="1:37" ht="11.25" customHeight="1">
      <c r="A1" s="718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107</v>
      </c>
      <c r="H1" s="18" t="str">
        <f>Rydberg!H$1</f>
        <v>difference</v>
      </c>
      <c r="I1" s="349" t="s">
        <v>767</v>
      </c>
      <c r="J1" s="19"/>
      <c r="K1" s="56" t="s">
        <v>46</v>
      </c>
      <c r="L1" s="20"/>
    </row>
    <row r="2" spans="1:37" ht="13.5" customHeight="1">
      <c r="A2" s="719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719"/>
      <c r="B3" s="2" t="str">
        <f>Rydberg!B3</f>
        <v>Length</v>
      </c>
      <c r="C3" s="7" t="str">
        <f>Rydberg!C3</f>
        <v>m</v>
      </c>
      <c r="D3" s="127">
        <f>D$40*12*12*12</f>
        <v>9.1441822003776002E-8</v>
      </c>
      <c r="E3" s="8">
        <v>6</v>
      </c>
      <c r="F3" s="21">
        <f t="shared" ref="F3:F30" si="0">D3*POWER(12,E3)</f>
        <v>0.27304381743412309</v>
      </c>
      <c r="G3" s="21"/>
      <c r="H3" s="26"/>
      <c r="I3" s="334"/>
      <c r="J3" s="8">
        <v>-3</v>
      </c>
      <c r="K3" s="58">
        <f>F3/POWER(10,J3)</f>
        <v>273.04381743412307</v>
      </c>
      <c r="L3" s="122" t="str">
        <f>Rydberg!L3</f>
        <v>mm</v>
      </c>
      <c r="M3" s="23"/>
      <c r="N3" s="82">
        <f>-LOG(F3)/(LOG(12)-LOG(10))</f>
        <v>7.1199643974179745</v>
      </c>
      <c r="O3" s="24"/>
      <c r="P3" s="83">
        <f>POWER(12,N3)*F3/POWER(10,N3)</f>
        <v>0.99999999999999845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719"/>
      <c r="B4" s="2" t="str">
        <f>Rydberg!B4</f>
        <v>Time</v>
      </c>
      <c r="C4" s="7" t="str">
        <f>Rydberg!C4</f>
        <v>s</v>
      </c>
      <c r="D4" s="127">
        <f>D$3/D$35</f>
        <v>3.0501708619960013E-16</v>
      </c>
      <c r="E4" s="8">
        <v>14</v>
      </c>
      <c r="F4" s="21">
        <f t="shared" si="0"/>
        <v>0.39161706897455911</v>
      </c>
      <c r="G4" s="21"/>
      <c r="H4" s="283"/>
      <c r="I4" s="335"/>
      <c r="J4" s="8">
        <v>-3</v>
      </c>
      <c r="K4" s="58">
        <f t="shared" ref="K4:K30" si="1">F4/POWER(10,J4)</f>
        <v>391.61706897455912</v>
      </c>
      <c r="L4" s="122" t="str">
        <f>Rydberg!L4</f>
        <v>ms</v>
      </c>
      <c r="M4" s="23"/>
      <c r="N4" s="82">
        <f t="shared" ref="N4:N30" si="2">-LOG(F4)/(LOG(12)-LOG(10))</f>
        <v>5.1418537554249983</v>
      </c>
      <c r="O4" s="24"/>
      <c r="P4" s="83">
        <f t="shared" ref="P4:P30" si="3">POWER(12,N4)*F4/POWER(10,N4)</f>
        <v>0.99999999999999667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719"/>
      <c r="B5" s="2" t="str">
        <f>Rydberg!B5</f>
        <v>Energy</v>
      </c>
      <c r="C5" s="2" t="str">
        <f>Rydberg!C5</f>
        <v>J</v>
      </c>
      <c r="D5" s="21">
        <f>D$36/D$4</f>
        <v>3.4574187732876669E-19</v>
      </c>
      <c r="E5" s="8">
        <v>16</v>
      </c>
      <c r="F5" s="21">
        <f t="shared" si="0"/>
        <v>6.3922230758907628E-2</v>
      </c>
      <c r="G5" s="21"/>
      <c r="H5" s="21"/>
      <c r="I5" s="333"/>
      <c r="J5" s="8">
        <v>-3</v>
      </c>
      <c r="K5" s="58">
        <f t="shared" si="1"/>
        <v>63.922230758907624</v>
      </c>
      <c r="L5" s="122" t="str">
        <f>Rydberg!L5</f>
        <v>mJ</v>
      </c>
      <c r="M5" s="23"/>
      <c r="N5" s="82">
        <f t="shared" si="2"/>
        <v>15.083724202777843</v>
      </c>
      <c r="O5" s="24"/>
      <c r="P5" s="83">
        <f t="shared" si="3"/>
        <v>0.99999999999999756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719"/>
      <c r="B6" s="2" t="str">
        <f>Rydberg!B6</f>
        <v>Temperature</v>
      </c>
      <c r="C6" s="2" t="str">
        <f>Rydberg!C6</f>
        <v>K</v>
      </c>
      <c r="D6" s="21">
        <f>D$5/D$37</f>
        <v>25041.990942688783</v>
      </c>
      <c r="E6" s="136">
        <v>-8</v>
      </c>
      <c r="F6" s="139">
        <f t="shared" si="0"/>
        <v>5.8239667352465121E-5</v>
      </c>
      <c r="G6" s="21"/>
      <c r="H6" s="21"/>
      <c r="I6" s="333"/>
      <c r="J6" s="136">
        <v>-6</v>
      </c>
      <c r="K6" s="140">
        <f t="shared" si="1"/>
        <v>58.239667352465126</v>
      </c>
      <c r="L6" s="137" t="str">
        <f>Rydberg!L6</f>
        <v>μK</v>
      </c>
      <c r="M6" s="23"/>
      <c r="N6" s="82">
        <f t="shared" si="2"/>
        <v>53.482122669563033</v>
      </c>
      <c r="O6" s="24"/>
      <c r="P6" s="83">
        <f t="shared" si="3"/>
        <v>0.99999999999997125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719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719"/>
      <c r="B8" s="2" t="str">
        <f>Rydberg!B8</f>
        <v>Mass</v>
      </c>
      <c r="C8" s="2" t="str">
        <f>Rydberg!C8</f>
        <v>g</v>
      </c>
      <c r="D8" s="21">
        <f>D$5/(D$35*D$35)</f>
        <v>3.8468971918993554E-36</v>
      </c>
      <c r="E8" s="8">
        <v>32</v>
      </c>
      <c r="F8" s="21">
        <f t="shared" si="0"/>
        <v>0.13149536759708466</v>
      </c>
      <c r="G8" s="21"/>
      <c r="H8" s="21"/>
      <c r="I8" s="333"/>
      <c r="J8" s="8">
        <v>-3</v>
      </c>
      <c r="K8" s="58">
        <f t="shared" si="1"/>
        <v>131.49536759708465</v>
      </c>
      <c r="L8" s="122" t="str">
        <f>Rydberg!L8</f>
        <v>g</v>
      </c>
      <c r="M8" s="23"/>
      <c r="N8" s="82">
        <f t="shared" si="2"/>
        <v>11.127502918791889</v>
      </c>
      <c r="O8" s="24"/>
      <c r="P8" s="83">
        <f t="shared" si="3"/>
        <v>0.999999999999994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719"/>
      <c r="B9" s="2" t="str">
        <f>Rydberg!B9</f>
        <v>Power</v>
      </c>
      <c r="C9" s="2" t="str">
        <f>Rydberg!C9</f>
        <v>W</v>
      </c>
      <c r="D9" s="21">
        <f>D$5/D$4</f>
        <v>1.1335164257077607E-3</v>
      </c>
      <c r="E9" s="8">
        <v>2</v>
      </c>
      <c r="F9" s="21">
        <f t="shared" si="0"/>
        <v>0.16322636530191753</v>
      </c>
      <c r="G9" s="21"/>
      <c r="H9" s="21"/>
      <c r="I9" s="333"/>
      <c r="J9" s="8">
        <v>-3</v>
      </c>
      <c r="K9" s="58">
        <f t="shared" si="1"/>
        <v>163.22636530191753</v>
      </c>
      <c r="L9" s="122" t="str">
        <f>Rydberg!L9</f>
        <v>mW</v>
      </c>
      <c r="M9" s="23"/>
      <c r="N9" s="82">
        <f t="shared" si="2"/>
        <v>9.9418704473528443</v>
      </c>
      <c r="O9" s="24"/>
      <c r="P9" s="83">
        <f t="shared" si="3"/>
        <v>0.999999999999997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719"/>
      <c r="B10" s="2" t="str">
        <f>Rydberg!B10</f>
        <v>Force</v>
      </c>
      <c r="C10" s="2" t="str">
        <f>Rydberg!C10</f>
        <v>N</v>
      </c>
      <c r="D10" s="21">
        <f>D$5/D$3</f>
        <v>3.7810038093345255E-12</v>
      </c>
      <c r="E10" s="8">
        <v>10</v>
      </c>
      <c r="F10" s="21">
        <f t="shared" si="0"/>
        <v>0.23410978999489726</v>
      </c>
      <c r="G10" s="21"/>
      <c r="H10" s="21"/>
      <c r="I10" s="333"/>
      <c r="J10" s="8">
        <v>-3</v>
      </c>
      <c r="K10" s="58">
        <f t="shared" si="1"/>
        <v>234.10978999489726</v>
      </c>
      <c r="L10" s="122" t="str">
        <f>Rydberg!L10</f>
        <v>mN</v>
      </c>
      <c r="M10" s="23"/>
      <c r="N10" s="82">
        <f t="shared" si="2"/>
        <v>7.9637598053598673</v>
      </c>
      <c r="O10" s="24"/>
      <c r="P10" s="83">
        <f t="shared" si="3"/>
        <v>0.99999999999999545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719"/>
      <c r="B11" s="2" t="str">
        <f>Rydberg!B11</f>
        <v>Pressure</v>
      </c>
      <c r="C11" s="2" t="str">
        <f>Rydberg!C11</f>
        <v>P</v>
      </c>
      <c r="D11" s="21">
        <f>D$5/POWER(D$3,3)</f>
        <v>452.18627168561108</v>
      </c>
      <c r="E11" s="8">
        <v>-2</v>
      </c>
      <c r="F11" s="21">
        <f t="shared" si="0"/>
        <v>3.1401824422611879</v>
      </c>
      <c r="G11" s="21"/>
      <c r="H11" s="21"/>
      <c r="I11" s="333"/>
      <c r="J11" s="8">
        <v>0</v>
      </c>
      <c r="K11" s="58">
        <f t="shared" si="1"/>
        <v>3.1401824422611879</v>
      </c>
      <c r="L11" s="122" t="str">
        <f>Rydberg!L11</f>
        <v>Pa</v>
      </c>
      <c r="M11" s="23"/>
      <c r="N11" s="82">
        <f t="shared" si="2"/>
        <v>-6.2761689894760817</v>
      </c>
      <c r="O11" s="24"/>
      <c r="P11" s="83">
        <f t="shared" si="3"/>
        <v>1.0000000000000022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719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719"/>
      <c r="B13" s="2" t="str">
        <f>Rydberg!B13</f>
        <v>Electric current</v>
      </c>
      <c r="C13" s="2" t="str">
        <f>Rydberg!C13</f>
        <v>A</v>
      </c>
      <c r="D13" s="21">
        <f>D$12/D$4</f>
        <v>6.1489867533883373E-3</v>
      </c>
      <c r="E13" s="8">
        <v>1</v>
      </c>
      <c r="F13" s="21">
        <f t="shared" si="0"/>
        <v>7.3787841040660052E-2</v>
      </c>
      <c r="G13" s="21"/>
      <c r="H13" s="21"/>
      <c r="I13" s="333"/>
      <c r="J13" s="8">
        <v>-3</v>
      </c>
      <c r="K13" s="58">
        <f t="shared" si="1"/>
        <v>73.787841040660055</v>
      </c>
      <c r="L13" s="122" t="str">
        <f>Rydberg!L13</f>
        <v>mA</v>
      </c>
      <c r="M13" s="23"/>
      <c r="N13" s="82">
        <f t="shared" si="2"/>
        <v>14.296506470936594</v>
      </c>
      <c r="O13" s="24"/>
      <c r="P13" s="83">
        <f t="shared" si="3"/>
        <v>0.99999999999999767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719"/>
      <c r="B14" s="2" t="str">
        <f>Rydberg!B14</f>
        <v>Field Strength</v>
      </c>
      <c r="C14" s="2" t="str">
        <f>Rydberg!C14</f>
        <v>O</v>
      </c>
      <c r="D14" s="21">
        <f>D13/D3</f>
        <v>67244.796950069751</v>
      </c>
      <c r="E14" s="8">
        <v>-5</v>
      </c>
      <c r="F14" s="21">
        <f t="shared" si="0"/>
        <v>0.2702417572903395</v>
      </c>
      <c r="G14" s="21"/>
      <c r="H14" s="21"/>
      <c r="I14" s="333"/>
      <c r="J14" s="8">
        <v>-3</v>
      </c>
      <c r="K14" s="58">
        <f t="shared" si="1"/>
        <v>270.24175729033948</v>
      </c>
      <c r="L14" s="122" t="str">
        <f>Rydberg!L14</f>
        <v>mA/m</v>
      </c>
      <c r="M14" s="23"/>
      <c r="N14" s="82">
        <f t="shared" si="2"/>
        <v>7.1765420735186192</v>
      </c>
      <c r="O14" s="24"/>
      <c r="P14" s="83">
        <f t="shared" si="3"/>
        <v>0.99999999999999578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719"/>
      <c r="B15" s="2" t="str">
        <f>Rydberg!B15</f>
        <v>Flux density</v>
      </c>
      <c r="C15" s="2" t="str">
        <f>Rydberg!C15</f>
        <v>G</v>
      </c>
      <c r="D15" s="21">
        <f>D12/D3/D3</f>
        <v>2.2430449851433472E-4</v>
      </c>
      <c r="E15" s="8">
        <v>3</v>
      </c>
      <c r="F15" s="21">
        <f t="shared" si="0"/>
        <v>0.38759817343277042</v>
      </c>
      <c r="G15" s="21"/>
      <c r="H15" s="21"/>
      <c r="I15" s="333"/>
      <c r="J15" s="8">
        <v>-3</v>
      </c>
      <c r="K15" s="58">
        <f t="shared" si="1"/>
        <v>387.59817343277041</v>
      </c>
      <c r="L15" s="122" t="str">
        <f>Rydberg!L15</f>
        <v>mC/m^2</v>
      </c>
      <c r="M15" s="23"/>
      <c r="N15" s="82">
        <f t="shared" si="2"/>
        <v>5.198431431525643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719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v>0</v>
      </c>
      <c r="K16" s="58">
        <f t="shared" si="1"/>
        <v>29.979245800000001</v>
      </c>
      <c r="L16" s="122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719"/>
      <c r="B17" s="2" t="str">
        <f>Rydberg!B17</f>
        <v>Electric potential difference</v>
      </c>
      <c r="C17" s="2" t="str">
        <f>Rydberg!C17</f>
        <v>ΩA</v>
      </c>
      <c r="D17" s="21">
        <f>D13*D$16</f>
        <v>0.18434198530077295</v>
      </c>
      <c r="E17" s="8">
        <v>1</v>
      </c>
      <c r="F17" s="21">
        <f t="shared" si="0"/>
        <v>2.2121038236092754</v>
      </c>
      <c r="G17" s="21"/>
      <c r="H17" s="21"/>
      <c r="I17" s="333"/>
      <c r="J17" s="8">
        <v>0</v>
      </c>
      <c r="K17" s="58">
        <f t="shared" si="1"/>
        <v>2.2121038236092754</v>
      </c>
      <c r="L17" s="122" t="str">
        <f>Rydberg!L17</f>
        <v>V</v>
      </c>
      <c r="M17" s="23"/>
      <c r="N17" s="82">
        <f t="shared" si="2"/>
        <v>-4.3546360235837502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719"/>
      <c r="B18" s="2" t="str">
        <f>Rydberg!B18</f>
        <v>Electric capacitance</v>
      </c>
      <c r="C18" s="2" t="str">
        <f>Rydberg!C18</f>
        <v>s/Ω</v>
      </c>
      <c r="D18" s="21">
        <f>D4/D16</f>
        <v>1.0174274837814637E-17</v>
      </c>
      <c r="E18" s="8">
        <v>14</v>
      </c>
      <c r="F18" s="21">
        <f t="shared" si="0"/>
        <v>1.3062939327665111E-2</v>
      </c>
      <c r="G18" s="21"/>
      <c r="H18" s="21"/>
      <c r="I18" s="333"/>
      <c r="J18" s="8">
        <v>-3</v>
      </c>
      <c r="K18" s="58">
        <f t="shared" si="1"/>
        <v>13.062939327665111</v>
      </c>
      <c r="L18" s="122" t="str">
        <f>Rydberg!L18</f>
        <v>mF</v>
      </c>
      <c r="M18" s="119"/>
      <c r="N18" s="120">
        <f t="shared" si="2"/>
        <v>23.792996249945343</v>
      </c>
      <c r="O18" s="76"/>
      <c r="P18" s="121">
        <f t="shared" si="3"/>
        <v>0.99999999999999112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719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tr">
        <f>Rydberg!L19</f>
        <v>Wb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719"/>
      <c r="B20" s="2" t="str">
        <f>Rydberg!B20</f>
        <v>Magnetic flux density</v>
      </c>
      <c r="C20" s="2" t="str">
        <f>Rydberg!C20</f>
        <v>ΩG</v>
      </c>
      <c r="D20" s="21">
        <f>D19/D3/D3</f>
        <v>6.7244796950069749E-3</v>
      </c>
      <c r="E20" s="8">
        <v>3</v>
      </c>
      <c r="F20" s="21">
        <f t="shared" si="0"/>
        <v>11.619900912972053</v>
      </c>
      <c r="G20" s="21"/>
      <c r="H20" s="21"/>
      <c r="I20" s="333"/>
      <c r="J20" s="8">
        <v>0</v>
      </c>
      <c r="K20" s="58">
        <f t="shared" si="1"/>
        <v>11.619900912972053</v>
      </c>
      <c r="L20" s="122" t="str">
        <f>Rydberg!L20</f>
        <v>T</v>
      </c>
      <c r="M20" s="119"/>
      <c r="N20" s="120">
        <f t="shared" si="2"/>
        <v>-13.452711062994702</v>
      </c>
      <c r="O20" s="76"/>
      <c r="P20" s="121">
        <f t="shared" si="3"/>
        <v>1.0000000000000067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719"/>
      <c r="B21" s="6" t="str">
        <f>Rydberg!B21</f>
        <v>Inductance</v>
      </c>
      <c r="C21" s="6" t="str">
        <f>Rydberg!C21</f>
        <v>sΩ</v>
      </c>
      <c r="D21" s="29">
        <f>D4*D$16</f>
        <v>9.1441822003775999E-15</v>
      </c>
      <c r="E21" s="30">
        <v>14</v>
      </c>
      <c r="F21" s="29">
        <f t="shared" si="0"/>
        <v>11.740384370263861</v>
      </c>
      <c r="G21" s="29"/>
      <c r="H21" s="29"/>
      <c r="I21" s="336"/>
      <c r="J21" s="30">
        <v>0</v>
      </c>
      <c r="K21" s="59">
        <f t="shared" si="1"/>
        <v>11.740384370263861</v>
      </c>
      <c r="L21" s="123" t="str">
        <f>Rydberg!L21</f>
        <v>H</v>
      </c>
      <c r="M21" s="119"/>
      <c r="N21" s="120">
        <f t="shared" si="2"/>
        <v>-13.509288739095346</v>
      </c>
      <c r="O21" s="76"/>
      <c r="P21" s="121">
        <f t="shared" si="3"/>
        <v>1.0000000000000022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719"/>
      <c r="B22" s="2" t="str">
        <f>Rydberg!B22</f>
        <v>Frequency</v>
      </c>
      <c r="C22" s="2" t="str">
        <f>Rydberg!C22</f>
        <v>Ω_1/s</v>
      </c>
      <c r="D22" s="29">
        <f>1/D4</f>
        <v>3278504861677191.5</v>
      </c>
      <c r="E22" s="30">
        <f>-E4</f>
        <v>-14</v>
      </c>
      <c r="F22" s="29">
        <f t="shared" si="0"/>
        <v>2.553514847088965</v>
      </c>
      <c r="G22" s="21"/>
      <c r="H22" s="21"/>
      <c r="I22" s="333"/>
      <c r="J22" s="8">
        <v>0</v>
      </c>
      <c r="K22" s="58">
        <f t="shared" si="1"/>
        <v>2.553514847088965</v>
      </c>
      <c r="L22" s="122" t="s">
        <v>711</v>
      </c>
      <c r="M22" s="23"/>
      <c r="N22" s="82">
        <f t="shared" si="2"/>
        <v>-5.1418537554249983</v>
      </c>
      <c r="O22" s="24"/>
      <c r="P22" s="83">
        <f t="shared" si="3"/>
        <v>1.0000000000000033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>
      <c r="A23" s="719"/>
      <c r="B23" s="2" t="str">
        <f>Rydberg!B23</f>
        <v>Luminous flux</v>
      </c>
      <c r="C23" s="2" t="str">
        <f>Rydberg!C23</f>
        <v>W_sen</v>
      </c>
      <c r="D23" s="21">
        <f>D9*683/R23</f>
        <v>0.80120991983747725</v>
      </c>
      <c r="E23" s="8">
        <f>E9</f>
        <v>2</v>
      </c>
      <c r="F23" s="21">
        <f t="shared" si="0"/>
        <v>115.37422845659673</v>
      </c>
      <c r="G23" s="21"/>
      <c r="H23" s="21"/>
      <c r="I23" s="333"/>
      <c r="J23" s="8">
        <v>0</v>
      </c>
      <c r="K23" s="58">
        <f t="shared" si="1"/>
        <v>115.37422845659673</v>
      </c>
      <c r="L23" s="122" t="s">
        <v>696</v>
      </c>
      <c r="M23" s="23"/>
      <c r="N23" s="82">
        <f t="shared" si="2"/>
        <v>-26.042894153761001</v>
      </c>
      <c r="O23" s="24"/>
      <c r="P23" s="83">
        <f t="shared" si="3"/>
        <v>1.0000000000000093</v>
      </c>
      <c r="Q23" s="24"/>
      <c r="R23" s="297">
        <f>1/K58</f>
        <v>0.96627824941988083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719"/>
      <c r="B24" s="6" t="str">
        <f>Rydberg!B24</f>
        <v>Luminous intensity</v>
      </c>
      <c r="C24" s="2" t="str">
        <f>Rydberg!C24</f>
        <v>W_sen/sr</v>
      </c>
      <c r="D24" s="21">
        <f>D23</f>
        <v>0.80120991983747725</v>
      </c>
      <c r="E24" s="8">
        <f>E9</f>
        <v>2</v>
      </c>
      <c r="F24" s="21">
        <f t="shared" si="0"/>
        <v>115.37422845659673</v>
      </c>
      <c r="G24" s="21"/>
      <c r="H24" s="21"/>
      <c r="I24" s="333"/>
      <c r="J24" s="8">
        <v>0</v>
      </c>
      <c r="K24" s="58">
        <f t="shared" si="1"/>
        <v>115.37422845659673</v>
      </c>
      <c r="L24" s="122" t="s">
        <v>699</v>
      </c>
      <c r="M24" s="23"/>
      <c r="N24" s="82">
        <f t="shared" si="2"/>
        <v>-26.042894153761001</v>
      </c>
      <c r="O24" s="24"/>
      <c r="P24" s="83">
        <f t="shared" si="3"/>
        <v>1.0000000000000093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719"/>
      <c r="B25" s="299"/>
      <c r="C25" s="2" t="str">
        <f>Rydberg!C25</f>
        <v>W_sen/Ω_2</v>
      </c>
      <c r="D25" s="21">
        <f>D23/(4*PI())</f>
        <v>6.3758259598197864E-2</v>
      </c>
      <c r="E25" s="8">
        <f>E9</f>
        <v>2</v>
      </c>
      <c r="F25" s="21">
        <f t="shared" si="0"/>
        <v>9.1811893821404915</v>
      </c>
      <c r="G25" s="21"/>
      <c r="H25" s="21"/>
      <c r="I25" s="333"/>
      <c r="J25" s="8">
        <v>0</v>
      </c>
      <c r="K25" s="58">
        <f t="shared" si="1"/>
        <v>9.1811893821404915</v>
      </c>
      <c r="L25" s="122" t="s">
        <v>699</v>
      </c>
      <c r="M25" s="23"/>
      <c r="N25" s="82">
        <f t="shared" si="2"/>
        <v>-12.160694530873556</v>
      </c>
      <c r="O25" s="24"/>
      <c r="P25" s="83">
        <f t="shared" si="3"/>
        <v>1.0000000000000031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719"/>
      <c r="B26" s="2" t="str">
        <f>Rydberg!B26</f>
        <v>Illuminance and luminous emittance</v>
      </c>
      <c r="C26" s="2" t="str">
        <f>Rydberg!C26</f>
        <v>W_sen/m^2</v>
      </c>
      <c r="D26" s="21">
        <f>D23/D3/D3</f>
        <v>95820090314217.906</v>
      </c>
      <c r="E26" s="8">
        <f>E9-2*E3</f>
        <v>-10</v>
      </c>
      <c r="F26" s="21">
        <f t="shared" si="0"/>
        <v>1547.5479538755421</v>
      </c>
      <c r="G26" s="21"/>
      <c r="H26" s="21"/>
      <c r="I26" s="333"/>
      <c r="J26" s="8">
        <v>3</v>
      </c>
      <c r="K26" s="58">
        <f t="shared" si="1"/>
        <v>1.5475479538755421</v>
      </c>
      <c r="L26" s="122" t="s">
        <v>700</v>
      </c>
      <c r="M26" s="23"/>
      <c r="N26" s="82">
        <f t="shared" si="2"/>
        <v>-40.282822948596952</v>
      </c>
      <c r="O26" s="24"/>
      <c r="P26" s="83">
        <f t="shared" si="3"/>
        <v>1.0000000000000053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719"/>
      <c r="B27" s="2" t="str">
        <f>Rydberg!B27</f>
        <v>Catalytic activity</v>
      </c>
      <c r="C27" s="2" t="str">
        <f>Rydberg!C27</f>
        <v>mol/s</v>
      </c>
      <c r="D27" s="21">
        <f>D7/D4</f>
        <v>5.4440853170452366E-9</v>
      </c>
      <c r="E27" s="8">
        <f>E7-E4</f>
        <v>10</v>
      </c>
      <c r="F27" s="21">
        <f t="shared" si="0"/>
        <v>337.08341344202046</v>
      </c>
      <c r="G27" s="21"/>
      <c r="H27" s="21"/>
      <c r="I27" s="333"/>
      <c r="J27" s="8">
        <v>0</v>
      </c>
      <c r="K27" s="58">
        <f t="shared" si="1"/>
        <v>337.08341344202046</v>
      </c>
      <c r="L27" s="122" t="s">
        <v>703</v>
      </c>
      <c r="M27" s="23"/>
      <c r="N27" s="82">
        <f t="shared" si="2"/>
        <v>-31.923435273946822</v>
      </c>
      <c r="O27" s="24"/>
      <c r="P27" s="83">
        <f t="shared" si="3"/>
        <v>1.0000000000000073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719"/>
      <c r="B28" s="2" t="str">
        <f>Rydberg!B28</f>
        <v>Radio activity</v>
      </c>
      <c r="C28" s="2" t="str">
        <f>Rydberg!C28</f>
        <v>mol_n/s</v>
      </c>
      <c r="D28" s="21">
        <f>1/D4</f>
        <v>3278504861677191.5</v>
      </c>
      <c r="E28" s="8">
        <f>-E4</f>
        <v>-14</v>
      </c>
      <c r="F28" s="21">
        <f t="shared" si="0"/>
        <v>2.553514847088965</v>
      </c>
      <c r="G28" s="21"/>
      <c r="H28" s="21"/>
      <c r="I28" s="333"/>
      <c r="J28" s="8">
        <v>0</v>
      </c>
      <c r="K28" s="58">
        <f t="shared" si="1"/>
        <v>2.553514847088965</v>
      </c>
      <c r="L28" s="122" t="s">
        <v>705</v>
      </c>
      <c r="M28" s="23"/>
      <c r="N28" s="82">
        <f t="shared" si="2"/>
        <v>-5.1418537554249983</v>
      </c>
      <c r="O28" s="24"/>
      <c r="P28" s="83">
        <f t="shared" si="3"/>
        <v>1.0000000000000033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719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707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720"/>
      <c r="B30" s="4" t="str">
        <f>Rydberg!B30</f>
        <v>Equivalent dose</v>
      </c>
      <c r="C30" s="4" t="str">
        <f>Rydberg!C30</f>
        <v>J_sen/g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337"/>
      <c r="J30" s="33">
        <v>0</v>
      </c>
      <c r="K30" s="60">
        <f t="shared" si="1"/>
        <v>0.48611773879952869</v>
      </c>
      <c r="L30" s="128" t="s">
        <v>708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>
      <c r="A31" s="718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338"/>
      <c r="J31" s="721" t="str">
        <f>Rydberg!J31</f>
        <v>0123456789XE</v>
      </c>
      <c r="K31" s="722">
        <f>Rydberg!K31</f>
        <v>0</v>
      </c>
      <c r="L31" s="124" t="str">
        <f>Rydberg!L31</f>
        <v>Prefix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719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centy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>
      <c r="A33" s="719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330">
        <f t="shared" ref="H33:H50" si="18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tri-cosmic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>
      <c r="A34" s="719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9</v>
      </c>
      <c r="F34" s="21">
        <f>D34/(1/F$3)</f>
        <v>2996309.5589627712</v>
      </c>
      <c r="G34" s="37" t="str">
        <f t="shared" si="17"/>
        <v>1;005E85686</v>
      </c>
      <c r="H34" s="330">
        <f t="shared" si="18"/>
        <v>3.4580088047260205E-3</v>
      </c>
      <c r="I34" s="333"/>
      <c r="J34" s="38">
        <v>6</v>
      </c>
      <c r="K34" s="61">
        <f>F34/POWER(12,J34)</f>
        <v>1.003458008804726</v>
      </c>
      <c r="L34" s="39" t="str">
        <f>INDEX(powers!$H$2:$H$75,33+J34)</f>
        <v>cosmic centy</v>
      </c>
      <c r="M34" s="40" t="str">
        <f t="shared" si="4"/>
        <v>1</v>
      </c>
      <c r="N34" s="24">
        <f t="shared" si="19"/>
        <v>4.1496105656712245E-2</v>
      </c>
      <c r="O34" s="41" t="str">
        <f t="shared" si="5"/>
        <v>0</v>
      </c>
      <c r="P34" s="24">
        <f t="shared" si="20"/>
        <v>0.49795326788054695</v>
      </c>
      <c r="Q34" s="41" t="str">
        <f t="shared" si="6"/>
        <v>0</v>
      </c>
      <c r="R34" s="24">
        <f t="shared" si="21"/>
        <v>5.9754392145665634</v>
      </c>
      <c r="S34" s="41" t="str">
        <f t="shared" si="7"/>
        <v>5</v>
      </c>
      <c r="T34" s="24">
        <f t="shared" si="22"/>
        <v>11.70527057479876</v>
      </c>
      <c r="U34" s="41" t="str">
        <f t="shared" si="8"/>
        <v>E</v>
      </c>
      <c r="V34" s="24">
        <f t="shared" si="23"/>
        <v>8.4632468975851225</v>
      </c>
      <c r="W34" s="41" t="str">
        <f t="shared" si="9"/>
        <v>8</v>
      </c>
      <c r="X34" s="24">
        <f t="shared" si="24"/>
        <v>5.55896277102147</v>
      </c>
      <c r="Y34" s="41" t="str">
        <f t="shared" si="10"/>
        <v>5</v>
      </c>
      <c r="Z34" s="24">
        <f t="shared" si="25"/>
        <v>6.7075532522576395</v>
      </c>
      <c r="AA34" s="41" t="str">
        <f t="shared" si="11"/>
        <v>6</v>
      </c>
      <c r="AB34" s="24">
        <f t="shared" si="26"/>
        <v>8.4906390270916745</v>
      </c>
      <c r="AC34" s="41" t="str">
        <f t="shared" si="12"/>
        <v>8</v>
      </c>
      <c r="AD34" s="24">
        <f t="shared" si="27"/>
        <v>5.8876683251000941</v>
      </c>
      <c r="AE34" s="41" t="str">
        <f t="shared" si="13"/>
        <v>6</v>
      </c>
      <c r="AF34" s="24">
        <f t="shared" si="28"/>
        <v>10.652019901201129</v>
      </c>
      <c r="AG34" s="41" t="str">
        <f t="shared" si="14"/>
        <v/>
      </c>
      <c r="AH34" s="24">
        <f t="shared" si="29"/>
        <v>7.8242388144135475</v>
      </c>
      <c r="AI34" s="41" t="str">
        <f t="shared" si="15"/>
        <v/>
      </c>
      <c r="AJ34" s="24">
        <f t="shared" si="30"/>
        <v>9.8908657729625702</v>
      </c>
      <c r="AK34" s="41" t="str">
        <f t="shared" si="16"/>
        <v/>
      </c>
    </row>
    <row r="35" spans="1:37" ht="15" customHeight="1">
      <c r="A35" s="719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330">
        <f t="shared" si="18"/>
        <v>0</v>
      </c>
      <c r="I35" s="333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>
      <c r="A36" s="719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4.2127202330874246E-33</v>
      </c>
      <c r="G36" s="37" t="str">
        <f t="shared" si="17"/>
        <v>1;0000000</v>
      </c>
      <c r="H36" s="330">
        <f t="shared" si="18"/>
        <v>9.9986685597741598E-13</v>
      </c>
      <c r="I36" s="333"/>
      <c r="J36" s="38">
        <v>-30</v>
      </c>
      <c r="K36" s="61">
        <f>F36/POWER(12,J36)+0.000000000001</f>
        <v>1.0000000000009999</v>
      </c>
      <c r="L36" s="39" t="str">
        <f>INDEX(powers!$H$2:$H$75,33+J36)</f>
        <v>tetra-atomic hecty</v>
      </c>
      <c r="M36" s="40" t="str">
        <f t="shared" si="4"/>
        <v>1</v>
      </c>
      <c r="N36" s="24">
        <f t="shared" si="19"/>
        <v>1.1998402271728992E-11</v>
      </c>
      <c r="O36" s="41" t="str">
        <f t="shared" si="5"/>
        <v>0</v>
      </c>
      <c r="P36" s="24">
        <f t="shared" si="20"/>
        <v>1.439808272607479E-10</v>
      </c>
      <c r="Q36" s="41" t="str">
        <f t="shared" si="6"/>
        <v>0</v>
      </c>
      <c r="R36" s="24">
        <f t="shared" si="21"/>
        <v>1.7277699271289748E-9</v>
      </c>
      <c r="S36" s="41" t="str">
        <f t="shared" si="7"/>
        <v>0</v>
      </c>
      <c r="T36" s="24">
        <f t="shared" si="22"/>
        <v>2.0733239125547698E-8</v>
      </c>
      <c r="U36" s="41" t="str">
        <f t="shared" si="8"/>
        <v>0</v>
      </c>
      <c r="V36" s="24">
        <f t="shared" si="23"/>
        <v>2.4879886950657237E-7</v>
      </c>
      <c r="W36" s="41" t="str">
        <f t="shared" si="9"/>
        <v>0</v>
      </c>
      <c r="X36" s="24">
        <f t="shared" si="24"/>
        <v>2.9855864340788685E-6</v>
      </c>
      <c r="Y36" s="41" t="str">
        <f t="shared" si="10"/>
        <v>0</v>
      </c>
      <c r="Z36" s="24">
        <f t="shared" si="25"/>
        <v>3.5827037208946422E-5</v>
      </c>
      <c r="AA36" s="41" t="str">
        <f t="shared" si="11"/>
        <v>0</v>
      </c>
      <c r="AB36" s="24">
        <f t="shared" si="26"/>
        <v>4.2992444650735706E-4</v>
      </c>
      <c r="AC36" s="41" t="str">
        <f t="shared" si="12"/>
        <v/>
      </c>
      <c r="AD36" s="24">
        <f t="shared" si="27"/>
        <v>5.1590933580882847E-3</v>
      </c>
      <c r="AE36" s="41" t="str">
        <f t="shared" si="13"/>
        <v/>
      </c>
      <c r="AF36" s="24">
        <f t="shared" si="28"/>
        <v>6.1909120297059417E-2</v>
      </c>
      <c r="AG36" s="41" t="str">
        <f t="shared" si="14"/>
        <v/>
      </c>
      <c r="AH36" s="24">
        <f t="shared" si="29"/>
        <v>0.742909443564713</v>
      </c>
      <c r="AI36" s="41" t="str">
        <f t="shared" si="15"/>
        <v/>
      </c>
      <c r="AJ36" s="24">
        <f t="shared" si="30"/>
        <v>8.914913322776556</v>
      </c>
      <c r="AK36" s="41" t="str">
        <f t="shared" si="16"/>
        <v/>
      </c>
    </row>
    <row r="37" spans="1:37" ht="15" customHeight="1">
      <c r="A37" s="719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330">
        <f t="shared" si="18"/>
        <v>1.000088900582341E-12</v>
      </c>
      <c r="I37" s="333"/>
      <c r="J37" s="135">
        <v>-24</v>
      </c>
      <c r="K37" s="61">
        <f>F37/POWER(12,J37)+0.000000000001</f>
        <v>1.0000000000010001</v>
      </c>
      <c r="L37" s="138" t="str">
        <f>INDEX(powers!$H$2:$H$75,33+J37)</f>
        <v>tri-atomic</v>
      </c>
      <c r="M37" s="40" t="str">
        <f t="shared" si="4"/>
        <v>1</v>
      </c>
      <c r="N37" s="24">
        <f t="shared" si="19"/>
        <v>1.2001066806988092E-11</v>
      </c>
      <c r="O37" s="41" t="str">
        <f t="shared" si="5"/>
        <v>0</v>
      </c>
      <c r="P37" s="24">
        <f t="shared" si="20"/>
        <v>1.4401280168385711E-10</v>
      </c>
      <c r="Q37" s="41" t="str">
        <f t="shared" si="6"/>
        <v>0</v>
      </c>
      <c r="R37" s="24">
        <f t="shared" si="21"/>
        <v>1.7281536202062853E-9</v>
      </c>
      <c r="S37" s="41" t="str">
        <f t="shared" si="7"/>
        <v>0</v>
      </c>
      <c r="T37" s="24">
        <f t="shared" si="22"/>
        <v>2.0737843442475423E-8</v>
      </c>
      <c r="U37" s="41" t="str">
        <f t="shared" si="8"/>
        <v>0</v>
      </c>
      <c r="V37" s="24">
        <f t="shared" si="23"/>
        <v>2.4885412130970508E-7</v>
      </c>
      <c r="W37" s="41" t="str">
        <f t="shared" si="9"/>
        <v>0</v>
      </c>
      <c r="X37" s="24">
        <f t="shared" si="24"/>
        <v>2.9862494557164609E-6</v>
      </c>
      <c r="Y37" s="41" t="str">
        <f t="shared" si="10"/>
        <v>0</v>
      </c>
      <c r="Z37" s="24">
        <f t="shared" si="25"/>
        <v>3.5834993468597531E-5</v>
      </c>
      <c r="AA37" s="41" t="str">
        <f t="shared" si="11"/>
        <v/>
      </c>
      <c r="AB37" s="24">
        <f t="shared" si="26"/>
        <v>4.3001992162317038E-4</v>
      </c>
      <c r="AC37" s="41" t="str">
        <f t="shared" si="12"/>
        <v/>
      </c>
      <c r="AD37" s="24">
        <f t="shared" si="27"/>
        <v>5.1602390594780445E-3</v>
      </c>
      <c r="AE37" s="41" t="str">
        <f t="shared" si="13"/>
        <v/>
      </c>
      <c r="AF37" s="24">
        <f t="shared" si="28"/>
        <v>6.1922868713736534E-2</v>
      </c>
      <c r="AG37" s="41" t="str">
        <f t="shared" si="14"/>
        <v/>
      </c>
      <c r="AH37" s="24">
        <f t="shared" si="29"/>
        <v>0.74307442456483841</v>
      </c>
      <c r="AI37" s="41" t="str">
        <f t="shared" si="15"/>
        <v/>
      </c>
      <c r="AJ37" s="24">
        <f t="shared" si="30"/>
        <v>8.9168930947780609</v>
      </c>
      <c r="AK37" s="41" t="str">
        <f t="shared" si="16"/>
        <v/>
      </c>
    </row>
    <row r="38" spans="1:37" ht="15" customHeight="1">
      <c r="A38" s="719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330">
        <f t="shared" si="18"/>
        <v>1.000310945187266E-12</v>
      </c>
      <c r="I38" s="333"/>
      <c r="J38" s="135">
        <v>0</v>
      </c>
      <c r="K38" s="61">
        <f>F38/POWER(12,J38)+0.000000000001</f>
        <v>1.0000000000010003</v>
      </c>
      <c r="L38" s="138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>
      <c r="A39" s="719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1.2628118163736858E-26</v>
      </c>
      <c r="G39" s="37" t="str">
        <f t="shared" si="17"/>
        <v>1;0068942</v>
      </c>
      <c r="H39" s="330">
        <f t="shared" si="18"/>
        <v>3.8955801289535241E-3</v>
      </c>
      <c r="I39" s="333"/>
      <c r="J39" s="38">
        <v>-24</v>
      </c>
      <c r="K39" s="61">
        <f t="shared" ref="K39:K70" si="31">F39/POWER(12,J39)</f>
        <v>1.0038955801289535</v>
      </c>
      <c r="L39" s="39" t="str">
        <f>INDEX(powers!$H$2:$H$75,33+J39)</f>
        <v>tri-atomic</v>
      </c>
      <c r="M39" s="40" t="str">
        <f t="shared" si="4"/>
        <v>1</v>
      </c>
      <c r="N39" s="24">
        <f t="shared" si="19"/>
        <v>4.6746961547442289E-2</v>
      </c>
      <c r="O39" s="41" t="str">
        <f t="shared" si="5"/>
        <v>0</v>
      </c>
      <c r="P39" s="24">
        <f t="shared" si="20"/>
        <v>0.56096353856930747</v>
      </c>
      <c r="Q39" s="41" t="str">
        <f t="shared" si="6"/>
        <v>0</v>
      </c>
      <c r="R39" s="24">
        <f t="shared" si="21"/>
        <v>6.7315624628316897</v>
      </c>
      <c r="S39" s="41" t="str">
        <f t="shared" si="7"/>
        <v>6</v>
      </c>
      <c r="T39" s="24">
        <f t="shared" si="22"/>
        <v>8.7787495539802762</v>
      </c>
      <c r="U39" s="41" t="str">
        <f t="shared" si="8"/>
        <v>8</v>
      </c>
      <c r="V39" s="24">
        <f t="shared" si="23"/>
        <v>9.3449946477633148</v>
      </c>
      <c r="W39" s="41" t="str">
        <f t="shared" si="9"/>
        <v>9</v>
      </c>
      <c r="X39" s="24">
        <f t="shared" si="24"/>
        <v>4.1399357731597775</v>
      </c>
      <c r="Y39" s="41" t="str">
        <f t="shared" si="10"/>
        <v>4</v>
      </c>
      <c r="Z39" s="24">
        <f t="shared" si="25"/>
        <v>1.6792292779173295</v>
      </c>
      <c r="AA39" s="41" t="str">
        <f t="shared" si="11"/>
        <v>2</v>
      </c>
      <c r="AB39" s="24">
        <f t="shared" si="26"/>
        <v>8.1507513350079535</v>
      </c>
      <c r="AC39" s="41" t="str">
        <f t="shared" si="12"/>
        <v/>
      </c>
      <c r="AD39" s="24">
        <f t="shared" si="27"/>
        <v>1.8090160200954415</v>
      </c>
      <c r="AE39" s="41" t="str">
        <f t="shared" si="13"/>
        <v/>
      </c>
      <c r="AF39" s="24">
        <f t="shared" si="28"/>
        <v>9.7081922411452979</v>
      </c>
      <c r="AG39" s="41" t="str">
        <f t="shared" si="14"/>
        <v/>
      </c>
      <c r="AH39" s="24">
        <f t="shared" si="29"/>
        <v>8.4983068937435746</v>
      </c>
      <c r="AI39" s="41" t="str">
        <f t="shared" si="15"/>
        <v/>
      </c>
      <c r="AJ39" s="24">
        <f t="shared" si="30"/>
        <v>5.9796827249228954</v>
      </c>
      <c r="AK39" s="41" t="str">
        <f t="shared" si="16"/>
        <v/>
      </c>
    </row>
    <row r="40" spans="1:37" ht="15" customHeight="1">
      <c r="A40" s="719"/>
      <c r="B40" s="3" t="str">
        <f>Rydberg!B40</f>
        <v>Bohr Radius</v>
      </c>
      <c r="C40" s="3" t="str">
        <f>Rydberg!C40</f>
        <v>m</v>
      </c>
      <c r="D40" s="53">
        <f>Rydberg!D40</f>
        <v>5.2917721067E-11</v>
      </c>
      <c r="E40" s="8">
        <v>9</v>
      </c>
      <c r="F40" s="21">
        <f>D40/F$3</f>
        <v>1.9380669946781485E-10</v>
      </c>
      <c r="G40" s="37" t="str">
        <f t="shared" si="17"/>
        <v>1;000000000</v>
      </c>
      <c r="H40" s="330">
        <f t="shared" si="18"/>
        <v>0</v>
      </c>
      <c r="I40" s="333"/>
      <c r="J40" s="38">
        <v>-9</v>
      </c>
      <c r="K40" s="61">
        <f t="shared" si="31"/>
        <v>1</v>
      </c>
      <c r="L40" s="39" t="str">
        <f>INDEX(powers!$H$2:$H$75,33+J40)</f>
        <v>atomic dour</v>
      </c>
      <c r="M40" s="40" t="str">
        <f t="shared" si="4"/>
        <v>1</v>
      </c>
      <c r="N40" s="24">
        <f t="shared" si="19"/>
        <v>0</v>
      </c>
      <c r="O40" s="41" t="str">
        <f t="shared" si="5"/>
        <v>0</v>
      </c>
      <c r="P40" s="24">
        <f t="shared" si="20"/>
        <v>0</v>
      </c>
      <c r="Q40" s="41" t="str">
        <f t="shared" si="6"/>
        <v>0</v>
      </c>
      <c r="R40" s="24">
        <f t="shared" si="21"/>
        <v>0</v>
      </c>
      <c r="S40" s="41" t="str">
        <f t="shared" si="7"/>
        <v>0</v>
      </c>
      <c r="T40" s="24">
        <f t="shared" si="22"/>
        <v>0</v>
      </c>
      <c r="U40" s="41" t="str">
        <f t="shared" si="8"/>
        <v>0</v>
      </c>
      <c r="V40" s="24">
        <f t="shared" si="23"/>
        <v>0</v>
      </c>
      <c r="W40" s="41" t="str">
        <f t="shared" si="9"/>
        <v>0</v>
      </c>
      <c r="X40" s="24">
        <f t="shared" si="24"/>
        <v>0</v>
      </c>
      <c r="Y40" s="41" t="str">
        <f t="shared" si="10"/>
        <v>0</v>
      </c>
      <c r="Z40" s="24">
        <f t="shared" si="25"/>
        <v>0</v>
      </c>
      <c r="AA40" s="41" t="str">
        <f t="shared" si="11"/>
        <v>0</v>
      </c>
      <c r="AB40" s="24">
        <f t="shared" si="26"/>
        <v>0</v>
      </c>
      <c r="AC40" s="41" t="str">
        <f t="shared" si="12"/>
        <v>0</v>
      </c>
      <c r="AD40" s="24">
        <f t="shared" si="27"/>
        <v>0</v>
      </c>
      <c r="AE40" s="41" t="str">
        <f t="shared" si="13"/>
        <v>0</v>
      </c>
      <c r="AF40" s="24">
        <f t="shared" si="28"/>
        <v>0</v>
      </c>
      <c r="AG40" s="41" t="str">
        <f t="shared" si="14"/>
        <v/>
      </c>
      <c r="AH40" s="24">
        <f t="shared" si="29"/>
        <v>0</v>
      </c>
      <c r="AI40" s="41" t="str">
        <f t="shared" si="15"/>
        <v/>
      </c>
      <c r="AJ40" s="24">
        <f t="shared" si="30"/>
        <v>0</v>
      </c>
      <c r="AK40" s="41" t="str">
        <f t="shared" si="16"/>
        <v/>
      </c>
    </row>
    <row r="41" spans="1:37" ht="15" customHeight="1">
      <c r="A41" s="719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330">
        <f t="shared" si="18"/>
        <v>2.5094517379544046E-2</v>
      </c>
      <c r="I41" s="333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>
      <c r="A42" s="719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6.9275319172551294E-30</v>
      </c>
      <c r="G42" s="37" t="str">
        <f t="shared" si="17"/>
        <v>0;E505226</v>
      </c>
      <c r="H42" s="330">
        <f t="shared" si="18"/>
        <v>-4.8361116754470745E-2</v>
      </c>
      <c r="I42" s="333"/>
      <c r="J42" s="38">
        <v>-27</v>
      </c>
      <c r="K42" s="61">
        <f t="shared" si="31"/>
        <v>0.95163888324552925</v>
      </c>
      <c r="L42" s="39" t="str">
        <f>INDEX(powers!$H$2:$H$75,33+J42)</f>
        <v>tri-atomic milly</v>
      </c>
      <c r="M42" s="40" t="str">
        <f t="shared" si="4"/>
        <v>0</v>
      </c>
      <c r="N42" s="24">
        <f t="shared" si="19"/>
        <v>11.419666598946351</v>
      </c>
      <c r="O42" s="41" t="str">
        <f t="shared" si="5"/>
        <v>E</v>
      </c>
      <c r="P42" s="24">
        <f t="shared" si="20"/>
        <v>5.035999187356218</v>
      </c>
      <c r="Q42" s="41" t="str">
        <f t="shared" si="6"/>
        <v>5</v>
      </c>
      <c r="R42" s="24">
        <f t="shared" si="21"/>
        <v>0.43199024827461585</v>
      </c>
      <c r="S42" s="41" t="str">
        <f t="shared" si="7"/>
        <v>0</v>
      </c>
      <c r="T42" s="24">
        <f t="shared" si="22"/>
        <v>5.1838829792953902</v>
      </c>
      <c r="U42" s="41" t="str">
        <f t="shared" si="8"/>
        <v>5</v>
      </c>
      <c r="V42" s="24">
        <f t="shared" si="23"/>
        <v>2.2065957515446826</v>
      </c>
      <c r="W42" s="41" t="str">
        <f t="shared" si="9"/>
        <v>2</v>
      </c>
      <c r="X42" s="24">
        <f t="shared" si="24"/>
        <v>2.4791490185361909</v>
      </c>
      <c r="Y42" s="41" t="str">
        <f t="shared" si="10"/>
        <v>2</v>
      </c>
      <c r="Z42" s="24">
        <f t="shared" si="25"/>
        <v>5.7497882224342902</v>
      </c>
      <c r="AA42" s="41" t="str">
        <f t="shared" si="11"/>
        <v>6</v>
      </c>
      <c r="AB42" s="24">
        <f t="shared" si="26"/>
        <v>8.9974586692114826</v>
      </c>
      <c r="AC42" s="41" t="str">
        <f t="shared" si="12"/>
        <v/>
      </c>
      <c r="AD42" s="24">
        <f t="shared" si="27"/>
        <v>11.969504030537792</v>
      </c>
      <c r="AE42" s="41" t="str">
        <f t="shared" si="13"/>
        <v/>
      </c>
      <c r="AF42" s="24">
        <f t="shared" si="28"/>
        <v>11.634048366453499</v>
      </c>
      <c r="AG42" s="41" t="str">
        <f t="shared" si="14"/>
        <v/>
      </c>
      <c r="AH42" s="24">
        <f t="shared" si="29"/>
        <v>7.6085803974419832</v>
      </c>
      <c r="AI42" s="41" t="str">
        <f t="shared" si="15"/>
        <v/>
      </c>
      <c r="AJ42" s="24">
        <f t="shared" si="30"/>
        <v>7.3029647693037987</v>
      </c>
      <c r="AK42" s="41" t="str">
        <f t="shared" si="16"/>
        <v/>
      </c>
    </row>
    <row r="43" spans="1:37" ht="15" customHeight="1">
      <c r="A43" s="719"/>
      <c r="B43" s="573" t="str">
        <f>Rydberg!B43</f>
        <v>Proton mass</v>
      </c>
      <c r="C43" s="57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1.2720006247299386E-26</v>
      </c>
      <c r="G43" s="37" t="str">
        <f t="shared" ref="G43" si="32">M43&amp;";"&amp;O43&amp;Q43&amp;S43&amp;U43&amp;W43&amp;Y43&amp;AA43&amp;AC43&amp;AE43&amp;AG43&amp;AI43&amp;AK43</f>
        <v>1;0174302</v>
      </c>
      <c r="H43" s="330">
        <f t="shared" ref="H43" si="33">K43*POWER(12,I43)/ROUND(K43*POWER(12,I43),0)-1</f>
        <v>1.1200393067736236E-2</v>
      </c>
      <c r="I43" s="333"/>
      <c r="J43" s="38">
        <v>-24</v>
      </c>
      <c r="K43" s="61">
        <f t="shared" ref="K43" si="34">F43/POWER(12,J43)</f>
        <v>1.0112003930677362</v>
      </c>
      <c r="L43" s="39" t="str">
        <f>INDEX(powers!$H$2:$H$75,33+J43)</f>
        <v>tri-atomic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0.13440471681283483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1.612856601754018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7.3542792210482162</v>
      </c>
      <c r="S43" s="41" t="str">
        <f t="shared" ref="S43" si="41">IF($E43&gt;=S$31,MID($J$31,IF($E43&gt;S$31,INT(R43),ROUND(R43,0))+1,1),"")</f>
        <v>7</v>
      </c>
      <c r="T43" s="24">
        <f t="shared" ref="T43" si="42">(R43-INT(R43))*12</f>
        <v>4.2513506525785942</v>
      </c>
      <c r="U43" s="41" t="str">
        <f t="shared" ref="U43" si="43">IF($E43&gt;=U$31,MID($J$31,IF($E43&gt;U$31,INT(T43),ROUND(T43,0))+1,1),"")</f>
        <v>4</v>
      </c>
      <c r="V43" s="24">
        <f t="shared" ref="V43" si="44">(T43-INT(T43))*12</f>
        <v>3.0162078309431308</v>
      </c>
      <c r="W43" s="41" t="str">
        <f t="shared" ref="W43" si="45">IF($E43&gt;=W$31,MID($J$31,IF($E43&gt;W$31,INT(V43),ROUND(V43,0))+1,1),"")</f>
        <v>3</v>
      </c>
      <c r="X43" s="24">
        <f t="shared" ref="X43" si="46">(V43-INT(V43))*12</f>
        <v>0.19449397131756996</v>
      </c>
      <c r="Y43" s="41" t="str">
        <f t="shared" ref="Y43" si="47">IF($E43&gt;=Y$31,MID($J$31,IF($E43&gt;Y$31,INT(X43),ROUND(X43,0))+1,1),"")</f>
        <v>0</v>
      </c>
      <c r="Z43" s="24">
        <f t="shared" ref="Z43" si="48">(X43-INT(X43))*12</f>
        <v>2.3339276558108395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4.007131869730074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8.5582436760887504E-2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1.02698924113065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0.32387089356780052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3.8864507228136063</v>
      </c>
      <c r="AK43" s="41" t="str">
        <f t="shared" ref="AK43" si="59">IF($E43&gt;=AK$31,MID($J$31,IF($E43&gt;AK$31,INT(AJ43),ROUND(AJ43,0))+1,1),"")</f>
        <v/>
      </c>
    </row>
    <row r="44" spans="1:37" ht="15" customHeight="1">
      <c r="A44" s="719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6.6119269278998545E-11</v>
      </c>
      <c r="G44" s="37" t="str">
        <f t="shared" si="17"/>
        <v>4;1164</v>
      </c>
      <c r="H44" s="330">
        <f t="shared" si="18"/>
        <v>2.3482719543121755E-2</v>
      </c>
      <c r="I44" s="333"/>
      <c r="J44" s="38">
        <v>-10</v>
      </c>
      <c r="K44" s="61">
        <f t="shared" si="31"/>
        <v>4.093930878172487</v>
      </c>
      <c r="L44" s="39" t="str">
        <f>INDEX(powers!$H$2:$H$75,33+J44)</f>
        <v>atomic centy</v>
      </c>
      <c r="M44" s="40" t="str">
        <f t="shared" si="4"/>
        <v>4</v>
      </c>
      <c r="N44" s="24">
        <f t="shared" si="19"/>
        <v>1.1271705380698442</v>
      </c>
      <c r="O44" s="41" t="str">
        <f t="shared" si="5"/>
        <v>1</v>
      </c>
      <c r="P44" s="24">
        <f t="shared" si="20"/>
        <v>1.5260464568381309</v>
      </c>
      <c r="Q44" s="41" t="str">
        <f t="shared" si="6"/>
        <v>1</v>
      </c>
      <c r="R44" s="24">
        <f t="shared" si="21"/>
        <v>6.3125574820575707</v>
      </c>
      <c r="S44" s="41" t="str">
        <f t="shared" si="7"/>
        <v>6</v>
      </c>
      <c r="T44" s="24">
        <f t="shared" si="22"/>
        <v>3.7506897846908487</v>
      </c>
      <c r="U44" s="41" t="str">
        <f t="shared" si="8"/>
        <v>4</v>
      </c>
      <c r="V44" s="24">
        <f t="shared" si="23"/>
        <v>9.0082774162901842</v>
      </c>
      <c r="W44" s="41" t="str">
        <f t="shared" si="9"/>
        <v/>
      </c>
      <c r="X44" s="24">
        <f t="shared" si="24"/>
        <v>9.9328995482210303E-2</v>
      </c>
      <c r="Y44" s="41" t="str">
        <f t="shared" si="10"/>
        <v/>
      </c>
      <c r="Z44" s="24">
        <f t="shared" si="25"/>
        <v>1.1919479457865236</v>
      </c>
      <c r="AA44" s="41" t="str">
        <f t="shared" si="11"/>
        <v/>
      </c>
      <c r="AB44" s="24">
        <f t="shared" si="26"/>
        <v>2.3033753494382836</v>
      </c>
      <c r="AC44" s="41" t="str">
        <f t="shared" si="12"/>
        <v/>
      </c>
      <c r="AD44" s="24">
        <f t="shared" si="27"/>
        <v>3.6405041932594031</v>
      </c>
      <c r="AE44" s="41" t="str">
        <f t="shared" si="13"/>
        <v/>
      </c>
      <c r="AF44" s="24">
        <f t="shared" si="28"/>
        <v>7.6860503191128373</v>
      </c>
      <c r="AG44" s="41" t="str">
        <f t="shared" si="14"/>
        <v/>
      </c>
      <c r="AH44" s="24">
        <f t="shared" si="29"/>
        <v>8.2326038293540478</v>
      </c>
      <c r="AI44" s="41" t="str">
        <f t="shared" si="15"/>
        <v/>
      </c>
      <c r="AJ44" s="24">
        <f t="shared" si="30"/>
        <v>2.7912459522485733</v>
      </c>
      <c r="AK44" s="41" t="str">
        <f t="shared" si="16"/>
        <v/>
      </c>
    </row>
    <row r="45" spans="1:37" ht="15" customHeight="1">
      <c r="A45" s="719"/>
      <c r="B45" s="259" t="str">
        <f>Rydberg!B45</f>
        <v>Planck force</v>
      </c>
      <c r="C45" s="259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5.1697772162198014E+44</v>
      </c>
      <c r="G45" s="37" t="str">
        <f t="shared" ref="G45" si="60">M45&amp;";"&amp;O45&amp;Q45&amp;S45&amp;U45&amp;W45&amp;Y45&amp;AA45&amp;AC45&amp;AE45&amp;AG45&amp;AI45&amp;AK45</f>
        <v>2;E211</v>
      </c>
      <c r="H45" s="331">
        <f t="shared" si="18"/>
        <v>4.9719540263253315E-3</v>
      </c>
      <c r="I45" s="339">
        <v>1</v>
      </c>
      <c r="J45" s="38">
        <v>41</v>
      </c>
      <c r="K45" s="61">
        <f t="shared" ref="K45" si="61">F45/POWER(12,J45)</f>
        <v>2.9311681992434488</v>
      </c>
      <c r="L45" s="39" t="str">
        <f>INDEX(powers!$H$2:$H$75,33+J45)</f>
        <v>penta-cosmic dirac</v>
      </c>
      <c r="M45" s="40" t="str">
        <f t="shared" ref="M45" si="62">IF($E45&gt;=M$31,MID($J$31,IF($E45&gt;M$31,INT(K45),ROUND(K45,0))+1,1),"")</f>
        <v>2</v>
      </c>
      <c r="N45" s="24">
        <f t="shared" ref="N45" si="63">(K45-INT(K45))*12</f>
        <v>11.174018390921386</v>
      </c>
      <c r="O45" s="41" t="str">
        <f t="shared" ref="O45" si="64">IF($E45&gt;=O$31,MID($J$31,IF($E45&gt;O$31,INT(N45),ROUND(N45,0))+1,1),"")</f>
        <v>E</v>
      </c>
      <c r="P45" s="24">
        <f t="shared" ref="P45" si="65">(N45-INT(N45))*12</f>
        <v>2.0882206910566339</v>
      </c>
      <c r="Q45" s="41" t="str">
        <f t="shared" ref="Q45" si="66">IF($E45&gt;=Q$31,MID($J$31,IF($E45&gt;Q$31,INT(P45),ROUND(P45,0))+1,1),"")</f>
        <v>2</v>
      </c>
      <c r="R45" s="24">
        <f t="shared" ref="R45" si="67">(P45-INT(P45))*12</f>
        <v>1.0586482926796066</v>
      </c>
      <c r="S45" s="41" t="str">
        <f t="shared" ref="S45" si="68">IF($E45&gt;=S$31,MID($J$31,IF($E45&gt;S$31,INT(R45),ROUND(R45,0))+1,1),"")</f>
        <v>1</v>
      </c>
      <c r="T45" s="24">
        <f t="shared" ref="T45" si="69">(R45-INT(R45))*12</f>
        <v>0.70377951215527901</v>
      </c>
      <c r="U45" s="41" t="str">
        <f t="shared" ref="U45" si="70">IF($E45&gt;=U$31,MID($J$31,IF($E45&gt;U$31,INT(T45),ROUND(T45,0))+1,1),"")</f>
        <v>1</v>
      </c>
      <c r="V45" s="24">
        <f t="shared" ref="V45" si="71">(T45-INT(T45))*12</f>
        <v>8.4453541458633481</v>
      </c>
      <c r="W45" s="41" t="str">
        <f t="shared" ref="W45" si="72">IF($E45&gt;=W$31,MID($J$31,IF($E45&gt;W$31,INT(V45),ROUND(V45,0))+1,1),"")</f>
        <v/>
      </c>
      <c r="X45" s="24">
        <f t="shared" ref="X45" si="73">(V45-INT(V45))*12</f>
        <v>5.3442497503601771</v>
      </c>
      <c r="Y45" s="41" t="str">
        <f t="shared" ref="Y45" si="74">IF($E45&gt;=Y$31,MID($J$31,IF($E45&gt;Y$31,INT(X45),ROUND(X45,0))+1,1),"")</f>
        <v/>
      </c>
      <c r="Z45" s="24">
        <f t="shared" ref="Z45" si="75">(X45-INT(X45))*12</f>
        <v>4.1309970043221256</v>
      </c>
      <c r="AA45" s="41" t="str">
        <f t="shared" ref="AA45" si="76">IF($E45&gt;=AA$31,MID($J$31,IF($E45&gt;AA$31,INT(Z45),ROUND(Z45,0))+1,1),"")</f>
        <v/>
      </c>
      <c r="AB45" s="24">
        <f t="shared" ref="AB45" si="77">(Z45-INT(Z45))*12</f>
        <v>1.5719640518655069</v>
      </c>
      <c r="AC45" s="41" t="str">
        <f t="shared" ref="AC45" si="78">IF($E45&gt;=AC$31,MID($J$31,IF($E45&gt;AC$31,INT(AB45),ROUND(AB45,0))+1,1),"")</f>
        <v/>
      </c>
      <c r="AD45" s="24">
        <f t="shared" ref="AD45" si="79">(AB45-INT(AB45))*12</f>
        <v>6.863568622386083</v>
      </c>
      <c r="AE45" s="41" t="str">
        <f t="shared" ref="AE45" si="80">IF($E45&gt;=AE$31,MID($J$31,IF($E45&gt;AE$31,INT(AD45),ROUND(AD45,0))+1,1),"")</f>
        <v/>
      </c>
      <c r="AF45" s="24">
        <f t="shared" ref="AF45" si="81">(AD45-INT(AD45))*12</f>
        <v>10.362823468632996</v>
      </c>
      <c r="AG45" s="41" t="str">
        <f t="shared" ref="AG45" si="82">IF($E45&gt;=AG$31,MID($J$31,IF($E45&gt;AG$31,INT(AF45),ROUND(AF45,0))+1,1),"")</f>
        <v/>
      </c>
      <c r="AH45" s="24">
        <f t="shared" ref="AH45" si="83">(AF45-INT(AF45))*12</f>
        <v>4.353881623595953</v>
      </c>
      <c r="AI45" s="41" t="str">
        <f t="shared" ref="AI45" si="84">IF($E45&gt;=AI$31,MID($J$31,IF($E45&gt;AI$31,INT(AH45),ROUND(AH45,0))+1,1),"")</f>
        <v/>
      </c>
      <c r="AJ45" s="24">
        <f t="shared" ref="AJ45" si="85">(AH45-INT(AH45))*12</f>
        <v>4.2465794831514359</v>
      </c>
      <c r="AK45" s="41" t="str">
        <f t="shared" ref="AK45" si="86">IF($E45&gt;=AK$31,MID($J$31,IF($E45&gt;AK$31,INT(AJ45),ROUND(AJ45,0))+1,1),"")</f>
        <v/>
      </c>
    </row>
    <row r="46" spans="1:37" ht="15" customHeight="1">
      <c r="A46" s="719"/>
      <c r="B46" s="259" t="str">
        <f>Rydberg!B46</f>
        <v>Gravitic meter</v>
      </c>
      <c r="C46" s="259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3.501905332294183E-34</v>
      </c>
      <c r="G46" s="37" t="str">
        <f t="shared" ref="G46" si="87">M46&amp;";"&amp;O46&amp;Q46&amp;S46&amp;U46&amp;W46&amp;Y46&amp;AA46&amp;AC46&amp;AE46&amp;AG46&amp;AI46&amp;AK46</f>
        <v>0;EE79</v>
      </c>
      <c r="H46" s="330">
        <f t="shared" si="18"/>
        <v>-2.4767451330987011E-3</v>
      </c>
      <c r="I46" s="333"/>
      <c r="J46" s="38">
        <v>-31</v>
      </c>
      <c r="K46" s="61">
        <f t="shared" ref="K46" si="88">F46/POWER(12,J46)</f>
        <v>0.9975232548669013</v>
      </c>
      <c r="L46" s="39" t="str">
        <f>INDEX(powers!$H$2:$H$75,33+J46)</f>
        <v>tetra-atomic dirac</v>
      </c>
      <c r="M46" s="40" t="str">
        <f t="shared" ref="M46" si="89">IF($E46&gt;=M$31,MID($J$31,IF($E46&gt;M$31,INT(K46),ROUND(K46,0))+1,1),"")</f>
        <v>0</v>
      </c>
      <c r="N46" s="24">
        <f t="shared" ref="N46" si="90">(K46-INT(K46))*12</f>
        <v>11.970279058402816</v>
      </c>
      <c r="O46" s="41" t="str">
        <f t="shared" ref="O46" si="91">IF($E46&gt;=O$31,MID($J$31,IF($E46&gt;O$31,INT(N46),ROUND(N46,0))+1,1),"")</f>
        <v>E</v>
      </c>
      <c r="P46" s="24">
        <f t="shared" ref="P46" si="92">(N46-INT(N46))*12</f>
        <v>11.643348700833798</v>
      </c>
      <c r="Q46" s="41" t="str">
        <f t="shared" ref="Q46" si="93">IF($E46&gt;=Q$31,MID($J$31,IF($E46&gt;Q$31,INT(P46),ROUND(P46,0))+1,1),"")</f>
        <v>E</v>
      </c>
      <c r="R46" s="24">
        <f t="shared" ref="R46" si="94">(P46-INT(P46))*12</f>
        <v>7.7201844100055723</v>
      </c>
      <c r="S46" s="41" t="str">
        <f t="shared" ref="S46" si="95">IF($E46&gt;=S$31,MID($J$31,IF($E46&gt;S$31,INT(R46),ROUND(R46,0))+1,1),"")</f>
        <v>7</v>
      </c>
      <c r="T46" s="24">
        <f t="shared" ref="T46" si="96">(R46-INT(R46))*12</f>
        <v>8.6422129200668678</v>
      </c>
      <c r="U46" s="41" t="str">
        <f t="shared" ref="U46" si="97">IF($E46&gt;=U$31,MID($J$31,IF($E46&gt;U$31,INT(T46),ROUND(T46,0))+1,1),"")</f>
        <v>9</v>
      </c>
      <c r="V46" s="24">
        <f t="shared" ref="V46" si="98">(T46-INT(T46))*12</f>
        <v>7.7065550408024137</v>
      </c>
      <c r="W46" s="41" t="str">
        <f t="shared" ref="W46" si="99">IF($E46&gt;=W$31,MID($J$31,IF($E46&gt;W$31,INT(V46),ROUND(V46,0))+1,1),"")</f>
        <v/>
      </c>
      <c r="X46" s="24">
        <f t="shared" ref="X46" si="100">(V46-INT(V46))*12</f>
        <v>8.4786604896289646</v>
      </c>
      <c r="Y46" s="41" t="str">
        <f t="shared" ref="Y46" si="101">IF($E46&gt;=Y$31,MID($J$31,IF($E46&gt;Y$31,INT(X46),ROUND(X46,0))+1,1),"")</f>
        <v/>
      </c>
      <c r="Z46" s="24">
        <f t="shared" ref="Z46" si="102">(X46-INT(X46))*12</f>
        <v>5.7439258755475748</v>
      </c>
      <c r="AA46" s="41" t="str">
        <f t="shared" ref="AA46" si="103">IF($E46&gt;=AA$31,MID($J$31,IF($E46&gt;AA$31,INT(Z46),ROUND(Z46,0))+1,1),"")</f>
        <v/>
      </c>
      <c r="AB46" s="24">
        <f t="shared" ref="AB46" si="104">(Z46-INT(Z46))*12</f>
        <v>8.927110506570898</v>
      </c>
      <c r="AC46" s="41" t="str">
        <f t="shared" ref="AC46" si="105">IF($E46&gt;=AC$31,MID($J$31,IF($E46&gt;AC$31,INT(AB46),ROUND(AB46,0))+1,1),"")</f>
        <v/>
      </c>
      <c r="AD46" s="24">
        <f t="shared" ref="AD46" si="106">(AB46-INT(AB46))*12</f>
        <v>11.125326078850776</v>
      </c>
      <c r="AE46" s="41" t="str">
        <f t="shared" ref="AE46" si="107">IF($E46&gt;=AE$31,MID($J$31,IF($E46&gt;AE$31,INT(AD46),ROUND(AD46,0))+1,1),"")</f>
        <v/>
      </c>
      <c r="AF46" s="24">
        <f t="shared" ref="AF46" si="108">(AD46-INT(AD46))*12</f>
        <v>1.5039129462093115</v>
      </c>
      <c r="AG46" s="41" t="str">
        <f t="shared" ref="AG46" si="109">IF($E46&gt;=AG$31,MID($J$31,IF($E46&gt;AG$31,INT(AF46),ROUND(AF46,0))+1,1),"")</f>
        <v/>
      </c>
      <c r="AH46" s="24">
        <f t="shared" ref="AH46" si="110">(AF46-INT(AF46))*12</f>
        <v>6.0469553545117378</v>
      </c>
      <c r="AI46" s="41" t="str">
        <f t="shared" ref="AI46" si="111">IF($E46&gt;=AI$31,MID($J$31,IF($E46&gt;AI$31,INT(AH46),ROUND(AH46,0))+1,1),"")</f>
        <v/>
      </c>
      <c r="AJ46" s="24">
        <f t="shared" ref="AJ46" si="112">(AH46-INT(AH46))*12</f>
        <v>0.56346425414085388</v>
      </c>
      <c r="AK46" s="41" t="str">
        <f t="shared" ref="AK46" si="113">IF($E46&gt;=AK$31,MID($J$31,IF($E46&gt;AK$31,INT(AJ46),ROUND(AJ46,0))+1,1),"")</f>
        <v/>
      </c>
    </row>
    <row r="47" spans="1:37" ht="15" customHeight="1">
      <c r="A47" s="719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5.9193003824898172E-35</v>
      </c>
      <c r="G47" s="37" t="str">
        <f t="shared" si="17"/>
        <v>2;0344</v>
      </c>
      <c r="H47" s="330">
        <f t="shared" si="18"/>
        <v>1.1673227649680262E-2</v>
      </c>
      <c r="I47" s="333"/>
      <c r="J47" s="38">
        <v>-32</v>
      </c>
      <c r="K47" s="61">
        <f t="shared" si="31"/>
        <v>2.0233464552993605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0.28015746359232629</v>
      </c>
      <c r="O47" s="41" t="str">
        <f t="shared" si="5"/>
        <v>0</v>
      </c>
      <c r="P47" s="24">
        <f t="shared" si="20"/>
        <v>3.3618895631079155</v>
      </c>
      <c r="Q47" s="41" t="str">
        <f t="shared" si="6"/>
        <v>3</v>
      </c>
      <c r="R47" s="24">
        <f t="shared" si="21"/>
        <v>4.3426747572949864</v>
      </c>
      <c r="S47" s="41" t="str">
        <f t="shared" si="7"/>
        <v>4</v>
      </c>
      <c r="T47" s="24">
        <f t="shared" si="22"/>
        <v>4.112097087539837</v>
      </c>
      <c r="U47" s="41" t="str">
        <f t="shared" si="8"/>
        <v>4</v>
      </c>
      <c r="V47" s="24">
        <f t="shared" si="23"/>
        <v>1.3451650504780446</v>
      </c>
      <c r="W47" s="41" t="str">
        <f t="shared" si="9"/>
        <v/>
      </c>
      <c r="X47" s="24">
        <f t="shared" si="24"/>
        <v>4.1419806057365349</v>
      </c>
      <c r="Y47" s="41" t="str">
        <f t="shared" si="10"/>
        <v/>
      </c>
      <c r="Z47" s="24">
        <f t="shared" si="25"/>
        <v>1.7037672688384191</v>
      </c>
      <c r="AA47" s="41" t="str">
        <f t="shared" si="11"/>
        <v/>
      </c>
      <c r="AB47" s="24">
        <f t="shared" si="26"/>
        <v>8.4452072260610294</v>
      </c>
      <c r="AC47" s="41" t="str">
        <f t="shared" si="12"/>
        <v/>
      </c>
      <c r="AD47" s="24">
        <f t="shared" si="27"/>
        <v>5.3424867127323523</v>
      </c>
      <c r="AE47" s="41" t="str">
        <f t="shared" si="13"/>
        <v/>
      </c>
      <c r="AF47" s="24">
        <f t="shared" si="28"/>
        <v>4.1098405527882278</v>
      </c>
      <c r="AG47" s="41" t="str">
        <f t="shared" si="14"/>
        <v/>
      </c>
      <c r="AH47" s="24">
        <f t="shared" si="29"/>
        <v>1.3180866334587336</v>
      </c>
      <c r="AI47" s="41" t="str">
        <f t="shared" si="15"/>
        <v/>
      </c>
      <c r="AJ47" s="24">
        <f t="shared" si="30"/>
        <v>3.8170396015048027</v>
      </c>
      <c r="AK47" s="41" t="str">
        <f t="shared" si="16"/>
        <v/>
      </c>
    </row>
    <row r="48" spans="1:37" ht="15" customHeight="1">
      <c r="A48" s="719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6.9292736801925718E-34</v>
      </c>
      <c r="G48" s="37" t="str">
        <f t="shared" si="17"/>
        <v>1;E829</v>
      </c>
      <c r="H48" s="330">
        <f t="shared" si="18"/>
        <v>-1.3092733891673425E-2</v>
      </c>
      <c r="I48" s="333"/>
      <c r="J48" s="38">
        <v>-31</v>
      </c>
      <c r="K48" s="61">
        <f t="shared" si="31"/>
        <v>1.9738145322166532</v>
      </c>
      <c r="L48" s="39" t="str">
        <f>INDEX(powers!$H$2:$H$75,33+J48)</f>
        <v>tetra-atomic dirac</v>
      </c>
      <c r="M48" s="40" t="str">
        <f t="shared" si="4"/>
        <v>1</v>
      </c>
      <c r="N48" s="24">
        <f t="shared" si="19"/>
        <v>11.685774386599839</v>
      </c>
      <c r="O48" s="41" t="str">
        <f t="shared" si="5"/>
        <v>E</v>
      </c>
      <c r="P48" s="24">
        <f t="shared" si="20"/>
        <v>8.2292926391980643</v>
      </c>
      <c r="Q48" s="41" t="str">
        <f t="shared" si="6"/>
        <v>8</v>
      </c>
      <c r="R48" s="24">
        <f t="shared" si="21"/>
        <v>2.7515116703767717</v>
      </c>
      <c r="S48" s="41" t="str">
        <f t="shared" si="7"/>
        <v>2</v>
      </c>
      <c r="T48" s="24">
        <f t="shared" si="22"/>
        <v>9.0181400445212603</v>
      </c>
      <c r="U48" s="41" t="str">
        <f t="shared" si="8"/>
        <v>9</v>
      </c>
      <c r="V48" s="24">
        <f t="shared" si="23"/>
        <v>0.21768053425512335</v>
      </c>
      <c r="W48" s="41" t="str">
        <f t="shared" si="9"/>
        <v/>
      </c>
      <c r="X48" s="24">
        <f t="shared" si="24"/>
        <v>2.6121664110614802</v>
      </c>
      <c r="Y48" s="41" t="str">
        <f t="shared" si="10"/>
        <v/>
      </c>
      <c r="Z48" s="24">
        <f t="shared" si="25"/>
        <v>7.3459969327377621</v>
      </c>
      <c r="AA48" s="41" t="str">
        <f t="shared" si="11"/>
        <v/>
      </c>
      <c r="AB48" s="24">
        <f t="shared" si="26"/>
        <v>4.1519631928531453</v>
      </c>
      <c r="AC48" s="41" t="str">
        <f t="shared" si="12"/>
        <v/>
      </c>
      <c r="AD48" s="24">
        <f t="shared" si="27"/>
        <v>1.8235583142377436</v>
      </c>
      <c r="AE48" s="41" t="str">
        <f t="shared" si="13"/>
        <v/>
      </c>
      <c r="AF48" s="24">
        <f t="shared" si="28"/>
        <v>9.8826997708529234</v>
      </c>
      <c r="AG48" s="41" t="str">
        <f t="shared" si="14"/>
        <v/>
      </c>
      <c r="AH48" s="24">
        <f t="shared" si="29"/>
        <v>10.592397250235081</v>
      </c>
      <c r="AI48" s="41" t="str">
        <f t="shared" si="15"/>
        <v/>
      </c>
      <c r="AJ48" s="24">
        <f t="shared" si="30"/>
        <v>7.1087670028209686</v>
      </c>
      <c r="AK48" s="41" t="str">
        <f t="shared" si="16"/>
        <v/>
      </c>
    </row>
    <row r="49" spans="1:37" ht="15" customHeight="1">
      <c r="A49" s="719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330">
        <f t="shared" si="18"/>
        <v>-1.3039559891063979E-2</v>
      </c>
      <c r="I49" s="333"/>
      <c r="J49" s="135">
        <v>-23</v>
      </c>
      <c r="K49" s="61">
        <f t="shared" si="31"/>
        <v>1.973920880217872</v>
      </c>
      <c r="L49" s="138" t="str">
        <f>INDEX(powers!$H$2:$H$75,33+J49)</f>
        <v>tri-atomic dirac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>
      <c r="A50" s="719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144.17513221518143</v>
      </c>
      <c r="G50" s="37" t="str">
        <f t="shared" si="17"/>
        <v>1;002128</v>
      </c>
      <c r="H50" s="330">
        <f t="shared" si="18"/>
        <v>1.2161959387599897E-3</v>
      </c>
      <c r="I50" s="333"/>
      <c r="J50" s="38">
        <v>2</v>
      </c>
      <c r="K50" s="61">
        <f t="shared" si="31"/>
        <v>1.00121619593876</v>
      </c>
      <c r="L50" s="39" t="str">
        <f>INDEX(powers!$H$2:$H$75,33+J50)</f>
        <v>hecty</v>
      </c>
      <c r="M50" s="40" t="str">
        <f t="shared" si="4"/>
        <v>1</v>
      </c>
      <c r="N50" s="24">
        <f t="shared" si="19"/>
        <v>1.4594351265119876E-2</v>
      </c>
      <c r="O50" s="41" t="str">
        <f t="shared" si="5"/>
        <v>0</v>
      </c>
      <c r="P50" s="24">
        <f t="shared" si="20"/>
        <v>0.17513221518143851</v>
      </c>
      <c r="Q50" s="41" t="str">
        <f t="shared" si="6"/>
        <v>0</v>
      </c>
      <c r="R50" s="24">
        <f t="shared" si="21"/>
        <v>2.1015865821772621</v>
      </c>
      <c r="S50" s="41" t="str">
        <f t="shared" si="7"/>
        <v>2</v>
      </c>
      <c r="T50" s="24">
        <f t="shared" si="22"/>
        <v>1.2190389861271456</v>
      </c>
      <c r="U50" s="41" t="str">
        <f t="shared" si="8"/>
        <v>1</v>
      </c>
      <c r="V50" s="24">
        <f t="shared" si="23"/>
        <v>2.6284678335257468</v>
      </c>
      <c r="W50" s="41" t="str">
        <f t="shared" si="9"/>
        <v>2</v>
      </c>
      <c r="X50" s="24">
        <f t="shared" si="24"/>
        <v>7.5416140023089611</v>
      </c>
      <c r="Y50" s="41" t="str">
        <f t="shared" si="10"/>
        <v>8</v>
      </c>
      <c r="Z50" s="24">
        <f t="shared" si="25"/>
        <v>6.4993680277075327</v>
      </c>
      <c r="AA50" s="41" t="str">
        <f t="shared" si="11"/>
        <v/>
      </c>
      <c r="AB50" s="24">
        <f t="shared" si="26"/>
        <v>5.992416332490393</v>
      </c>
      <c r="AC50" s="41" t="str">
        <f t="shared" si="12"/>
        <v/>
      </c>
      <c r="AD50" s="24">
        <f t="shared" si="27"/>
        <v>11.908995989884716</v>
      </c>
      <c r="AE50" s="41" t="str">
        <f t="shared" si="13"/>
        <v/>
      </c>
      <c r="AF50" s="24">
        <f t="shared" si="28"/>
        <v>10.907951878616586</v>
      </c>
      <c r="AG50" s="41" t="str">
        <f t="shared" si="14"/>
        <v/>
      </c>
      <c r="AH50" s="24">
        <f t="shared" si="29"/>
        <v>10.895422543399036</v>
      </c>
      <c r="AI50" s="41" t="str">
        <f t="shared" si="15"/>
        <v/>
      </c>
      <c r="AJ50" s="24">
        <f t="shared" si="30"/>
        <v>10.745070520788431</v>
      </c>
      <c r="AK50" s="41" t="str">
        <f t="shared" si="16"/>
        <v/>
      </c>
    </row>
    <row r="51" spans="1:37" ht="15" customHeight="1">
      <c r="A51" s="719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4690274.0420346502</v>
      </c>
      <c r="G51" s="37" t="str">
        <f t="shared" si="17"/>
        <v>1;6X2342</v>
      </c>
      <c r="H51" s="330"/>
      <c r="I51" s="333"/>
      <c r="J51" s="135">
        <v>6</v>
      </c>
      <c r="K51" s="61">
        <f t="shared" si="31"/>
        <v>1.5707632867539312</v>
      </c>
      <c r="L51" s="138" t="str">
        <f>INDEX(powers!$H$2:$H$75,33+J51)</f>
        <v>cosmic centy</v>
      </c>
      <c r="M51" s="40" t="str">
        <f t="shared" si="4"/>
        <v>1</v>
      </c>
      <c r="N51" s="24">
        <f t="shared" si="19"/>
        <v>6.8491594410471741</v>
      </c>
      <c r="O51" s="41" t="str">
        <f t="shared" si="5"/>
        <v>6</v>
      </c>
      <c r="P51" s="24">
        <f t="shared" si="20"/>
        <v>10.189913292566089</v>
      </c>
      <c r="Q51" s="41" t="str">
        <f t="shared" si="6"/>
        <v>X</v>
      </c>
      <c r="R51" s="24">
        <f t="shared" si="21"/>
        <v>2.2789595107930722</v>
      </c>
      <c r="S51" s="41" t="str">
        <f t="shared" si="7"/>
        <v>2</v>
      </c>
      <c r="T51" s="24">
        <f t="shared" si="22"/>
        <v>3.3475141295168669</v>
      </c>
      <c r="U51" s="41" t="str">
        <f t="shared" si="8"/>
        <v>3</v>
      </c>
      <c r="V51" s="24">
        <f t="shared" si="23"/>
        <v>4.1701695542024027</v>
      </c>
      <c r="W51" s="41" t="str">
        <f t="shared" si="9"/>
        <v>4</v>
      </c>
      <c r="X51" s="24">
        <f t="shared" si="24"/>
        <v>2.0420346504288318</v>
      </c>
      <c r="Y51" s="41" t="str">
        <f t="shared" si="10"/>
        <v>2</v>
      </c>
      <c r="Z51" s="24">
        <f t="shared" si="25"/>
        <v>0.50441580514598172</v>
      </c>
      <c r="AA51" s="41" t="str">
        <f t="shared" si="11"/>
        <v/>
      </c>
      <c r="AB51" s="24">
        <f t="shared" si="26"/>
        <v>6.0529896617517807</v>
      </c>
      <c r="AC51" s="41" t="str">
        <f t="shared" si="12"/>
        <v/>
      </c>
      <c r="AD51" s="24">
        <f t="shared" si="27"/>
        <v>0.63587594102136791</v>
      </c>
      <c r="AE51" s="41" t="str">
        <f t="shared" si="13"/>
        <v/>
      </c>
      <c r="AF51" s="24">
        <f t="shared" si="28"/>
        <v>7.6305112922564149</v>
      </c>
      <c r="AG51" s="41" t="str">
        <f t="shared" si="14"/>
        <v/>
      </c>
      <c r="AH51" s="24">
        <f t="shared" si="29"/>
        <v>7.5661355070769787</v>
      </c>
      <c r="AI51" s="41" t="str">
        <f t="shared" si="15"/>
        <v/>
      </c>
      <c r="AJ51" s="24">
        <f t="shared" si="30"/>
        <v>6.7936260849237442</v>
      </c>
      <c r="AK51" s="41" t="str">
        <f t="shared" si="16"/>
        <v/>
      </c>
    </row>
    <row r="52" spans="1:37" ht="15" customHeight="1">
      <c r="A52" s="719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145.35185727931832</v>
      </c>
      <c r="G52" s="37" t="str">
        <f t="shared" si="17"/>
        <v>1;014280</v>
      </c>
      <c r="H52" s="330">
        <f>K52*POWER(12,I52)/ROUND(K52*POWER(12,I52),0)-1</f>
        <v>9.3878977730439406E-3</v>
      </c>
      <c r="I52" s="333"/>
      <c r="J52" s="38">
        <v>2</v>
      </c>
      <c r="K52" s="61">
        <f t="shared" si="31"/>
        <v>1.0093878977730439</v>
      </c>
      <c r="L52" s="39" t="str">
        <f>INDEX(powers!$H$2:$H$75,33+J52)</f>
        <v>hecty</v>
      </c>
      <c r="M52" s="40" t="str">
        <f t="shared" si="4"/>
        <v>1</v>
      </c>
      <c r="N52" s="24">
        <f t="shared" si="19"/>
        <v>0.11265477327652729</v>
      </c>
      <c r="O52" s="41" t="str">
        <f t="shared" si="5"/>
        <v>0</v>
      </c>
      <c r="P52" s="24">
        <f t="shared" si="20"/>
        <v>1.3518572793183274</v>
      </c>
      <c r="Q52" s="41" t="str">
        <f t="shared" si="6"/>
        <v>1</v>
      </c>
      <c r="R52" s="24">
        <f t="shared" si="21"/>
        <v>4.2222873518199293</v>
      </c>
      <c r="S52" s="41" t="str">
        <f t="shared" si="7"/>
        <v>4</v>
      </c>
      <c r="T52" s="24">
        <f t="shared" si="22"/>
        <v>2.6674482218391518</v>
      </c>
      <c r="U52" s="41" t="str">
        <f t="shared" si="8"/>
        <v>2</v>
      </c>
      <c r="V52" s="24">
        <f t="shared" si="23"/>
        <v>8.0093786620698211</v>
      </c>
      <c r="W52" s="41" t="str">
        <f t="shared" si="9"/>
        <v>8</v>
      </c>
      <c r="X52" s="24">
        <f t="shared" si="24"/>
        <v>0.11254394483785291</v>
      </c>
      <c r="Y52" s="41" t="str">
        <f t="shared" si="10"/>
        <v>0</v>
      </c>
      <c r="Z52" s="24">
        <f t="shared" si="25"/>
        <v>1.3505273380542349</v>
      </c>
      <c r="AA52" s="41" t="str">
        <f t="shared" si="11"/>
        <v/>
      </c>
      <c r="AB52" s="24">
        <f t="shared" si="26"/>
        <v>4.2063280566508183</v>
      </c>
      <c r="AC52" s="41" t="str">
        <f t="shared" si="12"/>
        <v/>
      </c>
      <c r="AD52" s="24">
        <f t="shared" si="27"/>
        <v>2.4759366798098199</v>
      </c>
      <c r="AE52" s="41" t="str">
        <f t="shared" si="13"/>
        <v/>
      </c>
      <c r="AF52" s="24">
        <f t="shared" si="28"/>
        <v>5.7112401577178389</v>
      </c>
      <c r="AG52" s="41" t="str">
        <f t="shared" si="14"/>
        <v/>
      </c>
      <c r="AH52" s="24">
        <f t="shared" si="29"/>
        <v>8.5348818926140666</v>
      </c>
      <c r="AI52" s="41" t="str">
        <f t="shared" si="15"/>
        <v/>
      </c>
      <c r="AJ52" s="24">
        <f t="shared" si="30"/>
        <v>6.4185827113687992</v>
      </c>
      <c r="AK52" s="41" t="str">
        <f t="shared" si="16"/>
        <v/>
      </c>
    </row>
    <row r="53" spans="1:37" ht="15" customHeight="1">
      <c r="A53" s="719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7.2371269577918751</v>
      </c>
      <c r="G53" s="37" t="str">
        <f t="shared" si="17"/>
        <v>7;2X19</v>
      </c>
      <c r="H53" s="330"/>
      <c r="I53" s="333"/>
      <c r="J53" s="38">
        <v>0</v>
      </c>
      <c r="K53" s="61">
        <f t="shared" si="31"/>
        <v>7.2371269577918751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2.8455234935025011</v>
      </c>
      <c r="O53" s="41" t="str">
        <f t="shared" si="5"/>
        <v>2</v>
      </c>
      <c r="P53" s="24">
        <f t="shared" si="20"/>
        <v>10.146281922030013</v>
      </c>
      <c r="Q53" s="41" t="str">
        <f t="shared" si="6"/>
        <v>X</v>
      </c>
      <c r="R53" s="24">
        <f t="shared" si="21"/>
        <v>1.75538306436016</v>
      </c>
      <c r="S53" s="41" t="str">
        <f t="shared" si="7"/>
        <v>1</v>
      </c>
      <c r="T53" s="24">
        <f t="shared" si="22"/>
        <v>9.0645967723219201</v>
      </c>
      <c r="U53" s="41" t="str">
        <f t="shared" si="8"/>
        <v>9</v>
      </c>
      <c r="V53" s="24">
        <f t="shared" si="23"/>
        <v>0.77516126786304085</v>
      </c>
      <c r="W53" s="41" t="str">
        <f t="shared" si="9"/>
        <v/>
      </c>
      <c r="X53" s="24">
        <f t="shared" si="24"/>
        <v>9.3019352143564902</v>
      </c>
      <c r="Y53" s="41" t="str">
        <f t="shared" si="10"/>
        <v/>
      </c>
      <c r="Z53" s="24">
        <f t="shared" si="25"/>
        <v>3.6232225722778821</v>
      </c>
      <c r="AA53" s="41" t="str">
        <f t="shared" si="11"/>
        <v/>
      </c>
      <c r="AB53" s="24">
        <f t="shared" si="26"/>
        <v>7.4786708673345856</v>
      </c>
      <c r="AC53" s="41" t="str">
        <f t="shared" si="12"/>
        <v/>
      </c>
      <c r="AD53" s="24">
        <f t="shared" si="27"/>
        <v>5.7440504080150276</v>
      </c>
      <c r="AE53" s="41" t="str">
        <f t="shared" si="13"/>
        <v/>
      </c>
      <c r="AF53" s="24">
        <f t="shared" si="28"/>
        <v>8.9286048961803317</v>
      </c>
      <c r="AG53" s="41" t="str">
        <f t="shared" si="14"/>
        <v/>
      </c>
      <c r="AH53" s="24">
        <f t="shared" si="29"/>
        <v>11.14325875416398</v>
      </c>
      <c r="AI53" s="41" t="str">
        <f t="shared" si="15"/>
        <v/>
      </c>
      <c r="AJ53" s="24">
        <f t="shared" si="30"/>
        <v>1.7191050499677658</v>
      </c>
      <c r="AK53" s="41" t="str">
        <f t="shared" si="16"/>
        <v/>
      </c>
    </row>
    <row r="54" spans="1:37" ht="15" customHeight="1">
      <c r="A54" s="719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154.80123732963992</v>
      </c>
      <c r="G54" s="37" t="str">
        <f t="shared" si="17"/>
        <v>1;0X9746</v>
      </c>
      <c r="H54" s="351">
        <f t="shared" ref="H54:H62" si="114">K54*POWER(12,I54)/ROUND(K54*POWER(12,I54),0)-1</f>
        <v>7.5008592566943921E-2</v>
      </c>
      <c r="I54" s="352"/>
      <c r="J54" s="38">
        <v>2</v>
      </c>
      <c r="K54" s="61">
        <f t="shared" si="31"/>
        <v>1.0750085925669439</v>
      </c>
      <c r="L54" s="39" t="str">
        <f>INDEX(powers!$H$2:$H$75,33+J54)</f>
        <v>hecty</v>
      </c>
      <c r="M54" s="40" t="str">
        <f t="shared" si="4"/>
        <v>1</v>
      </c>
      <c r="N54" s="24">
        <f t="shared" si="19"/>
        <v>0.90010311080332706</v>
      </c>
      <c r="O54" s="41" t="str">
        <f t="shared" si="5"/>
        <v>0</v>
      </c>
      <c r="P54" s="24">
        <f t="shared" si="20"/>
        <v>10.801237329639925</v>
      </c>
      <c r="Q54" s="41" t="str">
        <f t="shared" si="6"/>
        <v>X</v>
      </c>
      <c r="R54" s="24">
        <f t="shared" si="21"/>
        <v>9.614847955679096</v>
      </c>
      <c r="S54" s="41" t="str">
        <f t="shared" si="7"/>
        <v>9</v>
      </c>
      <c r="T54" s="24">
        <f t="shared" si="22"/>
        <v>7.378175468149152</v>
      </c>
      <c r="U54" s="41" t="str">
        <f t="shared" si="8"/>
        <v>7</v>
      </c>
      <c r="V54" s="24">
        <f t="shared" si="23"/>
        <v>4.5381056177898245</v>
      </c>
      <c r="W54" s="41" t="str">
        <f t="shared" si="9"/>
        <v>4</v>
      </c>
      <c r="X54" s="24">
        <f t="shared" si="24"/>
        <v>6.4572674134778936</v>
      </c>
      <c r="Y54" s="41" t="str">
        <f t="shared" si="10"/>
        <v>6</v>
      </c>
      <c r="Z54" s="24">
        <f t="shared" si="25"/>
        <v>5.4872089617347228</v>
      </c>
      <c r="AA54" s="41" t="str">
        <f t="shared" si="11"/>
        <v/>
      </c>
      <c r="AB54" s="24">
        <f t="shared" si="26"/>
        <v>5.846507540816674</v>
      </c>
      <c r="AC54" s="41" t="str">
        <f t="shared" si="12"/>
        <v/>
      </c>
      <c r="AD54" s="24">
        <f t="shared" si="27"/>
        <v>10.158090489800088</v>
      </c>
      <c r="AE54" s="41" t="str">
        <f t="shared" si="13"/>
        <v/>
      </c>
      <c r="AF54" s="24">
        <f t="shared" si="28"/>
        <v>1.8970858776010573</v>
      </c>
      <c r="AG54" s="41" t="str">
        <f t="shared" si="14"/>
        <v/>
      </c>
      <c r="AH54" s="24">
        <f t="shared" si="29"/>
        <v>10.765030531212687</v>
      </c>
      <c r="AI54" s="41" t="str">
        <f t="shared" si="15"/>
        <v/>
      </c>
      <c r="AJ54" s="24">
        <f t="shared" si="30"/>
        <v>9.1803663745522499</v>
      </c>
      <c r="AK54" s="41" t="str">
        <f t="shared" si="16"/>
        <v/>
      </c>
    </row>
    <row r="55" spans="1:37" ht="15" customHeight="1">
      <c r="A55" s="719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141.92574830476642</v>
      </c>
      <c r="G55" s="37" t="str">
        <f t="shared" si="17"/>
        <v>0;E9E1</v>
      </c>
      <c r="H55" s="330">
        <f t="shared" si="114"/>
        <v>-1.4404525661344314E-2</v>
      </c>
      <c r="I55" s="333"/>
      <c r="J55" s="38">
        <v>2</v>
      </c>
      <c r="K55" s="61">
        <f t="shared" si="31"/>
        <v>0.98559547433865569</v>
      </c>
      <c r="L55" s="39" t="str">
        <f>INDEX(powers!$H$2:$H$75,33+J55)</f>
        <v>hecty</v>
      </c>
      <c r="M55" s="40" t="str">
        <f t="shared" si="4"/>
        <v>0</v>
      </c>
      <c r="N55" s="24">
        <f t="shared" si="19"/>
        <v>11.827145692063869</v>
      </c>
      <c r="O55" s="41" t="str">
        <f t="shared" si="5"/>
        <v>E</v>
      </c>
      <c r="P55" s="24">
        <f t="shared" si="20"/>
        <v>9.9257483047664294</v>
      </c>
      <c r="Q55" s="41" t="str">
        <f t="shared" si="6"/>
        <v>9</v>
      </c>
      <c r="R55" s="24">
        <f t="shared" si="21"/>
        <v>11.108979657197153</v>
      </c>
      <c r="S55" s="41" t="str">
        <f t="shared" si="7"/>
        <v>E</v>
      </c>
      <c r="T55" s="24">
        <f t="shared" si="22"/>
        <v>1.3077558863658396</v>
      </c>
      <c r="U55" s="41" t="str">
        <f t="shared" si="8"/>
        <v>1</v>
      </c>
      <c r="V55" s="24">
        <f t="shared" si="23"/>
        <v>3.6930706363900754</v>
      </c>
      <c r="W55" s="41" t="str">
        <f t="shared" si="9"/>
        <v/>
      </c>
      <c r="X55" s="24">
        <f t="shared" si="24"/>
        <v>8.3168476366809045</v>
      </c>
      <c r="Y55" s="41" t="str">
        <f t="shared" si="10"/>
        <v/>
      </c>
      <c r="Z55" s="24">
        <f t="shared" si="25"/>
        <v>3.8021716401708545</v>
      </c>
      <c r="AA55" s="41" t="str">
        <f t="shared" si="11"/>
        <v/>
      </c>
      <c r="AB55" s="24">
        <f t="shared" si="26"/>
        <v>9.6260596820502542</v>
      </c>
      <c r="AC55" s="41" t="str">
        <f t="shared" si="12"/>
        <v/>
      </c>
      <c r="AD55" s="24">
        <f t="shared" si="27"/>
        <v>7.5127161846030504</v>
      </c>
      <c r="AE55" s="41" t="str">
        <f t="shared" si="13"/>
        <v/>
      </c>
      <c r="AF55" s="24">
        <f t="shared" si="28"/>
        <v>6.1525942152366042</v>
      </c>
      <c r="AG55" s="41" t="str">
        <f t="shared" si="14"/>
        <v/>
      </c>
      <c r="AH55" s="24">
        <f t="shared" si="29"/>
        <v>1.8311305828392506</v>
      </c>
      <c r="AI55" s="41" t="str">
        <f t="shared" si="15"/>
        <v/>
      </c>
      <c r="AJ55" s="24">
        <f t="shared" si="30"/>
        <v>9.9735669940710068</v>
      </c>
      <c r="AK55" s="41" t="str">
        <f t="shared" si="16"/>
        <v/>
      </c>
    </row>
    <row r="56" spans="1:37" ht="15" customHeight="1">
      <c r="A56" s="719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0.50126697454915059</v>
      </c>
      <c r="G56" s="37" t="str">
        <f t="shared" si="17"/>
        <v>6;0223</v>
      </c>
      <c r="H56" s="351">
        <f t="shared" si="114"/>
        <v>2.5339490983011803E-3</v>
      </c>
      <c r="I56" s="352"/>
      <c r="J56" s="135">
        <v>-1</v>
      </c>
      <c r="K56" s="61">
        <f t="shared" si="31"/>
        <v>6.0152036945898075</v>
      </c>
      <c r="L56" s="138" t="str">
        <f>INDEX(powers!$H$2:$H$75,33+J56)</f>
        <v>dour</v>
      </c>
      <c r="M56" s="40" t="str">
        <f t="shared" si="4"/>
        <v>6</v>
      </c>
      <c r="N56" s="24">
        <f t="shared" si="19"/>
        <v>0.18244433507769031</v>
      </c>
      <c r="O56" s="41" t="str">
        <f t="shared" si="5"/>
        <v>0</v>
      </c>
      <c r="P56" s="24">
        <f t="shared" si="20"/>
        <v>2.1893320209322837</v>
      </c>
      <c r="Q56" s="41" t="str">
        <f t="shared" si="6"/>
        <v>2</v>
      </c>
      <c r="R56" s="24">
        <f t="shared" si="21"/>
        <v>2.2719842511874049</v>
      </c>
      <c r="S56" s="41" t="str">
        <f t="shared" si="7"/>
        <v>2</v>
      </c>
      <c r="T56" s="24">
        <f t="shared" si="22"/>
        <v>3.2638110142488586</v>
      </c>
      <c r="U56" s="41" t="str">
        <f t="shared" si="8"/>
        <v>3</v>
      </c>
      <c r="V56" s="24">
        <f t="shared" si="23"/>
        <v>3.1657321709863027</v>
      </c>
      <c r="W56" s="41" t="str">
        <f t="shared" si="9"/>
        <v/>
      </c>
      <c r="X56" s="24">
        <f t="shared" si="24"/>
        <v>1.988786051835632</v>
      </c>
      <c r="Y56" s="41" t="str">
        <f t="shared" si="10"/>
        <v/>
      </c>
      <c r="Z56" s="24">
        <f t="shared" si="25"/>
        <v>11.865432622027583</v>
      </c>
      <c r="AA56" s="41" t="str">
        <f t="shared" si="11"/>
        <v/>
      </c>
      <c r="AB56" s="24">
        <f t="shared" si="26"/>
        <v>10.385191464331001</v>
      </c>
      <c r="AC56" s="41" t="str">
        <f t="shared" si="12"/>
        <v/>
      </c>
      <c r="AD56" s="24">
        <f t="shared" si="27"/>
        <v>4.6222975719720125</v>
      </c>
      <c r="AE56" s="41" t="str">
        <f t="shared" si="13"/>
        <v/>
      </c>
      <c r="AF56" s="24">
        <f t="shared" si="28"/>
        <v>7.4675708636641502</v>
      </c>
      <c r="AG56" s="41" t="str">
        <f t="shared" si="14"/>
        <v/>
      </c>
      <c r="AH56" s="24">
        <f t="shared" si="29"/>
        <v>5.6108503639698029</v>
      </c>
      <c r="AI56" s="41" t="str">
        <f t="shared" si="15"/>
        <v/>
      </c>
      <c r="AJ56" s="24">
        <f t="shared" si="30"/>
        <v>7.3302043676376343</v>
      </c>
      <c r="AK56" s="41" t="str">
        <f t="shared" si="16"/>
        <v/>
      </c>
    </row>
    <row r="57" spans="1:37" ht="15" customHeight="1">
      <c r="A57" s="719"/>
      <c r="B57" s="3" t="str">
        <f>Rydberg!B57</f>
        <v>Surface tension of water at 25℃</v>
      </c>
      <c r="C57" s="311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8.3939093453384239E-2</v>
      </c>
      <c r="G57" s="37" t="str">
        <f t="shared" si="17"/>
        <v>1;0107</v>
      </c>
      <c r="H57" s="330">
        <f t="shared" si="114"/>
        <v>7.2691214406108706E-3</v>
      </c>
      <c r="I57" s="333"/>
      <c r="J57" s="38">
        <v>-1</v>
      </c>
      <c r="K57" s="61">
        <f t="shared" si="31"/>
        <v>1.0072691214406109</v>
      </c>
      <c r="L57" s="39" t="str">
        <f>INDEX(powers!$H$2:$H$75,33+J57)</f>
        <v>dour</v>
      </c>
      <c r="M57" s="40" t="str">
        <f t="shared" si="4"/>
        <v>1</v>
      </c>
      <c r="N57" s="24">
        <f t="shared" si="19"/>
        <v>8.7229457287330447E-2</v>
      </c>
      <c r="O57" s="41" t="str">
        <f t="shared" si="5"/>
        <v>0</v>
      </c>
      <c r="P57" s="24">
        <f t="shared" si="20"/>
        <v>1.0467534874479654</v>
      </c>
      <c r="Q57" s="41" t="str">
        <f t="shared" si="6"/>
        <v>1</v>
      </c>
      <c r="R57" s="24">
        <f t="shared" si="21"/>
        <v>0.56104184937558443</v>
      </c>
      <c r="S57" s="41" t="str">
        <f t="shared" si="7"/>
        <v>0</v>
      </c>
      <c r="T57" s="24">
        <f t="shared" si="22"/>
        <v>6.7325021925070132</v>
      </c>
      <c r="U57" s="41" t="str">
        <f t="shared" si="8"/>
        <v>7</v>
      </c>
      <c r="V57" s="24">
        <f t="shared" si="23"/>
        <v>8.7900263100841585</v>
      </c>
      <c r="W57" s="41" t="str">
        <f t="shared" si="9"/>
        <v/>
      </c>
      <c r="X57" s="24">
        <f t="shared" si="24"/>
        <v>9.4803157210099016</v>
      </c>
      <c r="Y57" s="41" t="str">
        <f t="shared" si="10"/>
        <v/>
      </c>
      <c r="Z57" s="24">
        <f t="shared" si="25"/>
        <v>5.7637886521188193</v>
      </c>
      <c r="AA57" s="41" t="str">
        <f t="shared" si="11"/>
        <v/>
      </c>
      <c r="AB57" s="24">
        <f t="shared" si="26"/>
        <v>9.1654638254258316</v>
      </c>
      <c r="AC57" s="41" t="str">
        <f t="shared" si="12"/>
        <v/>
      </c>
      <c r="AD57" s="24">
        <f t="shared" si="27"/>
        <v>1.9855659051099792</v>
      </c>
      <c r="AE57" s="41" t="str">
        <f t="shared" si="13"/>
        <v/>
      </c>
      <c r="AF57" s="24">
        <f t="shared" si="28"/>
        <v>11.826790861319751</v>
      </c>
      <c r="AG57" s="41" t="str">
        <f t="shared" si="14"/>
        <v/>
      </c>
      <c r="AH57" s="24">
        <f t="shared" si="29"/>
        <v>9.9214903358370066</v>
      </c>
      <c r="AI57" s="41" t="str">
        <f t="shared" si="15"/>
        <v/>
      </c>
      <c r="AJ57" s="24">
        <f t="shared" si="30"/>
        <v>11.057884030044079</v>
      </c>
      <c r="AK57" s="41" t="str">
        <f t="shared" si="16"/>
        <v/>
      </c>
    </row>
    <row r="58" spans="1:37" ht="15" customHeight="1">
      <c r="A58" s="719"/>
      <c r="B58" s="5" t="str">
        <f>Rydberg!B58</f>
        <v>photon energy at 540THz</v>
      </c>
      <c r="C58" s="311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5.5975484250905826E-18</v>
      </c>
      <c r="G58" s="37" t="str">
        <f t="shared" si="17"/>
        <v>1;05037X8</v>
      </c>
      <c r="H58" s="330">
        <f t="shared" si="114"/>
        <v>3.4898592201950684E-2</v>
      </c>
      <c r="I58" s="333"/>
      <c r="J58" s="38">
        <v>-16</v>
      </c>
      <c r="K58" s="61">
        <f t="shared" si="31"/>
        <v>1.0348985922019507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0.41878310642340821</v>
      </c>
      <c r="O58" s="41" t="str">
        <f t="shared" si="5"/>
        <v>0</v>
      </c>
      <c r="P58" s="24">
        <f t="shared" si="20"/>
        <v>5.0253972770808986</v>
      </c>
      <c r="Q58" s="41" t="str">
        <f t="shared" si="6"/>
        <v>5</v>
      </c>
      <c r="R58" s="24">
        <f t="shared" si="21"/>
        <v>0.30476732497078274</v>
      </c>
      <c r="S58" s="41" t="str">
        <f t="shared" si="7"/>
        <v>0</v>
      </c>
      <c r="T58" s="24">
        <f t="shared" si="22"/>
        <v>3.6572078996493929</v>
      </c>
      <c r="U58" s="41" t="str">
        <f t="shared" si="8"/>
        <v>3</v>
      </c>
      <c r="V58" s="24">
        <f t="shared" si="23"/>
        <v>7.8864947957927143</v>
      </c>
      <c r="W58" s="41" t="str">
        <f t="shared" si="9"/>
        <v>7</v>
      </c>
      <c r="X58" s="24">
        <f t="shared" si="24"/>
        <v>10.637937549512571</v>
      </c>
      <c r="Y58" s="41" t="str">
        <f t="shared" si="10"/>
        <v>X</v>
      </c>
      <c r="Z58" s="24">
        <f t="shared" si="25"/>
        <v>7.6552505941508571</v>
      </c>
      <c r="AA58" s="41" t="str">
        <f t="shared" si="11"/>
        <v>8</v>
      </c>
      <c r="AB58" s="24">
        <f t="shared" si="26"/>
        <v>7.8630071298102848</v>
      </c>
      <c r="AC58" s="41" t="str">
        <f t="shared" si="12"/>
        <v/>
      </c>
      <c r="AD58" s="24">
        <f t="shared" si="27"/>
        <v>10.356085557723418</v>
      </c>
      <c r="AE58" s="41" t="str">
        <f t="shared" si="13"/>
        <v/>
      </c>
      <c r="AF58" s="24">
        <f t="shared" si="28"/>
        <v>4.2730266926810145</v>
      </c>
      <c r="AG58" s="41" t="str">
        <f t="shared" si="14"/>
        <v/>
      </c>
      <c r="AH58" s="24">
        <f t="shared" si="29"/>
        <v>3.2763203121721745</v>
      </c>
      <c r="AI58" s="41" t="str">
        <f t="shared" si="15"/>
        <v/>
      </c>
      <c r="AJ58" s="24">
        <f t="shared" si="30"/>
        <v>3.3158437460660934</v>
      </c>
      <c r="AK58" s="41" t="str">
        <f t="shared" si="16"/>
        <v/>
      </c>
    </row>
    <row r="59" spans="1:37" ht="15" customHeight="1">
      <c r="A59" s="719"/>
      <c r="B59" s="237" t="str">
        <f>Rydberg!B59</f>
        <v>(according to the definition of candela)</v>
      </c>
      <c r="C59" s="311" t="str">
        <f>Rydberg!C59</f>
        <v>eΩA</v>
      </c>
      <c r="D59" s="21">
        <f>D58/D41</f>
        <v>2.2332605374867804</v>
      </c>
      <c r="E59" s="8">
        <v>7</v>
      </c>
      <c r="F59" s="21">
        <f>D59/F$17</f>
        <v>1.0095640691235666</v>
      </c>
      <c r="G59" s="37" t="str">
        <f t="shared" si="17"/>
        <v>1;01463X2</v>
      </c>
      <c r="H59" s="330">
        <f t="shared" si="114"/>
        <v>9.5640691235665543E-3</v>
      </c>
      <c r="I59" s="333"/>
      <c r="J59" s="38">
        <v>0</v>
      </c>
      <c r="K59" s="61">
        <f t="shared" si="31"/>
        <v>1.0095640691235666</v>
      </c>
      <c r="L59" s="293">
        <f>540/K59</f>
        <v>534.88432930144836</v>
      </c>
      <c r="M59" s="40" t="str">
        <f t="shared" si="4"/>
        <v>1</v>
      </c>
      <c r="N59" s="24">
        <f t="shared" si="19"/>
        <v>0.11476882948279865</v>
      </c>
      <c r="O59" s="41" t="str">
        <f t="shared" si="5"/>
        <v>0</v>
      </c>
      <c r="P59" s="24">
        <f t="shared" si="20"/>
        <v>1.3772259537935838</v>
      </c>
      <c r="Q59" s="41" t="str">
        <f t="shared" si="6"/>
        <v>1</v>
      </c>
      <c r="R59" s="24">
        <f t="shared" si="21"/>
        <v>4.5267114455230058</v>
      </c>
      <c r="S59" s="41" t="str">
        <f t="shared" si="7"/>
        <v>4</v>
      </c>
      <c r="T59" s="24">
        <f t="shared" si="22"/>
        <v>6.320537346276069</v>
      </c>
      <c r="U59" s="41" t="str">
        <f t="shared" si="8"/>
        <v>6</v>
      </c>
      <c r="V59" s="24">
        <f t="shared" si="23"/>
        <v>3.846448155312828</v>
      </c>
      <c r="W59" s="41" t="str">
        <f t="shared" si="9"/>
        <v>3</v>
      </c>
      <c r="X59" s="24">
        <f t="shared" si="24"/>
        <v>10.157377863753936</v>
      </c>
      <c r="Y59" s="41" t="str">
        <f t="shared" si="10"/>
        <v>X</v>
      </c>
      <c r="Z59" s="24">
        <f t="shared" si="25"/>
        <v>1.888534365047235</v>
      </c>
      <c r="AA59" s="41" t="str">
        <f t="shared" si="11"/>
        <v>2</v>
      </c>
      <c r="AB59" s="24">
        <f t="shared" si="26"/>
        <v>10.662412380566821</v>
      </c>
      <c r="AC59" s="41" t="str">
        <f t="shared" si="12"/>
        <v/>
      </c>
      <c r="AD59" s="24">
        <f t="shared" si="27"/>
        <v>7.948948566801846</v>
      </c>
      <c r="AE59" s="41" t="str">
        <f t="shared" si="13"/>
        <v/>
      </c>
      <c r="AF59" s="24">
        <f t="shared" si="28"/>
        <v>11.387382801622152</v>
      </c>
      <c r="AG59" s="41" t="str">
        <f t="shared" si="14"/>
        <v/>
      </c>
      <c r="AH59" s="24">
        <f t="shared" si="29"/>
        <v>4.6485936194658279</v>
      </c>
      <c r="AI59" s="41" t="str">
        <f t="shared" si="15"/>
        <v/>
      </c>
      <c r="AJ59" s="24">
        <f t="shared" si="30"/>
        <v>7.7831234335899353</v>
      </c>
      <c r="AK59" s="41" t="str">
        <f t="shared" si="16"/>
        <v/>
      </c>
    </row>
    <row r="60" spans="1:37" ht="15" customHeight="1">
      <c r="A60" s="719"/>
      <c r="B60" s="315">
        <f>Rydberg!B60</f>
        <v>1.024</v>
      </c>
      <c r="C60" s="311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873.14412868252418</v>
      </c>
      <c r="G60" s="37" t="str">
        <f t="shared" si="17"/>
        <v>6;091891</v>
      </c>
      <c r="H60" s="330">
        <f t="shared" si="114"/>
        <v>1.0583482271439903E-2</v>
      </c>
      <c r="I60" s="333"/>
      <c r="J60" s="38">
        <v>2</v>
      </c>
      <c r="K60" s="61">
        <f t="shared" si="31"/>
        <v>6.0635008936286399</v>
      </c>
      <c r="L60" s="39" t="str">
        <f>INDEX(powers!$H$2:$H$75,33+J60)</f>
        <v>hecty</v>
      </c>
      <c r="M60" s="40" t="str">
        <f t="shared" si="4"/>
        <v>6</v>
      </c>
      <c r="N60" s="24">
        <f t="shared" si="19"/>
        <v>0.76201072354367838</v>
      </c>
      <c r="O60" s="41" t="str">
        <f t="shared" si="5"/>
        <v>0</v>
      </c>
      <c r="P60" s="24">
        <f t="shared" si="20"/>
        <v>9.1441286825241406</v>
      </c>
      <c r="Q60" s="41" t="str">
        <f t="shared" si="6"/>
        <v>9</v>
      </c>
      <c r="R60" s="24">
        <f t="shared" si="21"/>
        <v>1.7295441902896869</v>
      </c>
      <c r="S60" s="41" t="str">
        <f t="shared" si="7"/>
        <v>1</v>
      </c>
      <c r="T60" s="24">
        <f t="shared" si="22"/>
        <v>8.7545302834762424</v>
      </c>
      <c r="U60" s="41" t="str">
        <f t="shared" si="8"/>
        <v>8</v>
      </c>
      <c r="V60" s="24">
        <f t="shared" si="23"/>
        <v>9.0543634017149088</v>
      </c>
      <c r="W60" s="41" t="str">
        <f t="shared" si="9"/>
        <v>9</v>
      </c>
      <c r="X60" s="24">
        <f t="shared" si="24"/>
        <v>0.65236082057890599</v>
      </c>
      <c r="Y60" s="41" t="str">
        <f t="shared" si="10"/>
        <v>1</v>
      </c>
      <c r="Z60" s="24">
        <f t="shared" si="25"/>
        <v>7.8283298469468718</v>
      </c>
      <c r="AA60" s="41" t="str">
        <f t="shared" si="11"/>
        <v/>
      </c>
      <c r="AB60" s="24">
        <f t="shared" si="26"/>
        <v>9.9399581633624621</v>
      </c>
      <c r="AC60" s="41" t="str">
        <f t="shared" si="12"/>
        <v/>
      </c>
      <c r="AD60" s="24">
        <f t="shared" si="27"/>
        <v>11.279497960349545</v>
      </c>
      <c r="AE60" s="41" t="str">
        <f t="shared" si="13"/>
        <v/>
      </c>
      <c r="AF60" s="24">
        <f t="shared" si="28"/>
        <v>3.3539755241945386</v>
      </c>
      <c r="AG60" s="41" t="str">
        <f t="shared" si="14"/>
        <v/>
      </c>
      <c r="AH60" s="24">
        <f t="shared" si="29"/>
        <v>4.2477062903344631</v>
      </c>
      <c r="AI60" s="41" t="str">
        <f t="shared" si="15"/>
        <v/>
      </c>
      <c r="AJ60" s="24">
        <f t="shared" si="30"/>
        <v>2.9724754840135574</v>
      </c>
      <c r="AK60" s="41" t="str">
        <f t="shared" si="16"/>
        <v/>
      </c>
    </row>
    <row r="61" spans="1:37" ht="15" customHeight="1">
      <c r="A61" s="719"/>
      <c r="B61" s="311" t="str">
        <f>Rydberg!B61</f>
        <v>Sea depth at standard atmosphere</v>
      </c>
      <c r="C61" s="311" t="str">
        <f>Rydberg!C61</f>
        <v>m</v>
      </c>
      <c r="D61" s="21">
        <f>D62/D60</f>
        <v>10.090394374791382</v>
      </c>
      <c r="E61" s="8">
        <v>6</v>
      </c>
      <c r="F61" s="21">
        <f>D61/F$3</f>
        <v>36.955220116734111</v>
      </c>
      <c r="G61" s="37" t="str">
        <f t="shared" si="17"/>
        <v>3;0E5675</v>
      </c>
      <c r="H61" s="331">
        <f t="shared" si="114"/>
        <v>-1.2102671152942612E-3</v>
      </c>
      <c r="I61" s="339">
        <v>1</v>
      </c>
      <c r="J61" s="38">
        <v>1</v>
      </c>
      <c r="K61" s="61">
        <f t="shared" si="31"/>
        <v>3.0796016763945091</v>
      </c>
      <c r="L61" s="39" t="str">
        <f>INDEX(powers!$H$2:$H$75,33+J61)</f>
        <v>dirac</v>
      </c>
      <c r="M61" s="40" t="str">
        <f t="shared" si="4"/>
        <v>3</v>
      </c>
      <c r="N61" s="24">
        <f t="shared" si="19"/>
        <v>0.95522011673410923</v>
      </c>
      <c r="O61" s="41" t="str">
        <f t="shared" si="5"/>
        <v>0</v>
      </c>
      <c r="P61" s="24">
        <f t="shared" si="20"/>
        <v>11.462641400809311</v>
      </c>
      <c r="Q61" s="41" t="str">
        <f t="shared" si="6"/>
        <v>E</v>
      </c>
      <c r="R61" s="24">
        <f t="shared" si="21"/>
        <v>5.5516968097117285</v>
      </c>
      <c r="S61" s="41" t="str">
        <f t="shared" si="7"/>
        <v>5</v>
      </c>
      <c r="T61" s="24">
        <f t="shared" si="22"/>
        <v>6.6203617165407422</v>
      </c>
      <c r="U61" s="41" t="str">
        <f t="shared" si="8"/>
        <v>6</v>
      </c>
      <c r="V61" s="24">
        <f t="shared" si="23"/>
        <v>7.4443405984889068</v>
      </c>
      <c r="W61" s="41" t="str">
        <f t="shared" si="9"/>
        <v>7</v>
      </c>
      <c r="X61" s="24">
        <f t="shared" si="24"/>
        <v>5.332087181866882</v>
      </c>
      <c r="Y61" s="41" t="str">
        <f t="shared" si="10"/>
        <v>5</v>
      </c>
      <c r="Z61" s="24">
        <f t="shared" si="25"/>
        <v>3.9850461824025842</v>
      </c>
      <c r="AA61" s="41" t="str">
        <f t="shared" si="11"/>
        <v/>
      </c>
      <c r="AB61" s="24">
        <f t="shared" si="26"/>
        <v>11.820554188831011</v>
      </c>
      <c r="AC61" s="41" t="str">
        <f t="shared" si="12"/>
        <v/>
      </c>
      <c r="AD61" s="24">
        <f t="shared" si="27"/>
        <v>9.84665026597213</v>
      </c>
      <c r="AE61" s="41" t="str">
        <f t="shared" si="13"/>
        <v/>
      </c>
      <c r="AF61" s="24">
        <f t="shared" si="28"/>
        <v>10.15980319166556</v>
      </c>
      <c r="AG61" s="41" t="str">
        <f t="shared" si="14"/>
        <v/>
      </c>
      <c r="AH61" s="24">
        <f t="shared" si="29"/>
        <v>1.9176382999867201</v>
      </c>
      <c r="AI61" s="41" t="str">
        <f t="shared" si="15"/>
        <v/>
      </c>
      <c r="AJ61" s="24">
        <f t="shared" si="30"/>
        <v>11.011659599840641</v>
      </c>
      <c r="AK61" s="41" t="str">
        <f t="shared" si="16"/>
        <v/>
      </c>
    </row>
    <row r="62" spans="1:37" ht="15" customHeight="1">
      <c r="A62" s="719"/>
      <c r="B62" s="3" t="str">
        <f>Rydberg!B62</f>
        <v>Standard atmosphere</v>
      </c>
      <c r="C62" s="311" t="str">
        <f>Rydberg!C62</f>
        <v>P</v>
      </c>
      <c r="D62" s="21">
        <f>Rydberg!D62</f>
        <v>101325</v>
      </c>
      <c r="E62" s="8">
        <v>6</v>
      </c>
      <c r="F62" s="21">
        <f>D62/F$11</f>
        <v>32267.233469096693</v>
      </c>
      <c r="G62" s="37" t="str">
        <f t="shared" si="17"/>
        <v>1;680E2X</v>
      </c>
      <c r="H62" s="331">
        <f t="shared" si="114"/>
        <v>3.4825983062658494E-4</v>
      </c>
      <c r="I62" s="339">
        <v>2</v>
      </c>
      <c r="J62" s="38">
        <v>4</v>
      </c>
      <c r="K62" s="61">
        <f t="shared" si="31"/>
        <v>1.5560972930698636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6.6731675168383626</v>
      </c>
      <c r="O62" s="41" t="str">
        <f t="shared" si="5"/>
        <v>6</v>
      </c>
      <c r="P62" s="24">
        <f t="shared" si="20"/>
        <v>8.0780102020603515</v>
      </c>
      <c r="Q62" s="41" t="str">
        <f t="shared" si="6"/>
        <v>8</v>
      </c>
      <c r="R62" s="24">
        <f t="shared" si="21"/>
        <v>0.93612242472421769</v>
      </c>
      <c r="S62" s="41" t="str">
        <f t="shared" si="7"/>
        <v>0</v>
      </c>
      <c r="T62" s="24">
        <f t="shared" si="22"/>
        <v>11.233469096690612</v>
      </c>
      <c r="U62" s="41" t="str">
        <f t="shared" si="8"/>
        <v>E</v>
      </c>
      <c r="V62" s="24">
        <f t="shared" si="23"/>
        <v>2.801629160287348</v>
      </c>
      <c r="W62" s="41" t="str">
        <f t="shared" si="9"/>
        <v>2</v>
      </c>
      <c r="X62" s="24">
        <f t="shared" si="24"/>
        <v>9.6195499234481758</v>
      </c>
      <c r="Y62" s="41" t="str">
        <f t="shared" si="10"/>
        <v>X</v>
      </c>
      <c r="Z62" s="24">
        <f t="shared" si="25"/>
        <v>7.43459908137811</v>
      </c>
      <c r="AA62" s="41" t="str">
        <f t="shared" si="11"/>
        <v/>
      </c>
      <c r="AB62" s="24">
        <f t="shared" si="26"/>
        <v>5.2151889765373198</v>
      </c>
      <c r="AC62" s="41" t="str">
        <f t="shared" si="12"/>
        <v/>
      </c>
      <c r="AD62" s="24">
        <f t="shared" si="27"/>
        <v>2.582267718447838</v>
      </c>
      <c r="AE62" s="41" t="str">
        <f t="shared" si="13"/>
        <v/>
      </c>
      <c r="AF62" s="24">
        <f t="shared" si="28"/>
        <v>6.9872126213740557</v>
      </c>
      <c r="AG62" s="41" t="str">
        <f t="shared" si="14"/>
        <v/>
      </c>
      <c r="AH62" s="24">
        <f t="shared" si="29"/>
        <v>11.846551456488669</v>
      </c>
      <c r="AI62" s="41" t="str">
        <f t="shared" si="15"/>
        <v/>
      </c>
      <c r="AJ62" s="24">
        <f t="shared" si="30"/>
        <v>10.158617477864027</v>
      </c>
      <c r="AK62" s="41" t="str">
        <f t="shared" si="16"/>
        <v/>
      </c>
    </row>
    <row r="63" spans="1:37" ht="15" customHeight="1">
      <c r="A63" s="719"/>
      <c r="B63" s="3" t="str">
        <f>Rydberg!B63</f>
        <v>Standard gravitational acceleration</v>
      </c>
      <c r="C63" s="311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5.5082234992140116</v>
      </c>
      <c r="G63" s="37" t="str">
        <f t="shared" si="17"/>
        <v>5;6122633</v>
      </c>
      <c r="H63" s="353">
        <f t="shared" ref="H63" si="115">K63*POWER(12,I63)/ROUND(K63*POWER(12,I63),0)-1</f>
        <v>-8.1962750130998074E-2</v>
      </c>
      <c r="I63" s="354">
        <v>0</v>
      </c>
      <c r="J63" s="38">
        <v>0</v>
      </c>
      <c r="K63" s="61">
        <f t="shared" si="31"/>
        <v>5.5082234992140116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6.0986819905681386</v>
      </c>
      <c r="O63" s="41" t="str">
        <f t="shared" si="5"/>
        <v>6</v>
      </c>
      <c r="P63" s="24">
        <f t="shared" si="20"/>
        <v>1.1841838868176637</v>
      </c>
      <c r="Q63" s="41" t="str">
        <f t="shared" si="6"/>
        <v>1</v>
      </c>
      <c r="R63" s="24">
        <f t="shared" si="21"/>
        <v>2.2102066418119648</v>
      </c>
      <c r="S63" s="41" t="str">
        <f t="shared" si="7"/>
        <v>2</v>
      </c>
      <c r="T63" s="24">
        <f t="shared" si="22"/>
        <v>2.5224797017435776</v>
      </c>
      <c r="U63" s="41" t="str">
        <f t="shared" si="8"/>
        <v>2</v>
      </c>
      <c r="V63" s="24">
        <f t="shared" si="23"/>
        <v>6.2697564209229313</v>
      </c>
      <c r="W63" s="41" t="str">
        <f t="shared" si="9"/>
        <v>6</v>
      </c>
      <c r="X63" s="24">
        <f t="shared" si="24"/>
        <v>3.2370770510751754</v>
      </c>
      <c r="Y63" s="41" t="str">
        <f t="shared" si="10"/>
        <v>3</v>
      </c>
      <c r="Z63" s="24">
        <f t="shared" si="25"/>
        <v>2.8449246129021049</v>
      </c>
      <c r="AA63" s="41" t="str">
        <f t="shared" si="11"/>
        <v>3</v>
      </c>
      <c r="AB63" s="24">
        <f t="shared" si="26"/>
        <v>10.139095354825258</v>
      </c>
      <c r="AC63" s="41" t="str">
        <f t="shared" si="12"/>
        <v/>
      </c>
      <c r="AD63" s="24">
        <f t="shared" si="27"/>
        <v>1.6691442579030991</v>
      </c>
      <c r="AE63" s="41" t="str">
        <f t="shared" si="13"/>
        <v/>
      </c>
      <c r="AF63" s="24">
        <f t="shared" si="28"/>
        <v>8.0297310948371887</v>
      </c>
      <c r="AG63" s="41" t="str">
        <f t="shared" si="14"/>
        <v/>
      </c>
      <c r="AH63" s="24">
        <f t="shared" si="29"/>
        <v>0.35677313804626465</v>
      </c>
      <c r="AI63" s="41" t="str">
        <f t="shared" si="15"/>
        <v/>
      </c>
      <c r="AJ63" s="24">
        <f t="shared" si="30"/>
        <v>4.2812776565551758</v>
      </c>
      <c r="AK63" s="41" t="str">
        <f t="shared" si="16"/>
        <v/>
      </c>
    </row>
    <row r="64" spans="1:37" ht="15" customHeight="1">
      <c r="A64" s="719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1.6242916909069746E-2</v>
      </c>
      <c r="G64" s="37" t="str">
        <f t="shared" si="17"/>
        <v>2;409910E63X</v>
      </c>
      <c r="H64" s="330"/>
      <c r="I64" s="333"/>
      <c r="J64" s="38">
        <v>-2</v>
      </c>
      <c r="K64" s="61">
        <f t="shared" si="31"/>
        <v>2.3389800349060437</v>
      </c>
      <c r="L64" s="39" t="str">
        <f>INDEX(powers!$H$2:$H$75,33+J64)</f>
        <v>centy</v>
      </c>
      <c r="M64" s="40" t="str">
        <f t="shared" si="4"/>
        <v>2</v>
      </c>
      <c r="N64" s="24">
        <f t="shared" si="19"/>
        <v>4.067760418872524</v>
      </c>
      <c r="O64" s="41" t="str">
        <f t="shared" si="5"/>
        <v>4</v>
      </c>
      <c r="P64" s="24">
        <f t="shared" si="20"/>
        <v>0.8131250264702885</v>
      </c>
      <c r="Q64" s="41" t="str">
        <f t="shared" si="6"/>
        <v>0</v>
      </c>
      <c r="R64" s="24">
        <f t="shared" si="21"/>
        <v>9.757500317643462</v>
      </c>
      <c r="S64" s="41" t="str">
        <f t="shared" si="7"/>
        <v>9</v>
      </c>
      <c r="T64" s="24">
        <f t="shared" si="22"/>
        <v>9.0900038117215445</v>
      </c>
      <c r="U64" s="41" t="str">
        <f t="shared" si="8"/>
        <v>9</v>
      </c>
      <c r="V64" s="24">
        <f t="shared" si="23"/>
        <v>1.0800457406585338</v>
      </c>
      <c r="W64" s="41" t="str">
        <f t="shared" si="9"/>
        <v>1</v>
      </c>
      <c r="X64" s="24">
        <f t="shared" si="24"/>
        <v>0.96054888790240511</v>
      </c>
      <c r="Y64" s="41" t="str">
        <f t="shared" si="10"/>
        <v>0</v>
      </c>
      <c r="Z64" s="24">
        <f t="shared" si="25"/>
        <v>11.526586654828861</v>
      </c>
      <c r="AA64" s="41" t="str">
        <f t="shared" si="11"/>
        <v>E</v>
      </c>
      <c r="AB64" s="24">
        <f t="shared" si="26"/>
        <v>6.3190398579463363</v>
      </c>
      <c r="AC64" s="41" t="str">
        <f t="shared" si="12"/>
        <v>6</v>
      </c>
      <c r="AD64" s="24">
        <f t="shared" si="27"/>
        <v>3.8284782953560352</v>
      </c>
      <c r="AE64" s="41" t="str">
        <f t="shared" si="13"/>
        <v>3</v>
      </c>
      <c r="AF64" s="24">
        <f t="shared" si="28"/>
        <v>9.9417395442724228</v>
      </c>
      <c r="AG64" s="41" t="str">
        <f t="shared" si="14"/>
        <v>X</v>
      </c>
      <c r="AH64" s="24">
        <f t="shared" si="29"/>
        <v>11.300874531269073</v>
      </c>
      <c r="AI64" s="41" t="str">
        <f t="shared" si="15"/>
        <v/>
      </c>
      <c r="AJ64" s="24">
        <f t="shared" si="30"/>
        <v>3.6104943752288818</v>
      </c>
      <c r="AK64" s="41" t="str">
        <f t="shared" si="16"/>
        <v/>
      </c>
    </row>
    <row r="65" spans="1:37" ht="15" customHeight="1">
      <c r="A65" s="719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23359400.919373848</v>
      </c>
      <c r="G65" s="37" t="str">
        <f t="shared" si="17"/>
        <v>0;79X6209</v>
      </c>
      <c r="H65" s="330"/>
      <c r="I65" s="333"/>
      <c r="J65" s="38">
        <v>7</v>
      </c>
      <c r="K65" s="61">
        <f t="shared" si="31"/>
        <v>0.6519180086970171</v>
      </c>
      <c r="L65" s="39" t="str">
        <f>INDEX(powers!$H$2:$H$75,33+J65)</f>
        <v>cosmic dour</v>
      </c>
      <c r="M65" s="40" t="str">
        <f t="shared" si="4"/>
        <v>0</v>
      </c>
      <c r="N65" s="24">
        <f t="shared" si="19"/>
        <v>7.8230161043642052</v>
      </c>
      <c r="O65" s="41" t="str">
        <f t="shared" si="5"/>
        <v>7</v>
      </c>
      <c r="P65" s="24">
        <f t="shared" si="20"/>
        <v>9.876193252370463</v>
      </c>
      <c r="Q65" s="41" t="str">
        <f t="shared" si="6"/>
        <v>9</v>
      </c>
      <c r="R65" s="24">
        <f t="shared" si="21"/>
        <v>10.514319028445556</v>
      </c>
      <c r="S65" s="41" t="str">
        <f t="shared" si="7"/>
        <v>X</v>
      </c>
      <c r="T65" s="24">
        <f t="shared" si="22"/>
        <v>6.1718283413466679</v>
      </c>
      <c r="U65" s="41" t="str">
        <f t="shared" si="8"/>
        <v>6</v>
      </c>
      <c r="V65" s="24">
        <f t="shared" si="23"/>
        <v>2.0619400961600149</v>
      </c>
      <c r="W65" s="41" t="str">
        <f t="shared" si="9"/>
        <v>2</v>
      </c>
      <c r="X65" s="24">
        <f t="shared" si="24"/>
        <v>0.74328115392017935</v>
      </c>
      <c r="Y65" s="41" t="str">
        <f t="shared" si="10"/>
        <v>0</v>
      </c>
      <c r="Z65" s="24">
        <f t="shared" si="25"/>
        <v>8.9193738470421522</v>
      </c>
      <c r="AA65" s="41" t="str">
        <f t="shared" si="11"/>
        <v>9</v>
      </c>
      <c r="AB65" s="24">
        <f t="shared" si="26"/>
        <v>11.032486164505826</v>
      </c>
      <c r="AC65" s="41" t="str">
        <f t="shared" si="12"/>
        <v/>
      </c>
      <c r="AD65" s="24">
        <f t="shared" si="27"/>
        <v>0.38983397406991571</v>
      </c>
      <c r="AE65" s="41" t="str">
        <f t="shared" si="13"/>
        <v/>
      </c>
      <c r="AF65" s="24">
        <f t="shared" si="28"/>
        <v>4.6780076888389885</v>
      </c>
      <c r="AG65" s="41" t="str">
        <f t="shared" si="14"/>
        <v/>
      </c>
      <c r="AH65" s="24">
        <f t="shared" si="29"/>
        <v>8.1360922660678625</v>
      </c>
      <c r="AI65" s="41" t="str">
        <f t="shared" si="15"/>
        <v/>
      </c>
      <c r="AJ65" s="24">
        <f t="shared" si="30"/>
        <v>1.6331071928143501</v>
      </c>
      <c r="AK65" s="41" t="str">
        <f t="shared" si="16"/>
        <v/>
      </c>
    </row>
    <row r="66" spans="1:37" ht="15" customHeight="1">
      <c r="A66" s="719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36631354.974419668</v>
      </c>
      <c r="G66" s="37" t="str">
        <f t="shared" si="17"/>
        <v>1;032684E</v>
      </c>
      <c r="H66" s="330">
        <f t="shared" ref="H66" si="116">K66*POWER(12,I66)/ROUND(K66*POWER(12,I66),0)-1</f>
        <v>2.2313888666172454E-2</v>
      </c>
      <c r="I66" s="333"/>
      <c r="J66" s="38">
        <v>7</v>
      </c>
      <c r="K66" s="61">
        <f t="shared" si="31"/>
        <v>1.0223138886661725</v>
      </c>
      <c r="L66" s="39" t="str">
        <f>INDEX(powers!$H$2:$H$75,33+J66)</f>
        <v>cosmic dour</v>
      </c>
      <c r="M66" s="40" t="str">
        <f t="shared" si="4"/>
        <v>1</v>
      </c>
      <c r="N66" s="24">
        <f t="shared" si="19"/>
        <v>0.26776666399406945</v>
      </c>
      <c r="O66" s="41" t="str">
        <f t="shared" si="5"/>
        <v>0</v>
      </c>
      <c r="P66" s="24">
        <f t="shared" si="20"/>
        <v>3.2131999679288334</v>
      </c>
      <c r="Q66" s="41" t="str">
        <f t="shared" si="6"/>
        <v>3</v>
      </c>
      <c r="R66" s="24">
        <f t="shared" si="21"/>
        <v>2.5583996151460013</v>
      </c>
      <c r="S66" s="41" t="str">
        <f t="shared" si="7"/>
        <v>2</v>
      </c>
      <c r="T66" s="24">
        <f t="shared" si="22"/>
        <v>6.7007953817520161</v>
      </c>
      <c r="U66" s="41" t="str">
        <f t="shared" si="8"/>
        <v>6</v>
      </c>
      <c r="V66" s="24">
        <f t="shared" si="23"/>
        <v>8.4095445810241927</v>
      </c>
      <c r="W66" s="41" t="str">
        <f t="shared" si="9"/>
        <v>8</v>
      </c>
      <c r="X66" s="24">
        <f t="shared" si="24"/>
        <v>4.914534972290312</v>
      </c>
      <c r="Y66" s="41" t="str">
        <f t="shared" si="10"/>
        <v>4</v>
      </c>
      <c r="Z66" s="24">
        <f t="shared" si="25"/>
        <v>10.974419667483744</v>
      </c>
      <c r="AA66" s="41" t="str">
        <f t="shared" si="11"/>
        <v>E</v>
      </c>
      <c r="AB66" s="24">
        <f t="shared" si="26"/>
        <v>11.693036009804928</v>
      </c>
      <c r="AC66" s="41" t="str">
        <f t="shared" si="12"/>
        <v/>
      </c>
      <c r="AD66" s="24">
        <f t="shared" si="27"/>
        <v>8.3164321176591329</v>
      </c>
      <c r="AE66" s="41" t="str">
        <f t="shared" si="13"/>
        <v/>
      </c>
      <c r="AF66" s="24">
        <f t="shared" si="28"/>
        <v>3.7971854119095951</v>
      </c>
      <c r="AG66" s="41" t="str">
        <f t="shared" si="14"/>
        <v/>
      </c>
      <c r="AH66" s="24">
        <f t="shared" si="29"/>
        <v>9.5662249429151416</v>
      </c>
      <c r="AI66" s="41" t="str">
        <f t="shared" si="15"/>
        <v/>
      </c>
      <c r="AJ66" s="24">
        <f t="shared" si="30"/>
        <v>6.794699314981699</v>
      </c>
      <c r="AK66" s="41" t="str">
        <f t="shared" si="16"/>
        <v/>
      </c>
    </row>
    <row r="67" spans="1:37" ht="15" customHeight="1">
      <c r="A67" s="719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5408.0148368618056</v>
      </c>
      <c r="G67" s="37" t="str">
        <f t="shared" si="17"/>
        <v>3;16802178</v>
      </c>
      <c r="H67" s="330"/>
      <c r="I67" s="333"/>
      <c r="J67" s="38">
        <v>3</v>
      </c>
      <c r="K67" s="61">
        <f t="shared" si="31"/>
        <v>3.1296382157765077</v>
      </c>
      <c r="L67" s="39" t="str">
        <f>INDEX(powers!$H$2:$H$75,33+J67)</f>
        <v>kily</v>
      </c>
      <c r="M67" s="40" t="str">
        <f t="shared" si="4"/>
        <v>3</v>
      </c>
      <c r="N67" s="24">
        <f t="shared" si="19"/>
        <v>1.5556585893180923</v>
      </c>
      <c r="O67" s="41" t="str">
        <f t="shared" si="5"/>
        <v>1</v>
      </c>
      <c r="P67" s="24">
        <f t="shared" si="20"/>
        <v>6.6679030718171077</v>
      </c>
      <c r="Q67" s="41" t="str">
        <f t="shared" si="6"/>
        <v>6</v>
      </c>
      <c r="R67" s="24">
        <f t="shared" si="21"/>
        <v>8.0148368618052928</v>
      </c>
      <c r="S67" s="41" t="str">
        <f t="shared" si="7"/>
        <v>8</v>
      </c>
      <c r="T67" s="24">
        <f t="shared" si="22"/>
        <v>0.17804234166351307</v>
      </c>
      <c r="U67" s="41" t="str">
        <f t="shared" si="8"/>
        <v>0</v>
      </c>
      <c r="V67" s="24">
        <f t="shared" si="23"/>
        <v>2.1365080999621568</v>
      </c>
      <c r="W67" s="41" t="str">
        <f t="shared" si="9"/>
        <v>2</v>
      </c>
      <c r="X67" s="24">
        <f t="shared" si="24"/>
        <v>1.6380971995458822</v>
      </c>
      <c r="Y67" s="41" t="str">
        <f t="shared" si="10"/>
        <v>1</v>
      </c>
      <c r="Z67" s="24">
        <f t="shared" si="25"/>
        <v>7.6571663945505861</v>
      </c>
      <c r="AA67" s="41" t="str">
        <f t="shared" si="11"/>
        <v>7</v>
      </c>
      <c r="AB67" s="24">
        <f t="shared" si="26"/>
        <v>7.8859967346070334</v>
      </c>
      <c r="AC67" s="41" t="str">
        <f t="shared" si="12"/>
        <v>8</v>
      </c>
      <c r="AD67" s="24">
        <f t="shared" si="27"/>
        <v>10.631960815284401</v>
      </c>
      <c r="AE67" s="41" t="str">
        <f t="shared" si="13"/>
        <v/>
      </c>
      <c r="AF67" s="24">
        <f t="shared" si="28"/>
        <v>7.5835297834128141</v>
      </c>
      <c r="AG67" s="41" t="str">
        <f t="shared" si="14"/>
        <v/>
      </c>
      <c r="AH67" s="24">
        <f t="shared" si="29"/>
        <v>7.0023574009537697</v>
      </c>
      <c r="AI67" s="41" t="str">
        <f t="shared" si="15"/>
        <v/>
      </c>
      <c r="AJ67" s="24">
        <f t="shared" si="30"/>
        <v>2.8288811445236206E-2</v>
      </c>
      <c r="AK67" s="41" t="str">
        <f t="shared" si="16"/>
        <v/>
      </c>
    </row>
    <row r="68" spans="1:37" ht="15" customHeight="1">
      <c r="A68" s="719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547889607630.8092</v>
      </c>
      <c r="G68" s="37" t="str">
        <f t="shared" si="17"/>
        <v>8;X2271551E</v>
      </c>
      <c r="H68" s="330"/>
      <c r="I68" s="336"/>
      <c r="J68" s="43">
        <v>10</v>
      </c>
      <c r="K68" s="62">
        <f t="shared" si="31"/>
        <v>8.8487230439702707</v>
      </c>
      <c r="L68" s="39" t="str">
        <f>INDEX(powers!$H$2:$H$75,33+J68)</f>
        <v>cosmic hecty</v>
      </c>
      <c r="M68" s="40" t="str">
        <f t="shared" si="4"/>
        <v>8</v>
      </c>
      <c r="N68" s="24">
        <f t="shared" si="19"/>
        <v>10.184676527643248</v>
      </c>
      <c r="O68" s="41" t="str">
        <f t="shared" si="5"/>
        <v>X</v>
      </c>
      <c r="P68" s="24">
        <f t="shared" si="20"/>
        <v>2.2161183317189739</v>
      </c>
      <c r="Q68" s="41" t="str">
        <f t="shared" si="6"/>
        <v>2</v>
      </c>
      <c r="R68" s="24">
        <f t="shared" si="21"/>
        <v>2.5934199806276865</v>
      </c>
      <c r="S68" s="41" t="str">
        <f t="shared" si="7"/>
        <v>2</v>
      </c>
      <c r="T68" s="24">
        <f t="shared" si="22"/>
        <v>7.1210397675322383</v>
      </c>
      <c r="U68" s="41" t="str">
        <f t="shared" si="8"/>
        <v>7</v>
      </c>
      <c r="V68" s="24">
        <f t="shared" si="23"/>
        <v>1.45247721038686</v>
      </c>
      <c r="W68" s="41" t="str">
        <f t="shared" si="9"/>
        <v>1</v>
      </c>
      <c r="X68" s="24">
        <f t="shared" si="24"/>
        <v>5.4297265246423194</v>
      </c>
      <c r="Y68" s="41" t="str">
        <f t="shared" si="10"/>
        <v>5</v>
      </c>
      <c r="Z68" s="24">
        <f t="shared" si="25"/>
        <v>5.156718295707833</v>
      </c>
      <c r="AA68" s="41" t="str">
        <f t="shared" si="11"/>
        <v>5</v>
      </c>
      <c r="AB68" s="24">
        <f t="shared" si="26"/>
        <v>1.8806195484939963</v>
      </c>
      <c r="AC68" s="41" t="str">
        <f t="shared" si="12"/>
        <v>1</v>
      </c>
      <c r="AD68" s="24">
        <f t="shared" si="27"/>
        <v>10.567434581927955</v>
      </c>
      <c r="AE68" s="41" t="str">
        <f t="shared" si="13"/>
        <v>E</v>
      </c>
      <c r="AF68" s="24">
        <f t="shared" si="28"/>
        <v>6.8092149831354618</v>
      </c>
      <c r="AG68" s="41" t="str">
        <f t="shared" si="14"/>
        <v/>
      </c>
      <c r="AH68" s="24">
        <f t="shared" si="29"/>
        <v>9.7105797976255417</v>
      </c>
      <c r="AI68" s="41" t="str">
        <f t="shared" si="15"/>
        <v/>
      </c>
      <c r="AJ68" s="24">
        <f t="shared" si="30"/>
        <v>8.5269575715065002</v>
      </c>
      <c r="AK68" s="41" t="str">
        <f t="shared" si="16"/>
        <v/>
      </c>
    </row>
    <row r="69" spans="1:37" ht="15" customHeight="1">
      <c r="A69" s="719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1274.2161183317189</v>
      </c>
      <c r="G69" s="37" t="str">
        <f t="shared" si="17"/>
        <v>8;X2271551E</v>
      </c>
      <c r="H69" s="330"/>
      <c r="I69" s="336"/>
      <c r="J69" s="43">
        <v>2</v>
      </c>
      <c r="K69" s="62">
        <f t="shared" si="31"/>
        <v>8.8487230439702707</v>
      </c>
      <c r="L69" s="39" t="str">
        <f>INDEX(powers!$H$2:$H$75,33+J69)</f>
        <v>hecty</v>
      </c>
      <c r="M69" s="40" t="str">
        <f t="shared" si="4"/>
        <v>8</v>
      </c>
      <c r="N69" s="24">
        <f t="shared" si="19"/>
        <v>10.184676527643248</v>
      </c>
      <c r="O69" s="41" t="str">
        <f t="shared" si="5"/>
        <v>X</v>
      </c>
      <c r="P69" s="24">
        <f t="shared" si="20"/>
        <v>2.2161183317189739</v>
      </c>
      <c r="Q69" s="41" t="str">
        <f t="shared" si="6"/>
        <v>2</v>
      </c>
      <c r="R69" s="24">
        <f t="shared" si="21"/>
        <v>2.5934199806276865</v>
      </c>
      <c r="S69" s="41" t="str">
        <f t="shared" si="7"/>
        <v>2</v>
      </c>
      <c r="T69" s="24">
        <f t="shared" si="22"/>
        <v>7.1210397675322383</v>
      </c>
      <c r="U69" s="41" t="str">
        <f t="shared" si="8"/>
        <v>7</v>
      </c>
      <c r="V69" s="24">
        <f t="shared" si="23"/>
        <v>1.45247721038686</v>
      </c>
      <c r="W69" s="41" t="str">
        <f t="shared" si="9"/>
        <v>1</v>
      </c>
      <c r="X69" s="24">
        <f t="shared" si="24"/>
        <v>5.4297265246423194</v>
      </c>
      <c r="Y69" s="41" t="str">
        <f t="shared" si="10"/>
        <v>5</v>
      </c>
      <c r="Z69" s="24">
        <f t="shared" si="25"/>
        <v>5.156718295707833</v>
      </c>
      <c r="AA69" s="41" t="str">
        <f t="shared" si="11"/>
        <v>5</v>
      </c>
      <c r="AB69" s="24">
        <f t="shared" si="26"/>
        <v>1.8806195484939963</v>
      </c>
      <c r="AC69" s="41" t="str">
        <f t="shared" si="12"/>
        <v>1</v>
      </c>
      <c r="AD69" s="24">
        <f t="shared" si="27"/>
        <v>10.567434581927955</v>
      </c>
      <c r="AE69" s="41" t="str">
        <f t="shared" si="13"/>
        <v>E</v>
      </c>
      <c r="AF69" s="24">
        <f t="shared" si="28"/>
        <v>6.8092149831354618</v>
      </c>
      <c r="AG69" s="41" t="str">
        <f t="shared" si="14"/>
        <v/>
      </c>
      <c r="AH69" s="24">
        <f t="shared" si="29"/>
        <v>9.7105797976255417</v>
      </c>
      <c r="AI69" s="41" t="str">
        <f t="shared" si="15"/>
        <v/>
      </c>
      <c r="AJ69" s="24">
        <f t="shared" si="30"/>
        <v>8.5269575715065002</v>
      </c>
      <c r="AK69" s="41" t="str">
        <f t="shared" si="16"/>
        <v/>
      </c>
    </row>
    <row r="70" spans="1:37" ht="15" customHeight="1" thickBot="1">
      <c r="A70" s="720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330"/>
      <c r="I70" s="336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>
      <c r="A71" s="715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329"/>
      <c r="I71" s="332"/>
      <c r="J71" s="18" t="s">
        <v>44</v>
      </c>
      <c r="K71" s="56" t="s">
        <v>46</v>
      </c>
      <c r="L71" s="20" t="str">
        <f>Rydberg!L71</f>
        <v>Prefix</v>
      </c>
    </row>
    <row r="72" spans="1:37" ht="11.25" customHeight="1">
      <c r="A72" s="716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17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118">F72/POWER(12,J72)</f>
        <v>1.0508187695616</v>
      </c>
      <c r="L72" s="39" t="str">
        <f>INDEX(powers!$H$2:$H$75,33+J72)</f>
        <v>centy</v>
      </c>
      <c r="M72" s="40" t="str">
        <f t="shared" ref="M72:M88" si="119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20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21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22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23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24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25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26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27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28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29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30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31">IF($E72&gt;=AK$31,MID($J$31,IF($E72&gt;AK$31,INT(AJ72),ROUND(AJ72,0))+1,1),"")</f>
        <v/>
      </c>
    </row>
    <row r="73" spans="1:37" ht="13.5" customHeight="1">
      <c r="A73" s="716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17"/>
        <v>0;E5052258X</v>
      </c>
      <c r="H73" s="37"/>
      <c r="I73" s="340"/>
      <c r="J73" s="38">
        <v>2</v>
      </c>
      <c r="K73" s="61">
        <f t="shared" si="118"/>
        <v>0.9516388829038509</v>
      </c>
      <c r="L73" s="39" t="str">
        <f>INDEX(powers!$H$2:$H$75,33+J73)</f>
        <v>hecty</v>
      </c>
      <c r="M73" s="40" t="str">
        <f t="shared" si="119"/>
        <v>0</v>
      </c>
      <c r="N73" s="24">
        <f t="shared" ref="N73:N88" si="132">(K73-INT(K73))*12</f>
        <v>11.419666594846211</v>
      </c>
      <c r="O73" s="41" t="str">
        <f t="shared" si="120"/>
        <v>E</v>
      </c>
      <c r="P73" s="24">
        <f t="shared" ref="P73:P88" si="133">(N73-INT(N73))*12</f>
        <v>5.0359991381545299</v>
      </c>
      <c r="Q73" s="41" t="str">
        <f t="shared" si="121"/>
        <v>5</v>
      </c>
      <c r="R73" s="24">
        <f t="shared" ref="R73:R88" si="134">(P73-INT(P73))*12</f>
        <v>0.43198965785435917</v>
      </c>
      <c r="S73" s="41" t="str">
        <f t="shared" si="122"/>
        <v>0</v>
      </c>
      <c r="T73" s="24">
        <f t="shared" ref="T73:T88" si="135">(R73-INT(R73))*12</f>
        <v>5.18387589425231</v>
      </c>
      <c r="U73" s="41" t="str">
        <f t="shared" si="123"/>
        <v>5</v>
      </c>
      <c r="V73" s="24">
        <f t="shared" ref="V73:V88" si="136">(T73-INT(T73))*12</f>
        <v>2.2065107310277199</v>
      </c>
      <c r="W73" s="41" t="str">
        <f t="shared" si="124"/>
        <v>2</v>
      </c>
      <c r="X73" s="24">
        <f t="shared" ref="X73:X88" si="137">(V73-INT(V73))*12</f>
        <v>2.4781287723326386</v>
      </c>
      <c r="Y73" s="41" t="str">
        <f t="shared" si="125"/>
        <v>2</v>
      </c>
      <c r="Z73" s="24">
        <f t="shared" ref="Z73:Z88" si="138">(X73-INT(X73))*12</f>
        <v>5.7375452679916634</v>
      </c>
      <c r="AA73" s="41" t="str">
        <f t="shared" si="126"/>
        <v>5</v>
      </c>
      <c r="AB73" s="24">
        <f t="shared" ref="AB73:AB88" si="139">(Z73-INT(Z73))*12</f>
        <v>8.8505432158999611</v>
      </c>
      <c r="AC73" s="41" t="str">
        <f t="shared" si="127"/>
        <v>8</v>
      </c>
      <c r="AD73" s="24">
        <f t="shared" ref="AD73:AD88" si="140">(AB73-INT(AB73))*12</f>
        <v>10.206518590799533</v>
      </c>
      <c r="AE73" s="41" t="str">
        <f t="shared" si="128"/>
        <v>X</v>
      </c>
      <c r="AF73" s="24">
        <f t="shared" ref="AF73:AF88" si="141">(AD73-INT(AD73))*12</f>
        <v>2.478223089594394</v>
      </c>
      <c r="AG73" s="41" t="str">
        <f t="shared" si="129"/>
        <v/>
      </c>
      <c r="AH73" s="24">
        <f t="shared" ref="AH73:AH88" si="142">(AF73-INT(AF73))*12</f>
        <v>5.7386770751327276</v>
      </c>
      <c r="AI73" s="41" t="str">
        <f t="shared" si="130"/>
        <v/>
      </c>
      <c r="AJ73" s="24">
        <f t="shared" ref="AJ73:AJ88" si="143">(AH73-INT(AH73))*12</f>
        <v>8.8641249015927315</v>
      </c>
      <c r="AK73" s="41" t="str">
        <f t="shared" si="131"/>
        <v/>
      </c>
    </row>
    <row r="74" spans="1:37" ht="13.5" customHeight="1">
      <c r="A74" s="716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118"/>
        <v>137.03599913815452</v>
      </c>
      <c r="L74" s="39" t="str">
        <f>INDEX(powers!$H$2:$H$75,33+J74)</f>
        <v xml:space="preserve"> </v>
      </c>
      <c r="M74" s="40" t="str">
        <f t="shared" si="119"/>
        <v/>
      </c>
      <c r="N74" s="24">
        <f t="shared" si="132"/>
        <v>0.4319896578542739</v>
      </c>
      <c r="O74" s="41" t="str">
        <f t="shared" si="120"/>
        <v>0</v>
      </c>
      <c r="P74" s="24">
        <f t="shared" si="133"/>
        <v>5.1838758942512868</v>
      </c>
      <c r="Q74" s="41" t="str">
        <f t="shared" si="121"/>
        <v>5</v>
      </c>
      <c r="R74" s="24">
        <f t="shared" si="134"/>
        <v>2.2065107310154417</v>
      </c>
      <c r="S74" s="41" t="str">
        <f t="shared" si="122"/>
        <v>2</v>
      </c>
      <c r="T74" s="24">
        <f t="shared" si="135"/>
        <v>2.4781287721853005</v>
      </c>
      <c r="U74" s="41" t="str">
        <f t="shared" si="123"/>
        <v>2</v>
      </c>
      <c r="V74" s="24">
        <f t="shared" si="136"/>
        <v>5.7375452662236057</v>
      </c>
      <c r="W74" s="41" t="str">
        <f t="shared" si="124"/>
        <v>5</v>
      </c>
      <c r="X74" s="24">
        <f t="shared" si="137"/>
        <v>8.8505431946832687</v>
      </c>
      <c r="Y74" s="41" t="str">
        <f t="shared" si="125"/>
        <v>8</v>
      </c>
      <c r="Z74" s="24">
        <f t="shared" si="138"/>
        <v>10.206518336199224</v>
      </c>
      <c r="AA74" s="41" t="str">
        <f t="shared" si="126"/>
        <v>X</v>
      </c>
      <c r="AB74" s="24">
        <f t="shared" si="139"/>
        <v>2.4782200343906879</v>
      </c>
      <c r="AC74" s="41" t="str">
        <f t="shared" si="127"/>
        <v>2</v>
      </c>
      <c r="AD74" s="24">
        <f t="shared" si="140"/>
        <v>5.7386404126882553</v>
      </c>
      <c r="AE74" s="41" t="str">
        <f t="shared" si="128"/>
        <v>6</v>
      </c>
      <c r="AF74" s="24">
        <f t="shared" si="141"/>
        <v>8.8636849522590637</v>
      </c>
      <c r="AG74" s="41" t="str">
        <f t="shared" si="129"/>
        <v/>
      </c>
      <c r="AH74" s="24">
        <f t="shared" si="142"/>
        <v>10.364219427108765</v>
      </c>
      <c r="AI74" s="41" t="str">
        <f t="shared" si="130"/>
        <v/>
      </c>
      <c r="AJ74" s="24">
        <f t="shared" si="143"/>
        <v>4.3706331253051758</v>
      </c>
      <c r="AK74" s="41" t="str">
        <f t="shared" si="131"/>
        <v/>
      </c>
    </row>
    <row r="75" spans="1:37" ht="13.5" customHeight="1">
      <c r="A75" s="716"/>
      <c r="B75" s="8" t="s">
        <v>39</v>
      </c>
      <c r="C75" s="8"/>
      <c r="D75" s="21"/>
      <c r="E75" s="8">
        <v>9</v>
      </c>
      <c r="F75" s="21">
        <f t="shared" ref="F75" si="144">SQRT($D$32)</f>
        <v>8.542454311496199E-2</v>
      </c>
      <c r="G75" s="37" t="str">
        <f t="shared" ref="G75:G78" si="145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118"/>
        <v>1.025094517379544</v>
      </c>
      <c r="L75" s="39" t="str">
        <f>INDEX(powers!$H$2:$H$75,33+J75)</f>
        <v>dour</v>
      </c>
      <c r="M75" s="40" t="str">
        <f t="shared" si="119"/>
        <v>1</v>
      </c>
      <c r="N75" s="24">
        <f t="shared" si="132"/>
        <v>0.30113420855452855</v>
      </c>
      <c r="O75" s="41" t="str">
        <f t="shared" si="120"/>
        <v>0</v>
      </c>
      <c r="P75" s="24">
        <f t="shared" si="133"/>
        <v>3.6136105026543426</v>
      </c>
      <c r="Q75" s="41" t="str">
        <f t="shared" si="121"/>
        <v>3</v>
      </c>
      <c r="R75" s="24">
        <f t="shared" si="134"/>
        <v>7.363326031852111</v>
      </c>
      <c r="S75" s="41" t="str">
        <f t="shared" si="122"/>
        <v>7</v>
      </c>
      <c r="T75" s="24">
        <f t="shared" si="135"/>
        <v>4.3599123822253318</v>
      </c>
      <c r="U75" s="41" t="str">
        <f t="shared" si="123"/>
        <v>4</v>
      </c>
      <c r="V75" s="24">
        <f t="shared" si="136"/>
        <v>4.3189485867039821</v>
      </c>
      <c r="W75" s="41" t="str">
        <f t="shared" si="124"/>
        <v>4</v>
      </c>
      <c r="X75" s="24">
        <f t="shared" si="137"/>
        <v>3.8273830404477849</v>
      </c>
      <c r="Y75" s="41" t="str">
        <f t="shared" si="125"/>
        <v>3</v>
      </c>
      <c r="Z75" s="24">
        <f t="shared" si="138"/>
        <v>9.9285964853734185</v>
      </c>
      <c r="AA75" s="41" t="str">
        <f t="shared" si="126"/>
        <v>9</v>
      </c>
      <c r="AB75" s="24">
        <f t="shared" si="139"/>
        <v>11.143157824481023</v>
      </c>
      <c r="AC75" s="41" t="str">
        <f t="shared" si="127"/>
        <v>E</v>
      </c>
      <c r="AD75" s="24">
        <f t="shared" si="140"/>
        <v>1.7178938937722705</v>
      </c>
      <c r="AE75" s="41" t="str">
        <f t="shared" si="128"/>
        <v>2</v>
      </c>
      <c r="AF75" s="24">
        <f t="shared" si="141"/>
        <v>8.6147267252672464</v>
      </c>
      <c r="AG75" s="41" t="str">
        <f t="shared" si="129"/>
        <v/>
      </c>
      <c r="AH75" s="24">
        <f t="shared" si="142"/>
        <v>7.3767207032069564</v>
      </c>
      <c r="AI75" s="41" t="str">
        <f t="shared" si="130"/>
        <v/>
      </c>
      <c r="AJ75" s="24">
        <f t="shared" si="143"/>
        <v>4.5206484384834766</v>
      </c>
      <c r="AK75" s="41" t="str">
        <f t="shared" si="131"/>
        <v/>
      </c>
    </row>
    <row r="76" spans="1:37" ht="13.5" customHeight="1">
      <c r="A76" s="716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45"/>
        <v>0;E85846628</v>
      </c>
      <c r="H76" s="37"/>
      <c r="I76" s="340"/>
      <c r="J76" s="38">
        <v>1</v>
      </c>
      <c r="K76" s="61">
        <f t="shared" si="118"/>
        <v>0.97551980138993111</v>
      </c>
      <c r="L76" s="39" t="str">
        <f>INDEX(powers!$H$2:$H$75,33+J76)</f>
        <v>dirac</v>
      </c>
      <c r="M76" s="40" t="str">
        <f t="shared" si="119"/>
        <v>0</v>
      </c>
      <c r="N76" s="24">
        <f t="shared" si="132"/>
        <v>11.706237616679173</v>
      </c>
      <c r="O76" s="41" t="str">
        <f t="shared" si="120"/>
        <v>E</v>
      </c>
      <c r="P76" s="24">
        <f t="shared" si="133"/>
        <v>8.4748514001500794</v>
      </c>
      <c r="Q76" s="41" t="str">
        <f t="shared" si="121"/>
        <v>8</v>
      </c>
      <c r="R76" s="24">
        <f t="shared" si="134"/>
        <v>5.6982168018009531</v>
      </c>
      <c r="S76" s="41" t="str">
        <f t="shared" si="122"/>
        <v>5</v>
      </c>
      <c r="T76" s="24">
        <f t="shared" si="135"/>
        <v>8.3786016216114376</v>
      </c>
      <c r="U76" s="41" t="str">
        <f t="shared" si="123"/>
        <v>8</v>
      </c>
      <c r="V76" s="24">
        <f t="shared" si="136"/>
        <v>4.5432194593372515</v>
      </c>
      <c r="W76" s="41" t="str">
        <f t="shared" si="124"/>
        <v>4</v>
      </c>
      <c r="X76" s="24">
        <f t="shared" si="137"/>
        <v>6.5186335120470176</v>
      </c>
      <c r="Y76" s="41" t="str">
        <f t="shared" si="125"/>
        <v>6</v>
      </c>
      <c r="Z76" s="24">
        <f t="shared" si="138"/>
        <v>6.2236021445642109</v>
      </c>
      <c r="AA76" s="41" t="str">
        <f t="shared" si="126"/>
        <v>6</v>
      </c>
      <c r="AB76" s="24">
        <f t="shared" si="139"/>
        <v>2.6832257347705308</v>
      </c>
      <c r="AC76" s="41" t="str">
        <f t="shared" si="127"/>
        <v>2</v>
      </c>
      <c r="AD76" s="24">
        <f t="shared" si="140"/>
        <v>8.19870881724637</v>
      </c>
      <c r="AE76" s="41" t="str">
        <f t="shared" si="128"/>
        <v>8</v>
      </c>
      <c r="AF76" s="24">
        <f t="shared" si="141"/>
        <v>2.3845058069564402</v>
      </c>
      <c r="AG76" s="41" t="str">
        <f t="shared" si="129"/>
        <v/>
      </c>
      <c r="AH76" s="24">
        <f t="shared" si="142"/>
        <v>4.6140696834772825</v>
      </c>
      <c r="AI76" s="41" t="str">
        <f t="shared" si="130"/>
        <v/>
      </c>
      <c r="AJ76" s="24">
        <f t="shared" si="143"/>
        <v>7.3688362017273903</v>
      </c>
      <c r="AK76" s="41" t="str">
        <f t="shared" si="131"/>
        <v/>
      </c>
    </row>
    <row r="77" spans="1:37" ht="13.5" customHeight="1">
      <c r="A77" s="716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45"/>
        <v>1;0696831713E1</v>
      </c>
      <c r="H77" s="37"/>
      <c r="I77" s="340"/>
      <c r="J77" s="38">
        <v>1</v>
      </c>
      <c r="K77" s="61">
        <f t="shared" si="118"/>
        <v>1.0471975511965976</v>
      </c>
      <c r="L77" s="39" t="str">
        <f>INDEX(powers!$H$2:$H$75,33+J77)</f>
        <v>dirac</v>
      </c>
      <c r="M77" s="40" t="str">
        <f t="shared" si="119"/>
        <v>1</v>
      </c>
      <c r="N77" s="24">
        <f t="shared" si="132"/>
        <v>0.56637061435917158</v>
      </c>
      <c r="O77" s="41" t="str">
        <f t="shared" si="120"/>
        <v>0</v>
      </c>
      <c r="P77" s="24">
        <f t="shared" si="133"/>
        <v>6.7964473723100589</v>
      </c>
      <c r="Q77" s="41" t="str">
        <f t="shared" si="121"/>
        <v>6</v>
      </c>
      <c r="R77" s="24">
        <f t="shared" si="134"/>
        <v>9.5573684677207069</v>
      </c>
      <c r="S77" s="41" t="str">
        <f t="shared" si="122"/>
        <v>9</v>
      </c>
      <c r="T77" s="24">
        <f t="shared" si="135"/>
        <v>6.688421612648483</v>
      </c>
      <c r="U77" s="41" t="str">
        <f t="shared" si="123"/>
        <v>6</v>
      </c>
      <c r="V77" s="24">
        <f t="shared" si="136"/>
        <v>8.2610593517817961</v>
      </c>
      <c r="W77" s="41" t="str">
        <f t="shared" si="124"/>
        <v>8</v>
      </c>
      <c r="X77" s="24">
        <f t="shared" si="137"/>
        <v>3.1327122213815528</v>
      </c>
      <c r="Y77" s="41" t="str">
        <f t="shared" si="125"/>
        <v>3</v>
      </c>
      <c r="Z77" s="24">
        <f t="shared" si="138"/>
        <v>1.5925466565786337</v>
      </c>
      <c r="AA77" s="41" t="str">
        <f t="shared" si="126"/>
        <v>1</v>
      </c>
      <c r="AB77" s="24">
        <f t="shared" si="139"/>
        <v>7.1105598789436044</v>
      </c>
      <c r="AC77" s="41" t="str">
        <f t="shared" si="127"/>
        <v>7</v>
      </c>
      <c r="AD77" s="24">
        <f t="shared" si="140"/>
        <v>1.326718547323253</v>
      </c>
      <c r="AE77" s="41" t="str">
        <f t="shared" si="128"/>
        <v>1</v>
      </c>
      <c r="AF77" s="24">
        <f t="shared" si="141"/>
        <v>3.9206225678790361</v>
      </c>
      <c r="AG77" s="41" t="str">
        <f t="shared" si="129"/>
        <v>3</v>
      </c>
      <c r="AH77" s="24">
        <f t="shared" si="142"/>
        <v>11.047470814548433</v>
      </c>
      <c r="AI77" s="41" t="str">
        <f t="shared" si="130"/>
        <v>E</v>
      </c>
      <c r="AJ77" s="24">
        <f t="shared" si="143"/>
        <v>0.56964977458119392</v>
      </c>
      <c r="AK77" s="41" t="str">
        <f t="shared" si="131"/>
        <v>1</v>
      </c>
    </row>
    <row r="78" spans="1:37" ht="13.5" customHeight="1">
      <c r="A78" s="716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45"/>
        <v>0;E5615082189E</v>
      </c>
      <c r="H78" s="37"/>
      <c r="I78" s="340"/>
      <c r="J78" s="38">
        <v>-1</v>
      </c>
      <c r="K78" s="61">
        <f t="shared" si="118"/>
        <v>0.95492965855137213</v>
      </c>
      <c r="L78" s="39" t="str">
        <f>INDEX(powers!$H$2:$H$75,33+J78)</f>
        <v>dour</v>
      </c>
      <c r="M78" s="40" t="str">
        <f t="shared" si="119"/>
        <v>0</v>
      </c>
      <c r="N78" s="24">
        <f t="shared" si="132"/>
        <v>11.459155902616466</v>
      </c>
      <c r="O78" s="41" t="str">
        <f t="shared" si="120"/>
        <v>E</v>
      </c>
      <c r="P78" s="24">
        <f t="shared" si="133"/>
        <v>5.5098708313975919</v>
      </c>
      <c r="Q78" s="41" t="str">
        <f t="shared" si="121"/>
        <v>5</v>
      </c>
      <c r="R78" s="24">
        <f t="shared" si="134"/>
        <v>6.1184499767711031</v>
      </c>
      <c r="S78" s="41" t="str">
        <f t="shared" si="122"/>
        <v>6</v>
      </c>
      <c r="T78" s="24">
        <f t="shared" si="135"/>
        <v>1.4213997212532377</v>
      </c>
      <c r="U78" s="41" t="str">
        <f t="shared" si="123"/>
        <v>1</v>
      </c>
      <c r="V78" s="24">
        <f t="shared" si="136"/>
        <v>5.0567966550388519</v>
      </c>
      <c r="W78" s="41" t="str">
        <f t="shared" si="124"/>
        <v>5</v>
      </c>
      <c r="X78" s="24">
        <f t="shared" si="137"/>
        <v>0.68155986046622274</v>
      </c>
      <c r="Y78" s="41" t="str">
        <f t="shared" si="125"/>
        <v>0</v>
      </c>
      <c r="Z78" s="24">
        <f t="shared" si="138"/>
        <v>8.1787183255946729</v>
      </c>
      <c r="AA78" s="41" t="str">
        <f t="shared" si="126"/>
        <v>8</v>
      </c>
      <c r="AB78" s="24">
        <f t="shared" si="139"/>
        <v>2.1446199071360752</v>
      </c>
      <c r="AC78" s="41" t="str">
        <f t="shared" si="127"/>
        <v>2</v>
      </c>
      <c r="AD78" s="24">
        <f t="shared" si="140"/>
        <v>1.7354388856329024</v>
      </c>
      <c r="AE78" s="41" t="str">
        <f t="shared" si="128"/>
        <v>1</v>
      </c>
      <c r="AF78" s="24">
        <f t="shared" si="141"/>
        <v>8.8252666275948286</v>
      </c>
      <c r="AG78" s="41" t="str">
        <f t="shared" si="129"/>
        <v>8</v>
      </c>
      <c r="AH78" s="24">
        <f t="shared" si="142"/>
        <v>9.9031995311379433</v>
      </c>
      <c r="AI78" s="41" t="str">
        <f t="shared" si="130"/>
        <v>9</v>
      </c>
      <c r="AJ78" s="24">
        <f t="shared" si="143"/>
        <v>10.838394373655319</v>
      </c>
      <c r="AK78" s="41" t="str">
        <f t="shared" si="131"/>
        <v>E</v>
      </c>
    </row>
    <row r="79" spans="1:37" ht="13.5" customHeight="1">
      <c r="A79" s="716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118"/>
        <v>137.50987083139759</v>
      </c>
      <c r="L79" s="39" t="str">
        <f>INDEX(powers!$H$2:$H$75,33+J79)</f>
        <v>milly</v>
      </c>
      <c r="M79" s="40" t="str">
        <f t="shared" si="119"/>
        <v/>
      </c>
      <c r="N79" s="24">
        <f t="shared" si="132"/>
        <v>6.1184499767711031</v>
      </c>
      <c r="O79" s="41" t="str">
        <f t="shared" si="120"/>
        <v>6</v>
      </c>
      <c r="P79" s="24">
        <f t="shared" si="133"/>
        <v>1.4213997212532377</v>
      </c>
      <c r="Q79" s="41" t="str">
        <f t="shared" si="121"/>
        <v>1</v>
      </c>
      <c r="R79" s="24">
        <f t="shared" si="134"/>
        <v>5.0567966550388519</v>
      </c>
      <c r="S79" s="41" t="str">
        <f t="shared" si="122"/>
        <v>5</v>
      </c>
      <c r="T79" s="24">
        <f t="shared" si="135"/>
        <v>0.68155986046622274</v>
      </c>
      <c r="U79" s="41" t="str">
        <f t="shared" si="123"/>
        <v>0</v>
      </c>
      <c r="V79" s="24">
        <f t="shared" si="136"/>
        <v>8.1787183255946729</v>
      </c>
      <c r="W79" s="41" t="str">
        <f t="shared" si="124"/>
        <v>8</v>
      </c>
      <c r="X79" s="24">
        <f t="shared" si="137"/>
        <v>2.1446199071360752</v>
      </c>
      <c r="Y79" s="41" t="str">
        <f t="shared" si="125"/>
        <v>2</v>
      </c>
      <c r="Z79" s="24">
        <f t="shared" si="138"/>
        <v>1.7354388856329024</v>
      </c>
      <c r="AA79" s="41" t="str">
        <f t="shared" si="126"/>
        <v>1</v>
      </c>
      <c r="AB79" s="24">
        <f t="shared" si="139"/>
        <v>8.8252666275948286</v>
      </c>
      <c r="AC79" s="41" t="str">
        <f t="shared" si="127"/>
        <v>8</v>
      </c>
      <c r="AD79" s="24">
        <f t="shared" si="140"/>
        <v>9.9031995311379433</v>
      </c>
      <c r="AE79" s="41" t="str">
        <f t="shared" si="128"/>
        <v>X</v>
      </c>
      <c r="AF79" s="24">
        <f t="shared" si="141"/>
        <v>10.838394373655319</v>
      </c>
      <c r="AG79" s="41" t="str">
        <f t="shared" si="129"/>
        <v/>
      </c>
      <c r="AH79" s="24">
        <f t="shared" si="142"/>
        <v>10.060732483863831</v>
      </c>
      <c r="AI79" s="41" t="str">
        <f t="shared" si="130"/>
        <v/>
      </c>
      <c r="AJ79" s="24">
        <f t="shared" si="143"/>
        <v>0.7287898063659668</v>
      </c>
      <c r="AK79" s="41" t="str">
        <f t="shared" si="131"/>
        <v/>
      </c>
    </row>
    <row r="80" spans="1:37" ht="13.5" customHeight="1">
      <c r="A80" s="716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146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118"/>
        <v>0.99655390780037834</v>
      </c>
      <c r="L80" s="39" t="str">
        <f>INDEX(powers!$H$2:$H$75,33+J80)</f>
        <v>kily</v>
      </c>
      <c r="M80" s="40" t="str">
        <f t="shared" si="119"/>
        <v>0</v>
      </c>
      <c r="N80" s="24">
        <f t="shared" si="132"/>
        <v>11.95864689360454</v>
      </c>
      <c r="O80" s="41" t="str">
        <f t="shared" si="120"/>
        <v>E</v>
      </c>
      <c r="P80" s="24">
        <f t="shared" si="133"/>
        <v>11.503762723254475</v>
      </c>
      <c r="Q80" s="41" t="str">
        <f t="shared" si="121"/>
        <v>E</v>
      </c>
      <c r="R80" s="24">
        <f t="shared" si="134"/>
        <v>6.0451526790537002</v>
      </c>
      <c r="S80" s="41" t="str">
        <f t="shared" si="122"/>
        <v>6</v>
      </c>
      <c r="T80" s="24">
        <f t="shared" si="135"/>
        <v>0.54183214864440288</v>
      </c>
      <c r="U80" s="41" t="str">
        <f t="shared" si="123"/>
        <v>0</v>
      </c>
      <c r="V80" s="24">
        <f t="shared" si="136"/>
        <v>6.5019857837328345</v>
      </c>
      <c r="W80" s="41" t="str">
        <f t="shared" si="124"/>
        <v>6</v>
      </c>
      <c r="X80" s="24">
        <f t="shared" si="137"/>
        <v>6.0238294047940144</v>
      </c>
      <c r="Y80" s="41" t="str">
        <f t="shared" si="125"/>
        <v>6</v>
      </c>
      <c r="Z80" s="24">
        <f t="shared" si="138"/>
        <v>0.2859528575281729</v>
      </c>
      <c r="AA80" s="41" t="str">
        <f t="shared" si="126"/>
        <v>0</v>
      </c>
      <c r="AB80" s="24">
        <f t="shared" si="139"/>
        <v>3.4314342903380748</v>
      </c>
      <c r="AC80" s="41" t="str">
        <f t="shared" si="127"/>
        <v>3</v>
      </c>
      <c r="AD80" s="24">
        <f t="shared" si="140"/>
        <v>5.1772114840568975</v>
      </c>
      <c r="AE80" s="41" t="str">
        <f t="shared" si="128"/>
        <v>5</v>
      </c>
      <c r="AF80" s="24">
        <f t="shared" si="141"/>
        <v>2.1265378086827695</v>
      </c>
      <c r="AG80" s="41" t="str">
        <f t="shared" si="129"/>
        <v/>
      </c>
      <c r="AH80" s="24">
        <f t="shared" si="142"/>
        <v>1.5184537041932344</v>
      </c>
      <c r="AI80" s="41" t="str">
        <f t="shared" si="130"/>
        <v/>
      </c>
      <c r="AJ80" s="24">
        <f t="shared" si="143"/>
        <v>6.2214444503188133</v>
      </c>
      <c r="AK80" s="41" t="str">
        <f t="shared" si="131"/>
        <v/>
      </c>
    </row>
    <row r="81" spans="1:37" ht="13.5" customHeight="1">
      <c r="A81" s="716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46"/>
        <v>1;005E85686</v>
      </c>
      <c r="H81" s="37"/>
      <c r="I81" s="340"/>
      <c r="J81" s="38">
        <v>-3</v>
      </c>
      <c r="K81" s="61">
        <f t="shared" si="118"/>
        <v>1.0034580088168317</v>
      </c>
      <c r="L81" s="39" t="str">
        <f>INDEX(powers!$H$2:$H$75,33+J81)</f>
        <v>milly</v>
      </c>
      <c r="M81" s="40" t="str">
        <f t="shared" si="119"/>
        <v>1</v>
      </c>
      <c r="N81" s="24">
        <f t="shared" si="132"/>
        <v>4.1496105801980043E-2</v>
      </c>
      <c r="O81" s="41" t="str">
        <f t="shared" si="120"/>
        <v>0</v>
      </c>
      <c r="P81" s="24">
        <f t="shared" si="133"/>
        <v>0.49795326962376052</v>
      </c>
      <c r="Q81" s="41" t="str">
        <f t="shared" si="121"/>
        <v>0</v>
      </c>
      <c r="R81" s="24">
        <f t="shared" si="134"/>
        <v>5.9754392354851262</v>
      </c>
      <c r="S81" s="41" t="str">
        <f t="shared" si="122"/>
        <v>5</v>
      </c>
      <c r="T81" s="24">
        <f t="shared" si="135"/>
        <v>11.705270825821515</v>
      </c>
      <c r="U81" s="41" t="str">
        <f t="shared" si="123"/>
        <v>E</v>
      </c>
      <c r="V81" s="24">
        <f t="shared" si="136"/>
        <v>8.4632499098581775</v>
      </c>
      <c r="W81" s="41" t="str">
        <f t="shared" si="124"/>
        <v>8</v>
      </c>
      <c r="X81" s="24">
        <f t="shared" si="137"/>
        <v>5.5589989182981299</v>
      </c>
      <c r="Y81" s="41" t="str">
        <f t="shared" si="125"/>
        <v>5</v>
      </c>
      <c r="Z81" s="24">
        <f t="shared" si="138"/>
        <v>6.7079870195775584</v>
      </c>
      <c r="AA81" s="41" t="str">
        <f t="shared" si="126"/>
        <v>6</v>
      </c>
      <c r="AB81" s="24">
        <f t="shared" si="139"/>
        <v>8.4958442349307006</v>
      </c>
      <c r="AC81" s="41" t="str">
        <f t="shared" si="127"/>
        <v>8</v>
      </c>
      <c r="AD81" s="24">
        <f t="shared" si="140"/>
        <v>5.9501308191684075</v>
      </c>
      <c r="AE81" s="41" t="str">
        <f t="shared" si="128"/>
        <v>6</v>
      </c>
      <c r="AF81" s="24">
        <f t="shared" si="141"/>
        <v>11.40156983002089</v>
      </c>
      <c r="AG81" s="41" t="str">
        <f t="shared" si="129"/>
        <v/>
      </c>
      <c r="AH81" s="24">
        <f t="shared" si="142"/>
        <v>4.8188379602506757</v>
      </c>
      <c r="AI81" s="41" t="str">
        <f t="shared" si="130"/>
        <v/>
      </c>
      <c r="AJ81" s="24">
        <f t="shared" si="143"/>
        <v>9.8260555230081081</v>
      </c>
      <c r="AK81" s="41" t="str">
        <f t="shared" si="131"/>
        <v/>
      </c>
    </row>
    <row r="82" spans="1:37" ht="13.5" customHeight="1">
      <c r="A82" s="716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46"/>
        <v>0;E46922178</v>
      </c>
      <c r="H82" s="37"/>
      <c r="I82" s="340"/>
      <c r="J82" s="38">
        <v>5</v>
      </c>
      <c r="K82" s="61">
        <f t="shared" si="118"/>
        <v>0.94835944757261925</v>
      </c>
      <c r="L82" s="39" t="str">
        <f>INDEX(powers!$H$2:$H$75,33+J82)</f>
        <v>cosmic milly</v>
      </c>
      <c r="M82" s="40" t="str">
        <f t="shared" si="119"/>
        <v>0</v>
      </c>
      <c r="N82" s="24">
        <f t="shared" si="132"/>
        <v>11.380313370871431</v>
      </c>
      <c r="O82" s="41" t="str">
        <f t="shared" si="120"/>
        <v>E</v>
      </c>
      <c r="P82" s="24">
        <f t="shared" si="133"/>
        <v>4.5637604504571669</v>
      </c>
      <c r="Q82" s="41" t="str">
        <f t="shared" si="121"/>
        <v>4</v>
      </c>
      <c r="R82" s="24">
        <f t="shared" si="134"/>
        <v>6.7651254054860033</v>
      </c>
      <c r="S82" s="41" t="str">
        <f t="shared" si="122"/>
        <v>6</v>
      </c>
      <c r="T82" s="24">
        <f t="shared" si="135"/>
        <v>9.1815048658320393</v>
      </c>
      <c r="U82" s="41" t="str">
        <f t="shared" si="123"/>
        <v>9</v>
      </c>
      <c r="V82" s="24">
        <f t="shared" si="136"/>
        <v>2.1780583899844714</v>
      </c>
      <c r="W82" s="41" t="str">
        <f t="shared" si="124"/>
        <v>2</v>
      </c>
      <c r="X82" s="24">
        <f t="shared" si="137"/>
        <v>2.1367006798136572</v>
      </c>
      <c r="Y82" s="41" t="str">
        <f t="shared" si="125"/>
        <v>2</v>
      </c>
      <c r="Z82" s="24">
        <f t="shared" si="138"/>
        <v>1.6404081577638863</v>
      </c>
      <c r="AA82" s="41" t="str">
        <f t="shared" si="126"/>
        <v>1</v>
      </c>
      <c r="AB82" s="24">
        <f t="shared" si="139"/>
        <v>7.6848978931666352</v>
      </c>
      <c r="AC82" s="41" t="str">
        <f t="shared" si="127"/>
        <v>7</v>
      </c>
      <c r="AD82" s="24">
        <f t="shared" si="140"/>
        <v>8.2187747179996222</v>
      </c>
      <c r="AE82" s="41" t="str">
        <f t="shared" si="128"/>
        <v>8</v>
      </c>
      <c r="AF82" s="24">
        <f t="shared" si="141"/>
        <v>2.6252966159954667</v>
      </c>
      <c r="AG82" s="41" t="str">
        <f t="shared" si="129"/>
        <v/>
      </c>
      <c r="AH82" s="24">
        <f t="shared" si="142"/>
        <v>7.5035593919456005</v>
      </c>
      <c r="AI82" s="41" t="str">
        <f t="shared" si="130"/>
        <v/>
      </c>
      <c r="AJ82" s="24">
        <f t="shared" si="143"/>
        <v>6.0427127033472061</v>
      </c>
      <c r="AK82" s="41" t="str">
        <f t="shared" si="131"/>
        <v/>
      </c>
    </row>
    <row r="83" spans="1:37" ht="14.25" customHeight="1">
      <c r="A83" s="716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146"/>
        <v>1;07X1163X8</v>
      </c>
      <c r="H83" s="112"/>
      <c r="I83" s="341"/>
      <c r="J83" s="43">
        <v>-5</v>
      </c>
      <c r="K83" s="62">
        <f t="shared" si="118"/>
        <v>1.054452510131636</v>
      </c>
      <c r="L83" s="44" t="str">
        <f>INDEX(powers!$H$2:$H$75,33+J83)</f>
        <v>atomic kily</v>
      </c>
      <c r="M83" s="40" t="str">
        <f t="shared" si="119"/>
        <v>1</v>
      </c>
      <c r="N83" s="24">
        <f t="shared" si="132"/>
        <v>0.65343012157963187</v>
      </c>
      <c r="O83" s="41" t="str">
        <f t="shared" si="120"/>
        <v>0</v>
      </c>
      <c r="P83" s="24">
        <f t="shared" si="133"/>
        <v>7.8411614589555825</v>
      </c>
      <c r="Q83" s="41" t="str">
        <f t="shared" si="121"/>
        <v>7</v>
      </c>
      <c r="R83" s="24">
        <f t="shared" si="134"/>
        <v>10.09393750746699</v>
      </c>
      <c r="S83" s="41" t="str">
        <f t="shared" si="122"/>
        <v>X</v>
      </c>
      <c r="T83" s="24">
        <f t="shared" si="135"/>
        <v>1.1272500896038764</v>
      </c>
      <c r="U83" s="41" t="str">
        <f t="shared" si="123"/>
        <v>1</v>
      </c>
      <c r="V83" s="24">
        <f t="shared" si="136"/>
        <v>1.5270010752465168</v>
      </c>
      <c r="W83" s="41" t="str">
        <f t="shared" si="124"/>
        <v>1</v>
      </c>
      <c r="X83" s="24">
        <f t="shared" si="137"/>
        <v>6.3240129029582022</v>
      </c>
      <c r="Y83" s="41" t="str">
        <f t="shared" si="125"/>
        <v>6</v>
      </c>
      <c r="Z83" s="24">
        <f t="shared" si="138"/>
        <v>3.8881548354984261</v>
      </c>
      <c r="AA83" s="41" t="str">
        <f t="shared" si="126"/>
        <v>3</v>
      </c>
      <c r="AB83" s="24">
        <f t="shared" si="139"/>
        <v>10.657858025981113</v>
      </c>
      <c r="AC83" s="41" t="str">
        <f t="shared" si="127"/>
        <v>X</v>
      </c>
      <c r="AD83" s="24">
        <f t="shared" si="140"/>
        <v>7.8942963117733598</v>
      </c>
      <c r="AE83" s="41" t="str">
        <f t="shared" si="128"/>
        <v>8</v>
      </c>
      <c r="AF83" s="24">
        <f t="shared" si="141"/>
        <v>10.731555741280317</v>
      </c>
      <c r="AG83" s="41" t="str">
        <f t="shared" si="129"/>
        <v/>
      </c>
      <c r="AH83" s="24">
        <f t="shared" si="142"/>
        <v>8.7786688953638077</v>
      </c>
      <c r="AI83" s="41" t="str">
        <f t="shared" si="130"/>
        <v/>
      </c>
      <c r="AJ83" s="24">
        <f t="shared" si="143"/>
        <v>9.3440267443656921</v>
      </c>
      <c r="AK83" s="41" t="str">
        <f t="shared" si="131"/>
        <v/>
      </c>
    </row>
    <row r="84" spans="1:37" ht="14.25" customHeight="1">
      <c r="A84" s="716"/>
      <c r="B84" s="30" t="s">
        <v>1432</v>
      </c>
      <c r="C84" s="30"/>
      <c r="D84" s="29"/>
      <c r="E84" s="30">
        <v>11</v>
      </c>
      <c r="F84" s="29">
        <v>1836.15267245</v>
      </c>
      <c r="G84" s="112" t="str">
        <f t="shared" si="146"/>
        <v>1;09019E9995E</v>
      </c>
      <c r="H84" s="112"/>
      <c r="I84" s="341"/>
      <c r="J84" s="43">
        <v>3</v>
      </c>
      <c r="K84" s="62">
        <f t="shared" si="118"/>
        <v>1.0625883521122685</v>
      </c>
      <c r="L84" s="44" t="str">
        <f>INDEX(powers!$H$2:$H$75,33+J84)</f>
        <v>kily</v>
      </c>
      <c r="M84" s="40" t="str">
        <f t="shared" si="119"/>
        <v>1</v>
      </c>
      <c r="N84" s="24">
        <f t="shared" si="132"/>
        <v>0.7510602253472225</v>
      </c>
      <c r="O84" s="41" t="str">
        <f t="shared" si="120"/>
        <v>0</v>
      </c>
      <c r="P84" s="24">
        <f t="shared" si="133"/>
        <v>9.01272270416667</v>
      </c>
      <c r="Q84" s="41" t="str">
        <f t="shared" si="121"/>
        <v>9</v>
      </c>
      <c r="R84" s="24">
        <f t="shared" si="134"/>
        <v>0.15267245000003982</v>
      </c>
      <c r="S84" s="41" t="str">
        <f t="shared" si="122"/>
        <v>0</v>
      </c>
      <c r="T84" s="24">
        <f t="shared" si="135"/>
        <v>1.8320694000004778</v>
      </c>
      <c r="U84" s="41" t="str">
        <f t="shared" si="123"/>
        <v>1</v>
      </c>
      <c r="V84" s="24">
        <f t="shared" si="136"/>
        <v>9.9848328000057336</v>
      </c>
      <c r="W84" s="41" t="str">
        <f t="shared" si="124"/>
        <v>9</v>
      </c>
      <c r="X84" s="24">
        <f t="shared" si="137"/>
        <v>11.817993600068803</v>
      </c>
      <c r="Y84" s="41" t="str">
        <f t="shared" si="125"/>
        <v>E</v>
      </c>
      <c r="Z84" s="24">
        <f t="shared" si="138"/>
        <v>9.8159232008256367</v>
      </c>
      <c r="AA84" s="41" t="str">
        <f t="shared" si="126"/>
        <v>9</v>
      </c>
      <c r="AB84" s="24">
        <f t="shared" si="139"/>
        <v>9.7910784099076409</v>
      </c>
      <c r="AC84" s="41" t="str">
        <f t="shared" si="127"/>
        <v>9</v>
      </c>
      <c r="AD84" s="24">
        <f t="shared" si="140"/>
        <v>9.4929409188916907</v>
      </c>
      <c r="AE84" s="41" t="str">
        <f t="shared" si="128"/>
        <v>9</v>
      </c>
      <c r="AF84" s="24">
        <f t="shared" si="141"/>
        <v>5.9152910267002881</v>
      </c>
      <c r="AG84" s="41" t="str">
        <f t="shared" si="129"/>
        <v>5</v>
      </c>
      <c r="AH84" s="24">
        <f t="shared" si="142"/>
        <v>10.983492320403457</v>
      </c>
      <c r="AI84" s="41" t="str">
        <f t="shared" si="130"/>
        <v>E</v>
      </c>
      <c r="AJ84" s="24">
        <f t="shared" si="143"/>
        <v>11.80190784484148</v>
      </c>
      <c r="AK84" s="41" t="str">
        <f t="shared" si="131"/>
        <v/>
      </c>
    </row>
    <row r="85" spans="1:37" ht="14.25" customHeight="1">
      <c r="A85" s="716"/>
      <c r="B85" s="30" t="s">
        <v>1433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146"/>
        <v>1;001XXX0E449</v>
      </c>
      <c r="H85" s="112"/>
      <c r="I85" s="341"/>
      <c r="J85" s="43">
        <v>49</v>
      </c>
      <c r="K85" s="62">
        <f t="shared" si="118"/>
        <v>1.0011045199619639</v>
      </c>
      <c r="L85" s="44" t="str">
        <f>Rydberg!L85</f>
        <v>sexty-cosmic dirac</v>
      </c>
      <c r="M85" s="40" t="str">
        <f t="shared" si="119"/>
        <v>1</v>
      </c>
      <c r="N85" s="24">
        <f t="shared" si="132"/>
        <v>1.3254239543567081E-2</v>
      </c>
      <c r="O85" s="41" t="str">
        <f t="shared" si="120"/>
        <v>0</v>
      </c>
      <c r="P85" s="24">
        <f t="shared" si="133"/>
        <v>0.15905087452280497</v>
      </c>
      <c r="Q85" s="41" t="str">
        <f t="shared" si="121"/>
        <v>0</v>
      </c>
      <c r="R85" s="24">
        <f t="shared" si="134"/>
        <v>1.9086104942736597</v>
      </c>
      <c r="S85" s="41" t="str">
        <f t="shared" si="122"/>
        <v>1</v>
      </c>
      <c r="T85" s="24">
        <f t="shared" si="135"/>
        <v>10.903325931283916</v>
      </c>
      <c r="U85" s="41" t="str">
        <f t="shared" si="123"/>
        <v>X</v>
      </c>
      <c r="V85" s="24">
        <f t="shared" si="136"/>
        <v>10.839911175406996</v>
      </c>
      <c r="W85" s="41" t="str">
        <f t="shared" si="124"/>
        <v>X</v>
      </c>
      <c r="X85" s="24">
        <f t="shared" si="137"/>
        <v>10.078934104883956</v>
      </c>
      <c r="Y85" s="41" t="str">
        <f t="shared" si="125"/>
        <v>X</v>
      </c>
      <c r="Z85" s="24">
        <f t="shared" si="138"/>
        <v>0.94720925860747229</v>
      </c>
      <c r="AA85" s="41" t="str">
        <f t="shared" si="126"/>
        <v>0</v>
      </c>
      <c r="AB85" s="24">
        <f t="shared" si="139"/>
        <v>11.366511103289668</v>
      </c>
      <c r="AC85" s="41" t="str">
        <f t="shared" si="127"/>
        <v>E</v>
      </c>
      <c r="AD85" s="24">
        <f t="shared" si="140"/>
        <v>4.3981332394760102</v>
      </c>
      <c r="AE85" s="41" t="str">
        <f t="shared" si="128"/>
        <v>4</v>
      </c>
      <c r="AF85" s="24">
        <f t="shared" si="141"/>
        <v>4.7775988737121224</v>
      </c>
      <c r="AG85" s="41" t="str">
        <f t="shared" si="129"/>
        <v>4</v>
      </c>
      <c r="AH85" s="24">
        <f t="shared" si="142"/>
        <v>9.3311864845454693</v>
      </c>
      <c r="AI85" s="41" t="str">
        <f t="shared" si="130"/>
        <v>9</v>
      </c>
      <c r="AJ85" s="24">
        <f t="shared" si="143"/>
        <v>3.9742378145456314</v>
      </c>
      <c r="AK85" s="41" t="str">
        <f t="shared" si="131"/>
        <v/>
      </c>
    </row>
    <row r="86" spans="1:37" ht="14.25" customHeight="1">
      <c r="A86" s="716"/>
      <c r="B86" s="30" t="s">
        <v>372</v>
      </c>
      <c r="C86" s="30"/>
      <c r="D86" s="29"/>
      <c r="E86" s="30">
        <v>12</v>
      </c>
      <c r="F86" s="29">
        <f>POWER(2,43)</f>
        <v>8796093022208</v>
      </c>
      <c r="G86" s="112" t="str">
        <f t="shared" si="146"/>
        <v>0;EX08X990X0X8</v>
      </c>
      <c r="H86" s="112"/>
      <c r="I86" s="341"/>
      <c r="J86" s="43">
        <v>12</v>
      </c>
      <c r="K86" s="62">
        <f t="shared" si="118"/>
        <v>0.98654036854514426</v>
      </c>
      <c r="L86" s="44" t="str">
        <f>INDEX(powers!$H$2:$H$75,33+J86)</f>
        <v>cosmic super</v>
      </c>
      <c r="M86" s="40" t="str">
        <f t="shared" si="119"/>
        <v>0</v>
      </c>
      <c r="N86" s="24">
        <f t="shared" si="132"/>
        <v>11.838484422541731</v>
      </c>
      <c r="O86" s="41" t="str">
        <f t="shared" si="120"/>
        <v>E</v>
      </c>
      <c r="P86" s="24">
        <f t="shared" si="133"/>
        <v>10.061813070500769</v>
      </c>
      <c r="Q86" s="41" t="str">
        <f t="shared" si="121"/>
        <v>X</v>
      </c>
      <c r="R86" s="24">
        <f t="shared" si="134"/>
        <v>0.74175684600922409</v>
      </c>
      <c r="S86" s="41" t="str">
        <f t="shared" si="122"/>
        <v>0</v>
      </c>
      <c r="T86" s="24">
        <f t="shared" si="135"/>
        <v>8.9010821521106891</v>
      </c>
      <c r="U86" s="41" t="str">
        <f t="shared" si="123"/>
        <v>8</v>
      </c>
      <c r="V86" s="24">
        <f t="shared" si="136"/>
        <v>10.812985825328269</v>
      </c>
      <c r="W86" s="41" t="str">
        <f t="shared" si="124"/>
        <v>X</v>
      </c>
      <c r="X86" s="24">
        <f t="shared" si="137"/>
        <v>9.7558299039392296</v>
      </c>
      <c r="Y86" s="41" t="str">
        <f t="shared" si="125"/>
        <v>9</v>
      </c>
      <c r="Z86" s="24">
        <f t="shared" si="138"/>
        <v>9.0699588472707546</v>
      </c>
      <c r="AA86" s="41" t="str">
        <f t="shared" si="126"/>
        <v>9</v>
      </c>
      <c r="AB86" s="24">
        <f t="shared" si="139"/>
        <v>0.83950616724905558</v>
      </c>
      <c r="AC86" s="41" t="str">
        <f t="shared" si="127"/>
        <v>0</v>
      </c>
      <c r="AD86" s="24">
        <f t="shared" si="140"/>
        <v>10.074074006988667</v>
      </c>
      <c r="AE86" s="41" t="str">
        <f t="shared" si="128"/>
        <v>X</v>
      </c>
      <c r="AF86" s="24">
        <f t="shared" si="141"/>
        <v>0.88888808386400342</v>
      </c>
      <c r="AG86" s="41" t="str">
        <f t="shared" si="129"/>
        <v>0</v>
      </c>
      <c r="AH86" s="24">
        <f t="shared" si="142"/>
        <v>10.666657006368041</v>
      </c>
      <c r="AI86" s="41" t="str">
        <f t="shared" si="130"/>
        <v>X</v>
      </c>
      <c r="AJ86" s="24">
        <f t="shared" si="143"/>
        <v>7.9998840764164925</v>
      </c>
      <c r="AK86" s="41" t="str">
        <f t="shared" si="131"/>
        <v>8</v>
      </c>
    </row>
    <row r="87" spans="1:37" ht="14.25" customHeight="1">
      <c r="A87" s="716"/>
      <c r="B87" s="30" t="s">
        <v>682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146"/>
        <v>4;68X10E696900</v>
      </c>
      <c r="H87" s="112"/>
      <c r="I87" s="341"/>
      <c r="J87" s="43">
        <v>2</v>
      </c>
      <c r="K87" s="62">
        <f t="shared" si="118"/>
        <v>4.5613946914672852</v>
      </c>
      <c r="L87" s="44" t="str">
        <f>INDEX(powers!$H$2:$H$75,33+J87)</f>
        <v>hecty</v>
      </c>
      <c r="M87" s="40" t="str">
        <f t="shared" si="119"/>
        <v>4</v>
      </c>
      <c r="N87" s="24">
        <f t="shared" si="132"/>
        <v>6.7367362976074219</v>
      </c>
      <c r="O87" s="41" t="str">
        <f t="shared" si="120"/>
        <v>6</v>
      </c>
      <c r="P87" s="24">
        <f t="shared" si="133"/>
        <v>8.8408355712890625</v>
      </c>
      <c r="Q87" s="41" t="str">
        <f t="shared" si="121"/>
        <v>8</v>
      </c>
      <c r="R87" s="24">
        <f t="shared" si="134"/>
        <v>10.09002685546875</v>
      </c>
      <c r="S87" s="41" t="str">
        <f t="shared" si="122"/>
        <v>X</v>
      </c>
      <c r="T87" s="24">
        <f t="shared" si="135"/>
        <v>1.080322265625</v>
      </c>
      <c r="U87" s="41" t="str">
        <f t="shared" si="123"/>
        <v>1</v>
      </c>
      <c r="V87" s="24">
        <f t="shared" si="136"/>
        <v>0.9638671875</v>
      </c>
      <c r="W87" s="41" t="str">
        <f t="shared" si="124"/>
        <v>0</v>
      </c>
      <c r="X87" s="24">
        <f t="shared" si="137"/>
        <v>11.56640625</v>
      </c>
      <c r="Y87" s="41" t="str">
        <f t="shared" si="125"/>
        <v>E</v>
      </c>
      <c r="Z87" s="24">
        <f t="shared" si="138"/>
        <v>6.796875</v>
      </c>
      <c r="AA87" s="41" t="str">
        <f t="shared" si="126"/>
        <v>6</v>
      </c>
      <c r="AB87" s="24">
        <f t="shared" si="139"/>
        <v>9.5625</v>
      </c>
      <c r="AC87" s="41" t="str">
        <f t="shared" si="127"/>
        <v>9</v>
      </c>
      <c r="AD87" s="24">
        <f t="shared" si="140"/>
        <v>6.75</v>
      </c>
      <c r="AE87" s="41" t="str">
        <f t="shared" si="128"/>
        <v>6</v>
      </c>
      <c r="AF87" s="24">
        <f t="shared" si="141"/>
        <v>9</v>
      </c>
      <c r="AG87" s="41" t="str">
        <f t="shared" si="129"/>
        <v>9</v>
      </c>
      <c r="AH87" s="24">
        <f t="shared" si="142"/>
        <v>0</v>
      </c>
      <c r="AI87" s="41" t="str">
        <f t="shared" si="130"/>
        <v>0</v>
      </c>
      <c r="AJ87" s="24">
        <f t="shared" si="143"/>
        <v>0</v>
      </c>
      <c r="AK87" s="41" t="str">
        <f t="shared" si="131"/>
        <v>0</v>
      </c>
    </row>
    <row r="88" spans="1:37" ht="14.25" customHeight="1" thickBot="1">
      <c r="A88" s="717"/>
      <c r="B88" s="33" t="s">
        <v>373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46"/>
        <v>0;EE17EX582521</v>
      </c>
      <c r="H88" s="47"/>
      <c r="I88" s="342"/>
      <c r="J88" s="48">
        <v>-4</v>
      </c>
      <c r="K88" s="63">
        <f t="shared" si="118"/>
        <v>0.99401955054989555</v>
      </c>
      <c r="L88" s="49" t="str">
        <f>INDEX(powers!$H$2:$H$75,33+J88)</f>
        <v>sub</v>
      </c>
      <c r="M88" s="40" t="str">
        <f t="shared" si="119"/>
        <v>0</v>
      </c>
      <c r="N88" s="24">
        <f t="shared" si="132"/>
        <v>11.928234606598746</v>
      </c>
      <c r="O88" s="41" t="str">
        <f t="shared" si="120"/>
        <v>E</v>
      </c>
      <c r="P88" s="24">
        <f t="shared" si="133"/>
        <v>11.138815279184954</v>
      </c>
      <c r="Q88" s="41" t="str">
        <f t="shared" si="121"/>
        <v>E</v>
      </c>
      <c r="R88" s="24">
        <f t="shared" si="134"/>
        <v>1.6657833502194421</v>
      </c>
      <c r="S88" s="41" t="str">
        <f t="shared" si="122"/>
        <v>1</v>
      </c>
      <c r="T88" s="24">
        <f t="shared" si="135"/>
        <v>7.9894002026333055</v>
      </c>
      <c r="U88" s="41" t="str">
        <f t="shared" si="123"/>
        <v>7</v>
      </c>
      <c r="V88" s="24">
        <f t="shared" si="136"/>
        <v>11.872802431599666</v>
      </c>
      <c r="W88" s="41" t="str">
        <f t="shared" si="124"/>
        <v>E</v>
      </c>
      <c r="X88" s="24">
        <f t="shared" si="137"/>
        <v>10.473629179195996</v>
      </c>
      <c r="Y88" s="41" t="str">
        <f t="shared" si="125"/>
        <v>X</v>
      </c>
      <c r="Z88" s="24">
        <f t="shared" si="138"/>
        <v>5.6835501503519481</v>
      </c>
      <c r="AA88" s="41" t="str">
        <f t="shared" si="126"/>
        <v>5</v>
      </c>
      <c r="AB88" s="24">
        <f t="shared" si="139"/>
        <v>8.2026018042233773</v>
      </c>
      <c r="AC88" s="41" t="str">
        <f t="shared" si="127"/>
        <v>8</v>
      </c>
      <c r="AD88" s="24">
        <f t="shared" si="140"/>
        <v>2.4312216506805271</v>
      </c>
      <c r="AE88" s="41" t="str">
        <f t="shared" si="128"/>
        <v>2</v>
      </c>
      <c r="AF88" s="24">
        <f t="shared" si="141"/>
        <v>5.1746598081663251</v>
      </c>
      <c r="AG88" s="41" t="str">
        <f t="shared" si="129"/>
        <v>5</v>
      </c>
      <c r="AH88" s="24">
        <f t="shared" si="142"/>
        <v>2.0959176979959011</v>
      </c>
      <c r="AI88" s="41" t="str">
        <f t="shared" si="130"/>
        <v>2</v>
      </c>
      <c r="AJ88" s="24">
        <f t="shared" si="143"/>
        <v>1.1510123759508133</v>
      </c>
      <c r="AK88" s="41" t="str">
        <f t="shared" si="131"/>
        <v>1</v>
      </c>
    </row>
    <row r="89" spans="1:37">
      <c r="K89" s="79"/>
      <c r="L89" s="79"/>
      <c r="M89" s="79"/>
    </row>
    <row r="90" spans="1:37" ht="15" customHeight="1">
      <c r="B90" s="3" t="s">
        <v>269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2994678.6060192026</v>
      </c>
      <c r="G90" s="142" t="str">
        <f t="shared" ref="G90" si="147">M90&amp;";"&amp;O90&amp;Q90&amp;S90&amp;U90&amp;W90&amp;Y90&amp;AA90&amp;AC90&amp;AE90&amp;AG90&amp;AI90&amp;AK90</f>
        <v>1;00504673324</v>
      </c>
      <c r="H90" s="142"/>
      <c r="I90" s="344"/>
      <c r="J90" s="38">
        <v>6</v>
      </c>
      <c r="K90" s="61">
        <f>F90/POWER(12,J90)</f>
        <v>1.002911805963864</v>
      </c>
      <c r="L90" s="39" t="str">
        <f>INDEX(powers!$H$2:$H$75,33+J90)</f>
        <v>cosmic centy</v>
      </c>
      <c r="M90" s="40" t="str">
        <f t="shared" ref="M90" si="148">IF($E90&gt;=M$31,MID($J$31,IF($E90&gt;M$31,INT(K90),ROUND(K90,0))+1,1),"")</f>
        <v>1</v>
      </c>
      <c r="N90" s="24">
        <f t="shared" ref="N90" si="149">(K90-INT(K90))*12</f>
        <v>3.4941671566367738E-2</v>
      </c>
      <c r="O90" s="41" t="str">
        <f t="shared" ref="O90" si="150">IF($E90&gt;=O$31,MID($J$31,IF($E90&gt;O$31,INT(N90),ROUND(N90,0))+1,1),"")</f>
        <v>0</v>
      </c>
      <c r="P90" s="24">
        <f t="shared" ref="P90" si="151">(N90-INT(N90))*12</f>
        <v>0.41930005879641286</v>
      </c>
      <c r="Q90" s="41" t="str">
        <f t="shared" ref="Q90" si="152">IF($E90&gt;=Q$31,MID($J$31,IF($E90&gt;Q$31,INT(P90),ROUND(P90,0))+1,1),"")</f>
        <v>0</v>
      </c>
      <c r="R90" s="24">
        <f t="shared" ref="R90" si="153">(P90-INT(P90))*12</f>
        <v>5.0316007055569543</v>
      </c>
      <c r="S90" s="41" t="str">
        <f t="shared" ref="S90" si="154">IF($E90&gt;=S$31,MID($J$31,IF($E90&gt;S$31,INT(R90),ROUND(R90,0))+1,1),"")</f>
        <v>5</v>
      </c>
      <c r="T90" s="24">
        <f t="shared" ref="T90" si="155">(R90-INT(R90))*12</f>
        <v>0.37920846668345121</v>
      </c>
      <c r="U90" s="41" t="str">
        <f t="shared" ref="U90" si="156">IF($E90&gt;=U$31,MID($J$31,IF($E90&gt;U$31,INT(T90),ROUND(T90,0))+1,1),"")</f>
        <v>0</v>
      </c>
      <c r="V90" s="24">
        <f t="shared" ref="V90" si="157">(T90-INT(T90))*12</f>
        <v>4.5505016002014145</v>
      </c>
      <c r="W90" s="41" t="str">
        <f t="shared" ref="W90" si="158">IF($E90&gt;=W$31,MID($J$31,IF($E90&gt;W$31,INT(V90),ROUND(V90,0))+1,1),"")</f>
        <v>4</v>
      </c>
      <c r="X90" s="24">
        <f t="shared" ref="X90" si="159">(V90-INT(V90))*12</f>
        <v>6.6060192024169737</v>
      </c>
      <c r="Y90" s="41" t="str">
        <f t="shared" ref="Y90" si="160">IF($E90&gt;=Y$31,MID($J$31,IF($E90&gt;Y$31,INT(X90),ROUND(X90,0))+1,1),"")</f>
        <v>6</v>
      </c>
      <c r="Z90" s="24">
        <f t="shared" ref="Z90" si="161">(X90-INT(X90))*12</f>
        <v>7.2722304290036845</v>
      </c>
      <c r="AA90" s="41" t="str">
        <f t="shared" ref="AA90" si="162">IF($E90&gt;=AA$31,MID($J$31,IF($E90&gt;AA$31,INT(Z90),ROUND(Z90,0))+1,1),"")</f>
        <v>7</v>
      </c>
      <c r="AB90" s="24">
        <f t="shared" ref="AB90" si="163">(Z90-INT(Z90))*12</f>
        <v>3.2667651480442146</v>
      </c>
      <c r="AC90" s="41" t="str">
        <f t="shared" ref="AC90" si="164">IF($E90&gt;=AC$31,MID($J$31,IF($E90&gt;AC$31,INT(AB90),ROUND(AB90,0))+1,1),"")</f>
        <v>3</v>
      </c>
      <c r="AD90" s="24">
        <f t="shared" ref="AD90" si="165">(AB90-INT(AB90))*12</f>
        <v>3.201181776530575</v>
      </c>
      <c r="AE90" s="41" t="str">
        <f t="shared" ref="AE90" si="166">IF($E90&gt;=AE$31,MID($J$31,IF($E90&gt;AE$31,INT(AD90),ROUND(AD90,0))+1,1),"")</f>
        <v>3</v>
      </c>
      <c r="AF90" s="24">
        <f t="shared" ref="AF90" si="167">(AD90-INT(AD90))*12</f>
        <v>2.4141813183669001</v>
      </c>
      <c r="AG90" s="41" t="str">
        <f t="shared" ref="AG90" si="168">IF($E90&gt;=AG$31,MID($J$31,IF($E90&gt;AG$31,INT(AF90),ROUND(AF90,0))+1,1),"")</f>
        <v>2</v>
      </c>
      <c r="AH90" s="24">
        <f t="shared" ref="AH90" si="169">(AF90-INT(AF90))*12</f>
        <v>4.970175820402801</v>
      </c>
      <c r="AI90" s="41" t="str">
        <f t="shared" ref="AI90" si="170">IF($E90&gt;=AI$31,MID($J$31,IF($E90&gt;AI$31,INT(AH90),ROUND(AH90,0))+1,1),"")</f>
        <v>4</v>
      </c>
      <c r="AJ90" s="24">
        <f t="shared" ref="AJ90" si="171">(AH90-INT(AH90))*12</f>
        <v>11.642109844833612</v>
      </c>
      <c r="AK90" s="41" t="str">
        <f t="shared" ref="AK90" si="172">IF($E90&gt;=AK$31,MID($J$31,IF($E90&gt;AK$31,INT(AJ90),ROUND(AJ90,0))+1,1),"")</f>
        <v/>
      </c>
    </row>
    <row r="91" spans="1:37">
      <c r="B91" s="141" t="s">
        <v>270</v>
      </c>
      <c r="D91" s="14">
        <f>1/(1+0.00054461702177)</f>
        <v>0.99945567942448077</v>
      </c>
    </row>
    <row r="92" spans="1:37">
      <c r="B92" s="529" t="s">
        <v>1295</v>
      </c>
      <c r="C92" s="301"/>
      <c r="D92" s="21">
        <f>R23</f>
        <v>0.96627824941988083</v>
      </c>
      <c r="E92" s="8">
        <v>7</v>
      </c>
      <c r="F92" s="21">
        <f>D92</f>
        <v>0.96627824941988083</v>
      </c>
      <c r="G92" s="142" t="str">
        <f t="shared" ref="G92:G93" si="173">M92&amp;";"&amp;O92&amp;Q92&amp;S92&amp;U92&amp;W92&amp;Y92&amp;AA92&amp;AC92&amp;AE92&amp;AG92&amp;AI92&amp;AK92</f>
        <v>0;E7188E5</v>
      </c>
      <c r="H92" s="142"/>
      <c r="I92" s="344"/>
      <c r="J92" s="38">
        <v>0</v>
      </c>
      <c r="K92" s="61">
        <f>F92/POWER(12,J92)</f>
        <v>0.96627824941988083</v>
      </c>
      <c r="L92" s="39" t="str">
        <f>INDEX(powers!$H$2:$H$75,33+J92)</f>
        <v xml:space="preserve"> </v>
      </c>
      <c r="M92" s="40" t="str">
        <f t="shared" ref="M92" si="174">IF($E92&gt;=M$31,MID($J$31,IF($E92&gt;M$31,INT(K92),ROUND(K92,0))+1,1),"")</f>
        <v>0</v>
      </c>
      <c r="N92" s="24">
        <f t="shared" ref="N92:N93" si="175">(K92-INT(K92))*12</f>
        <v>11.59533899303857</v>
      </c>
      <c r="O92" s="41" t="str">
        <f t="shared" ref="O92" si="176">IF($E92&gt;=O$31,MID($J$31,IF($E92&gt;O$31,INT(N92),ROUND(N92,0))+1,1),"")</f>
        <v>E</v>
      </c>
      <c r="P92" s="24">
        <f t="shared" ref="P92:P93" si="177">(N92-INT(N92))*12</f>
        <v>7.1440679164628449</v>
      </c>
      <c r="Q92" s="41" t="str">
        <f t="shared" ref="Q92" si="178">IF($E92&gt;=Q$31,MID($J$31,IF($E92&gt;Q$31,INT(P92),ROUND(P92,0))+1,1),"")</f>
        <v>7</v>
      </c>
      <c r="R92" s="24">
        <f t="shared" ref="R92:R93" si="179">(P92-INT(P92))*12</f>
        <v>1.7288149975541387</v>
      </c>
      <c r="S92" s="41" t="str">
        <f t="shared" ref="S92" si="180">IF($E92&gt;=S$31,MID($J$31,IF($E92&gt;S$31,INT(R92),ROUND(R92,0))+1,1),"")</f>
        <v>1</v>
      </c>
      <c r="T92" s="24">
        <f t="shared" ref="T92:T93" si="181">(R92-INT(R92))*12</f>
        <v>8.7457799706496644</v>
      </c>
      <c r="U92" s="41" t="str">
        <f t="shared" ref="U92" si="182">IF($E92&gt;=U$31,MID($J$31,IF($E92&gt;U$31,INT(T92),ROUND(T92,0))+1,1),"")</f>
        <v>8</v>
      </c>
      <c r="V92" s="24">
        <f t="shared" ref="V92:V93" si="183">(T92-INT(T92))*12</f>
        <v>8.9493596477959727</v>
      </c>
      <c r="W92" s="41" t="str">
        <f t="shared" ref="W92" si="184">IF($E92&gt;=W$31,MID($J$31,IF($E92&gt;W$31,INT(V92),ROUND(V92,0))+1,1),"")</f>
        <v>8</v>
      </c>
      <c r="X92" s="24">
        <f t="shared" ref="X92:X93" si="185">(V92-INT(V92))*12</f>
        <v>11.392315773551672</v>
      </c>
      <c r="Y92" s="41" t="str">
        <f t="shared" ref="Y92" si="186">IF($E92&gt;=Y$31,MID($J$31,IF($E92&gt;Y$31,INT(X92),ROUND(X92,0))+1,1),"")</f>
        <v>E</v>
      </c>
      <c r="Z92" s="24">
        <f t="shared" ref="Z92:Z93" si="187">(X92-INT(X92))*12</f>
        <v>4.7077892826200696</v>
      </c>
      <c r="AA92" s="41" t="str">
        <f t="shared" ref="AA92" si="188">IF($E92&gt;=AA$31,MID($J$31,IF($E92&gt;AA$31,INT(Z92),ROUND(Z92,0))+1,1),"")</f>
        <v>5</v>
      </c>
      <c r="AB92" s="24">
        <f t="shared" ref="AB92:AB93" si="189">(Z92-INT(Z92))*12</f>
        <v>8.4934713914408349</v>
      </c>
      <c r="AC92" s="41" t="str">
        <f t="shared" ref="AC92" si="190">IF($E92&gt;=AC$31,MID($J$31,IF($E92&gt;AC$31,INT(AB92),ROUND(AB92,0))+1,1),"")</f>
        <v/>
      </c>
      <c r="AD92" s="24">
        <f t="shared" ref="AD92:AD93" si="191">(AB92-INT(AB92))*12</f>
        <v>5.9216566972900182</v>
      </c>
      <c r="AE92" s="41" t="str">
        <f t="shared" ref="AE92" si="192">IF($E92&gt;=AE$31,MID($J$31,IF($E92&gt;AE$31,INT(AD92),ROUND(AD92,0))+1,1),"")</f>
        <v/>
      </c>
      <c r="AF92" s="24">
        <f t="shared" ref="AF92:AF93" si="193">(AD92-INT(AD92))*12</f>
        <v>11.059880367480218</v>
      </c>
      <c r="AG92" s="41" t="str">
        <f t="shared" ref="AG92" si="194">IF($E92&gt;=AG$31,MID($J$31,IF($E92&gt;AG$31,INT(AF92),ROUND(AF92,0))+1,1),"")</f>
        <v/>
      </c>
      <c r="AH92" s="24">
        <f t="shared" ref="AH92:AH93" si="195">(AF92-INT(AF92))*12</f>
        <v>0.71856440976262093</v>
      </c>
      <c r="AI92" s="41" t="str">
        <f t="shared" ref="AI92" si="196">IF($E92&gt;=AI$31,MID($J$31,IF($E92&gt;AI$31,INT(AH92),ROUND(AH92,0))+1,1),"")</f>
        <v/>
      </c>
      <c r="AJ92" s="24">
        <f t="shared" ref="AJ92:AJ93" si="197">(AH92-INT(AH92))*12</f>
        <v>8.6227729171514511</v>
      </c>
      <c r="AK92" s="41" t="str">
        <f t="shared" ref="AK92" si="198">IF($E92&gt;=AK$31,MID($J$31,IF($E92&gt;AK$31,INT(AJ92),ROUND(AJ92,0))+1,1),"")</f>
        <v/>
      </c>
    </row>
    <row r="93" spans="1:37">
      <c r="B93" s="529" t="s">
        <v>769</v>
      </c>
      <c r="C93" s="350"/>
      <c r="D93" s="21">
        <v>540000000000000</v>
      </c>
      <c r="E93" s="8">
        <v>7</v>
      </c>
      <c r="F93" s="21">
        <f>D93/F22</f>
        <v>211473217246261.94</v>
      </c>
      <c r="G93" s="142" t="str">
        <f t="shared" si="173"/>
        <v>1;E874E15</v>
      </c>
      <c r="H93" s="142"/>
      <c r="I93" s="344"/>
      <c r="J93" s="38">
        <v>13</v>
      </c>
      <c r="K93" s="61">
        <f>F93/POWER(12,J93)</f>
        <v>1.976510718573409</v>
      </c>
      <c r="L93" s="39" t="str">
        <f>INDEX(powers!$H$2:$H$75,33+J93)</f>
        <v>di-cosmic milly</v>
      </c>
      <c r="M93" s="40" t="str">
        <f>IF($E93&gt;=M$31,MID($J$31,IF($E93&gt;M$31,INT(K93),ROUND(K93,0))+1,1),"")</f>
        <v>1</v>
      </c>
      <c r="N93" s="24">
        <f t="shared" si="175"/>
        <v>11.718128622880908</v>
      </c>
      <c r="O93" s="41" t="str">
        <f>IF($E93&gt;=O$31,MID($J$31,IF($E93&gt;O$31,INT(N93),ROUND(N93,0))+1,1),"")</f>
        <v>E</v>
      </c>
      <c r="P93" s="24">
        <f t="shared" si="177"/>
        <v>8.6175434745708941</v>
      </c>
      <c r="Q93" s="41" t="str">
        <f>IF($E93&gt;=Q$31,MID($J$31,IF($E93&gt;Q$31,INT(P93),ROUND(P93,0))+1,1),"")</f>
        <v>8</v>
      </c>
      <c r="R93" s="24">
        <f t="shared" si="179"/>
        <v>7.4105216948507291</v>
      </c>
      <c r="S93" s="41" t="str">
        <f>IF($E93&gt;=S$31,MID($J$31,IF($E93&gt;S$31,INT(R93),ROUND(R93,0))+1,1),"")</f>
        <v>7</v>
      </c>
      <c r="T93" s="24">
        <f t="shared" si="181"/>
        <v>4.9262603382087491</v>
      </c>
      <c r="U93" s="41" t="str">
        <f>IF($E93&gt;=U$31,MID($J$31,IF($E93&gt;U$31,INT(T93),ROUND(T93,0))+1,1),"")</f>
        <v>4</v>
      </c>
      <c r="V93" s="24">
        <f t="shared" si="183"/>
        <v>11.115124058504989</v>
      </c>
      <c r="W93" s="41" t="str">
        <f>IF($E93&gt;=W$31,MID($J$31,IF($E93&gt;W$31,INT(V93),ROUND(V93,0))+1,1),"")</f>
        <v>E</v>
      </c>
      <c r="X93" s="24">
        <f t="shared" si="185"/>
        <v>1.381488702059869</v>
      </c>
      <c r="Y93" s="41" t="str">
        <f>IF($E93&gt;=Y$31,MID($J$31,IF($E93&gt;Y$31,INT(X93),ROUND(X93,0))+1,1),"")</f>
        <v>1</v>
      </c>
      <c r="Z93" s="24">
        <f t="shared" si="187"/>
        <v>4.5778644247184275</v>
      </c>
      <c r="AA93" s="41" t="str">
        <f>IF($E93&gt;=AA$31,MID($J$31,IF($E93&gt;AA$31,INT(Z93),ROUND(Z93,0))+1,1),"")</f>
        <v>5</v>
      </c>
      <c r="AB93" s="24">
        <f t="shared" si="189"/>
        <v>6.9343730966211297</v>
      </c>
      <c r="AC93" s="41" t="str">
        <f>IF($E93&gt;=AC$31,MID($J$31,IF($E93&gt;AC$31,INT(AB93),ROUND(AB93,0))+1,1),"")</f>
        <v/>
      </c>
      <c r="AD93" s="24">
        <f t="shared" si="191"/>
        <v>11.212477159453556</v>
      </c>
      <c r="AE93" s="41" t="str">
        <f>IF($E93&gt;=AE$31,MID($J$31,IF($E93&gt;AE$31,INT(AD93),ROUND(AD93,0))+1,1),"")</f>
        <v/>
      </c>
      <c r="AF93" s="24">
        <f t="shared" si="193"/>
        <v>2.5497259134426713</v>
      </c>
      <c r="AG93" s="41" t="str">
        <f>IF($E93&gt;=AG$31,MID($J$31,IF($E93&gt;AG$31,INT(AF93),ROUND(AF93,0))+1,1),"")</f>
        <v/>
      </c>
      <c r="AH93" s="24">
        <f t="shared" si="195"/>
        <v>6.5967109613120556</v>
      </c>
      <c r="AI93" s="41" t="str">
        <f>IF($E93&gt;=AI$31,MID($J$31,IF($E93&gt;AI$31,INT(AH93),ROUND(AH93,0))+1,1),"")</f>
        <v/>
      </c>
      <c r="AJ93" s="24">
        <f t="shared" si="197"/>
        <v>7.1605315357446671</v>
      </c>
      <c r="AK93" s="41" t="str">
        <f>IF($E93&gt;=AK$31,MID($J$31,IF($E93&gt;AK$31,INT(AJ93),ROUND(AJ93,0))+1,1),"")</f>
        <v/>
      </c>
    </row>
    <row r="94" spans="1:37">
      <c r="B94" s="14" t="s">
        <v>1887</v>
      </c>
      <c r="D94" s="204">
        <f>F22*F94</f>
        <v>546417476946198.56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5" spans="1:37">
      <c r="I95" s="14"/>
    </row>
    <row r="96" spans="1:37">
      <c r="I96" s="14"/>
    </row>
    <row r="97" spans="9:9">
      <c r="I97" s="14"/>
    </row>
    <row r="98" spans="9:9">
      <c r="I98" s="14"/>
    </row>
    <row r="99" spans="9:9">
      <c r="I99" s="14"/>
    </row>
    <row r="100" spans="9:9">
      <c r="I100" s="14"/>
    </row>
    <row r="101" spans="9:9">
      <c r="I101" s="14"/>
    </row>
    <row r="102" spans="9:9">
      <c r="I102" s="14"/>
    </row>
    <row r="103" spans="9:9">
      <c r="I103" s="14"/>
    </row>
    <row r="104" spans="9:9">
      <c r="I104" s="14"/>
    </row>
    <row r="105" spans="9:9">
      <c r="I105" s="14"/>
    </row>
    <row r="106" spans="9:9">
      <c r="I106" s="14"/>
    </row>
    <row r="107" spans="9:9">
      <c r="I107" s="14"/>
    </row>
    <row r="108" spans="9:9">
      <c r="I108" s="14"/>
    </row>
    <row r="109" spans="9:9">
      <c r="I109" s="14"/>
    </row>
    <row r="110" spans="9:9">
      <c r="I110" s="14"/>
    </row>
    <row r="111" spans="9:9">
      <c r="I111" s="14"/>
    </row>
    <row r="112" spans="9:9">
      <c r="I112" s="14"/>
    </row>
    <row r="113" spans="9:9">
      <c r="I113" s="14"/>
    </row>
    <row r="114" spans="9:9">
      <c r="I114" s="14"/>
    </row>
    <row r="115" spans="9:9">
      <c r="I115" s="14"/>
    </row>
    <row r="116" spans="9:9">
      <c r="I116" s="14"/>
    </row>
    <row r="117" spans="9:9">
      <c r="I117" s="14"/>
    </row>
    <row r="118" spans="9:9">
      <c r="I118" s="14"/>
    </row>
    <row r="119" spans="9:9">
      <c r="I119" s="14"/>
    </row>
    <row r="120" spans="9:9">
      <c r="I120" s="14"/>
    </row>
    <row r="121" spans="9:9">
      <c r="I121" s="14"/>
    </row>
    <row r="122" spans="9:9">
      <c r="I122" s="14"/>
    </row>
    <row r="123" spans="9:9">
      <c r="I123" s="14"/>
    </row>
  </sheetData>
  <mergeCells count="4">
    <mergeCell ref="J31:K31"/>
    <mergeCell ref="A31:A70"/>
    <mergeCell ref="A71:A88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31"/>
  <sheetViews>
    <sheetView workbookViewId="0">
      <selection activeCell="L118" sqref="L118"/>
    </sheetView>
  </sheetViews>
  <sheetFormatPr defaultRowHeight="12"/>
  <cols>
    <col min="1" max="1" width="2.75" style="14" customWidth="1"/>
    <col min="2" max="2" width="30" style="14" customWidth="1"/>
    <col min="3" max="3" width="8.625" style="14" customWidth="1"/>
    <col min="4" max="4" width="14.75" style="14" customWidth="1"/>
    <col min="5" max="5" width="3.5" style="14" customWidth="1"/>
    <col min="6" max="6" width="14.625" style="14" customWidth="1"/>
    <col min="7" max="7" width="13.875" style="14" customWidth="1"/>
    <col min="8" max="8" width="7" style="14" customWidth="1"/>
    <col min="9" max="9" width="2.75" style="343" customWidth="1"/>
    <col min="10" max="10" width="3.625" style="14" customWidth="1"/>
    <col min="11" max="11" width="9.125" style="14" customWidth="1"/>
    <col min="12" max="12" width="14.625" style="14" customWidth="1"/>
    <col min="13" max="13" width="3.625" style="14" customWidth="1"/>
    <col min="14" max="14" width="8.625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9" style="14" customWidth="1"/>
    <col min="37" max="37" width="3.125" style="14" customWidth="1"/>
    <col min="38" max="16384" width="9" style="14"/>
  </cols>
  <sheetData>
    <row r="1" spans="1:37" ht="11.25" customHeight="1">
      <c r="A1" s="718" t="s">
        <v>26</v>
      </c>
      <c r="B1" s="535" t="s">
        <v>42</v>
      </c>
      <c r="C1" s="18" t="str">
        <f>Rydberg!C1</f>
        <v>Unit Symbol</v>
      </c>
      <c r="D1" s="535" t="s">
        <v>43</v>
      </c>
      <c r="E1" s="18" t="s">
        <v>44</v>
      </c>
      <c r="F1" s="535" t="s">
        <v>55</v>
      </c>
      <c r="G1" s="535" t="s">
        <v>1317</v>
      </c>
      <c r="H1" s="18" t="str">
        <f>Rydberg!H$1</f>
        <v>difference</v>
      </c>
      <c r="I1" s="349" t="s">
        <v>767</v>
      </c>
      <c r="J1" s="19"/>
      <c r="K1" s="533" t="s">
        <v>46</v>
      </c>
      <c r="L1" s="537"/>
    </row>
    <row r="2" spans="1:37" ht="13.5" customHeight="1">
      <c r="A2" s="719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23">
        <v>0</v>
      </c>
      <c r="N2" s="24">
        <f>D36*POWER(12,M2)</f>
        <v>1.0545718E-34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719"/>
      <c r="B3" s="2" t="str">
        <f>Rydberg!B3</f>
        <v>Length</v>
      </c>
      <c r="C3" s="7" t="str">
        <f>Rydberg!C3</f>
        <v>m</v>
      </c>
      <c r="D3" s="322">
        <f>SQRT(35*D44*N$2/POWER(D35,3))</f>
        <v>9.5617360022251509E-35</v>
      </c>
      <c r="E3" s="8">
        <v>0</v>
      </c>
      <c r="F3" s="21">
        <f t="shared" ref="F3:F30" si="0">D3*POWER(12,E3)</f>
        <v>9.5617360022251509E-35</v>
      </c>
      <c r="G3" s="26" t="s">
        <v>79</v>
      </c>
      <c r="H3" s="26"/>
      <c r="I3" s="334"/>
      <c r="J3" s="87">
        <f>FLOOR(LOG(F3,1000),1)*3</f>
        <v>-36</v>
      </c>
      <c r="K3" s="58">
        <f>F3/POWER(10,J3)</f>
        <v>95.617360022251518</v>
      </c>
      <c r="L3" s="122"/>
      <c r="M3" s="630">
        <f>ROUND(LOG(F3/Clock_by_Rydberg!F3)/LOG(12),0)</f>
        <v>-31</v>
      </c>
      <c r="N3" s="631">
        <f>FLOOR(M3,8)/8</f>
        <v>-4</v>
      </c>
      <c r="O3" s="319">
        <f>MOD(M3,8)</f>
        <v>1</v>
      </c>
      <c r="P3" s="83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719"/>
      <c r="B4" s="2" t="str">
        <f>Rydberg!B4</f>
        <v>Time</v>
      </c>
      <c r="C4" s="7" t="str">
        <f>Rydberg!C4</f>
        <v>s</v>
      </c>
      <c r="D4" s="322">
        <f>D$3/D$35</f>
        <v>3.1894518181058281E-43</v>
      </c>
      <c r="E4" s="8">
        <v>0</v>
      </c>
      <c r="F4" s="21">
        <f t="shared" si="0"/>
        <v>3.1894518181058281E-43</v>
      </c>
      <c r="G4" s="555">
        <f>(F4*POWER(12,39-M2/2)/SQRT(D36/Rydberg!D36)-Clock!F4)*(365+31/128)*128*12*12*12/60</f>
        <v>29.800919207778851</v>
      </c>
      <c r="H4" s="283"/>
      <c r="I4" s="335"/>
      <c r="J4" s="87">
        <f t="shared" ref="J4:J30" si="1">FLOOR(LOG(F4,1000),1)*3</f>
        <v>-45</v>
      </c>
      <c r="K4" s="58">
        <f t="shared" ref="K4:K30" si="2">F4/POWER(10,J4)</f>
        <v>318.94518181058277</v>
      </c>
      <c r="L4" s="122"/>
      <c r="M4" s="630">
        <f>ROUND(LOG(F4/Clock_by_Rydberg!F4)/LOG(12),0)</f>
        <v>-39</v>
      </c>
      <c r="N4" s="631">
        <f t="shared" ref="N4:N30" si="3">FLOOR(M4,8)/8</f>
        <v>-5</v>
      </c>
      <c r="O4" s="319">
        <f t="shared" ref="O4:O30" si="4">MOD(M4,8)</f>
        <v>1</v>
      </c>
      <c r="P4" s="83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719"/>
      <c r="B5" s="2" t="str">
        <f>Rydberg!B5</f>
        <v>Energy</v>
      </c>
      <c r="C5" s="2" t="str">
        <f>Rydberg!C5</f>
        <v>J</v>
      </c>
      <c r="D5" s="21">
        <f>N$2/D$4</f>
        <v>330643590.22871077</v>
      </c>
      <c r="E5" s="8">
        <v>0</v>
      </c>
      <c r="F5" s="21">
        <f t="shared" si="0"/>
        <v>330643590.22871077</v>
      </c>
      <c r="G5" s="21"/>
      <c r="H5" s="21"/>
      <c r="I5" s="333"/>
      <c r="J5" s="87">
        <f t="shared" si="1"/>
        <v>6</v>
      </c>
      <c r="K5" s="58">
        <f t="shared" si="2"/>
        <v>330.64359022871076</v>
      </c>
      <c r="L5" s="122" t="s">
        <v>1312</v>
      </c>
      <c r="M5" s="630">
        <f>ROUND(LOG(F5/Clock_by_Rydberg!F5)/LOG(12),0)</f>
        <v>9</v>
      </c>
      <c r="N5" s="631">
        <f t="shared" si="3"/>
        <v>1</v>
      </c>
      <c r="O5" s="319">
        <f t="shared" si="4"/>
        <v>1</v>
      </c>
      <c r="P5" s="8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719"/>
      <c r="B6" s="2" t="str">
        <f>Rydberg!B6</f>
        <v>Temperature</v>
      </c>
      <c r="C6" s="2" t="str">
        <f>Rydberg!C6</f>
        <v>K</v>
      </c>
      <c r="D6" s="21">
        <f>D$5/D$37</f>
        <v>2.3948426079413085E+31</v>
      </c>
      <c r="E6" s="278">
        <v>0</v>
      </c>
      <c r="F6" s="279">
        <f t="shared" si="0"/>
        <v>2.3948426079413085E+31</v>
      </c>
      <c r="G6" s="21"/>
      <c r="H6" s="21"/>
      <c r="I6" s="333"/>
      <c r="J6" s="87">
        <f t="shared" si="1"/>
        <v>30</v>
      </c>
      <c r="K6" s="281">
        <f t="shared" si="2"/>
        <v>23.948426079413085</v>
      </c>
      <c r="L6" s="282"/>
      <c r="M6" s="630">
        <f>ROUND(LOG(F6/Clock_by_Rydberg!F6)/LOG(12),0)</f>
        <v>33</v>
      </c>
      <c r="N6" s="631">
        <f t="shared" si="3"/>
        <v>4</v>
      </c>
      <c r="O6" s="319">
        <f t="shared" si="4"/>
        <v>1</v>
      </c>
      <c r="P6" s="83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719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333"/>
      <c r="J7" s="87">
        <f t="shared" si="1"/>
        <v>-24</v>
      </c>
      <c r="K7" s="58">
        <f t="shared" si="2"/>
        <v>1.660539040427164</v>
      </c>
      <c r="L7" s="122"/>
      <c r="M7" s="630">
        <f>ROUND(LOG(F7/Clock_by_Rydberg!F7)/LOG(12),0)</f>
        <v>-24</v>
      </c>
      <c r="N7" s="631">
        <f t="shared" si="3"/>
        <v>-3</v>
      </c>
      <c r="O7" s="319">
        <f t="shared" si="4"/>
        <v>0</v>
      </c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719"/>
      <c r="B8" s="2" t="str">
        <f>Rydberg!B8</f>
        <v>Mass</v>
      </c>
      <c r="C8" s="2" t="str">
        <f>Rydberg!C8</f>
        <v>g</v>
      </c>
      <c r="D8" s="21">
        <f>D$5/(D$35*D$35)</f>
        <v>3.678906092017447E-9</v>
      </c>
      <c r="E8" s="8">
        <v>0</v>
      </c>
      <c r="F8" s="21">
        <f t="shared" si="0"/>
        <v>3.678906092017447E-9</v>
      </c>
      <c r="G8" s="21"/>
      <c r="H8" s="21"/>
      <c r="I8" s="333"/>
      <c r="J8" s="87">
        <f t="shared" si="1"/>
        <v>-9</v>
      </c>
      <c r="K8" s="58">
        <f t="shared" si="2"/>
        <v>3.6789060920174466</v>
      </c>
      <c r="L8" s="122" t="s">
        <v>582</v>
      </c>
      <c r="M8" s="630">
        <f>ROUND(LOG(F8/Clock_by_Rydberg!F8)/LOG(12),0)</f>
        <v>-7</v>
      </c>
      <c r="N8" s="631">
        <f t="shared" si="3"/>
        <v>-1</v>
      </c>
      <c r="O8" s="319">
        <f t="shared" si="4"/>
        <v>1</v>
      </c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719"/>
      <c r="B9" s="2" t="str">
        <f>Rydberg!B9</f>
        <v>Power</v>
      </c>
      <c r="C9" s="2" t="str">
        <f>Rydberg!C9</f>
        <v>W</v>
      </c>
      <c r="D9" s="21">
        <f>D$5/D$4</f>
        <v>1.0366784296653068E+51</v>
      </c>
      <c r="E9" s="8">
        <v>0</v>
      </c>
      <c r="F9" s="21">
        <f t="shared" si="0"/>
        <v>1.0366784296653068E+51</v>
      </c>
      <c r="G9" s="21"/>
      <c r="H9" s="21"/>
      <c r="I9" s="333"/>
      <c r="J9" s="87">
        <f t="shared" si="1"/>
        <v>51</v>
      </c>
      <c r="K9" s="58">
        <f t="shared" si="2"/>
        <v>1.0366784296653069</v>
      </c>
      <c r="L9" s="122"/>
      <c r="M9" s="630">
        <f>ROUND(LOG(F9/Clock_by_Rydberg!F9)/LOG(12),0)</f>
        <v>48</v>
      </c>
      <c r="N9" s="631">
        <f t="shared" si="3"/>
        <v>6</v>
      </c>
      <c r="O9" s="319">
        <f t="shared" si="4"/>
        <v>0</v>
      </c>
      <c r="P9" s="83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719"/>
      <c r="B10" s="2" t="str">
        <f>Rydberg!B10</f>
        <v>Force</v>
      </c>
      <c r="C10" s="2" t="str">
        <f>Rydberg!C10</f>
        <v>N</v>
      </c>
      <c r="D10" s="21">
        <f>D$5/D$3</f>
        <v>3.4579870240274918E+42</v>
      </c>
      <c r="E10" s="8">
        <v>0</v>
      </c>
      <c r="F10" s="21">
        <f t="shared" si="0"/>
        <v>3.4579870240274918E+42</v>
      </c>
      <c r="G10" s="21"/>
      <c r="H10" s="21"/>
      <c r="I10" s="333"/>
      <c r="J10" s="87">
        <f t="shared" si="1"/>
        <v>42</v>
      </c>
      <c r="K10" s="58">
        <f t="shared" si="2"/>
        <v>3.4579870240274917</v>
      </c>
      <c r="L10" s="122"/>
      <c r="M10" s="630">
        <f>ROUND(LOG(F10/Clock_by_Rydberg!F10)/LOG(12),0)</f>
        <v>40</v>
      </c>
      <c r="N10" s="631">
        <f t="shared" si="3"/>
        <v>5</v>
      </c>
      <c r="O10" s="319">
        <f t="shared" si="4"/>
        <v>0</v>
      </c>
      <c r="P10" s="83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719"/>
      <c r="B11" s="2" t="str">
        <f>Rydberg!B11</f>
        <v>Pressure</v>
      </c>
      <c r="C11" s="2" t="str">
        <f>Rydberg!C11</f>
        <v>P</v>
      </c>
      <c r="D11" s="21">
        <f>D$5/POWER(D$3,3)</f>
        <v>3.7822467798382747E+110</v>
      </c>
      <c r="E11" s="8">
        <v>0</v>
      </c>
      <c r="F11" s="21">
        <f t="shared" si="0"/>
        <v>3.7822467798382747E+110</v>
      </c>
      <c r="G11" s="21"/>
      <c r="H11" s="21"/>
      <c r="I11" s="333"/>
      <c r="J11" s="87">
        <f t="shared" si="1"/>
        <v>108</v>
      </c>
      <c r="K11" s="58">
        <f t="shared" si="2"/>
        <v>378.22467798382746</v>
      </c>
      <c r="L11" s="122"/>
      <c r="M11" s="630">
        <f>ROUND(LOG(F11/Clock_by_Rydberg!F11)/LOG(12),0)</f>
        <v>102</v>
      </c>
      <c r="N11" s="631">
        <f t="shared" si="3"/>
        <v>12</v>
      </c>
      <c r="O11" s="319">
        <f t="shared" si="4"/>
        <v>6</v>
      </c>
      <c r="P11" s="83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719"/>
      <c r="B12" s="2" t="str">
        <f>Rydberg!B12</f>
        <v>Charge</v>
      </c>
      <c r="C12" s="2" t="str">
        <f>Rydberg!C12</f>
        <v>C</v>
      </c>
      <c r="D12" s="21">
        <f>SQRT(N$2/29.9792458)</f>
        <v>1.8755460225984499E-18</v>
      </c>
      <c r="E12" s="8">
        <v>0</v>
      </c>
      <c r="F12" s="21">
        <f t="shared" si="0"/>
        <v>1.8755460225984499E-18</v>
      </c>
      <c r="G12" s="21"/>
      <c r="H12" s="21"/>
      <c r="I12" s="333"/>
      <c r="J12" s="87">
        <f t="shared" si="1"/>
        <v>-18</v>
      </c>
      <c r="K12" s="58">
        <f t="shared" si="2"/>
        <v>1.8755460225984497</v>
      </c>
      <c r="L12" s="122" t="s">
        <v>1313</v>
      </c>
      <c r="M12" s="630">
        <f>ROUND(LOG(F12/Clock_by_Rydberg!F12)/LOG(12),0)</f>
        <v>-15</v>
      </c>
      <c r="N12" s="631">
        <f t="shared" si="3"/>
        <v>-2</v>
      </c>
      <c r="O12" s="319">
        <f t="shared" si="4"/>
        <v>1</v>
      </c>
      <c r="P12" s="83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719"/>
      <c r="B13" s="2" t="str">
        <f>Rydberg!B13</f>
        <v>Electric current</v>
      </c>
      <c r="C13" s="2" t="str">
        <f>Rydberg!C13</f>
        <v>A</v>
      </c>
      <c r="D13" s="21">
        <f>D$12/D$4</f>
        <v>5.880465138088561E+24</v>
      </c>
      <c r="E13" s="8">
        <v>0</v>
      </c>
      <c r="F13" s="21">
        <f t="shared" si="0"/>
        <v>5.880465138088561E+24</v>
      </c>
      <c r="G13" s="21"/>
      <c r="H13" s="21"/>
      <c r="I13" s="333"/>
      <c r="J13" s="87">
        <f t="shared" si="1"/>
        <v>24</v>
      </c>
      <c r="K13" s="58">
        <f t="shared" si="2"/>
        <v>5.8804651380885611</v>
      </c>
      <c r="L13" s="122" t="s">
        <v>1314</v>
      </c>
      <c r="M13" s="630">
        <f>ROUND(LOG(F13/Clock_by_Rydberg!F13)/LOG(12),0)</f>
        <v>24</v>
      </c>
      <c r="N13" s="631">
        <f t="shared" si="3"/>
        <v>3</v>
      </c>
      <c r="O13" s="319">
        <f t="shared" si="4"/>
        <v>0</v>
      </c>
      <c r="P13" s="83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719"/>
      <c r="B14" s="2" t="str">
        <f>Rydberg!B14</f>
        <v>Field Strength</v>
      </c>
      <c r="C14" s="2" t="str">
        <f>Rydberg!C14</f>
        <v>O</v>
      </c>
      <c r="D14" s="21">
        <f>D13/D3</f>
        <v>6.1499973819817802E+58</v>
      </c>
      <c r="E14" s="8">
        <v>0</v>
      </c>
      <c r="F14" s="21">
        <f t="shared" si="0"/>
        <v>6.1499973819817802E+58</v>
      </c>
      <c r="G14" s="21"/>
      <c r="H14" s="21"/>
      <c r="I14" s="333"/>
      <c r="J14" s="87">
        <f t="shared" si="1"/>
        <v>57</v>
      </c>
      <c r="K14" s="58">
        <f t="shared" si="2"/>
        <v>61.499973819817797</v>
      </c>
      <c r="L14" s="122"/>
      <c r="M14" s="630">
        <f>ROUND(LOG(F14/Clock_by_Rydberg!F14)/LOG(12),0)</f>
        <v>55</v>
      </c>
      <c r="N14" s="631">
        <f t="shared" si="3"/>
        <v>6</v>
      </c>
      <c r="O14" s="319">
        <f t="shared" si="4"/>
        <v>7</v>
      </c>
      <c r="P14" s="83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719"/>
      <c r="B15" s="2" t="str">
        <f>Rydberg!B15</f>
        <v>Flux density</v>
      </c>
      <c r="C15" s="2" t="str">
        <f>Rydberg!C15</f>
        <v>G</v>
      </c>
      <c r="D15" s="21">
        <f>D12/D3/D3</f>
        <v>2.0514183121917559E+50</v>
      </c>
      <c r="E15" s="8">
        <v>0</v>
      </c>
      <c r="F15" s="21">
        <f t="shared" si="0"/>
        <v>2.0514183121917559E+50</v>
      </c>
      <c r="G15" s="21"/>
      <c r="H15" s="21"/>
      <c r="I15" s="333"/>
      <c r="J15" s="87">
        <f t="shared" si="1"/>
        <v>48</v>
      </c>
      <c r="K15" s="58">
        <f t="shared" si="2"/>
        <v>205.14183121917557</v>
      </c>
      <c r="L15" s="122"/>
      <c r="M15" s="630">
        <f>ROUND(LOG(F15/Clock_by_Rydberg!F15)/LOG(12),0)</f>
        <v>47</v>
      </c>
      <c r="N15" s="631">
        <f t="shared" si="3"/>
        <v>5</v>
      </c>
      <c r="O15" s="319">
        <f t="shared" si="4"/>
        <v>7</v>
      </c>
      <c r="P15" s="83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719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7">
        <f t="shared" si="1"/>
        <v>0</v>
      </c>
      <c r="K16" s="58">
        <f t="shared" si="2"/>
        <v>29.979245800000001</v>
      </c>
      <c r="L16" s="122" t="str">
        <f>Rydberg!L16</f>
        <v>Ω</v>
      </c>
      <c r="M16" s="630">
        <f>ROUND(LOG(F16/Clock_by_Rydberg!F16)/LOG(12),0)</f>
        <v>0</v>
      </c>
      <c r="N16" s="631">
        <f t="shared" si="3"/>
        <v>0</v>
      </c>
      <c r="O16" s="319">
        <f t="shared" si="4"/>
        <v>0</v>
      </c>
      <c r="P16" s="83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719"/>
      <c r="B17" s="2" t="str">
        <f>Rydberg!B17</f>
        <v>Electric potential difference</v>
      </c>
      <c r="C17" s="2" t="str">
        <f>Rydberg!C17</f>
        <v>ΩA</v>
      </c>
      <c r="D17" s="21">
        <f>D13*D$16</f>
        <v>1.7629190979308792E+26</v>
      </c>
      <c r="E17" s="8">
        <v>0</v>
      </c>
      <c r="F17" s="21">
        <f t="shared" si="0"/>
        <v>1.7629190979308792E+26</v>
      </c>
      <c r="G17" s="21"/>
      <c r="H17" s="21"/>
      <c r="I17" s="333"/>
      <c r="J17" s="87">
        <f t="shared" si="1"/>
        <v>24</v>
      </c>
      <c r="K17" s="58">
        <f t="shared" si="2"/>
        <v>176.29190979308794</v>
      </c>
      <c r="L17" s="122" t="s">
        <v>1315</v>
      </c>
      <c r="M17" s="630">
        <f>ROUND(LOG(F17/Clock_by_Rydberg!F17)/LOG(12),0)</f>
        <v>24</v>
      </c>
      <c r="N17" s="631">
        <f t="shared" si="3"/>
        <v>3</v>
      </c>
      <c r="O17" s="319">
        <f t="shared" si="4"/>
        <v>0</v>
      </c>
      <c r="P17" s="83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719"/>
      <c r="B18" s="2" t="str">
        <f>Rydberg!B18</f>
        <v>Electric capacitance</v>
      </c>
      <c r="C18" s="2" t="str">
        <f>Rydberg!C18</f>
        <v>s/Ω</v>
      </c>
      <c r="D18" s="21">
        <f>D4/D16</f>
        <v>1.0638866098845716E-44</v>
      </c>
      <c r="E18" s="8">
        <v>0</v>
      </c>
      <c r="F18" s="21">
        <f t="shared" si="0"/>
        <v>1.0638866098845716E-44</v>
      </c>
      <c r="G18" s="21"/>
      <c r="H18" s="21"/>
      <c r="I18" s="333"/>
      <c r="J18" s="87">
        <f t="shared" si="1"/>
        <v>-45</v>
      </c>
      <c r="K18" s="58">
        <f t="shared" si="2"/>
        <v>10.638866098845714</v>
      </c>
      <c r="L18" s="122"/>
      <c r="M18" s="630">
        <f>ROUND(LOG(F18/Clock_by_Rydberg!F18)/LOG(12),0)</f>
        <v>-39</v>
      </c>
      <c r="N18" s="631">
        <f t="shared" si="3"/>
        <v>-5</v>
      </c>
      <c r="O18" s="319">
        <f t="shared" si="4"/>
        <v>1</v>
      </c>
      <c r="P18" s="121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719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0</v>
      </c>
      <c r="F19" s="21">
        <f t="shared" si="0"/>
        <v>5.6227455220691289E-17</v>
      </c>
      <c r="G19" s="21"/>
      <c r="H19" s="21"/>
      <c r="I19" s="333"/>
      <c r="J19" s="87">
        <f t="shared" si="1"/>
        <v>-18</v>
      </c>
      <c r="K19" s="58">
        <f t="shared" si="2"/>
        <v>56.227455220691283</v>
      </c>
      <c r="L19" s="122" t="s">
        <v>794</v>
      </c>
      <c r="M19" s="630">
        <f>ROUND(LOG(F19/Clock_by_Rydberg!F19)/LOG(12),0)</f>
        <v>-15</v>
      </c>
      <c r="N19" s="631">
        <f t="shared" si="3"/>
        <v>-2</v>
      </c>
      <c r="O19" s="319">
        <f t="shared" si="4"/>
        <v>1</v>
      </c>
      <c r="P19" s="121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719"/>
      <c r="B20" s="2" t="str">
        <f>Rydberg!B20</f>
        <v>Magnetic flux density</v>
      </c>
      <c r="C20" s="2" t="str">
        <f>Rydberg!C20</f>
        <v>ΩG</v>
      </c>
      <c r="D20" s="21">
        <f>D19/D3/D3</f>
        <v>6.1499973819817803E+51</v>
      </c>
      <c r="E20" s="8">
        <v>0</v>
      </c>
      <c r="F20" s="21">
        <f t="shared" si="0"/>
        <v>6.1499973819817803E+51</v>
      </c>
      <c r="G20" s="21"/>
      <c r="H20" s="21"/>
      <c r="I20" s="333"/>
      <c r="J20" s="87">
        <f t="shared" si="1"/>
        <v>51</v>
      </c>
      <c r="K20" s="58">
        <f t="shared" si="2"/>
        <v>6.1499973819817804</v>
      </c>
      <c r="L20" s="122"/>
      <c r="M20" s="630">
        <f>ROUND(LOG(F20/Clock_by_Rydberg!F20)/LOG(12),0)</f>
        <v>47</v>
      </c>
      <c r="N20" s="631">
        <f t="shared" si="3"/>
        <v>5</v>
      </c>
      <c r="O20" s="319">
        <f t="shared" si="4"/>
        <v>7</v>
      </c>
      <c r="P20" s="121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719"/>
      <c r="B21" s="6" t="str">
        <f>Rydberg!B21</f>
        <v>Inductance</v>
      </c>
      <c r="C21" s="6" t="str">
        <f>Rydberg!C21</f>
        <v>sΩ</v>
      </c>
      <c r="D21" s="29">
        <f>D4*D$16</f>
        <v>9.5617360022251512E-42</v>
      </c>
      <c r="E21" s="30">
        <v>0</v>
      </c>
      <c r="F21" s="29">
        <f t="shared" si="0"/>
        <v>9.5617360022251512E-42</v>
      </c>
      <c r="G21" s="29"/>
      <c r="H21" s="29"/>
      <c r="I21" s="336"/>
      <c r="J21" s="87">
        <f t="shared" si="1"/>
        <v>-42</v>
      </c>
      <c r="K21" s="59">
        <f t="shared" si="2"/>
        <v>9.5617360022251532</v>
      </c>
      <c r="L21" s="123"/>
      <c r="M21" s="630">
        <f>ROUND(LOG(F21/Clock_by_Rydberg!F21)/LOG(12),0)</f>
        <v>-39</v>
      </c>
      <c r="N21" s="631">
        <f t="shared" si="3"/>
        <v>-5</v>
      </c>
      <c r="O21" s="319">
        <f t="shared" si="4"/>
        <v>1</v>
      </c>
      <c r="P21" s="121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719"/>
      <c r="B22" s="2" t="str">
        <f>Rydberg!B22</f>
        <v>Frequency</v>
      </c>
      <c r="C22" s="2" t="str">
        <f>Rydberg!C22</f>
        <v>Ω_1/s</v>
      </c>
      <c r="D22" s="29">
        <f>1/D4</f>
        <v>3.1353350262989282E+42</v>
      </c>
      <c r="E22" s="30">
        <f>-E4</f>
        <v>0</v>
      </c>
      <c r="F22" s="29">
        <f t="shared" si="0"/>
        <v>3.1353350262989282E+42</v>
      </c>
      <c r="G22" s="21"/>
      <c r="H22" s="21"/>
      <c r="I22" s="333"/>
      <c r="J22" s="87">
        <f t="shared" si="1"/>
        <v>42</v>
      </c>
      <c r="K22" s="58">
        <f t="shared" si="2"/>
        <v>3.1353350262989279</v>
      </c>
      <c r="L22" s="122"/>
      <c r="M22" s="630">
        <f>ROUND(LOG(F22/Clock_by_Rydberg!F22)/LOG(12),0)</f>
        <v>39</v>
      </c>
      <c r="N22" s="631">
        <f t="shared" si="3"/>
        <v>4</v>
      </c>
      <c r="O22" s="319">
        <f t="shared" si="4"/>
        <v>7</v>
      </c>
      <c r="P22" s="83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>
      <c r="A23" s="719"/>
      <c r="B23" s="2" t="str">
        <f>Rydberg!B23</f>
        <v>Luminous flux</v>
      </c>
      <c r="C23" s="2" t="str">
        <f>Rydberg!C23</f>
        <v>W_sen</v>
      </c>
      <c r="D23" s="21">
        <f>D9*683/R23</f>
        <v>7.3094650025196865E+53</v>
      </c>
      <c r="E23" s="8">
        <f>E9</f>
        <v>0</v>
      </c>
      <c r="F23" s="21">
        <f t="shared" si="0"/>
        <v>7.3094650025196865E+53</v>
      </c>
      <c r="G23" s="21"/>
      <c r="H23" s="21"/>
      <c r="I23" s="333"/>
      <c r="J23" s="87">
        <f t="shared" si="1"/>
        <v>51</v>
      </c>
      <c r="K23" s="58">
        <f t="shared" si="2"/>
        <v>730.9465002519687</v>
      </c>
      <c r="L23" s="122"/>
      <c r="M23" s="630">
        <f>ROUND(LOG(F23/Clock_by_Rydberg!F23)/LOG(12),0)</f>
        <v>48</v>
      </c>
      <c r="N23" s="631">
        <f t="shared" si="3"/>
        <v>6</v>
      </c>
      <c r="O23" s="319">
        <f t="shared" si="4"/>
        <v>0</v>
      </c>
      <c r="P23" s="83"/>
      <c r="Q23" s="24"/>
      <c r="R23" s="297">
        <f>1/K58</f>
        <v>0.96867741649673156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719"/>
      <c r="B24" s="6" t="str">
        <f>Rydberg!B24</f>
        <v>Luminous intensity</v>
      </c>
      <c r="C24" s="2" t="str">
        <f>Rydberg!C24</f>
        <v>W_sen/sr</v>
      </c>
      <c r="D24" s="21">
        <f>D23</f>
        <v>7.3094650025196865E+53</v>
      </c>
      <c r="E24" s="8">
        <f>E9</f>
        <v>0</v>
      </c>
      <c r="F24" s="21">
        <f t="shared" si="0"/>
        <v>7.3094650025196865E+53</v>
      </c>
      <c r="G24" s="21"/>
      <c r="H24" s="21"/>
      <c r="I24" s="333"/>
      <c r="J24" s="87">
        <f t="shared" si="1"/>
        <v>51</v>
      </c>
      <c r="K24" s="58">
        <f t="shared" si="2"/>
        <v>730.9465002519687</v>
      </c>
      <c r="L24" s="122"/>
      <c r="M24" s="630">
        <f>ROUND(LOG(F24/Clock_by_Rydberg!F24)/LOG(12),0)</f>
        <v>48</v>
      </c>
      <c r="N24" s="631">
        <f t="shared" si="3"/>
        <v>6</v>
      </c>
      <c r="O24" s="319">
        <f t="shared" si="4"/>
        <v>0</v>
      </c>
      <c r="P24" s="83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719"/>
      <c r="B25" s="299"/>
      <c r="C25" s="2" t="str">
        <f>Rydberg!C25</f>
        <v>W_sen/Ω_2</v>
      </c>
      <c r="D25" s="21">
        <f>D23/(4*PI())</f>
        <v>5.8166874325411065E+52</v>
      </c>
      <c r="E25" s="8">
        <f>E9</f>
        <v>0</v>
      </c>
      <c r="F25" s="21">
        <f t="shared" si="0"/>
        <v>5.8166874325411065E+52</v>
      </c>
      <c r="G25" s="21"/>
      <c r="H25" s="21"/>
      <c r="I25" s="333"/>
      <c r="J25" s="87">
        <f t="shared" si="1"/>
        <v>51</v>
      </c>
      <c r="K25" s="58">
        <f t="shared" si="2"/>
        <v>58.166874325411065</v>
      </c>
      <c r="L25" s="122"/>
      <c r="M25" s="630">
        <f>ROUND(LOG(F25/Clock_by_Rydberg!F25)/LOG(12),0)</f>
        <v>48</v>
      </c>
      <c r="N25" s="631">
        <f t="shared" si="3"/>
        <v>6</v>
      </c>
      <c r="O25" s="319">
        <f t="shared" si="4"/>
        <v>0</v>
      </c>
      <c r="P25" s="83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719"/>
      <c r="B26" s="2" t="str">
        <f>Rydberg!B26</f>
        <v>Illuminance and luminous emittance</v>
      </c>
      <c r="C26" s="2" t="str">
        <f>Rydberg!C26</f>
        <v>W_sen/m^2</v>
      </c>
      <c r="D26" s="21">
        <f>D23/D3/D3</f>
        <v>7.994882651676734E+121</v>
      </c>
      <c r="E26" s="8">
        <f>E9-2*E3</f>
        <v>0</v>
      </c>
      <c r="F26" s="21">
        <f t="shared" si="0"/>
        <v>7.994882651676734E+121</v>
      </c>
      <c r="G26" s="21"/>
      <c r="H26" s="21"/>
      <c r="I26" s="333"/>
      <c r="J26" s="87">
        <f t="shared" si="1"/>
        <v>120</v>
      </c>
      <c r="K26" s="58">
        <f t="shared" si="2"/>
        <v>79.94882651676734</v>
      </c>
      <c r="L26" s="122"/>
      <c r="M26" s="630">
        <f>ROUND(LOG(F26/Clock_by_Rydberg!F26)/LOG(12),0)</f>
        <v>110</v>
      </c>
      <c r="N26" s="631">
        <f t="shared" si="3"/>
        <v>13</v>
      </c>
      <c r="O26" s="319">
        <f t="shared" si="4"/>
        <v>6</v>
      </c>
      <c r="P26" s="83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719"/>
      <c r="B27" s="2" t="str">
        <f>Rydberg!B27</f>
        <v>Catalytic activity</v>
      </c>
      <c r="C27" s="2" t="str">
        <f>Rydberg!C27</f>
        <v>mol/s</v>
      </c>
      <c r="D27" s="21">
        <f>D7/D4</f>
        <v>5.2063462159881001E+18</v>
      </c>
      <c r="E27" s="8">
        <f>E7-E4</f>
        <v>0</v>
      </c>
      <c r="F27" s="21">
        <f t="shared" si="0"/>
        <v>5.2063462159881001E+18</v>
      </c>
      <c r="G27" s="21"/>
      <c r="H27" s="21"/>
      <c r="I27" s="333"/>
      <c r="J27" s="87">
        <f t="shared" si="1"/>
        <v>18</v>
      </c>
      <c r="K27" s="58">
        <f t="shared" si="2"/>
        <v>5.2063462159881002</v>
      </c>
      <c r="L27" s="122" t="s">
        <v>1316</v>
      </c>
      <c r="M27" s="630">
        <f>ROUND(LOG(F27/Clock_by_Rydberg!F27)/LOG(12),0)</f>
        <v>15</v>
      </c>
      <c r="N27" s="631">
        <f t="shared" si="3"/>
        <v>1</v>
      </c>
      <c r="O27" s="319">
        <f t="shared" si="4"/>
        <v>7</v>
      </c>
      <c r="P27" s="83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719"/>
      <c r="B28" s="2" t="str">
        <f>Rydberg!B28</f>
        <v>Radio activity</v>
      </c>
      <c r="C28" s="2" t="str">
        <f>Rydberg!C28</f>
        <v>mol_n/s</v>
      </c>
      <c r="D28" s="21">
        <f>1/D4</f>
        <v>3.1353350262989282E+42</v>
      </c>
      <c r="E28" s="8">
        <f>-E4</f>
        <v>0</v>
      </c>
      <c r="F28" s="21">
        <f t="shared" si="0"/>
        <v>3.1353350262989282E+42</v>
      </c>
      <c r="G28" s="21"/>
      <c r="H28" s="21"/>
      <c r="I28" s="333"/>
      <c r="J28" s="87">
        <f t="shared" si="1"/>
        <v>42</v>
      </c>
      <c r="K28" s="58">
        <f t="shared" si="2"/>
        <v>3.1353350262989279</v>
      </c>
      <c r="L28" s="122"/>
      <c r="M28" s="630">
        <f>ROUND(LOG(F28/Clock_by_Rydberg!F28)/LOG(12),0)</f>
        <v>39</v>
      </c>
      <c r="N28" s="631">
        <f t="shared" si="3"/>
        <v>4</v>
      </c>
      <c r="O28" s="319">
        <f t="shared" si="4"/>
        <v>7</v>
      </c>
      <c r="P28" s="83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719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333"/>
      <c r="J29" s="87">
        <f t="shared" si="1"/>
        <v>15</v>
      </c>
      <c r="K29" s="58">
        <f t="shared" si="2"/>
        <v>89.875517873681758</v>
      </c>
      <c r="L29" s="122" t="s">
        <v>801</v>
      </c>
      <c r="M29" s="630">
        <f>ROUND(LOG(F29/Clock_by_Rydberg!F29)/LOG(12),0)</f>
        <v>16</v>
      </c>
      <c r="N29" s="631">
        <f t="shared" si="3"/>
        <v>2</v>
      </c>
      <c r="O29" s="319">
        <f t="shared" si="4"/>
        <v>0</v>
      </c>
      <c r="P29" s="83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720"/>
      <c r="B30" s="4" t="str">
        <f>Rydberg!B30</f>
        <v>Equivalent dose</v>
      </c>
      <c r="C30" s="4" t="str">
        <f>Rydberg!C30</f>
        <v>J_sen/g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337"/>
      <c r="J30" s="92">
        <f t="shared" si="1"/>
        <v>15</v>
      </c>
      <c r="K30" s="60">
        <f t="shared" si="2"/>
        <v>89.875517873681758</v>
      </c>
      <c r="L30" s="128" t="s">
        <v>802</v>
      </c>
      <c r="M30" s="630">
        <f>ROUND(LOG(F30/Clock_by_Rydberg!F30)/LOG(12),0)</f>
        <v>16</v>
      </c>
      <c r="N30" s="631">
        <f t="shared" si="3"/>
        <v>2</v>
      </c>
      <c r="O30" s="319">
        <f t="shared" si="4"/>
        <v>0</v>
      </c>
      <c r="P30" s="118"/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>
      <c r="A31" s="718" t="s">
        <v>27</v>
      </c>
      <c r="B31" s="536" t="s">
        <v>42</v>
      </c>
      <c r="C31" s="52" t="str">
        <f>Rydberg!C31</f>
        <v>Unit Symbol</v>
      </c>
      <c r="D31" s="536" t="s">
        <v>43</v>
      </c>
      <c r="E31" s="52" t="s">
        <v>54</v>
      </c>
      <c r="F31" s="536" t="s">
        <v>47</v>
      </c>
      <c r="G31" s="536" t="s">
        <v>92</v>
      </c>
      <c r="H31" s="18" t="str">
        <f>Rydberg!H$1</f>
        <v>difference</v>
      </c>
      <c r="I31" s="338"/>
      <c r="J31" s="721" t="str">
        <f>Rydberg!J31</f>
        <v>0123456789XE</v>
      </c>
      <c r="K31" s="722">
        <f>Rydberg!K31</f>
        <v>0</v>
      </c>
      <c r="L31" s="124" t="str">
        <f>Rydberg!L31</f>
        <v>Prefix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719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centy</v>
      </c>
      <c r="M32" s="40" t="str">
        <f t="shared" ref="M32:M70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7">IF($E32&gt;=AK$31,MID($J$31,IF($E32&gt;AK$31,INT(AJ32),ROUND(AJ32,0))+1,1),"")</f>
        <v/>
      </c>
    </row>
    <row r="33" spans="1:37" ht="15" customHeight="1">
      <c r="A33" s="719"/>
      <c r="B33" s="534" t="str">
        <f>Rydberg!B33</f>
        <v>Avogadro constant</v>
      </c>
      <c r="C33" s="534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70" si="18">M33&amp;";"&amp;O33&amp;Q33&amp;S33&amp;U33&amp;W33&amp;Y33&amp;AA33&amp;AC33&amp;AE33&amp;AG33&amp;AI33&amp;AK33</f>
        <v>1;0000000</v>
      </c>
      <c r="H33" s="330">
        <f t="shared" ref="H33:H50" si="19">K33*POWER(12,I33)/ROUND(K33*POWER(12,I33),0)-1</f>
        <v>1.000310945187266E-12</v>
      </c>
      <c r="I33" s="333"/>
      <c r="J33" s="89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70" si="20">(K33-INT(K33))*12</f>
        <v>1.2003731342247193E-11</v>
      </c>
      <c r="O33" s="41" t="str">
        <f t="shared" si="6"/>
        <v>0</v>
      </c>
      <c r="P33" s="24">
        <f t="shared" ref="P33:P70" si="21">(N33-INT(N33))*12</f>
        <v>1.4404477610696631E-10</v>
      </c>
      <c r="Q33" s="41" t="str">
        <f t="shared" si="7"/>
        <v>0</v>
      </c>
      <c r="R33" s="24">
        <f t="shared" ref="R33:R70" si="22">(P33-INT(P33))*12</f>
        <v>1.7285373132835957E-9</v>
      </c>
      <c r="S33" s="41" t="str">
        <f t="shared" si="8"/>
        <v>0</v>
      </c>
      <c r="T33" s="24">
        <f t="shared" ref="T33:T70" si="23">(R33-INT(R33))*12</f>
        <v>2.0742447759403149E-8</v>
      </c>
      <c r="U33" s="41" t="str">
        <f t="shared" si="9"/>
        <v>0</v>
      </c>
      <c r="V33" s="24">
        <f t="shared" ref="V33:V70" si="24">(T33-INT(T33))*12</f>
        <v>2.4890937311283778E-7</v>
      </c>
      <c r="W33" s="41" t="str">
        <f t="shared" si="10"/>
        <v>0</v>
      </c>
      <c r="X33" s="24">
        <f t="shared" ref="X33:X70" si="25">(V33-INT(V33))*12</f>
        <v>2.9869124773540534E-6</v>
      </c>
      <c r="Y33" s="41" t="str">
        <f t="shared" si="11"/>
        <v>0</v>
      </c>
      <c r="Z33" s="24">
        <f t="shared" ref="Z33:Z70" si="26">(X33-INT(X33))*12</f>
        <v>3.5842949728248641E-5</v>
      </c>
      <c r="AA33" s="41" t="str">
        <f t="shared" si="12"/>
        <v>0</v>
      </c>
      <c r="AB33" s="24">
        <f t="shared" ref="AB33:AB70" si="27">(Z33-INT(Z33))*12</f>
        <v>4.3011539673898369E-4</v>
      </c>
      <c r="AC33" s="41" t="str">
        <f t="shared" si="13"/>
        <v/>
      </c>
      <c r="AD33" s="24">
        <f t="shared" ref="AD33:AD70" si="28">(AB33-INT(AB33))*12</f>
        <v>5.1613847608678043E-3</v>
      </c>
      <c r="AE33" s="41" t="str">
        <f t="shared" si="14"/>
        <v/>
      </c>
      <c r="AF33" s="24">
        <f t="shared" ref="AF33:AF70" si="29">(AD33-INT(AD33))*12</f>
        <v>6.1936617130413651E-2</v>
      </c>
      <c r="AG33" s="41" t="str">
        <f t="shared" si="15"/>
        <v/>
      </c>
      <c r="AH33" s="24">
        <f t="shared" ref="AH33:AH70" si="30">(AF33-INT(AF33))*12</f>
        <v>0.74323940556496382</v>
      </c>
      <c r="AI33" s="41" t="str">
        <f t="shared" si="16"/>
        <v/>
      </c>
      <c r="AJ33" s="24">
        <f t="shared" ref="AJ33:AJ70" si="31">(AH33-INT(AH33))*12</f>
        <v>8.9188728667795658</v>
      </c>
      <c r="AK33" s="41" t="str">
        <f t="shared" si="17"/>
        <v/>
      </c>
    </row>
    <row r="34" spans="1:37" ht="15" customHeight="1">
      <c r="A34" s="719"/>
      <c r="B34" s="534" t="str">
        <f>Rydberg!B34</f>
        <v>Rydberg constant</v>
      </c>
      <c r="C34" s="534" t="str">
        <f>Rydberg!C34</f>
        <v>Ω_1/m</v>
      </c>
      <c r="D34" s="21">
        <f>Rydberg!D34</f>
        <v>10973731.568507999</v>
      </c>
      <c r="E34" s="8">
        <v>4</v>
      </c>
      <c r="F34" s="21">
        <f>D34/(1/F$3)</f>
        <v>1.0492792421735761E-27</v>
      </c>
      <c r="G34" s="37" t="str">
        <f t="shared" si="18"/>
        <v>1;0018</v>
      </c>
      <c r="H34" s="330">
        <f t="shared" si="19"/>
        <v>9.7269906515018434E-4</v>
      </c>
      <c r="I34" s="333"/>
      <c r="J34" s="38">
        <f t="shared" ref="J34:J70" si="32">FLOOR(LOG(F34,12),1)</f>
        <v>-25</v>
      </c>
      <c r="K34" s="61">
        <f>F34/POWER(12,J34)</f>
        <v>1.0009726990651502</v>
      </c>
      <c r="L34" s="39" t="str">
        <f>INDEX(powers!$H$2:$H$75,33+J34)</f>
        <v>tri-atomic dour</v>
      </c>
      <c r="M34" s="40" t="str">
        <f t="shared" si="5"/>
        <v>1</v>
      </c>
      <c r="N34" s="24">
        <f t="shared" si="20"/>
        <v>1.1672388781802212E-2</v>
      </c>
      <c r="O34" s="41" t="str">
        <f t="shared" si="6"/>
        <v>0</v>
      </c>
      <c r="P34" s="24">
        <f t="shared" si="21"/>
        <v>0.14006866538162654</v>
      </c>
      <c r="Q34" s="41" t="str">
        <f t="shared" si="7"/>
        <v>0</v>
      </c>
      <c r="R34" s="24">
        <f t="shared" si="22"/>
        <v>1.6808239845795185</v>
      </c>
      <c r="S34" s="41" t="str">
        <f t="shared" si="8"/>
        <v>1</v>
      </c>
      <c r="T34" s="24">
        <f t="shared" si="23"/>
        <v>8.1698878149542224</v>
      </c>
      <c r="U34" s="41" t="str">
        <f t="shared" si="9"/>
        <v>8</v>
      </c>
      <c r="V34" s="24">
        <f t="shared" si="24"/>
        <v>2.0386537794506694</v>
      </c>
      <c r="W34" s="41" t="str">
        <f t="shared" si="10"/>
        <v/>
      </c>
      <c r="X34" s="24">
        <f t="shared" si="25"/>
        <v>0.46384535340803268</v>
      </c>
      <c r="Y34" s="41" t="str">
        <f t="shared" si="11"/>
        <v/>
      </c>
      <c r="Z34" s="24">
        <f t="shared" si="26"/>
        <v>5.5661442408963921</v>
      </c>
      <c r="AA34" s="41" t="str">
        <f t="shared" si="12"/>
        <v/>
      </c>
      <c r="AB34" s="24">
        <f t="shared" si="27"/>
        <v>6.7937308907567058</v>
      </c>
      <c r="AC34" s="41" t="str">
        <f t="shared" si="13"/>
        <v/>
      </c>
      <c r="AD34" s="24">
        <f t="shared" si="28"/>
        <v>9.5247706890804693</v>
      </c>
      <c r="AE34" s="41" t="str">
        <f t="shared" si="14"/>
        <v/>
      </c>
      <c r="AF34" s="24">
        <f t="shared" si="29"/>
        <v>6.2972482689656317</v>
      </c>
      <c r="AG34" s="41" t="str">
        <f t="shared" si="15"/>
        <v/>
      </c>
      <c r="AH34" s="24">
        <f t="shared" si="30"/>
        <v>3.5669792275875807</v>
      </c>
      <c r="AI34" s="41" t="str">
        <f t="shared" si="16"/>
        <v/>
      </c>
      <c r="AJ34" s="24">
        <f t="shared" si="31"/>
        <v>6.8037507310509682</v>
      </c>
      <c r="AK34" s="41" t="str">
        <f t="shared" si="17"/>
        <v/>
      </c>
    </row>
    <row r="35" spans="1:37" ht="15" customHeight="1">
      <c r="A35" s="719"/>
      <c r="B35" s="534" t="str">
        <f>Rydberg!B35</f>
        <v>Speed of light in vacuum</v>
      </c>
      <c r="C35" s="534" t="str">
        <f>Rydberg!C35</f>
        <v>m/s</v>
      </c>
      <c r="D35" s="21">
        <f>Rydberg!D35</f>
        <v>299792458</v>
      </c>
      <c r="E35" s="8">
        <v>12</v>
      </c>
      <c r="F35" s="21">
        <f>D35/(F$3/F$4)</f>
        <v>1</v>
      </c>
      <c r="G35" s="37" t="str">
        <f t="shared" si="18"/>
        <v>1;000000000000</v>
      </c>
      <c r="H35" s="330">
        <f t="shared" si="19"/>
        <v>0</v>
      </c>
      <c r="I35" s="333"/>
      <c r="J35" s="38">
        <f t="shared" si="32"/>
        <v>0</v>
      </c>
      <c r="K35" s="61">
        <f>F35/POWER(12,J35)</f>
        <v>1</v>
      </c>
      <c r="L35" s="39" t="str">
        <f>INDEX(powers!$H$2:$H$75,33+J35)</f>
        <v xml:space="preserve"> </v>
      </c>
      <c r="M35" s="40" t="str">
        <f t="shared" si="5"/>
        <v>1</v>
      </c>
      <c r="N35" s="24">
        <f t="shared" si="20"/>
        <v>0</v>
      </c>
      <c r="O35" s="41" t="str">
        <f t="shared" si="6"/>
        <v>0</v>
      </c>
      <c r="P35" s="24">
        <f t="shared" si="21"/>
        <v>0</v>
      </c>
      <c r="Q35" s="41" t="str">
        <f t="shared" si="7"/>
        <v>0</v>
      </c>
      <c r="R35" s="24">
        <f t="shared" si="22"/>
        <v>0</v>
      </c>
      <c r="S35" s="41" t="str">
        <f t="shared" si="8"/>
        <v>0</v>
      </c>
      <c r="T35" s="24">
        <f t="shared" si="23"/>
        <v>0</v>
      </c>
      <c r="U35" s="41" t="str">
        <f t="shared" si="9"/>
        <v>0</v>
      </c>
      <c r="V35" s="24">
        <f t="shared" si="24"/>
        <v>0</v>
      </c>
      <c r="W35" s="41" t="str">
        <f t="shared" si="10"/>
        <v>0</v>
      </c>
      <c r="X35" s="24">
        <f t="shared" si="25"/>
        <v>0</v>
      </c>
      <c r="Y35" s="41" t="str">
        <f t="shared" si="11"/>
        <v>0</v>
      </c>
      <c r="Z35" s="24">
        <f t="shared" si="26"/>
        <v>0</v>
      </c>
      <c r="AA35" s="41" t="str">
        <f t="shared" si="12"/>
        <v>0</v>
      </c>
      <c r="AB35" s="24">
        <f t="shared" si="27"/>
        <v>0</v>
      </c>
      <c r="AC35" s="41" t="str">
        <f t="shared" si="13"/>
        <v>0</v>
      </c>
      <c r="AD35" s="24">
        <f t="shared" si="28"/>
        <v>0</v>
      </c>
      <c r="AE35" s="41" t="str">
        <f t="shared" si="14"/>
        <v>0</v>
      </c>
      <c r="AF35" s="24">
        <f t="shared" si="29"/>
        <v>0</v>
      </c>
      <c r="AG35" s="41" t="str">
        <f t="shared" si="15"/>
        <v>0</v>
      </c>
      <c r="AH35" s="24">
        <f t="shared" si="30"/>
        <v>0</v>
      </c>
      <c r="AI35" s="41" t="str">
        <f t="shared" si="16"/>
        <v>0</v>
      </c>
      <c r="AJ35" s="24">
        <f t="shared" si="31"/>
        <v>0</v>
      </c>
      <c r="AK35" s="41" t="str">
        <f t="shared" si="17"/>
        <v>0</v>
      </c>
    </row>
    <row r="36" spans="1:37" ht="15" customHeight="1">
      <c r="A36" s="719"/>
      <c r="B36" s="534" t="str">
        <f>Rydberg!B36 &amp; "  "</f>
        <v xml:space="preserve">Quantum of action  </v>
      </c>
      <c r="C36" s="534" t="str">
        <f>Rydberg!C36</f>
        <v>Js</v>
      </c>
      <c r="D36" s="588">
        <f>Rydberg!D36/POWER(12,0)</f>
        <v>1.0545718E-34</v>
      </c>
      <c r="E36" s="8">
        <v>7</v>
      </c>
      <c r="F36" s="21">
        <f>D36/(F$5*F$4)</f>
        <v>1</v>
      </c>
      <c r="G36" s="37" t="str">
        <f t="shared" si="18"/>
        <v>1;0000000</v>
      </c>
      <c r="H36" s="330">
        <f t="shared" si="19"/>
        <v>1.000088900582341E-12</v>
      </c>
      <c r="I36" s="333"/>
      <c r="J36" s="38">
        <f t="shared" si="32"/>
        <v>0</v>
      </c>
      <c r="K36" s="61">
        <f>F36/POWER(12,J36)+0.000000000001</f>
        <v>1.0000000000010001</v>
      </c>
      <c r="L36" s="39" t="str">
        <f>INDEX(powers!$H$2:$H$75,33+J36)</f>
        <v xml:space="preserve"> </v>
      </c>
      <c r="M36" s="40" t="str">
        <f t="shared" si="5"/>
        <v>1</v>
      </c>
      <c r="N36" s="24">
        <f t="shared" si="20"/>
        <v>1.2001066806988092E-11</v>
      </c>
      <c r="O36" s="41" t="str">
        <f t="shared" si="6"/>
        <v>0</v>
      </c>
      <c r="P36" s="24">
        <f t="shared" si="21"/>
        <v>1.4401280168385711E-10</v>
      </c>
      <c r="Q36" s="41" t="str">
        <f t="shared" si="7"/>
        <v>0</v>
      </c>
      <c r="R36" s="24">
        <f t="shared" si="22"/>
        <v>1.7281536202062853E-9</v>
      </c>
      <c r="S36" s="41" t="str">
        <f t="shared" si="8"/>
        <v>0</v>
      </c>
      <c r="T36" s="24">
        <f t="shared" si="23"/>
        <v>2.0737843442475423E-8</v>
      </c>
      <c r="U36" s="41" t="str">
        <f t="shared" si="9"/>
        <v>0</v>
      </c>
      <c r="V36" s="24">
        <f t="shared" si="24"/>
        <v>2.4885412130970508E-7</v>
      </c>
      <c r="W36" s="41" t="str">
        <f t="shared" si="10"/>
        <v>0</v>
      </c>
      <c r="X36" s="24">
        <f t="shared" si="25"/>
        <v>2.9862494557164609E-6</v>
      </c>
      <c r="Y36" s="41" t="str">
        <f t="shared" si="11"/>
        <v>0</v>
      </c>
      <c r="Z36" s="24">
        <f t="shared" si="26"/>
        <v>3.5834993468597531E-5</v>
      </c>
      <c r="AA36" s="41" t="str">
        <f t="shared" si="12"/>
        <v>0</v>
      </c>
      <c r="AB36" s="24">
        <f t="shared" si="27"/>
        <v>4.3001992162317038E-4</v>
      </c>
      <c r="AC36" s="41" t="str">
        <f t="shared" si="13"/>
        <v/>
      </c>
      <c r="AD36" s="24">
        <f t="shared" si="28"/>
        <v>5.1602390594780445E-3</v>
      </c>
      <c r="AE36" s="41" t="str">
        <f t="shared" si="14"/>
        <v/>
      </c>
      <c r="AF36" s="24">
        <f t="shared" si="29"/>
        <v>6.1922868713736534E-2</v>
      </c>
      <c r="AG36" s="41" t="str">
        <f t="shared" si="15"/>
        <v/>
      </c>
      <c r="AH36" s="24">
        <f t="shared" si="30"/>
        <v>0.74307442456483841</v>
      </c>
      <c r="AI36" s="41" t="str">
        <f t="shared" si="16"/>
        <v/>
      </c>
      <c r="AJ36" s="24">
        <f t="shared" si="31"/>
        <v>8.9168930947780609</v>
      </c>
      <c r="AK36" s="41" t="str">
        <f t="shared" si="17"/>
        <v/>
      </c>
    </row>
    <row r="37" spans="1:37" ht="15" customHeight="1">
      <c r="A37" s="719"/>
      <c r="B37" s="534" t="str">
        <f>Rydberg!B37</f>
        <v>Boltzmann constant</v>
      </c>
      <c r="C37" s="534" t="str">
        <f>Rydberg!C37</f>
        <v>J/K</v>
      </c>
      <c r="D37" s="21">
        <f>Rydberg!D37</f>
        <v>1.3806485199999999E-23</v>
      </c>
      <c r="E37" s="8">
        <v>4</v>
      </c>
      <c r="F37" s="21">
        <f>D37/(F$5/F$6)</f>
        <v>1</v>
      </c>
      <c r="G37" s="37" t="str">
        <f t="shared" si="18"/>
        <v>1;0000</v>
      </c>
      <c r="H37" s="330">
        <f t="shared" si="19"/>
        <v>1.000088900582341E-12</v>
      </c>
      <c r="I37" s="333"/>
      <c r="J37" s="135">
        <f t="shared" si="32"/>
        <v>0</v>
      </c>
      <c r="K37" s="61">
        <f>F37/POWER(12,J37)+0.000000000001</f>
        <v>1.0000000000010001</v>
      </c>
      <c r="L37" s="138" t="str">
        <f>INDEX(powers!$H$2:$H$75,33+J37)</f>
        <v xml:space="preserve"> </v>
      </c>
      <c r="M37" s="40" t="str">
        <f t="shared" si="5"/>
        <v>1</v>
      </c>
      <c r="N37" s="24">
        <f t="shared" si="20"/>
        <v>1.2001066806988092E-11</v>
      </c>
      <c r="O37" s="41" t="str">
        <f t="shared" si="6"/>
        <v>0</v>
      </c>
      <c r="P37" s="24">
        <f t="shared" si="21"/>
        <v>1.4401280168385711E-10</v>
      </c>
      <c r="Q37" s="41" t="str">
        <f t="shared" si="7"/>
        <v>0</v>
      </c>
      <c r="R37" s="24">
        <f t="shared" si="22"/>
        <v>1.7281536202062853E-9</v>
      </c>
      <c r="S37" s="41" t="str">
        <f t="shared" si="8"/>
        <v>0</v>
      </c>
      <c r="T37" s="24">
        <f t="shared" si="23"/>
        <v>2.0737843442475423E-8</v>
      </c>
      <c r="U37" s="41" t="str">
        <f t="shared" si="9"/>
        <v>0</v>
      </c>
      <c r="V37" s="24">
        <f t="shared" si="24"/>
        <v>2.4885412130970508E-7</v>
      </c>
      <c r="W37" s="41" t="str">
        <f t="shared" si="10"/>
        <v/>
      </c>
      <c r="X37" s="24">
        <f t="shared" si="25"/>
        <v>2.9862494557164609E-6</v>
      </c>
      <c r="Y37" s="41" t="str">
        <f t="shared" si="11"/>
        <v/>
      </c>
      <c r="Z37" s="24">
        <f t="shared" si="26"/>
        <v>3.5834993468597531E-5</v>
      </c>
      <c r="AA37" s="41" t="str">
        <f t="shared" si="12"/>
        <v/>
      </c>
      <c r="AB37" s="24">
        <f t="shared" si="27"/>
        <v>4.3001992162317038E-4</v>
      </c>
      <c r="AC37" s="41" t="str">
        <f t="shared" si="13"/>
        <v/>
      </c>
      <c r="AD37" s="24">
        <f t="shared" si="28"/>
        <v>5.1602390594780445E-3</v>
      </c>
      <c r="AE37" s="41" t="str">
        <f t="shared" si="14"/>
        <v/>
      </c>
      <c r="AF37" s="24">
        <f t="shared" si="29"/>
        <v>6.1922868713736534E-2</v>
      </c>
      <c r="AG37" s="41" t="str">
        <f t="shared" si="15"/>
        <v/>
      </c>
      <c r="AH37" s="24">
        <f t="shared" si="30"/>
        <v>0.74307442456483841</v>
      </c>
      <c r="AI37" s="41" t="str">
        <f t="shared" si="16"/>
        <v/>
      </c>
      <c r="AJ37" s="24">
        <f t="shared" si="31"/>
        <v>8.9168930947780609</v>
      </c>
      <c r="AK37" s="41" t="str">
        <f t="shared" si="17"/>
        <v/>
      </c>
    </row>
    <row r="38" spans="1:37" ht="15" customHeight="1">
      <c r="A38" s="719"/>
      <c r="B38" s="534" t="str">
        <f>Rydberg!B38</f>
        <v>Gas constant</v>
      </c>
      <c r="C38" s="534" t="str">
        <f>Rydberg!C38</f>
        <v>J/(mol K)</v>
      </c>
      <c r="D38" s="21">
        <f>Rydberg!D38</f>
        <v>8.3144598614485812</v>
      </c>
      <c r="E38" s="8">
        <v>4</v>
      </c>
      <c r="F38" s="21">
        <f>D38/(F$5/F$6/F$7)</f>
        <v>1</v>
      </c>
      <c r="G38" s="37" t="str">
        <f t="shared" si="18"/>
        <v>1;0000</v>
      </c>
      <c r="H38" s="330">
        <f t="shared" si="19"/>
        <v>1.000088900582341E-12</v>
      </c>
      <c r="I38" s="333"/>
      <c r="J38" s="587">
        <v>0</v>
      </c>
      <c r="K38" s="61">
        <f>F38/POWER(12,J38)+0.000000000001</f>
        <v>1.0000000000010001</v>
      </c>
      <c r="L38" s="138" t="str">
        <f>INDEX(powers!$H$2:$H$75,33+J38)</f>
        <v xml:space="preserve"> </v>
      </c>
      <c r="M38" s="40" t="str">
        <f t="shared" si="5"/>
        <v>1</v>
      </c>
      <c r="N38" s="24">
        <f t="shared" si="20"/>
        <v>1.2001066806988092E-11</v>
      </c>
      <c r="O38" s="41" t="str">
        <f t="shared" si="6"/>
        <v>0</v>
      </c>
      <c r="P38" s="24">
        <f t="shared" si="21"/>
        <v>1.4401280168385711E-10</v>
      </c>
      <c r="Q38" s="41" t="str">
        <f t="shared" si="7"/>
        <v>0</v>
      </c>
      <c r="R38" s="24">
        <f t="shared" si="22"/>
        <v>1.7281536202062853E-9</v>
      </c>
      <c r="S38" s="41" t="str">
        <f t="shared" si="8"/>
        <v>0</v>
      </c>
      <c r="T38" s="24">
        <f t="shared" si="23"/>
        <v>2.0737843442475423E-8</v>
      </c>
      <c r="U38" s="41" t="str">
        <f t="shared" si="9"/>
        <v>0</v>
      </c>
      <c r="V38" s="24">
        <f t="shared" si="24"/>
        <v>2.4885412130970508E-7</v>
      </c>
      <c r="W38" s="41" t="str">
        <f t="shared" si="10"/>
        <v/>
      </c>
      <c r="X38" s="24">
        <f t="shared" si="25"/>
        <v>2.9862494557164609E-6</v>
      </c>
      <c r="Y38" s="41" t="str">
        <f t="shared" si="11"/>
        <v/>
      </c>
      <c r="Z38" s="24">
        <f t="shared" si="26"/>
        <v>3.5834993468597531E-5</v>
      </c>
      <c r="AA38" s="41" t="str">
        <f t="shared" si="12"/>
        <v/>
      </c>
      <c r="AB38" s="24">
        <f t="shared" si="27"/>
        <v>4.3001992162317038E-4</v>
      </c>
      <c r="AC38" s="41" t="str">
        <f t="shared" si="13"/>
        <v/>
      </c>
      <c r="AD38" s="24">
        <f t="shared" si="28"/>
        <v>5.1602390594780445E-3</v>
      </c>
      <c r="AE38" s="41" t="str">
        <f t="shared" si="14"/>
        <v/>
      </c>
      <c r="AF38" s="24">
        <f t="shared" si="29"/>
        <v>6.1922868713736534E-2</v>
      </c>
      <c r="AG38" s="41" t="str">
        <f t="shared" si="15"/>
        <v/>
      </c>
      <c r="AH38" s="24">
        <f t="shared" si="30"/>
        <v>0.74307442456483841</v>
      </c>
      <c r="AI38" s="41" t="str">
        <f t="shared" si="16"/>
        <v/>
      </c>
      <c r="AJ38" s="24">
        <f t="shared" si="31"/>
        <v>8.9168930947780609</v>
      </c>
      <c r="AK38" s="41" t="str">
        <f t="shared" si="17"/>
        <v/>
      </c>
    </row>
    <row r="39" spans="1:37" ht="15" customHeight="1">
      <c r="A39" s="719"/>
      <c r="B39" s="534" t="str">
        <f>Rydberg!B39</f>
        <v>Unified atomic mass unit</v>
      </c>
      <c r="C39" s="534" t="str">
        <f>Rydberg!C39</f>
        <v>kg</v>
      </c>
      <c r="D39" s="21">
        <f>Rydberg!D39</f>
        <v>1.6605390399999999E-27</v>
      </c>
      <c r="E39" s="8">
        <v>4</v>
      </c>
      <c r="F39" s="21">
        <f>D39/F$8</f>
        <v>4.5136760723603838E-19</v>
      </c>
      <c r="G39" s="37" t="str">
        <f t="shared" si="18"/>
        <v>1;0025</v>
      </c>
      <c r="H39" s="330">
        <f t="shared" si="19"/>
        <v>1.4091866367300643E-3</v>
      </c>
      <c r="I39" s="333"/>
      <c r="J39" s="38">
        <f t="shared" si="32"/>
        <v>-17</v>
      </c>
      <c r="K39" s="61">
        <f t="shared" ref="K39:K70" si="33">F39/POWER(12,J39)</f>
        <v>1.0014091866367301</v>
      </c>
      <c r="L39" s="39" t="str">
        <f>INDEX(powers!$H$2:$H$75,33+J39)</f>
        <v>di-atomic dour</v>
      </c>
      <c r="M39" s="40" t="str">
        <f t="shared" si="5"/>
        <v>1</v>
      </c>
      <c r="N39" s="24">
        <f t="shared" si="20"/>
        <v>1.6910239640760771E-2</v>
      </c>
      <c r="O39" s="41" t="str">
        <f t="shared" si="6"/>
        <v>0</v>
      </c>
      <c r="P39" s="24">
        <f t="shared" si="21"/>
        <v>0.20292287568912926</v>
      </c>
      <c r="Q39" s="41" t="str">
        <f t="shared" si="7"/>
        <v>0</v>
      </c>
      <c r="R39" s="24">
        <f t="shared" si="22"/>
        <v>2.4350745082695511</v>
      </c>
      <c r="S39" s="41" t="str">
        <f t="shared" si="8"/>
        <v>2</v>
      </c>
      <c r="T39" s="24">
        <f t="shared" si="23"/>
        <v>5.2208940992346129</v>
      </c>
      <c r="U39" s="41" t="str">
        <f t="shared" si="9"/>
        <v>5</v>
      </c>
      <c r="V39" s="24">
        <f t="shared" si="24"/>
        <v>2.6507291908153547</v>
      </c>
      <c r="W39" s="41" t="str">
        <f t="shared" si="10"/>
        <v/>
      </c>
      <c r="X39" s="24">
        <f t="shared" si="25"/>
        <v>7.8087502897842569</v>
      </c>
      <c r="Y39" s="41" t="str">
        <f t="shared" si="11"/>
        <v/>
      </c>
      <c r="Z39" s="24">
        <f t="shared" si="26"/>
        <v>9.7050034774110827</v>
      </c>
      <c r="AA39" s="41" t="str">
        <f t="shared" si="12"/>
        <v/>
      </c>
      <c r="AB39" s="24">
        <f t="shared" si="27"/>
        <v>8.4600417289329926</v>
      </c>
      <c r="AC39" s="41" t="str">
        <f t="shared" si="13"/>
        <v/>
      </c>
      <c r="AD39" s="24">
        <f t="shared" si="28"/>
        <v>5.5205007471959107</v>
      </c>
      <c r="AE39" s="41" t="str">
        <f t="shared" si="14"/>
        <v/>
      </c>
      <c r="AF39" s="24">
        <f t="shared" si="29"/>
        <v>6.2460089663509279</v>
      </c>
      <c r="AG39" s="41" t="str">
        <f t="shared" si="15"/>
        <v/>
      </c>
      <c r="AH39" s="24">
        <f t="shared" si="30"/>
        <v>2.9521075962111354</v>
      </c>
      <c r="AI39" s="41" t="str">
        <f t="shared" si="16"/>
        <v/>
      </c>
      <c r="AJ39" s="24">
        <f t="shared" si="31"/>
        <v>11.425291154533625</v>
      </c>
      <c r="AK39" s="41" t="str">
        <f t="shared" si="17"/>
        <v/>
      </c>
    </row>
    <row r="40" spans="1:37" ht="15" customHeight="1">
      <c r="A40" s="719"/>
      <c r="B40" s="534" t="str">
        <f>Rydberg!B40</f>
        <v>Bohr Radius</v>
      </c>
      <c r="C40" s="534" t="str">
        <f>Rydberg!C40</f>
        <v>m</v>
      </c>
      <c r="D40" s="53">
        <f>Rydberg!D40</f>
        <v>5.2917721067E-11</v>
      </c>
      <c r="E40" s="8">
        <v>4</v>
      </c>
      <c r="F40" s="21">
        <f>D40/F$3</f>
        <v>5.5343214929470234E+23</v>
      </c>
      <c r="G40" s="37" t="str">
        <f t="shared" si="18"/>
        <v>1;0043</v>
      </c>
      <c r="H40" s="330">
        <f t="shared" si="19"/>
        <v>2.4828946302901667E-3</v>
      </c>
      <c r="I40" s="333"/>
      <c r="J40" s="38">
        <f t="shared" si="32"/>
        <v>22</v>
      </c>
      <c r="K40" s="61">
        <f t="shared" si="33"/>
        <v>1.0024828946302902</v>
      </c>
      <c r="L40" s="39" t="str">
        <f>INDEX(powers!$H$2:$H$75,33+J40)</f>
        <v>tri-cosmic centy</v>
      </c>
      <c r="M40" s="40" t="str">
        <f t="shared" si="5"/>
        <v>1</v>
      </c>
      <c r="N40" s="24">
        <f t="shared" si="20"/>
        <v>2.9794735563482E-2</v>
      </c>
      <c r="O40" s="41" t="str">
        <f t="shared" si="6"/>
        <v>0</v>
      </c>
      <c r="P40" s="24">
        <f t="shared" si="21"/>
        <v>0.357536826761784</v>
      </c>
      <c r="Q40" s="41" t="str">
        <f t="shared" si="7"/>
        <v>0</v>
      </c>
      <c r="R40" s="24">
        <f t="shared" si="22"/>
        <v>4.290441921141408</v>
      </c>
      <c r="S40" s="41" t="str">
        <f t="shared" si="8"/>
        <v>4</v>
      </c>
      <c r="T40" s="24">
        <f t="shared" si="23"/>
        <v>3.4853030536968959</v>
      </c>
      <c r="U40" s="41" t="str">
        <f t="shared" si="9"/>
        <v>3</v>
      </c>
      <c r="V40" s="24">
        <f t="shared" si="24"/>
        <v>5.8236366443627503</v>
      </c>
      <c r="W40" s="41" t="str">
        <f t="shared" si="10"/>
        <v/>
      </c>
      <c r="X40" s="24">
        <f t="shared" si="25"/>
        <v>9.8836397323530036</v>
      </c>
      <c r="Y40" s="41" t="str">
        <f t="shared" si="11"/>
        <v/>
      </c>
      <c r="Z40" s="24">
        <f t="shared" si="26"/>
        <v>10.603676788236044</v>
      </c>
      <c r="AA40" s="41" t="str">
        <f t="shared" si="12"/>
        <v/>
      </c>
      <c r="AB40" s="24">
        <f t="shared" si="27"/>
        <v>7.2441214588325238</v>
      </c>
      <c r="AC40" s="41" t="str">
        <f t="shared" si="13"/>
        <v/>
      </c>
      <c r="AD40" s="24">
        <f t="shared" si="28"/>
        <v>2.9294575059902854</v>
      </c>
      <c r="AE40" s="41" t="str">
        <f t="shared" si="14"/>
        <v/>
      </c>
      <c r="AF40" s="24">
        <f t="shared" si="29"/>
        <v>11.153490071883425</v>
      </c>
      <c r="AG40" s="41" t="str">
        <f t="shared" si="15"/>
        <v/>
      </c>
      <c r="AH40" s="24">
        <f t="shared" si="30"/>
        <v>1.8418808626011014</v>
      </c>
      <c r="AI40" s="41" t="str">
        <f t="shared" si="16"/>
        <v/>
      </c>
      <c r="AJ40" s="24">
        <f t="shared" si="31"/>
        <v>10.102570351213217</v>
      </c>
      <c r="AK40" s="41" t="str">
        <f t="shared" si="17"/>
        <v/>
      </c>
    </row>
    <row r="41" spans="1:37" ht="15" customHeight="1">
      <c r="A41" s="719"/>
      <c r="B41" s="534" t="str">
        <f>Rydberg!B41</f>
        <v>Elementary electric charge</v>
      </c>
      <c r="C41" s="534" t="str">
        <f>Rydberg!C41</f>
        <v>C</v>
      </c>
      <c r="D41" s="21">
        <f>Rydberg!D41</f>
        <v>1.6021766207155676E-19</v>
      </c>
      <c r="E41" s="8">
        <v>9</v>
      </c>
      <c r="F41" s="21">
        <f>D41/F$12</f>
        <v>8.542454311496199E-2</v>
      </c>
      <c r="G41" s="37" t="str">
        <f t="shared" si="18"/>
        <v>1;0374439E2</v>
      </c>
      <c r="H41" s="330">
        <f t="shared" si="19"/>
        <v>2.5094517379544046E-2</v>
      </c>
      <c r="I41" s="333"/>
      <c r="J41" s="38">
        <f t="shared" si="32"/>
        <v>-1</v>
      </c>
      <c r="K41" s="61">
        <f t="shared" si="33"/>
        <v>1.025094517379544</v>
      </c>
      <c r="L41" s="39" t="str">
        <f>INDEX(powers!$H$2:$H$75,33+J41)</f>
        <v>dour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>
      <c r="A42" s="719"/>
      <c r="B42" s="534" t="str">
        <f>Rydberg!B42</f>
        <v>Electron mass</v>
      </c>
      <c r="C42" s="534" t="str">
        <f>Rydberg!C42</f>
        <v>kg</v>
      </c>
      <c r="D42" s="21">
        <f>Rydberg!D42</f>
        <v>9.1093835599999998E-31</v>
      </c>
      <c r="E42" s="8">
        <v>4</v>
      </c>
      <c r="F42" s="21">
        <f>D42/F$8</f>
        <v>2.4761120105146731E-22</v>
      </c>
      <c r="G42" s="37" t="str">
        <f t="shared" si="18"/>
        <v>0;E484</v>
      </c>
      <c r="H42" s="330">
        <f t="shared" si="19"/>
        <v>-5.0718083727016472E-2</v>
      </c>
      <c r="I42" s="333"/>
      <c r="J42" s="89">
        <f>FLOOR(LOG(F42,12),1)+1</f>
        <v>-20</v>
      </c>
      <c r="K42" s="61">
        <f t="shared" si="33"/>
        <v>0.94928191627298353</v>
      </c>
      <c r="L42" s="39" t="str">
        <f>INDEX(powers!$H$2:$H$75,33+J42)</f>
        <v>di-atomic sub</v>
      </c>
      <c r="M42" s="40" t="str">
        <f t="shared" si="5"/>
        <v>0</v>
      </c>
      <c r="N42" s="24">
        <f t="shared" si="20"/>
        <v>11.391382995275801</v>
      </c>
      <c r="O42" s="41" t="str">
        <f t="shared" si="6"/>
        <v>E</v>
      </c>
      <c r="P42" s="24">
        <f t="shared" si="21"/>
        <v>4.6965959433096174</v>
      </c>
      <c r="Q42" s="41" t="str">
        <f t="shared" si="7"/>
        <v>4</v>
      </c>
      <c r="R42" s="24">
        <f t="shared" si="22"/>
        <v>8.3591513197154086</v>
      </c>
      <c r="S42" s="41" t="str">
        <f t="shared" si="8"/>
        <v>8</v>
      </c>
      <c r="T42" s="24">
        <f t="shared" si="23"/>
        <v>4.3098158365849031</v>
      </c>
      <c r="U42" s="41" t="str">
        <f t="shared" si="9"/>
        <v>4</v>
      </c>
      <c r="V42" s="24">
        <f t="shared" si="24"/>
        <v>3.717790039018837</v>
      </c>
      <c r="W42" s="41" t="str">
        <f t="shared" si="10"/>
        <v/>
      </c>
      <c r="X42" s="24">
        <f t="shared" si="25"/>
        <v>8.6134804682260437</v>
      </c>
      <c r="Y42" s="41" t="str">
        <f t="shared" si="11"/>
        <v/>
      </c>
      <c r="Z42" s="24">
        <f t="shared" si="26"/>
        <v>7.3617656187125249</v>
      </c>
      <c r="AA42" s="41" t="str">
        <f t="shared" si="12"/>
        <v/>
      </c>
      <c r="AB42" s="24">
        <f t="shared" si="27"/>
        <v>4.3411874245502986</v>
      </c>
      <c r="AC42" s="41" t="str">
        <f t="shared" si="13"/>
        <v/>
      </c>
      <c r="AD42" s="24">
        <f t="shared" si="28"/>
        <v>4.0942490946035832</v>
      </c>
      <c r="AE42" s="41" t="str">
        <f t="shared" si="14"/>
        <v/>
      </c>
      <c r="AF42" s="24">
        <f t="shared" si="29"/>
        <v>1.1309891352429986</v>
      </c>
      <c r="AG42" s="41" t="str">
        <f t="shared" si="15"/>
        <v/>
      </c>
      <c r="AH42" s="24">
        <f t="shared" si="30"/>
        <v>1.5718696229159832</v>
      </c>
      <c r="AI42" s="41" t="str">
        <f t="shared" si="16"/>
        <v/>
      </c>
      <c r="AJ42" s="24">
        <f t="shared" si="31"/>
        <v>6.8624354749917984</v>
      </c>
      <c r="AK42" s="41" t="str">
        <f t="shared" si="17"/>
        <v/>
      </c>
    </row>
    <row r="43" spans="1:37" ht="15" customHeight="1">
      <c r="A43" s="719"/>
      <c r="B43" s="573" t="str">
        <f>Rydberg!B43</f>
        <v>Proton mass</v>
      </c>
      <c r="C43" s="573" t="str">
        <f>Rydberg!C43</f>
        <v>kg</v>
      </c>
      <c r="D43" s="21">
        <f>Rydberg!D43</f>
        <v>1.6726218973258461E-27</v>
      </c>
      <c r="E43" s="8">
        <v>4</v>
      </c>
      <c r="F43" s="21">
        <f>D43/F$8</f>
        <v>4.5465196868034487E-19</v>
      </c>
      <c r="G43" s="37" t="str">
        <f t="shared" ref="G43" si="34">M43&amp;";"&amp;O43&amp;Q43&amp;S43&amp;U43&amp;W43&amp;Y43&amp;AA43&amp;AC43&amp;AE43&amp;AG43&amp;AI43&amp;AK43</f>
        <v>1;0130</v>
      </c>
      <c r="H43" s="330">
        <f t="shared" ref="H43" si="35">K43*POWER(12,I43)/ROUND(K43*POWER(12,I43),0)-1</f>
        <v>8.6959074156183203E-3</v>
      </c>
      <c r="I43" s="333"/>
      <c r="J43" s="38">
        <f t="shared" si="32"/>
        <v>-17</v>
      </c>
      <c r="K43" s="61">
        <f t="shared" ref="K43" si="36">F43/POWER(12,J43)</f>
        <v>1.0086959074156183</v>
      </c>
      <c r="L43" s="39" t="str">
        <f>INDEX(powers!$H$2:$H$75,33+J43)</f>
        <v>di-atomic dour</v>
      </c>
      <c r="M43" s="40" t="str">
        <f t="shared" ref="M43" si="37">IF($E43&gt;=M$31,MID($J$31,IF($E43&gt;M$31,INT(K43),ROUND(K43,0))+1,1),"")</f>
        <v>1</v>
      </c>
      <c r="N43" s="24">
        <f t="shared" ref="N43" si="38">(K43-INT(K43))*12</f>
        <v>0.10435088898741984</v>
      </c>
      <c r="O43" s="41" t="str">
        <f t="shared" ref="O43" si="39">IF($E43&gt;=O$31,MID($J$31,IF($E43&gt;O$31,INT(N43),ROUND(N43,0))+1,1),"")</f>
        <v>0</v>
      </c>
      <c r="P43" s="24">
        <f t="shared" ref="P43" si="40">(N43-INT(N43))*12</f>
        <v>1.2522106678490381</v>
      </c>
      <c r="Q43" s="41" t="str">
        <f t="shared" ref="Q43" si="41">IF($E43&gt;=Q$31,MID($J$31,IF($E43&gt;Q$31,INT(P43),ROUND(P43,0))+1,1),"")</f>
        <v>1</v>
      </c>
      <c r="R43" s="24">
        <f t="shared" ref="R43" si="42">(P43-INT(P43))*12</f>
        <v>3.0265280141884574</v>
      </c>
      <c r="S43" s="41" t="str">
        <f t="shared" ref="S43" si="43">IF($E43&gt;=S$31,MID($J$31,IF($E43&gt;S$31,INT(R43),ROUND(R43,0))+1,1),"")</f>
        <v>3</v>
      </c>
      <c r="T43" s="24">
        <f t="shared" ref="T43" si="44">(R43-INT(R43))*12</f>
        <v>0.31833617026148886</v>
      </c>
      <c r="U43" s="41" t="str">
        <f t="shared" ref="U43" si="45">IF($E43&gt;=U$31,MID($J$31,IF($E43&gt;U$31,INT(T43),ROUND(T43,0))+1,1),"")</f>
        <v>0</v>
      </c>
      <c r="V43" s="24">
        <f t="shared" ref="V43" si="46">(T43-INT(T43))*12</f>
        <v>3.8200340431378663</v>
      </c>
      <c r="W43" s="41" t="str">
        <f t="shared" ref="W43" si="47">IF($E43&gt;=W$31,MID($J$31,IF($E43&gt;W$31,INT(V43),ROUND(V43,0))+1,1),"")</f>
        <v/>
      </c>
      <c r="X43" s="24">
        <f t="shared" ref="X43" si="48">(V43-INT(V43))*12</f>
        <v>9.8404085176543958</v>
      </c>
      <c r="Y43" s="41" t="str">
        <f t="shared" ref="Y43" si="49">IF($E43&gt;=Y$31,MID($J$31,IF($E43&gt;Y$31,INT(X43),ROUND(X43,0))+1,1),"")</f>
        <v/>
      </c>
      <c r="Z43" s="24">
        <f t="shared" ref="Z43" si="50">(X43-INT(X43))*12</f>
        <v>10.08490221185275</v>
      </c>
      <c r="AA43" s="41" t="str">
        <f t="shared" ref="AA43" si="51">IF($E43&gt;=AA$31,MID($J$31,IF($E43&gt;AA$31,INT(Z43),ROUND(Z43,0))+1,1),"")</f>
        <v/>
      </c>
      <c r="AB43" s="24">
        <f t="shared" ref="AB43" si="52">(Z43-INT(Z43))*12</f>
        <v>1.0188265422330005</v>
      </c>
      <c r="AC43" s="41" t="str">
        <f t="shared" ref="AC43" si="53">IF($E43&gt;=AC$31,MID($J$31,IF($E43&gt;AC$31,INT(AB43),ROUND(AB43,0))+1,1),"")</f>
        <v/>
      </c>
      <c r="AD43" s="24">
        <f t="shared" ref="AD43" si="54">(AB43-INT(AB43))*12</f>
        <v>0.22591850679600611</v>
      </c>
      <c r="AE43" s="41" t="str">
        <f t="shared" ref="AE43" si="55">IF($E43&gt;=AE$31,MID($J$31,IF($E43&gt;AE$31,INT(AD43),ROUND(AD43,0))+1,1),"")</f>
        <v/>
      </c>
      <c r="AF43" s="24">
        <f t="shared" ref="AF43" si="56">(AD43-INT(AD43))*12</f>
        <v>2.7110220815520734</v>
      </c>
      <c r="AG43" s="41" t="str">
        <f t="shared" ref="AG43" si="57">IF($E43&gt;=AG$31,MID($J$31,IF($E43&gt;AG$31,INT(AF43),ROUND(AF43,0))+1,1),"")</f>
        <v/>
      </c>
      <c r="AH43" s="24">
        <f t="shared" ref="AH43" si="58">(AF43-INT(AF43))*12</f>
        <v>8.5322649786248803</v>
      </c>
      <c r="AI43" s="41" t="str">
        <f t="shared" ref="AI43" si="59">IF($E43&gt;=AI$31,MID($J$31,IF($E43&gt;AI$31,INT(AH43),ROUND(AH43,0))+1,1),"")</f>
        <v/>
      </c>
      <c r="AJ43" s="24">
        <f t="shared" ref="AJ43" si="60">(AH43-INT(AH43))*12</f>
        <v>6.3871797434985638</v>
      </c>
      <c r="AK43" s="41" t="str">
        <f t="shared" ref="AK43" si="61">IF($E43&gt;=AK$31,MID($J$31,IF($E43&gt;AK$31,INT(AJ43),ROUND(AJ43,0))+1,1),"")</f>
        <v/>
      </c>
    </row>
    <row r="44" spans="1:37" ht="15" customHeight="1">
      <c r="A44" s="719"/>
      <c r="B44" s="534" t="str">
        <f>Rydberg!B44</f>
        <v>Newtonian constant of gravitation</v>
      </c>
      <c r="C44" s="534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2.8571428571428574E-2</v>
      </c>
      <c r="G44" s="37" t="str">
        <f t="shared" si="18"/>
        <v>4;1456</v>
      </c>
      <c r="H44" s="330">
        <f t="shared" si="19"/>
        <v>2.8571428571428692E-2</v>
      </c>
      <c r="I44" s="333"/>
      <c r="J44" s="38">
        <f t="shared" si="32"/>
        <v>-2</v>
      </c>
      <c r="K44" s="61">
        <f t="shared" si="33"/>
        <v>4.1142857142857148</v>
      </c>
      <c r="L44" s="39" t="str">
        <f>INDEX(powers!$H$2:$H$75,33+J44)</f>
        <v>centy</v>
      </c>
      <c r="M44" s="40" t="str">
        <f t="shared" si="5"/>
        <v>4</v>
      </c>
      <c r="N44" s="24">
        <f t="shared" si="20"/>
        <v>1.3714285714285772</v>
      </c>
      <c r="O44" s="41" t="str">
        <f t="shared" si="6"/>
        <v>1</v>
      </c>
      <c r="P44" s="24">
        <f t="shared" si="21"/>
        <v>4.4571428571429266</v>
      </c>
      <c r="Q44" s="41" t="str">
        <f t="shared" si="7"/>
        <v>4</v>
      </c>
      <c r="R44" s="24">
        <f t="shared" si="22"/>
        <v>5.4857142857151189</v>
      </c>
      <c r="S44" s="41" t="str">
        <f t="shared" si="8"/>
        <v>5</v>
      </c>
      <c r="T44" s="24">
        <f t="shared" si="23"/>
        <v>5.8285714285814265</v>
      </c>
      <c r="U44" s="41" t="str">
        <f t="shared" si="9"/>
        <v>6</v>
      </c>
      <c r="V44" s="24">
        <f t="shared" si="24"/>
        <v>9.9428571429771182</v>
      </c>
      <c r="W44" s="41" t="str">
        <f t="shared" si="10"/>
        <v/>
      </c>
      <c r="X44" s="24">
        <f t="shared" si="25"/>
        <v>11.314285715725418</v>
      </c>
      <c r="Y44" s="41" t="str">
        <f t="shared" si="11"/>
        <v/>
      </c>
      <c r="Z44" s="24">
        <f t="shared" si="26"/>
        <v>3.771428588705021</v>
      </c>
      <c r="AA44" s="41" t="str">
        <f t="shared" si="12"/>
        <v/>
      </c>
      <c r="AB44" s="24">
        <f t="shared" si="27"/>
        <v>9.2571430644602515</v>
      </c>
      <c r="AC44" s="41" t="str">
        <f t="shared" si="13"/>
        <v/>
      </c>
      <c r="AD44" s="24">
        <f t="shared" si="28"/>
        <v>3.0857167735230178</v>
      </c>
      <c r="AE44" s="41" t="str">
        <f t="shared" si="14"/>
        <v/>
      </c>
      <c r="AF44" s="24">
        <f t="shared" si="29"/>
        <v>1.0286012822762132</v>
      </c>
      <c r="AG44" s="41" t="str">
        <f t="shared" si="15"/>
        <v/>
      </c>
      <c r="AH44" s="24">
        <f t="shared" si="30"/>
        <v>0.34321538731455803</v>
      </c>
      <c r="AI44" s="41" t="str">
        <f t="shared" si="16"/>
        <v/>
      </c>
      <c r="AJ44" s="24">
        <f t="shared" si="31"/>
        <v>4.1185846477746964</v>
      </c>
      <c r="AK44" s="41" t="str">
        <f t="shared" si="17"/>
        <v/>
      </c>
    </row>
    <row r="45" spans="1:37" ht="15" customHeight="1">
      <c r="A45" s="719"/>
      <c r="B45" s="534" t="str">
        <f>Rydberg!B45</f>
        <v>Planck force</v>
      </c>
      <c r="C45" s="534" t="str">
        <f>Rydberg!C45</f>
        <v>N</v>
      </c>
      <c r="D45" s="21">
        <f>Rydberg!D45</f>
        <v>1.2102954584096223E+44</v>
      </c>
      <c r="E45" s="8">
        <v>4</v>
      </c>
      <c r="F45" s="21">
        <f>D45/F$10</f>
        <v>35.000000000000007</v>
      </c>
      <c r="G45" s="37" t="str">
        <f t="shared" si="18"/>
        <v>2;E000</v>
      </c>
      <c r="H45" s="331">
        <f t="shared" si="19"/>
        <v>3.4305891460917337E-13</v>
      </c>
      <c r="I45" s="339">
        <v>1</v>
      </c>
      <c r="J45" s="38">
        <f t="shared" si="32"/>
        <v>1</v>
      </c>
      <c r="K45" s="61">
        <f>F45/POWER(12,J45)+0.000000000001</f>
        <v>2.9166666666676675</v>
      </c>
      <c r="L45" s="39" t="str">
        <f>INDEX(powers!$H$2:$H$75,33+J45)</f>
        <v>dirac</v>
      </c>
      <c r="M45" s="40" t="str">
        <f t="shared" si="5"/>
        <v>2</v>
      </c>
      <c r="N45" s="24">
        <f t="shared" si="20"/>
        <v>11.00000000001201</v>
      </c>
      <c r="O45" s="41" t="str">
        <f t="shared" si="6"/>
        <v>E</v>
      </c>
      <c r="P45" s="24">
        <f t="shared" si="21"/>
        <v>1.4411938309422112E-10</v>
      </c>
      <c r="Q45" s="41" t="str">
        <f t="shared" si="7"/>
        <v>0</v>
      </c>
      <c r="R45" s="24">
        <f t="shared" si="22"/>
        <v>1.7294325971306534E-9</v>
      </c>
      <c r="S45" s="41" t="str">
        <f t="shared" si="8"/>
        <v>0</v>
      </c>
      <c r="T45" s="24">
        <f t="shared" si="23"/>
        <v>2.0753191165567841E-8</v>
      </c>
      <c r="U45" s="41" t="str">
        <f t="shared" si="9"/>
        <v>0</v>
      </c>
      <c r="V45" s="24">
        <f t="shared" si="24"/>
        <v>2.490382939868141E-7</v>
      </c>
      <c r="W45" s="41" t="str">
        <f t="shared" si="10"/>
        <v/>
      </c>
      <c r="X45" s="24">
        <f t="shared" si="25"/>
        <v>2.9884595278417692E-6</v>
      </c>
      <c r="Y45" s="41" t="str">
        <f t="shared" si="11"/>
        <v/>
      </c>
      <c r="Z45" s="24">
        <f t="shared" si="26"/>
        <v>3.586151433410123E-5</v>
      </c>
      <c r="AA45" s="41" t="str">
        <f t="shared" si="12"/>
        <v/>
      </c>
      <c r="AB45" s="24">
        <f t="shared" si="27"/>
        <v>4.3033817200921476E-4</v>
      </c>
      <c r="AC45" s="41" t="str">
        <f t="shared" si="13"/>
        <v/>
      </c>
      <c r="AD45" s="24">
        <f t="shared" si="28"/>
        <v>5.1640580641105771E-3</v>
      </c>
      <c r="AE45" s="41" t="str">
        <f t="shared" si="14"/>
        <v/>
      </c>
      <c r="AF45" s="24">
        <f t="shared" si="29"/>
        <v>6.1968696769326925E-2</v>
      </c>
      <c r="AG45" s="41" t="str">
        <f t="shared" si="15"/>
        <v/>
      </c>
      <c r="AH45" s="24">
        <f t="shared" si="30"/>
        <v>0.7436243612319231</v>
      </c>
      <c r="AI45" s="41" t="str">
        <f t="shared" si="16"/>
        <v/>
      </c>
      <c r="AJ45" s="24">
        <f t="shared" si="31"/>
        <v>8.9234923347830772</v>
      </c>
      <c r="AK45" s="41" t="str">
        <f t="shared" si="17"/>
        <v/>
      </c>
    </row>
    <row r="46" spans="1:37" ht="15" customHeight="1">
      <c r="A46" s="719"/>
      <c r="B46" s="534" t="str">
        <f>Rydberg!B46</f>
        <v>Gravitic meter</v>
      </c>
      <c r="C46" s="534" t="str">
        <f>Rydberg!C46</f>
        <v>m</v>
      </c>
      <c r="D46" s="21">
        <f>Rydberg!D46</f>
        <v>9.5617360022251509E-35</v>
      </c>
      <c r="E46" s="8">
        <v>4</v>
      </c>
      <c r="F46" s="21">
        <f>D46/F$3</f>
        <v>1</v>
      </c>
      <c r="G46" s="37" t="str">
        <f t="shared" si="18"/>
        <v>1;0000</v>
      </c>
      <c r="H46" s="330">
        <f t="shared" si="19"/>
        <v>0</v>
      </c>
      <c r="I46" s="333"/>
      <c r="J46" s="38">
        <f t="shared" si="32"/>
        <v>0</v>
      </c>
      <c r="K46" s="61">
        <f t="shared" si="33"/>
        <v>1</v>
      </c>
      <c r="L46" s="39" t="str">
        <f>INDEX(powers!$H$2:$H$75,33+J46)</f>
        <v xml:space="preserve"> </v>
      </c>
      <c r="M46" s="40" t="str">
        <f t="shared" si="5"/>
        <v>1</v>
      </c>
      <c r="N46" s="24">
        <f t="shared" si="20"/>
        <v>0</v>
      </c>
      <c r="O46" s="41" t="str">
        <f t="shared" si="6"/>
        <v>0</v>
      </c>
      <c r="P46" s="24">
        <f t="shared" si="21"/>
        <v>0</v>
      </c>
      <c r="Q46" s="41" t="str">
        <f t="shared" si="7"/>
        <v>0</v>
      </c>
      <c r="R46" s="24">
        <f t="shared" si="22"/>
        <v>0</v>
      </c>
      <c r="S46" s="41" t="str">
        <f t="shared" si="8"/>
        <v>0</v>
      </c>
      <c r="T46" s="24">
        <f t="shared" si="23"/>
        <v>0</v>
      </c>
      <c r="U46" s="41" t="str">
        <f t="shared" si="9"/>
        <v>0</v>
      </c>
      <c r="V46" s="24">
        <f t="shared" si="24"/>
        <v>0</v>
      </c>
      <c r="W46" s="41" t="str">
        <f t="shared" si="10"/>
        <v/>
      </c>
      <c r="X46" s="24">
        <f t="shared" si="25"/>
        <v>0</v>
      </c>
      <c r="Y46" s="41" t="str">
        <f t="shared" si="11"/>
        <v/>
      </c>
      <c r="Z46" s="24">
        <f t="shared" si="26"/>
        <v>0</v>
      </c>
      <c r="AA46" s="41" t="str">
        <f t="shared" si="12"/>
        <v/>
      </c>
      <c r="AB46" s="24">
        <f t="shared" si="27"/>
        <v>0</v>
      </c>
      <c r="AC46" s="41" t="str">
        <f t="shared" si="13"/>
        <v/>
      </c>
      <c r="AD46" s="24">
        <f t="shared" si="28"/>
        <v>0</v>
      </c>
      <c r="AE46" s="41" t="str">
        <f t="shared" si="14"/>
        <v/>
      </c>
      <c r="AF46" s="24">
        <f t="shared" si="29"/>
        <v>0</v>
      </c>
      <c r="AG46" s="41" t="str">
        <f t="shared" si="15"/>
        <v/>
      </c>
      <c r="AH46" s="24">
        <f t="shared" si="30"/>
        <v>0</v>
      </c>
      <c r="AI46" s="41" t="str">
        <f t="shared" si="16"/>
        <v/>
      </c>
      <c r="AJ46" s="24">
        <f t="shared" si="31"/>
        <v>0</v>
      </c>
      <c r="AK46" s="41" t="str">
        <f t="shared" si="17"/>
        <v/>
      </c>
    </row>
    <row r="47" spans="1:37" ht="15" customHeight="1">
      <c r="A47" s="719"/>
      <c r="B47" s="534" t="str">
        <f>Rydberg!B47</f>
        <v>Planck length</v>
      </c>
      <c r="C47" s="534" t="str">
        <f>Rydberg!C47</f>
        <v>m</v>
      </c>
      <c r="D47" s="21">
        <f>Rydberg!D47</f>
        <v>1.6162283729742846E-35</v>
      </c>
      <c r="E47" s="8">
        <v>4</v>
      </c>
      <c r="F47" s="21">
        <f>D47/F$3</f>
        <v>0.1690308509457033</v>
      </c>
      <c r="G47" s="37" t="str">
        <f t="shared" si="18"/>
        <v>2;0410</v>
      </c>
      <c r="H47" s="330">
        <f t="shared" si="19"/>
        <v>1.4185105674219933E-2</v>
      </c>
      <c r="I47" s="333"/>
      <c r="J47" s="38">
        <f t="shared" si="32"/>
        <v>-1</v>
      </c>
      <c r="K47" s="61">
        <f t="shared" si="33"/>
        <v>2.0283702113484399</v>
      </c>
      <c r="L47" s="39" t="str">
        <f>INDEX(powers!$H$2:$H$75,33+J47)</f>
        <v>dour</v>
      </c>
      <c r="M47" s="40" t="str">
        <f t="shared" si="5"/>
        <v>2</v>
      </c>
      <c r="N47" s="24">
        <f t="shared" si="20"/>
        <v>0.3404425361812784</v>
      </c>
      <c r="O47" s="41" t="str">
        <f t="shared" si="6"/>
        <v>0</v>
      </c>
      <c r="P47" s="24">
        <f t="shared" si="21"/>
        <v>4.0853104341753408</v>
      </c>
      <c r="Q47" s="41" t="str">
        <f t="shared" si="7"/>
        <v>4</v>
      </c>
      <c r="R47" s="24">
        <f t="shared" si="22"/>
        <v>1.0237252101040895</v>
      </c>
      <c r="S47" s="41" t="str">
        <f t="shared" si="8"/>
        <v>1</v>
      </c>
      <c r="T47" s="24">
        <f t="shared" si="23"/>
        <v>0.28470252124907347</v>
      </c>
      <c r="U47" s="41" t="str">
        <f t="shared" si="9"/>
        <v>0</v>
      </c>
      <c r="V47" s="24">
        <f t="shared" si="24"/>
        <v>3.4164302549888816</v>
      </c>
      <c r="W47" s="41" t="str">
        <f t="shared" si="10"/>
        <v/>
      </c>
      <c r="X47" s="24">
        <f t="shared" si="25"/>
        <v>4.9971630598665797</v>
      </c>
      <c r="Y47" s="41" t="str">
        <f t="shared" si="11"/>
        <v/>
      </c>
      <c r="Z47" s="24">
        <f t="shared" si="26"/>
        <v>11.965956718398957</v>
      </c>
      <c r="AA47" s="41" t="str">
        <f t="shared" si="12"/>
        <v/>
      </c>
      <c r="AB47" s="24">
        <f t="shared" si="27"/>
        <v>11.591480620787479</v>
      </c>
      <c r="AC47" s="41" t="str">
        <f t="shared" si="13"/>
        <v/>
      </c>
      <c r="AD47" s="24">
        <f t="shared" si="28"/>
        <v>7.0977674494497478</v>
      </c>
      <c r="AE47" s="41" t="str">
        <f t="shared" si="14"/>
        <v/>
      </c>
      <c r="AF47" s="24">
        <f t="shared" si="29"/>
        <v>1.1732093933969736</v>
      </c>
      <c r="AG47" s="41" t="str">
        <f t="shared" si="15"/>
        <v/>
      </c>
      <c r="AH47" s="24">
        <f t="shared" si="30"/>
        <v>2.0785127207636833</v>
      </c>
      <c r="AI47" s="41" t="str">
        <f t="shared" si="16"/>
        <v/>
      </c>
      <c r="AJ47" s="24">
        <f t="shared" si="31"/>
        <v>0.94215264916419983</v>
      </c>
      <c r="AK47" s="41" t="str">
        <f t="shared" si="17"/>
        <v/>
      </c>
    </row>
    <row r="48" spans="1:37" ht="15" customHeight="1">
      <c r="A48" s="719"/>
      <c r="B48" s="534" t="str">
        <f>Rydberg!B48</f>
        <v>Adjusted Planck length</v>
      </c>
      <c r="C48" s="534" t="str">
        <f>Rydberg!C48</f>
        <v>m</v>
      </c>
      <c r="D48" s="21">
        <f>Rydberg!D48</f>
        <v>1.8919953376855748E-34</v>
      </c>
      <c r="E48" s="8">
        <v>4</v>
      </c>
      <c r="F48" s="21">
        <f>D48/F$3</f>
        <v>1.9787153057198827</v>
      </c>
      <c r="G48" s="37" t="str">
        <f t="shared" si="18"/>
        <v>1;E8E3</v>
      </c>
      <c r="H48" s="330">
        <f t="shared" si="19"/>
        <v>-1.0642347140058628E-2</v>
      </c>
      <c r="I48" s="333"/>
      <c r="J48" s="38">
        <f t="shared" si="32"/>
        <v>0</v>
      </c>
      <c r="K48" s="61">
        <f t="shared" si="33"/>
        <v>1.9787153057198827</v>
      </c>
      <c r="L48" s="39" t="str">
        <f>INDEX(powers!$H$2:$H$75,33+J48)</f>
        <v xml:space="preserve"> </v>
      </c>
      <c r="M48" s="40" t="str">
        <f t="shared" si="5"/>
        <v>1</v>
      </c>
      <c r="N48" s="24">
        <f t="shared" si="20"/>
        <v>11.744583668638594</v>
      </c>
      <c r="O48" s="41" t="str">
        <f t="shared" si="6"/>
        <v>E</v>
      </c>
      <c r="P48" s="24">
        <f t="shared" si="21"/>
        <v>8.9350040236631258</v>
      </c>
      <c r="Q48" s="41" t="str">
        <f t="shared" si="7"/>
        <v>8</v>
      </c>
      <c r="R48" s="24">
        <f t="shared" si="22"/>
        <v>11.22004828395751</v>
      </c>
      <c r="S48" s="41" t="str">
        <f t="shared" si="8"/>
        <v>E</v>
      </c>
      <c r="T48" s="24">
        <f t="shared" si="23"/>
        <v>2.6405794074901223</v>
      </c>
      <c r="U48" s="41" t="str">
        <f t="shared" si="9"/>
        <v>3</v>
      </c>
      <c r="V48" s="24">
        <f t="shared" si="24"/>
        <v>7.6869528898814679</v>
      </c>
      <c r="W48" s="41" t="str">
        <f t="shared" si="10"/>
        <v/>
      </c>
      <c r="X48" s="24">
        <f t="shared" si="25"/>
        <v>8.2434346785776142</v>
      </c>
      <c r="Y48" s="41" t="str">
        <f t="shared" si="11"/>
        <v/>
      </c>
      <c r="Z48" s="24">
        <f t="shared" si="26"/>
        <v>2.921216142931371</v>
      </c>
      <c r="AA48" s="41" t="str">
        <f t="shared" si="12"/>
        <v/>
      </c>
      <c r="AB48" s="24">
        <f t="shared" si="27"/>
        <v>11.054593715176452</v>
      </c>
      <c r="AC48" s="41" t="str">
        <f t="shared" si="13"/>
        <v/>
      </c>
      <c r="AD48" s="24">
        <f t="shared" si="28"/>
        <v>0.65512458211742342</v>
      </c>
      <c r="AE48" s="41" t="str">
        <f t="shared" si="14"/>
        <v/>
      </c>
      <c r="AF48" s="24">
        <f t="shared" si="29"/>
        <v>7.861494985409081</v>
      </c>
      <c r="AG48" s="41" t="str">
        <f t="shared" si="15"/>
        <v/>
      </c>
      <c r="AH48" s="24">
        <f t="shared" si="30"/>
        <v>10.337939824908972</v>
      </c>
      <c r="AI48" s="41" t="str">
        <f t="shared" si="16"/>
        <v/>
      </c>
      <c r="AJ48" s="24">
        <f t="shared" si="31"/>
        <v>4.0552778989076614</v>
      </c>
      <c r="AK48" s="41" t="str">
        <f t="shared" si="17"/>
        <v/>
      </c>
    </row>
    <row r="49" spans="1:37" ht="15" customHeight="1">
      <c r="A49" s="719"/>
      <c r="B49" s="534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0.16449340668482265</v>
      </c>
      <c r="G49" s="37" t="str">
        <f t="shared" si="18"/>
        <v>1;E82E28</v>
      </c>
      <c r="H49" s="330">
        <f t="shared" si="19"/>
        <v>-1.303955989106409E-2</v>
      </c>
      <c r="I49" s="333"/>
      <c r="J49" s="135">
        <f t="shared" si="32"/>
        <v>-1</v>
      </c>
      <c r="K49" s="61">
        <f t="shared" si="33"/>
        <v>1.9739208802178718</v>
      </c>
      <c r="L49" s="138" t="str">
        <f>INDEX(powers!$H$2:$H$75,33+J49)</f>
        <v>dour</v>
      </c>
      <c r="M49" s="40" t="str">
        <f t="shared" si="5"/>
        <v>1</v>
      </c>
      <c r="N49" s="24">
        <f t="shared" si="20"/>
        <v>11.687050562614463</v>
      </c>
      <c r="O49" s="41" t="str">
        <f t="shared" si="6"/>
        <v>E</v>
      </c>
      <c r="P49" s="24">
        <f t="shared" si="21"/>
        <v>8.2446067513735528</v>
      </c>
      <c r="Q49" s="41" t="str">
        <f t="shared" si="7"/>
        <v>8</v>
      </c>
      <c r="R49" s="24">
        <f t="shared" si="22"/>
        <v>2.9352810164826337</v>
      </c>
      <c r="S49" s="41" t="str">
        <f t="shared" si="8"/>
        <v>2</v>
      </c>
      <c r="T49" s="24">
        <f t="shared" si="23"/>
        <v>11.223372197791605</v>
      </c>
      <c r="U49" s="41" t="str">
        <f t="shared" si="9"/>
        <v>E</v>
      </c>
      <c r="V49" s="24">
        <f t="shared" si="24"/>
        <v>2.6804663734992573</v>
      </c>
      <c r="W49" s="41" t="str">
        <f t="shared" si="10"/>
        <v>2</v>
      </c>
      <c r="X49" s="24">
        <f t="shared" si="25"/>
        <v>8.1655964819910878</v>
      </c>
      <c r="Y49" s="41" t="str">
        <f t="shared" si="11"/>
        <v>8</v>
      </c>
      <c r="Z49" s="24">
        <f t="shared" si="26"/>
        <v>1.9871577838930534</v>
      </c>
      <c r="AA49" s="41" t="str">
        <f t="shared" si="12"/>
        <v/>
      </c>
      <c r="AB49" s="24">
        <f t="shared" si="27"/>
        <v>11.845893406716641</v>
      </c>
      <c r="AC49" s="41" t="str">
        <f t="shared" si="13"/>
        <v/>
      </c>
      <c r="AD49" s="24">
        <f t="shared" si="28"/>
        <v>10.150720880599692</v>
      </c>
      <c r="AE49" s="41" t="str">
        <f t="shared" si="14"/>
        <v/>
      </c>
      <c r="AF49" s="24">
        <f t="shared" si="29"/>
        <v>1.8086505671963096</v>
      </c>
      <c r="AG49" s="41" t="str">
        <f t="shared" si="15"/>
        <v/>
      </c>
      <c r="AH49" s="24">
        <f t="shared" si="30"/>
        <v>9.7038068063557148</v>
      </c>
      <c r="AI49" s="41" t="str">
        <f t="shared" si="16"/>
        <v/>
      </c>
      <c r="AJ49" s="24">
        <f t="shared" si="31"/>
        <v>8.4456816762685776</v>
      </c>
      <c r="AK49" s="41" t="str">
        <f t="shared" si="17"/>
        <v/>
      </c>
    </row>
    <row r="50" spans="1:37" ht="15" customHeight="1">
      <c r="A50" s="719"/>
      <c r="B50" s="534" t="str">
        <f>Rydberg!B50</f>
        <v>Black-body radiation at the ice point</v>
      </c>
      <c r="C50" s="534" t="str">
        <f>Rydberg!C50</f>
        <v>W/m^2</v>
      </c>
      <c r="D50" s="21">
        <f>Rydberg!D50</f>
        <v>315.65739918733362</v>
      </c>
      <c r="E50" s="8">
        <v>4</v>
      </c>
      <c r="F50" s="21">
        <f>D50/(F$9*POWER(F$3,-2))</f>
        <v>2.7838472971620067E-117</v>
      </c>
      <c r="G50" s="37" t="str">
        <f t="shared" si="18"/>
        <v>0;EX90</v>
      </c>
      <c r="H50" s="330">
        <f t="shared" si="19"/>
        <v>-8.6660438698714648E-3</v>
      </c>
      <c r="I50" s="333"/>
      <c r="J50" s="89">
        <f>FLOOR(LOG(F50,12),1)+1</f>
        <v>-108</v>
      </c>
      <c r="K50" s="61">
        <f t="shared" si="33"/>
        <v>0.99133395613012854</v>
      </c>
      <c r="L50" s="39"/>
      <c r="M50" s="40" t="str">
        <f t="shared" si="5"/>
        <v>0</v>
      </c>
      <c r="N50" s="24">
        <f t="shared" si="20"/>
        <v>11.896007473561543</v>
      </c>
      <c r="O50" s="41" t="str">
        <f t="shared" si="6"/>
        <v>E</v>
      </c>
      <c r="P50" s="24">
        <f t="shared" si="21"/>
        <v>10.752089682738514</v>
      </c>
      <c r="Q50" s="41" t="str">
        <f t="shared" si="7"/>
        <v>X</v>
      </c>
      <c r="R50" s="24">
        <f t="shared" si="22"/>
        <v>9.0250761928621728</v>
      </c>
      <c r="S50" s="41" t="str">
        <f t="shared" si="8"/>
        <v>9</v>
      </c>
      <c r="T50" s="24">
        <f t="shared" si="23"/>
        <v>0.3009143143460733</v>
      </c>
      <c r="U50" s="41" t="str">
        <f t="shared" si="9"/>
        <v>0</v>
      </c>
      <c r="V50" s="24">
        <f t="shared" si="24"/>
        <v>3.6109717721528796</v>
      </c>
      <c r="W50" s="41" t="str">
        <f t="shared" si="10"/>
        <v/>
      </c>
      <c r="X50" s="24">
        <f t="shared" si="25"/>
        <v>7.3316612658345548</v>
      </c>
      <c r="Y50" s="41" t="str">
        <f t="shared" si="11"/>
        <v/>
      </c>
      <c r="Z50" s="24">
        <f t="shared" si="26"/>
        <v>3.9799351900146576</v>
      </c>
      <c r="AA50" s="41" t="str">
        <f t="shared" si="12"/>
        <v/>
      </c>
      <c r="AB50" s="24">
        <f t="shared" si="27"/>
        <v>11.759222280175891</v>
      </c>
      <c r="AC50" s="41" t="str">
        <f t="shared" si="13"/>
        <v/>
      </c>
      <c r="AD50" s="24">
        <f t="shared" si="28"/>
        <v>9.1106673621106893</v>
      </c>
      <c r="AE50" s="41" t="str">
        <f t="shared" si="14"/>
        <v/>
      </c>
      <c r="AF50" s="24">
        <f t="shared" si="29"/>
        <v>1.3280083453282714</v>
      </c>
      <c r="AG50" s="41" t="str">
        <f t="shared" si="15"/>
        <v/>
      </c>
      <c r="AH50" s="24">
        <f t="shared" si="30"/>
        <v>3.9361001439392567</v>
      </c>
      <c r="AI50" s="41" t="str">
        <f t="shared" si="16"/>
        <v/>
      </c>
      <c r="AJ50" s="24">
        <f t="shared" si="31"/>
        <v>11.23320172727108</v>
      </c>
      <c r="AK50" s="41" t="str">
        <f t="shared" si="17"/>
        <v/>
      </c>
    </row>
    <row r="51" spans="1:37" ht="15" customHeight="1">
      <c r="A51" s="719"/>
      <c r="B51" s="534" t="str">
        <f>Rydberg!B51</f>
        <v>Temperature of the triple point of water</v>
      </c>
      <c r="C51" s="534" t="str">
        <f>Rydberg!C51</f>
        <v>K</v>
      </c>
      <c r="D51" s="21">
        <f>Rydberg!D51</f>
        <v>273.16000000000003</v>
      </c>
      <c r="E51" s="8">
        <v>4</v>
      </c>
      <c r="F51" s="21">
        <f>D51/F$6</f>
        <v>1.1406177553973705E-29</v>
      </c>
      <c r="G51" s="37" t="str">
        <f t="shared" si="18"/>
        <v>1;6977</v>
      </c>
      <c r="H51" s="330"/>
      <c r="I51" s="333"/>
      <c r="J51" s="135">
        <f t="shared" si="32"/>
        <v>-27</v>
      </c>
      <c r="K51" s="61">
        <f t="shared" si="33"/>
        <v>1.5668729064282136</v>
      </c>
      <c r="L51" s="138" t="str">
        <f>INDEX(powers!$H$2:$H$75,33+J51)</f>
        <v>tri-atomic milly</v>
      </c>
      <c r="M51" s="40" t="str">
        <f t="shared" si="5"/>
        <v>1</v>
      </c>
      <c r="N51" s="24">
        <f t="shared" si="20"/>
        <v>6.8024748771385637</v>
      </c>
      <c r="O51" s="41" t="str">
        <f t="shared" si="6"/>
        <v>6</v>
      </c>
      <c r="P51" s="24">
        <f t="shared" si="21"/>
        <v>9.6296985256627643</v>
      </c>
      <c r="Q51" s="41" t="str">
        <f t="shared" si="7"/>
        <v>9</v>
      </c>
      <c r="R51" s="24">
        <f t="shared" si="22"/>
        <v>7.5563823079531716</v>
      </c>
      <c r="S51" s="41" t="str">
        <f t="shared" si="8"/>
        <v>7</v>
      </c>
      <c r="T51" s="24">
        <f t="shared" si="23"/>
        <v>6.6765876954380587</v>
      </c>
      <c r="U51" s="41" t="str">
        <f t="shared" si="9"/>
        <v>7</v>
      </c>
      <c r="V51" s="24">
        <f t="shared" si="24"/>
        <v>8.1190523452567049</v>
      </c>
      <c r="W51" s="41" t="str">
        <f t="shared" si="10"/>
        <v/>
      </c>
      <c r="X51" s="24">
        <f t="shared" si="25"/>
        <v>1.4286281430804593</v>
      </c>
      <c r="Y51" s="41" t="str">
        <f t="shared" si="11"/>
        <v/>
      </c>
      <c r="Z51" s="24">
        <f t="shared" si="26"/>
        <v>5.1435377169655112</v>
      </c>
      <c r="AA51" s="41" t="str">
        <f t="shared" si="12"/>
        <v/>
      </c>
      <c r="AB51" s="24">
        <f t="shared" si="27"/>
        <v>1.7224526035861345</v>
      </c>
      <c r="AC51" s="41" t="str">
        <f t="shared" si="13"/>
        <v/>
      </c>
      <c r="AD51" s="24">
        <f t="shared" si="28"/>
        <v>8.669431243033614</v>
      </c>
      <c r="AE51" s="41" t="str">
        <f t="shared" si="14"/>
        <v/>
      </c>
      <c r="AF51" s="24">
        <f t="shared" si="29"/>
        <v>8.0331749164033681</v>
      </c>
      <c r="AG51" s="41" t="str">
        <f t="shared" si="15"/>
        <v/>
      </c>
      <c r="AH51" s="24">
        <f t="shared" si="30"/>
        <v>0.39809899684041739</v>
      </c>
      <c r="AI51" s="41" t="str">
        <f t="shared" si="16"/>
        <v/>
      </c>
      <c r="AJ51" s="24">
        <f t="shared" si="31"/>
        <v>4.7771879620850086</v>
      </c>
      <c r="AK51" s="41" t="str">
        <f t="shared" si="17"/>
        <v/>
      </c>
    </row>
    <row r="52" spans="1:37" ht="15" customHeight="1">
      <c r="A52" s="719"/>
      <c r="B52" s="534" t="str">
        <f>Rydberg!B52</f>
        <v>Molar volume of an ideal gas</v>
      </c>
      <c r="C52" s="534" t="str">
        <f>Rydberg!C52</f>
        <v>m^3/mol</v>
      </c>
      <c r="D52" s="21">
        <f>Rydberg!D52</f>
        <v>2.2413961999999999E-2</v>
      </c>
      <c r="E52" s="8">
        <v>4</v>
      </c>
      <c r="F52" s="21">
        <f>D52/(POWER(F$3,3)/F$7)</f>
        <v>4.2575276363432404E+76</v>
      </c>
      <c r="G52" s="37" t="str">
        <f t="shared" si="18"/>
        <v>1;0253</v>
      </c>
      <c r="H52" s="330">
        <f>K52*POWER(12,I52)/ROUND(K52*POWER(12,I52),0)-1</f>
        <v>1.6925192516792142E-2</v>
      </c>
      <c r="I52" s="333"/>
      <c r="J52" s="38">
        <f t="shared" si="32"/>
        <v>71</v>
      </c>
      <c r="K52" s="61">
        <f t="shared" si="33"/>
        <v>1.0169251925167921</v>
      </c>
      <c r="L52" s="39"/>
      <c r="M52" s="40" t="str">
        <f t="shared" si="5"/>
        <v>1</v>
      </c>
      <c r="N52" s="24">
        <f t="shared" si="20"/>
        <v>0.20310231020150571</v>
      </c>
      <c r="O52" s="41" t="str">
        <f t="shared" si="6"/>
        <v>0</v>
      </c>
      <c r="P52" s="24">
        <f t="shared" si="21"/>
        <v>2.4372277224180685</v>
      </c>
      <c r="Q52" s="41" t="str">
        <f t="shared" si="7"/>
        <v>2</v>
      </c>
      <c r="R52" s="24">
        <f t="shared" si="22"/>
        <v>5.2467326690168221</v>
      </c>
      <c r="S52" s="41" t="str">
        <f t="shared" si="8"/>
        <v>5</v>
      </c>
      <c r="T52" s="24">
        <f t="shared" si="23"/>
        <v>2.9607920282018654</v>
      </c>
      <c r="U52" s="41" t="str">
        <f t="shared" si="9"/>
        <v>3</v>
      </c>
      <c r="V52" s="24">
        <f t="shared" si="24"/>
        <v>11.529504338422385</v>
      </c>
      <c r="W52" s="41" t="str">
        <f t="shared" si="10"/>
        <v/>
      </c>
      <c r="X52" s="24">
        <f t="shared" si="25"/>
        <v>6.3540520610686144</v>
      </c>
      <c r="Y52" s="41" t="str">
        <f t="shared" si="11"/>
        <v/>
      </c>
      <c r="Z52" s="24">
        <f t="shared" si="26"/>
        <v>4.2486247328233731</v>
      </c>
      <c r="AA52" s="41" t="str">
        <f t="shared" si="12"/>
        <v/>
      </c>
      <c r="AB52" s="24">
        <f t="shared" si="27"/>
        <v>2.9834967938804766</v>
      </c>
      <c r="AC52" s="41" t="str">
        <f t="shared" si="13"/>
        <v/>
      </c>
      <c r="AD52" s="24">
        <f t="shared" si="28"/>
        <v>11.801961526565719</v>
      </c>
      <c r="AE52" s="41" t="str">
        <f t="shared" si="14"/>
        <v/>
      </c>
      <c r="AF52" s="24">
        <f t="shared" si="29"/>
        <v>9.6235383187886328</v>
      </c>
      <c r="AG52" s="41" t="str">
        <f t="shared" si="15"/>
        <v/>
      </c>
      <c r="AH52" s="24">
        <f t="shared" si="30"/>
        <v>7.482459825463593</v>
      </c>
      <c r="AI52" s="41" t="str">
        <f t="shared" si="16"/>
        <v/>
      </c>
      <c r="AJ52" s="24">
        <f t="shared" si="31"/>
        <v>5.7895179055631161</v>
      </c>
      <c r="AK52" s="41" t="str">
        <f t="shared" si="17"/>
        <v/>
      </c>
    </row>
    <row r="53" spans="1:37" ht="15" customHeight="1">
      <c r="A53" s="719"/>
      <c r="B53" s="67" t="str">
        <f>Rydberg!B53</f>
        <v>-log(Sqrt([H+][OH-])/(mol/m^3))</v>
      </c>
      <c r="C53" s="534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76.240120813525209</v>
      </c>
      <c r="G53" s="37" t="str">
        <f t="shared" si="18"/>
        <v>6;42X7</v>
      </c>
      <c r="H53" s="330"/>
      <c r="I53" s="333"/>
      <c r="J53" s="38">
        <f t="shared" si="32"/>
        <v>1</v>
      </c>
      <c r="K53" s="61">
        <f t="shared" si="33"/>
        <v>6.3533434011271011</v>
      </c>
      <c r="L53" s="39" t="str">
        <f>INDEX(powers!$H$2:$H$75,33+J53)</f>
        <v>dirac</v>
      </c>
      <c r="M53" s="40" t="str">
        <f t="shared" si="5"/>
        <v>6</v>
      </c>
      <c r="N53" s="24">
        <f t="shared" si="20"/>
        <v>4.2401208135252126</v>
      </c>
      <c r="O53" s="41" t="str">
        <f t="shared" si="6"/>
        <v>4</v>
      </c>
      <c r="P53" s="24">
        <f t="shared" si="21"/>
        <v>2.8814497623025517</v>
      </c>
      <c r="Q53" s="41" t="str">
        <f t="shared" si="7"/>
        <v>2</v>
      </c>
      <c r="R53" s="24">
        <f t="shared" si="22"/>
        <v>10.57739714763062</v>
      </c>
      <c r="S53" s="41" t="str">
        <f t="shared" si="8"/>
        <v>X</v>
      </c>
      <c r="T53" s="24">
        <f t="shared" si="23"/>
        <v>6.9287657715674413</v>
      </c>
      <c r="U53" s="41" t="str">
        <f t="shared" si="9"/>
        <v>7</v>
      </c>
      <c r="V53" s="24">
        <f t="shared" si="24"/>
        <v>11.145189258809296</v>
      </c>
      <c r="W53" s="41" t="str">
        <f t="shared" si="10"/>
        <v/>
      </c>
      <c r="X53" s="24">
        <f t="shared" si="25"/>
        <v>1.7422711057115521</v>
      </c>
      <c r="Y53" s="41" t="str">
        <f t="shared" si="11"/>
        <v/>
      </c>
      <c r="Z53" s="24">
        <f t="shared" si="26"/>
        <v>8.907253268538625</v>
      </c>
      <c r="AA53" s="41" t="str">
        <f t="shared" si="12"/>
        <v/>
      </c>
      <c r="AB53" s="24">
        <f t="shared" si="27"/>
        <v>10.8870392224635</v>
      </c>
      <c r="AC53" s="41" t="str">
        <f t="shared" si="13"/>
        <v/>
      </c>
      <c r="AD53" s="24">
        <f t="shared" si="28"/>
        <v>10.644470669561997</v>
      </c>
      <c r="AE53" s="41" t="str">
        <f t="shared" si="14"/>
        <v/>
      </c>
      <c r="AF53" s="24">
        <f t="shared" si="29"/>
        <v>7.7336480347439647</v>
      </c>
      <c r="AG53" s="41" t="str">
        <f t="shared" si="15"/>
        <v/>
      </c>
      <c r="AH53" s="24">
        <f t="shared" si="30"/>
        <v>8.8037764169275761</v>
      </c>
      <c r="AI53" s="41" t="str">
        <f t="shared" si="16"/>
        <v/>
      </c>
      <c r="AJ53" s="24">
        <f t="shared" si="31"/>
        <v>9.6453170031309128</v>
      </c>
      <c r="AK53" s="41" t="str">
        <f t="shared" si="17"/>
        <v/>
      </c>
    </row>
    <row r="54" spans="1:37" ht="15" customHeight="1">
      <c r="A54" s="719"/>
      <c r="B54" s="534" t="str">
        <f>Rydberg!B54</f>
        <v>Maximum density of water</v>
      </c>
      <c r="C54" s="534" t="str">
        <f>Rydberg!C54</f>
        <v>kg/m^3</v>
      </c>
      <c r="D54" s="21">
        <f>Rydberg!D54</f>
        <v>999.97199999999998</v>
      </c>
      <c r="E54" s="8">
        <v>4</v>
      </c>
      <c r="F54" s="21">
        <f>D54/(F$8*POWER(F$3,-3))</f>
        <v>2.3761802597932062E-91</v>
      </c>
      <c r="G54" s="37" t="str">
        <f t="shared" si="18"/>
        <v>1;0933</v>
      </c>
      <c r="H54" s="351">
        <f t="shared" ref="H54:H63" si="62">K54*POWER(12,I54)/ROUND(K54*POWER(12,I54),0)-1</f>
        <v>6.4398004413078302E-2</v>
      </c>
      <c r="I54" s="352"/>
      <c r="J54" s="38">
        <f t="shared" si="32"/>
        <v>-84</v>
      </c>
      <c r="K54" s="61">
        <f t="shared" si="33"/>
        <v>1.0643980044130783</v>
      </c>
      <c r="L54" s="39"/>
      <c r="M54" s="40" t="str">
        <f t="shared" si="5"/>
        <v>1</v>
      </c>
      <c r="N54" s="24">
        <f t="shared" si="20"/>
        <v>0.77277605295693963</v>
      </c>
      <c r="O54" s="41" t="str">
        <f t="shared" si="6"/>
        <v>0</v>
      </c>
      <c r="P54" s="24">
        <f t="shared" si="21"/>
        <v>9.2733126354832756</v>
      </c>
      <c r="Q54" s="41" t="str">
        <f t="shared" si="7"/>
        <v>9</v>
      </c>
      <c r="R54" s="24">
        <f t="shared" si="22"/>
        <v>3.2797516257993067</v>
      </c>
      <c r="S54" s="41" t="str">
        <f t="shared" si="8"/>
        <v>3</v>
      </c>
      <c r="T54" s="24">
        <f t="shared" si="23"/>
        <v>3.3570195095916802</v>
      </c>
      <c r="U54" s="41" t="str">
        <f t="shared" si="9"/>
        <v>3</v>
      </c>
      <c r="V54" s="24">
        <f t="shared" si="24"/>
        <v>4.2842341151001619</v>
      </c>
      <c r="W54" s="41" t="str">
        <f t="shared" si="10"/>
        <v/>
      </c>
      <c r="X54" s="24">
        <f t="shared" si="25"/>
        <v>3.4108093812019433</v>
      </c>
      <c r="Y54" s="41" t="str">
        <f t="shared" si="11"/>
        <v/>
      </c>
      <c r="Z54" s="24">
        <f t="shared" si="26"/>
        <v>4.9297125744233199</v>
      </c>
      <c r="AA54" s="41" t="str">
        <f t="shared" si="12"/>
        <v/>
      </c>
      <c r="AB54" s="24">
        <f t="shared" si="27"/>
        <v>11.156550893079839</v>
      </c>
      <c r="AC54" s="41" t="str">
        <f t="shared" si="13"/>
        <v/>
      </c>
      <c r="AD54" s="24">
        <f t="shared" si="28"/>
        <v>1.8786107169580646</v>
      </c>
      <c r="AE54" s="41" t="str">
        <f t="shared" si="14"/>
        <v/>
      </c>
      <c r="AF54" s="24">
        <f t="shared" si="29"/>
        <v>10.543328603496775</v>
      </c>
      <c r="AG54" s="41" t="str">
        <f t="shared" si="15"/>
        <v/>
      </c>
      <c r="AH54" s="24">
        <f t="shared" si="30"/>
        <v>6.5199432419613004</v>
      </c>
      <c r="AI54" s="41" t="str">
        <f t="shared" si="16"/>
        <v/>
      </c>
      <c r="AJ54" s="24">
        <f t="shared" si="31"/>
        <v>6.2393189035356045</v>
      </c>
      <c r="AK54" s="41" t="str">
        <f t="shared" si="17"/>
        <v/>
      </c>
    </row>
    <row r="55" spans="1:37" ht="15" customHeight="1">
      <c r="A55" s="719"/>
      <c r="B55" s="534" t="str">
        <f>Rydberg!B55</f>
        <v>Density of ice at the ice point</v>
      </c>
      <c r="C55" s="534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2.17854306138413E-91</v>
      </c>
      <c r="G55" s="37" t="str">
        <f t="shared" si="18"/>
        <v>0;E864</v>
      </c>
      <c r="H55" s="330">
        <f t="shared" si="62"/>
        <v>-2.4132585266477324E-2</v>
      </c>
      <c r="I55" s="333"/>
      <c r="J55" s="89">
        <f>FLOOR(LOG(F55,12),1)+1</f>
        <v>-84</v>
      </c>
      <c r="K55" s="61">
        <f t="shared" si="33"/>
        <v>0.97586741473352268</v>
      </c>
      <c r="L55" s="39"/>
      <c r="M55" s="40" t="str">
        <f t="shared" si="5"/>
        <v>0</v>
      </c>
      <c r="N55" s="24">
        <f t="shared" si="20"/>
        <v>11.710408976802272</v>
      </c>
      <c r="O55" s="41" t="str">
        <f t="shared" si="6"/>
        <v>E</v>
      </c>
      <c r="P55" s="24">
        <f t="shared" si="21"/>
        <v>8.5249077216272653</v>
      </c>
      <c r="Q55" s="41" t="str">
        <f t="shared" si="7"/>
        <v>8</v>
      </c>
      <c r="R55" s="24">
        <f t="shared" si="22"/>
        <v>6.2988926595271835</v>
      </c>
      <c r="S55" s="41" t="str">
        <f t="shared" si="8"/>
        <v>6</v>
      </c>
      <c r="T55" s="24">
        <f t="shared" si="23"/>
        <v>3.5867119143262016</v>
      </c>
      <c r="U55" s="41" t="str">
        <f t="shared" si="9"/>
        <v>4</v>
      </c>
      <c r="V55" s="24">
        <f t="shared" si="24"/>
        <v>7.0405429719144195</v>
      </c>
      <c r="W55" s="41" t="str">
        <f t="shared" si="10"/>
        <v/>
      </c>
      <c r="X55" s="24">
        <f t="shared" si="25"/>
        <v>0.48651566297303361</v>
      </c>
      <c r="Y55" s="41" t="str">
        <f t="shared" si="11"/>
        <v/>
      </c>
      <c r="Z55" s="24">
        <f t="shared" si="26"/>
        <v>5.8381879556764034</v>
      </c>
      <c r="AA55" s="41" t="str">
        <f t="shared" si="12"/>
        <v/>
      </c>
      <c r="AB55" s="24">
        <f t="shared" si="27"/>
        <v>10.05825546811684</v>
      </c>
      <c r="AC55" s="41" t="str">
        <f t="shared" si="13"/>
        <v/>
      </c>
      <c r="AD55" s="24">
        <f t="shared" si="28"/>
        <v>0.69906561740208417</v>
      </c>
      <c r="AE55" s="41" t="str">
        <f t="shared" si="14"/>
        <v/>
      </c>
      <c r="AF55" s="24">
        <f t="shared" si="29"/>
        <v>8.3887874088250101</v>
      </c>
      <c r="AG55" s="41" t="str">
        <f t="shared" si="15"/>
        <v/>
      </c>
      <c r="AH55" s="24">
        <f t="shared" si="30"/>
        <v>4.6654489059001207</v>
      </c>
      <c r="AI55" s="41" t="str">
        <f t="shared" si="16"/>
        <v/>
      </c>
      <c r="AJ55" s="24">
        <f t="shared" si="31"/>
        <v>7.9853868708014488</v>
      </c>
      <c r="AK55" s="41" t="str">
        <f t="shared" si="17"/>
        <v/>
      </c>
    </row>
    <row r="56" spans="1:37" ht="15" customHeight="1">
      <c r="A56" s="719"/>
      <c r="B56" s="534" t="str">
        <f>Rydberg!B56</f>
        <v>Specific heat of water</v>
      </c>
      <c r="C56" s="534" t="str">
        <f>Rydberg!C56</f>
        <v>J/kg/K</v>
      </c>
      <c r="D56" s="21">
        <f>Rydberg!D56</f>
        <v>4184</v>
      </c>
      <c r="E56" s="8">
        <v>4</v>
      </c>
      <c r="F56" s="21">
        <f>D56/(F$5/F$8/F$6)</f>
        <v>1.1148777452063615E+18</v>
      </c>
      <c r="G56" s="37" t="str">
        <f t="shared" si="18"/>
        <v>6;0441</v>
      </c>
      <c r="H56" s="351">
        <f t="shared" si="62"/>
        <v>5.0231352572012167E-3</v>
      </c>
      <c r="I56" s="352"/>
      <c r="J56" s="135">
        <f t="shared" si="32"/>
        <v>16</v>
      </c>
      <c r="K56" s="61">
        <f t="shared" si="33"/>
        <v>6.0301388115432069</v>
      </c>
      <c r="L56" s="138" t="str">
        <f>INDEX(powers!$H$2:$H$75,33+J56)</f>
        <v>di-cosmic</v>
      </c>
      <c r="M56" s="40" t="str">
        <f t="shared" si="5"/>
        <v>6</v>
      </c>
      <c r="N56" s="24">
        <f t="shared" si="20"/>
        <v>0.36166573851848227</v>
      </c>
      <c r="O56" s="41" t="str">
        <f t="shared" si="6"/>
        <v>0</v>
      </c>
      <c r="P56" s="24">
        <f t="shared" si="21"/>
        <v>4.3399888622217873</v>
      </c>
      <c r="Q56" s="41" t="str">
        <f t="shared" si="7"/>
        <v>4</v>
      </c>
      <c r="R56" s="24">
        <f t="shared" si="22"/>
        <v>4.0798663466614471</v>
      </c>
      <c r="S56" s="41" t="str">
        <f t="shared" si="8"/>
        <v>4</v>
      </c>
      <c r="T56" s="24">
        <f t="shared" si="23"/>
        <v>0.95839615993736516</v>
      </c>
      <c r="U56" s="41" t="str">
        <f t="shared" si="9"/>
        <v>1</v>
      </c>
      <c r="V56" s="24">
        <f t="shared" si="24"/>
        <v>11.500753919248382</v>
      </c>
      <c r="W56" s="41" t="str">
        <f t="shared" si="10"/>
        <v/>
      </c>
      <c r="X56" s="24">
        <f t="shared" si="25"/>
        <v>6.0090470309805823</v>
      </c>
      <c r="Y56" s="41" t="str">
        <f t="shared" si="11"/>
        <v/>
      </c>
      <c r="Z56" s="24">
        <f t="shared" si="26"/>
        <v>0.10856437176698819</v>
      </c>
      <c r="AA56" s="41" t="str">
        <f t="shared" si="12"/>
        <v/>
      </c>
      <c r="AB56" s="24">
        <f t="shared" si="27"/>
        <v>1.3027724612038583</v>
      </c>
      <c r="AC56" s="41" t="str">
        <f t="shared" si="13"/>
        <v/>
      </c>
      <c r="AD56" s="24">
        <f t="shared" si="28"/>
        <v>3.6332695344462991</v>
      </c>
      <c r="AE56" s="41" t="str">
        <f t="shared" si="14"/>
        <v/>
      </c>
      <c r="AF56" s="24">
        <f t="shared" si="29"/>
        <v>7.5992344133555889</v>
      </c>
      <c r="AG56" s="41" t="str">
        <f t="shared" si="15"/>
        <v/>
      </c>
      <c r="AH56" s="24">
        <f t="shared" si="30"/>
        <v>7.190812960267067</v>
      </c>
      <c r="AI56" s="41" t="str">
        <f t="shared" si="16"/>
        <v/>
      </c>
      <c r="AJ56" s="24">
        <f t="shared" si="31"/>
        <v>2.2897555232048035</v>
      </c>
      <c r="AK56" s="41" t="str">
        <f t="shared" si="17"/>
        <v/>
      </c>
    </row>
    <row r="57" spans="1:37" ht="15" customHeight="1">
      <c r="A57" s="719"/>
      <c r="B57" s="534" t="str">
        <f>Rydberg!B57</f>
        <v>Surface tension of water at 25℃</v>
      </c>
      <c r="C57" s="534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1.9900541421889186E-78</v>
      </c>
      <c r="G57" s="37" t="str">
        <f t="shared" si="18"/>
        <v>0;EEE8</v>
      </c>
      <c r="H57" s="330">
        <f t="shared" si="62"/>
        <v>-1.9660397404264174E-4</v>
      </c>
      <c r="I57" s="333"/>
      <c r="J57" s="89">
        <f>FLOOR(LOG(F57,12),1)+1</f>
        <v>-72</v>
      </c>
      <c r="K57" s="61">
        <f t="shared" si="33"/>
        <v>0.99980339602595736</v>
      </c>
      <c r="L57" s="39"/>
      <c r="M57" s="40" t="str">
        <f t="shared" si="5"/>
        <v>0</v>
      </c>
      <c r="N57" s="24">
        <f t="shared" si="20"/>
        <v>11.997640752311488</v>
      </c>
      <c r="O57" s="41" t="str">
        <f t="shared" si="6"/>
        <v>E</v>
      </c>
      <c r="P57" s="24">
        <f t="shared" si="21"/>
        <v>11.97168902773786</v>
      </c>
      <c r="Q57" s="41" t="str">
        <f t="shared" si="7"/>
        <v>E</v>
      </c>
      <c r="R57" s="24">
        <f t="shared" si="22"/>
        <v>11.660268332854315</v>
      </c>
      <c r="S57" s="41" t="str">
        <f t="shared" si="8"/>
        <v>E</v>
      </c>
      <c r="T57" s="24">
        <f t="shared" si="23"/>
        <v>7.9232199942517809</v>
      </c>
      <c r="U57" s="41" t="str">
        <f t="shared" si="9"/>
        <v>8</v>
      </c>
      <c r="V57" s="24">
        <f t="shared" si="24"/>
        <v>11.078639931021371</v>
      </c>
      <c r="W57" s="41" t="str">
        <f t="shared" si="10"/>
        <v/>
      </c>
      <c r="X57" s="24">
        <f t="shared" si="25"/>
        <v>0.94367917225645215</v>
      </c>
      <c r="Y57" s="41" t="str">
        <f t="shared" si="11"/>
        <v/>
      </c>
      <c r="Z57" s="24">
        <f t="shared" si="26"/>
        <v>11.324150067077426</v>
      </c>
      <c r="AA57" s="41" t="str">
        <f t="shared" si="12"/>
        <v/>
      </c>
      <c r="AB57" s="24">
        <f t="shared" si="27"/>
        <v>3.8898008049291093</v>
      </c>
      <c r="AC57" s="41" t="str">
        <f t="shared" si="13"/>
        <v/>
      </c>
      <c r="AD57" s="24">
        <f t="shared" si="28"/>
        <v>10.677609659149311</v>
      </c>
      <c r="AE57" s="41" t="str">
        <f t="shared" si="14"/>
        <v/>
      </c>
      <c r="AF57" s="24">
        <f t="shared" si="29"/>
        <v>8.1313159097917378</v>
      </c>
      <c r="AG57" s="41" t="str">
        <f t="shared" si="15"/>
        <v/>
      </c>
      <c r="AH57" s="24">
        <f t="shared" si="30"/>
        <v>1.5757909175008535</v>
      </c>
      <c r="AI57" s="41" t="str">
        <f t="shared" si="16"/>
        <v/>
      </c>
      <c r="AJ57" s="24">
        <f t="shared" si="31"/>
        <v>6.9094910100102425</v>
      </c>
      <c r="AK57" s="41" t="str">
        <f t="shared" si="17"/>
        <v/>
      </c>
    </row>
    <row r="58" spans="1:37" ht="15" customHeight="1">
      <c r="A58" s="719"/>
      <c r="B58" s="5" t="str">
        <f>Rydberg!B58</f>
        <v>photon energy at 540THz</v>
      </c>
      <c r="C58" s="534" t="str">
        <f>Rydberg!C58</f>
        <v>J</v>
      </c>
      <c r="D58" s="21">
        <f>Rydberg!D36*540000000000000*(2*PI())</f>
        <v>3.5780778211280019E-19</v>
      </c>
      <c r="E58" s="8">
        <v>4</v>
      </c>
      <c r="F58" s="21">
        <f>D58/F$5</f>
        <v>1.082155507279907E-27</v>
      </c>
      <c r="G58" s="37" t="str">
        <f t="shared" si="18"/>
        <v>1;047E</v>
      </c>
      <c r="H58" s="330">
        <f t="shared" si="62"/>
        <v>3.2335412150463982E-2</v>
      </c>
      <c r="I58" s="333"/>
      <c r="J58" s="38">
        <f t="shared" si="32"/>
        <v>-25</v>
      </c>
      <c r="K58" s="61">
        <f t="shared" si="33"/>
        <v>1.032335412150464</v>
      </c>
      <c r="L58" s="39" t="str">
        <f>INDEX(powers!$H$2:$H$75,33+J58)</f>
        <v>tri-atomic dour</v>
      </c>
      <c r="M58" s="40" t="str">
        <f t="shared" si="5"/>
        <v>1</v>
      </c>
      <c r="N58" s="24">
        <f t="shared" si="20"/>
        <v>0.38802494580556779</v>
      </c>
      <c r="O58" s="41" t="str">
        <f t="shared" si="6"/>
        <v>0</v>
      </c>
      <c r="P58" s="24">
        <f t="shared" si="21"/>
        <v>4.6562993496668135</v>
      </c>
      <c r="Q58" s="41" t="str">
        <f t="shared" si="7"/>
        <v>4</v>
      </c>
      <c r="R58" s="24">
        <f t="shared" si="22"/>
        <v>7.8755921960017616</v>
      </c>
      <c r="S58" s="41" t="str">
        <f t="shared" si="8"/>
        <v>7</v>
      </c>
      <c r="T58" s="24">
        <f t="shared" si="23"/>
        <v>10.50710635202114</v>
      </c>
      <c r="U58" s="41" t="str">
        <f t="shared" si="9"/>
        <v>E</v>
      </c>
      <c r="V58" s="24">
        <f t="shared" si="24"/>
        <v>6.0852762242536755</v>
      </c>
      <c r="W58" s="41" t="str">
        <f t="shared" si="10"/>
        <v/>
      </c>
      <c r="X58" s="24">
        <f t="shared" si="25"/>
        <v>1.0233146910441064</v>
      </c>
      <c r="Y58" s="41" t="str">
        <f t="shared" si="11"/>
        <v/>
      </c>
      <c r="Z58" s="24">
        <f t="shared" si="26"/>
        <v>0.27977629252927727</v>
      </c>
      <c r="AA58" s="41" t="str">
        <f t="shared" si="12"/>
        <v/>
      </c>
      <c r="AB58" s="24">
        <f t="shared" si="27"/>
        <v>3.3573155103513272</v>
      </c>
      <c r="AC58" s="41" t="str">
        <f t="shared" si="13"/>
        <v/>
      </c>
      <c r="AD58" s="24">
        <f t="shared" si="28"/>
        <v>4.287786124215927</v>
      </c>
      <c r="AE58" s="41" t="str">
        <f t="shared" si="14"/>
        <v/>
      </c>
      <c r="AF58" s="24">
        <f t="shared" si="29"/>
        <v>3.4534334905911237</v>
      </c>
      <c r="AG58" s="41" t="str">
        <f t="shared" si="15"/>
        <v/>
      </c>
      <c r="AH58" s="24">
        <f t="shared" si="30"/>
        <v>5.4412018870934844</v>
      </c>
      <c r="AI58" s="41" t="str">
        <f t="shared" si="16"/>
        <v/>
      </c>
      <c r="AJ58" s="24">
        <f t="shared" si="31"/>
        <v>5.2944226451218128</v>
      </c>
      <c r="AK58" s="41" t="str">
        <f t="shared" si="17"/>
        <v/>
      </c>
    </row>
    <row r="59" spans="1:37" ht="15" customHeight="1">
      <c r="A59" s="719"/>
      <c r="B59" s="237" t="str">
        <f>Rydberg!B59</f>
        <v>(according to the definition of candela)</v>
      </c>
      <c r="C59" s="534" t="str">
        <f>Rydberg!C59</f>
        <v>eΩA</v>
      </c>
      <c r="D59" s="21">
        <f>D58/D41</f>
        <v>2.2332605374867804</v>
      </c>
      <c r="E59" s="8">
        <v>4</v>
      </c>
      <c r="F59" s="21">
        <f>D59/F$17</f>
        <v>1.266796950641658E-26</v>
      </c>
      <c r="G59" s="37" t="str">
        <f t="shared" si="18"/>
        <v>1;0102</v>
      </c>
      <c r="H59" s="330">
        <f t="shared" si="62"/>
        <v>7.0636362288134524E-3</v>
      </c>
      <c r="I59" s="333"/>
      <c r="J59" s="38">
        <f t="shared" si="32"/>
        <v>-24</v>
      </c>
      <c r="K59" s="61">
        <f t="shared" si="33"/>
        <v>1.0070636362288135</v>
      </c>
      <c r="L59" s="293">
        <f>540/K59</f>
        <v>536.21239073049742</v>
      </c>
      <c r="M59" s="40" t="str">
        <f t="shared" si="5"/>
        <v>1</v>
      </c>
      <c r="N59" s="24">
        <f t="shared" si="20"/>
        <v>8.4763634745761429E-2</v>
      </c>
      <c r="O59" s="41" t="str">
        <f t="shared" si="6"/>
        <v>0</v>
      </c>
      <c r="P59" s="24">
        <f t="shared" si="21"/>
        <v>1.0171636169491372</v>
      </c>
      <c r="Q59" s="41" t="str">
        <f t="shared" si="7"/>
        <v>1</v>
      </c>
      <c r="R59" s="24">
        <f t="shared" si="22"/>
        <v>0.2059634033896458</v>
      </c>
      <c r="S59" s="41" t="str">
        <f t="shared" si="8"/>
        <v>0</v>
      </c>
      <c r="T59" s="24">
        <f t="shared" si="23"/>
        <v>2.4715608406757497</v>
      </c>
      <c r="U59" s="41" t="str">
        <f t="shared" si="9"/>
        <v>2</v>
      </c>
      <c r="V59" s="24">
        <f t="shared" si="24"/>
        <v>5.6587300881089959</v>
      </c>
      <c r="W59" s="41" t="str">
        <f t="shared" si="10"/>
        <v/>
      </c>
      <c r="X59" s="24">
        <f t="shared" si="25"/>
        <v>7.904761057307951</v>
      </c>
      <c r="Y59" s="41" t="str">
        <f t="shared" si="11"/>
        <v/>
      </c>
      <c r="Z59" s="24">
        <f t="shared" si="26"/>
        <v>10.857132687695412</v>
      </c>
      <c r="AA59" s="41" t="str">
        <f t="shared" si="12"/>
        <v/>
      </c>
      <c r="AB59" s="24">
        <f t="shared" si="27"/>
        <v>10.285592252344941</v>
      </c>
      <c r="AC59" s="41" t="str">
        <f t="shared" si="13"/>
        <v/>
      </c>
      <c r="AD59" s="24">
        <f t="shared" si="28"/>
        <v>3.4271070281392895</v>
      </c>
      <c r="AE59" s="41" t="str">
        <f t="shared" si="14"/>
        <v/>
      </c>
      <c r="AF59" s="24">
        <f t="shared" si="29"/>
        <v>5.1252843376714736</v>
      </c>
      <c r="AG59" s="41" t="str">
        <f t="shared" si="15"/>
        <v/>
      </c>
      <c r="AH59" s="24">
        <f t="shared" si="30"/>
        <v>1.5034120520576835</v>
      </c>
      <c r="AI59" s="41" t="str">
        <f t="shared" si="16"/>
        <v/>
      </c>
      <c r="AJ59" s="24">
        <f t="shared" si="31"/>
        <v>6.0409446246922016</v>
      </c>
      <c r="AK59" s="41" t="str">
        <f t="shared" si="17"/>
        <v/>
      </c>
    </row>
    <row r="60" spans="1:37" ht="15" customHeight="1">
      <c r="A60" s="719"/>
      <c r="B60" s="315">
        <f>Rydberg!B60</f>
        <v>1.024</v>
      </c>
      <c r="C60" s="534" t="str">
        <f>Rydberg!C60</f>
        <v>P/m</v>
      </c>
      <c r="D60" s="21">
        <f>D54*D63*B60</f>
        <v>10041.728423731198</v>
      </c>
      <c r="E60" s="8">
        <v>4</v>
      </c>
      <c r="F60" s="21">
        <f>D60/(F11/F3)</f>
        <v>2.5386063306494183E-141</v>
      </c>
      <c r="G60" s="37" t="str">
        <f t="shared" si="18"/>
        <v>5;EX47</v>
      </c>
      <c r="H60" s="330">
        <f t="shared" si="62"/>
        <v>-1.8694677995946263E-3</v>
      </c>
      <c r="I60" s="333"/>
      <c r="J60" s="38">
        <f t="shared" si="32"/>
        <v>-131</v>
      </c>
      <c r="K60" s="61">
        <f t="shared" si="33"/>
        <v>5.9887831932024325</v>
      </c>
      <c r="L60" s="39"/>
      <c r="M60" s="40" t="str">
        <f t="shared" si="5"/>
        <v>5</v>
      </c>
      <c r="N60" s="24">
        <f t="shared" si="20"/>
        <v>11.86539831842919</v>
      </c>
      <c r="O60" s="41" t="str">
        <f t="shared" si="6"/>
        <v>E</v>
      </c>
      <c r="P60" s="24">
        <f t="shared" si="21"/>
        <v>10.384779821150275</v>
      </c>
      <c r="Q60" s="41" t="str">
        <f t="shared" si="7"/>
        <v>X</v>
      </c>
      <c r="R60" s="24">
        <f t="shared" si="22"/>
        <v>4.6173578538032984</v>
      </c>
      <c r="S60" s="41" t="str">
        <f t="shared" si="8"/>
        <v>4</v>
      </c>
      <c r="T60" s="24">
        <f t="shared" si="23"/>
        <v>7.4082942456395813</v>
      </c>
      <c r="U60" s="41" t="str">
        <f t="shared" si="9"/>
        <v>7</v>
      </c>
      <c r="V60" s="24">
        <f t="shared" si="24"/>
        <v>4.8995309476749753</v>
      </c>
      <c r="W60" s="41" t="str">
        <f t="shared" si="10"/>
        <v/>
      </c>
      <c r="X60" s="24">
        <f t="shared" si="25"/>
        <v>10.794371372099704</v>
      </c>
      <c r="Y60" s="41" t="str">
        <f t="shared" si="11"/>
        <v/>
      </c>
      <c r="Z60" s="24">
        <f t="shared" si="26"/>
        <v>9.5324564651964465</v>
      </c>
      <c r="AA60" s="41" t="str">
        <f t="shared" si="12"/>
        <v/>
      </c>
      <c r="AB60" s="24">
        <f t="shared" si="27"/>
        <v>6.3894775823573582</v>
      </c>
      <c r="AC60" s="41" t="str">
        <f t="shared" si="13"/>
        <v/>
      </c>
      <c r="AD60" s="24">
        <f t="shared" si="28"/>
        <v>4.6737309882882982</v>
      </c>
      <c r="AE60" s="41" t="str">
        <f t="shared" si="14"/>
        <v/>
      </c>
      <c r="AF60" s="24">
        <f t="shared" si="29"/>
        <v>8.084771859459579</v>
      </c>
      <c r="AG60" s="41" t="str">
        <f t="shared" si="15"/>
        <v/>
      </c>
      <c r="AH60" s="24">
        <f t="shared" si="30"/>
        <v>1.0172623135149479</v>
      </c>
      <c r="AI60" s="41" t="str">
        <f t="shared" si="16"/>
        <v/>
      </c>
      <c r="AJ60" s="24">
        <f t="shared" si="31"/>
        <v>0.20714776217937469</v>
      </c>
      <c r="AK60" s="41" t="str">
        <f t="shared" si="17"/>
        <v/>
      </c>
    </row>
    <row r="61" spans="1:37" ht="15" customHeight="1">
      <c r="A61" s="719"/>
      <c r="B61" s="534" t="str">
        <f>Rydberg!B61</f>
        <v>Sea depth at standard atmosphere</v>
      </c>
      <c r="C61" s="534" t="str">
        <f>Rydberg!C61</f>
        <v>m</v>
      </c>
      <c r="D61" s="21">
        <f>D62/D60</f>
        <v>10.090394374791382</v>
      </c>
      <c r="E61" s="8">
        <v>4</v>
      </c>
      <c r="F61" s="21">
        <f>D61/F$3</f>
        <v>1.0552889530147249E+35</v>
      </c>
      <c r="G61" s="37" t="str">
        <f t="shared" si="18"/>
        <v>3;1069</v>
      </c>
      <c r="H61" s="331">
        <f t="shared" si="62"/>
        <v>1.2696225492738744E-3</v>
      </c>
      <c r="I61" s="339">
        <v>1</v>
      </c>
      <c r="J61" s="38">
        <f t="shared" si="32"/>
        <v>32</v>
      </c>
      <c r="K61" s="61">
        <f t="shared" si="33"/>
        <v>3.0872480028602616</v>
      </c>
      <c r="L61" s="39" t="str">
        <f>INDEX(powers!$H$2:$H$75,33+J61)</f>
        <v>tetra-cosmic</v>
      </c>
      <c r="M61" s="40" t="str">
        <f t="shared" si="5"/>
        <v>3</v>
      </c>
      <c r="N61" s="24">
        <f t="shared" si="20"/>
        <v>1.0469760343231389</v>
      </c>
      <c r="O61" s="41" t="str">
        <f t="shared" si="6"/>
        <v>1</v>
      </c>
      <c r="P61" s="24">
        <f t="shared" si="21"/>
        <v>0.56371241187766685</v>
      </c>
      <c r="Q61" s="41" t="str">
        <f t="shared" si="7"/>
        <v>0</v>
      </c>
      <c r="R61" s="24">
        <f t="shared" si="22"/>
        <v>6.7645489425320022</v>
      </c>
      <c r="S61" s="41" t="str">
        <f t="shared" si="8"/>
        <v>6</v>
      </c>
      <c r="T61" s="24">
        <f t="shared" si="23"/>
        <v>9.1745873103840268</v>
      </c>
      <c r="U61" s="41" t="str">
        <f t="shared" si="9"/>
        <v>9</v>
      </c>
      <c r="V61" s="24">
        <f t="shared" si="24"/>
        <v>2.095047724608321</v>
      </c>
      <c r="W61" s="41" t="str">
        <f t="shared" si="10"/>
        <v/>
      </c>
      <c r="X61" s="24">
        <f t="shared" si="25"/>
        <v>1.1405726952998521</v>
      </c>
      <c r="Y61" s="41" t="str">
        <f t="shared" si="11"/>
        <v/>
      </c>
      <c r="Z61" s="24">
        <f t="shared" si="26"/>
        <v>1.6868723435982247</v>
      </c>
      <c r="AA61" s="41" t="str">
        <f t="shared" si="12"/>
        <v/>
      </c>
      <c r="AB61" s="24">
        <f t="shared" si="27"/>
        <v>8.2424681231786963</v>
      </c>
      <c r="AC61" s="41" t="str">
        <f t="shared" si="13"/>
        <v/>
      </c>
      <c r="AD61" s="24">
        <f t="shared" si="28"/>
        <v>2.9096174781443551</v>
      </c>
      <c r="AE61" s="41" t="str">
        <f t="shared" si="14"/>
        <v/>
      </c>
      <c r="AF61" s="24">
        <f t="shared" si="29"/>
        <v>10.915409737732261</v>
      </c>
      <c r="AG61" s="41" t="str">
        <f t="shared" si="15"/>
        <v/>
      </c>
      <c r="AH61" s="24">
        <f t="shared" si="30"/>
        <v>10.984916852787137</v>
      </c>
      <c r="AI61" s="41" t="str">
        <f t="shared" si="16"/>
        <v/>
      </c>
      <c r="AJ61" s="24">
        <f t="shared" si="31"/>
        <v>11.819002233445644</v>
      </c>
      <c r="AK61" s="41" t="str">
        <f t="shared" si="17"/>
        <v/>
      </c>
    </row>
    <row r="62" spans="1:37" ht="15" customHeight="1">
      <c r="A62" s="719"/>
      <c r="B62" s="534" t="str">
        <f>Rydberg!B62</f>
        <v>Standard atmosphere</v>
      </c>
      <c r="C62" s="534" t="str">
        <f>Rydberg!C62</f>
        <v>P</v>
      </c>
      <c r="D62" s="21">
        <f>Rydberg!D62</f>
        <v>101325</v>
      </c>
      <c r="E62" s="8">
        <v>4</v>
      </c>
      <c r="F62" s="21">
        <f>D62/F$11</f>
        <v>2.6789632167875772E-106</v>
      </c>
      <c r="G62" s="37" t="str">
        <f t="shared" si="18"/>
        <v>1;65X5</v>
      </c>
      <c r="H62" s="331">
        <f t="shared" si="62"/>
        <v>-6.022187687942937E-4</v>
      </c>
      <c r="I62" s="339">
        <v>2</v>
      </c>
      <c r="J62" s="38">
        <f t="shared" si="32"/>
        <v>-98</v>
      </c>
      <c r="K62" s="61">
        <f t="shared" si="33"/>
        <v>1.5407382460647756</v>
      </c>
      <c r="L62" s="39"/>
      <c r="M62" s="40" t="str">
        <f t="shared" si="5"/>
        <v>1</v>
      </c>
      <c r="N62" s="24">
        <f t="shared" si="20"/>
        <v>6.4888589527773073</v>
      </c>
      <c r="O62" s="41" t="str">
        <f t="shared" si="6"/>
        <v>6</v>
      </c>
      <c r="P62" s="24">
        <f t="shared" si="21"/>
        <v>5.8663074333276874</v>
      </c>
      <c r="Q62" s="41" t="str">
        <f t="shared" si="7"/>
        <v>5</v>
      </c>
      <c r="R62" s="24">
        <f t="shared" si="22"/>
        <v>10.395689199932249</v>
      </c>
      <c r="S62" s="41" t="str">
        <f t="shared" si="8"/>
        <v>X</v>
      </c>
      <c r="T62" s="24">
        <f t="shared" si="23"/>
        <v>4.7482703991869926</v>
      </c>
      <c r="U62" s="41" t="str">
        <f t="shared" si="9"/>
        <v>5</v>
      </c>
      <c r="V62" s="24">
        <f t="shared" si="24"/>
        <v>8.9792447902439108</v>
      </c>
      <c r="W62" s="41" t="str">
        <f t="shared" si="10"/>
        <v/>
      </c>
      <c r="X62" s="24">
        <f t="shared" si="25"/>
        <v>11.750937482926929</v>
      </c>
      <c r="Y62" s="41" t="str">
        <f t="shared" si="11"/>
        <v/>
      </c>
      <c r="Z62" s="24">
        <f t="shared" si="26"/>
        <v>9.0112497951231489</v>
      </c>
      <c r="AA62" s="41" t="str">
        <f t="shared" si="12"/>
        <v/>
      </c>
      <c r="AB62" s="24">
        <f t="shared" si="27"/>
        <v>0.13499754147778731</v>
      </c>
      <c r="AC62" s="41" t="str">
        <f t="shared" si="13"/>
        <v/>
      </c>
      <c r="AD62" s="24">
        <f t="shared" si="28"/>
        <v>1.6199704977334477</v>
      </c>
      <c r="AE62" s="41" t="str">
        <f t="shared" si="14"/>
        <v/>
      </c>
      <c r="AF62" s="24">
        <f t="shared" si="29"/>
        <v>7.4396459728013724</v>
      </c>
      <c r="AG62" s="41" t="str">
        <f t="shared" si="15"/>
        <v/>
      </c>
      <c r="AH62" s="24">
        <f t="shared" si="30"/>
        <v>5.2757516736164689</v>
      </c>
      <c r="AI62" s="41" t="str">
        <f t="shared" si="16"/>
        <v/>
      </c>
      <c r="AJ62" s="24">
        <f t="shared" si="31"/>
        <v>3.3090200833976269</v>
      </c>
      <c r="AK62" s="41" t="str">
        <f t="shared" si="17"/>
        <v/>
      </c>
    </row>
    <row r="63" spans="1:37" ht="15" customHeight="1">
      <c r="A63" s="719"/>
      <c r="B63" s="534" t="str">
        <f>Rydberg!B63</f>
        <v>Standard gravitational acceleration</v>
      </c>
      <c r="C63" s="534" t="str">
        <f>Rydberg!C63</f>
        <v>m/s^2</v>
      </c>
      <c r="D63" s="21">
        <f>Rydberg!D63</f>
        <v>9.8066499999999994</v>
      </c>
      <c r="E63" s="8">
        <v>4</v>
      </c>
      <c r="F63" s="21">
        <f>D63/(F$3/F$4/F$4)</f>
        <v>1.0433163622824533E-50</v>
      </c>
      <c r="G63" s="37" t="str">
        <f t="shared" si="18"/>
        <v>5;5E28</v>
      </c>
      <c r="H63" s="353">
        <f t="shared" si="62"/>
        <v>9.8916206694062758E-2</v>
      </c>
      <c r="I63" s="354">
        <v>0</v>
      </c>
      <c r="J63" s="38">
        <f t="shared" si="32"/>
        <v>-47</v>
      </c>
      <c r="K63" s="61">
        <f t="shared" si="33"/>
        <v>5.4945810334703138</v>
      </c>
      <c r="L63" s="39"/>
      <c r="M63" s="40" t="str">
        <f t="shared" si="5"/>
        <v>5</v>
      </c>
      <c r="N63" s="24">
        <f t="shared" si="20"/>
        <v>5.9349724016437655</v>
      </c>
      <c r="O63" s="41" t="str">
        <f t="shared" si="6"/>
        <v>5</v>
      </c>
      <c r="P63" s="24">
        <f t="shared" si="21"/>
        <v>11.219668819725186</v>
      </c>
      <c r="Q63" s="41" t="str">
        <f t="shared" si="7"/>
        <v>E</v>
      </c>
      <c r="R63" s="24">
        <f t="shared" si="22"/>
        <v>2.6360258367022311</v>
      </c>
      <c r="S63" s="41" t="str">
        <f t="shared" si="8"/>
        <v>2</v>
      </c>
      <c r="T63" s="24">
        <f t="shared" si="23"/>
        <v>7.6323100404267734</v>
      </c>
      <c r="U63" s="41" t="str">
        <f t="shared" si="9"/>
        <v>8</v>
      </c>
      <c r="V63" s="24">
        <f t="shared" si="24"/>
        <v>7.5877204851212809</v>
      </c>
      <c r="W63" s="41" t="str">
        <f t="shared" si="10"/>
        <v/>
      </c>
      <c r="X63" s="24">
        <f t="shared" si="25"/>
        <v>7.0526458214553713</v>
      </c>
      <c r="Y63" s="41" t="str">
        <f t="shared" si="11"/>
        <v/>
      </c>
      <c r="Z63" s="24">
        <f t="shared" si="26"/>
        <v>0.631749857464456</v>
      </c>
      <c r="AA63" s="41" t="str">
        <f t="shared" si="12"/>
        <v/>
      </c>
      <c r="AB63" s="24">
        <f t="shared" si="27"/>
        <v>7.580998289573472</v>
      </c>
      <c r="AC63" s="41" t="str">
        <f t="shared" si="13"/>
        <v/>
      </c>
      <c r="AD63" s="24">
        <f t="shared" si="28"/>
        <v>6.9719794748816639</v>
      </c>
      <c r="AE63" s="41" t="str">
        <f t="shared" si="14"/>
        <v/>
      </c>
      <c r="AF63" s="24">
        <f t="shared" si="29"/>
        <v>11.663753698579967</v>
      </c>
      <c r="AG63" s="41" t="str">
        <f t="shared" si="15"/>
        <v/>
      </c>
      <c r="AH63" s="24">
        <f t="shared" si="30"/>
        <v>7.9650443829596043</v>
      </c>
      <c r="AI63" s="41" t="str">
        <f t="shared" si="16"/>
        <v/>
      </c>
      <c r="AJ63" s="24">
        <f t="shared" si="31"/>
        <v>11.580532595515251</v>
      </c>
      <c r="AK63" s="41" t="str">
        <f t="shared" si="17"/>
        <v/>
      </c>
    </row>
    <row r="64" spans="1:37" ht="15" customHeight="1">
      <c r="A64" s="719"/>
      <c r="B64" s="534" t="str">
        <f>Rydberg!B64</f>
        <v>Gravitational radius of the Earth</v>
      </c>
      <c r="C64" s="534" t="str">
        <f>Rydberg!C64</f>
        <v>m</v>
      </c>
      <c r="D64" s="21">
        <f>Rydberg!D64</f>
        <v>4.4350280391176706E-3</v>
      </c>
      <c r="E64" s="8">
        <v>4</v>
      </c>
      <c r="F64" s="21">
        <f>D64/F$3</f>
        <v>4.6383083972257516E+31</v>
      </c>
      <c r="G64" s="37" t="str">
        <f t="shared" si="18"/>
        <v>2;417X</v>
      </c>
      <c r="H64" s="330"/>
      <c r="I64" s="333"/>
      <c r="J64" s="38">
        <f t="shared" si="32"/>
        <v>29</v>
      </c>
      <c r="K64" s="61">
        <f t="shared" si="33"/>
        <v>2.3447874758750675</v>
      </c>
      <c r="L64" s="39" t="str">
        <f>INDEX(powers!$H$2:$H$75,33+J64)</f>
        <v>tetra-cosmic milly</v>
      </c>
      <c r="M64" s="40" t="str">
        <f t="shared" si="5"/>
        <v>2</v>
      </c>
      <c r="N64" s="24">
        <f t="shared" si="20"/>
        <v>4.1374497105008103</v>
      </c>
      <c r="O64" s="41" t="str">
        <f t="shared" si="6"/>
        <v>4</v>
      </c>
      <c r="P64" s="24">
        <f t="shared" si="21"/>
        <v>1.6493965260097241</v>
      </c>
      <c r="Q64" s="41" t="str">
        <f t="shared" si="7"/>
        <v>1</v>
      </c>
      <c r="R64" s="24">
        <f t="shared" si="22"/>
        <v>7.792758312116689</v>
      </c>
      <c r="S64" s="41" t="str">
        <f t="shared" si="8"/>
        <v>7</v>
      </c>
      <c r="T64" s="24">
        <f t="shared" si="23"/>
        <v>9.5130997454002681</v>
      </c>
      <c r="U64" s="41" t="str">
        <f t="shared" si="9"/>
        <v>X</v>
      </c>
      <c r="V64" s="24">
        <f t="shared" si="24"/>
        <v>6.1571969448032178</v>
      </c>
      <c r="W64" s="41" t="str">
        <f t="shared" si="10"/>
        <v/>
      </c>
      <c r="X64" s="24">
        <f t="shared" si="25"/>
        <v>1.8863633376386133</v>
      </c>
      <c r="Y64" s="41" t="str">
        <f t="shared" si="11"/>
        <v/>
      </c>
      <c r="Z64" s="24">
        <f t="shared" si="26"/>
        <v>10.63636005166336</v>
      </c>
      <c r="AA64" s="41" t="str">
        <f t="shared" si="12"/>
        <v/>
      </c>
      <c r="AB64" s="24">
        <f t="shared" si="27"/>
        <v>7.6363206199603155</v>
      </c>
      <c r="AC64" s="41" t="str">
        <f t="shared" si="13"/>
        <v/>
      </c>
      <c r="AD64" s="24">
        <f t="shared" si="28"/>
        <v>7.6358474395237863</v>
      </c>
      <c r="AE64" s="41" t="str">
        <f t="shared" si="14"/>
        <v/>
      </c>
      <c r="AF64" s="24">
        <f t="shared" si="29"/>
        <v>7.6301692742854357</v>
      </c>
      <c r="AG64" s="41" t="str">
        <f t="shared" si="15"/>
        <v/>
      </c>
      <c r="AH64" s="24">
        <f t="shared" si="30"/>
        <v>7.5620312914252281</v>
      </c>
      <c r="AI64" s="41" t="str">
        <f t="shared" si="16"/>
        <v/>
      </c>
      <c r="AJ64" s="24">
        <f t="shared" si="31"/>
        <v>6.7443754971027374</v>
      </c>
      <c r="AK64" s="41" t="str">
        <f t="shared" si="17"/>
        <v/>
      </c>
    </row>
    <row r="65" spans="1:37" ht="15" customHeight="1">
      <c r="A65" s="719"/>
      <c r="B65" s="534" t="str">
        <f>Rydberg!B65</f>
        <v>Equatorial radius of the Earth</v>
      </c>
      <c r="C65" s="534" t="str">
        <f>Rydberg!C65</f>
        <v>m</v>
      </c>
      <c r="D65" s="21">
        <f>Rydberg!D65</f>
        <v>6378140</v>
      </c>
      <c r="E65" s="8">
        <v>4</v>
      </c>
      <c r="F65" s="21">
        <f>D65/F$3</f>
        <v>6.6704832663396232E+40</v>
      </c>
      <c r="G65" s="37" t="str">
        <f t="shared" si="18"/>
        <v>7;X139</v>
      </c>
      <c r="H65" s="330"/>
      <c r="I65" s="333"/>
      <c r="J65" s="38">
        <f t="shared" si="32"/>
        <v>37</v>
      </c>
      <c r="K65" s="61">
        <f t="shared" si="33"/>
        <v>7.8424398290424042</v>
      </c>
      <c r="L65" s="39" t="str">
        <f>INDEX(powers!$H$2:$H$75,33+J65)</f>
        <v>penta-cosmic milly</v>
      </c>
      <c r="M65" s="40" t="str">
        <f t="shared" si="5"/>
        <v>7</v>
      </c>
      <c r="N65" s="24">
        <f t="shared" si="20"/>
        <v>10.109277948508851</v>
      </c>
      <c r="O65" s="41" t="str">
        <f t="shared" si="6"/>
        <v>X</v>
      </c>
      <c r="P65" s="24">
        <f t="shared" si="21"/>
        <v>1.3113353821062077</v>
      </c>
      <c r="Q65" s="41" t="str">
        <f t="shared" si="7"/>
        <v>1</v>
      </c>
      <c r="R65" s="24">
        <f t="shared" si="22"/>
        <v>3.7360245852744924</v>
      </c>
      <c r="S65" s="41" t="str">
        <f t="shared" si="8"/>
        <v>3</v>
      </c>
      <c r="T65" s="24">
        <f t="shared" si="23"/>
        <v>8.8322950232939093</v>
      </c>
      <c r="U65" s="41" t="str">
        <f t="shared" si="9"/>
        <v>9</v>
      </c>
      <c r="V65" s="24">
        <f t="shared" si="24"/>
        <v>9.987540279526911</v>
      </c>
      <c r="W65" s="41" t="str">
        <f t="shared" si="10"/>
        <v/>
      </c>
      <c r="X65" s="24">
        <f t="shared" si="25"/>
        <v>11.850483354322932</v>
      </c>
      <c r="Y65" s="41" t="str">
        <f t="shared" si="11"/>
        <v/>
      </c>
      <c r="Z65" s="24">
        <f t="shared" si="26"/>
        <v>10.205800251875189</v>
      </c>
      <c r="AA65" s="41" t="str">
        <f t="shared" si="12"/>
        <v/>
      </c>
      <c r="AB65" s="24">
        <f t="shared" si="27"/>
        <v>2.4696030225022696</v>
      </c>
      <c r="AC65" s="41" t="str">
        <f t="shared" si="13"/>
        <v/>
      </c>
      <c r="AD65" s="24">
        <f t="shared" si="28"/>
        <v>5.6352362700272352</v>
      </c>
      <c r="AE65" s="41" t="str">
        <f t="shared" si="14"/>
        <v/>
      </c>
      <c r="AF65" s="24">
        <f t="shared" si="29"/>
        <v>7.6228352403268218</v>
      </c>
      <c r="AG65" s="41" t="str">
        <f t="shared" si="15"/>
        <v/>
      </c>
      <c r="AH65" s="24">
        <f t="shared" si="30"/>
        <v>7.4740228839218616</v>
      </c>
      <c r="AI65" s="41" t="str">
        <f t="shared" si="16"/>
        <v/>
      </c>
      <c r="AJ65" s="24">
        <f t="shared" si="31"/>
        <v>5.6882746070623398</v>
      </c>
      <c r="AK65" s="41" t="str">
        <f t="shared" si="17"/>
        <v/>
      </c>
    </row>
    <row r="66" spans="1:37" ht="15" customHeight="1">
      <c r="A66" s="719"/>
      <c r="B66" s="534" t="str">
        <f>Rydberg!B66</f>
        <v>Meridian length of the Earth / 4</v>
      </c>
      <c r="C66" s="534" t="str">
        <f>Rydberg!C66</f>
        <v>m</v>
      </c>
      <c r="D66" s="21">
        <f>Rydberg!D66</f>
        <v>10001965</v>
      </c>
      <c r="E66" s="8">
        <v>4</v>
      </c>
      <c r="F66" s="21">
        <f>D66/F$3</f>
        <v>1.0460406978055452E+41</v>
      </c>
      <c r="G66" s="37" t="str">
        <f t="shared" si="18"/>
        <v>1;036E</v>
      </c>
      <c r="H66" s="330">
        <f t="shared" ref="H66" si="63">K66*POWER(12,I66)/ROUND(K66*POWER(12,I66),0)-1</f>
        <v>2.4852186330812875E-2</v>
      </c>
      <c r="I66" s="333"/>
      <c r="J66" s="38">
        <f t="shared" si="32"/>
        <v>38</v>
      </c>
      <c r="K66" s="61">
        <f t="shared" si="33"/>
        <v>1.0248521863308129</v>
      </c>
      <c r="L66" s="39" t="str">
        <f>INDEX(powers!$H$2:$H$75,33+J66)</f>
        <v>penta-cosmic centy</v>
      </c>
      <c r="M66" s="40" t="str">
        <f t="shared" si="5"/>
        <v>1</v>
      </c>
      <c r="N66" s="24">
        <f t="shared" si="20"/>
        <v>0.29822623596975451</v>
      </c>
      <c r="O66" s="41" t="str">
        <f t="shared" si="6"/>
        <v>0</v>
      </c>
      <c r="P66" s="24">
        <f t="shared" si="21"/>
        <v>3.5787148316370541</v>
      </c>
      <c r="Q66" s="41" t="str">
        <f t="shared" si="7"/>
        <v>3</v>
      </c>
      <c r="R66" s="24">
        <f t="shared" si="22"/>
        <v>6.9445779796446487</v>
      </c>
      <c r="S66" s="41" t="str">
        <f t="shared" si="8"/>
        <v>6</v>
      </c>
      <c r="T66" s="24">
        <f t="shared" si="23"/>
        <v>11.334935755735785</v>
      </c>
      <c r="U66" s="41" t="str">
        <f t="shared" si="9"/>
        <v>E</v>
      </c>
      <c r="V66" s="24">
        <f t="shared" si="24"/>
        <v>4.0192290688294179</v>
      </c>
      <c r="W66" s="41" t="str">
        <f t="shared" si="10"/>
        <v/>
      </c>
      <c r="X66" s="24">
        <f t="shared" si="25"/>
        <v>0.2307488259530146</v>
      </c>
      <c r="Y66" s="41" t="str">
        <f t="shared" si="11"/>
        <v/>
      </c>
      <c r="Z66" s="24">
        <f t="shared" si="26"/>
        <v>2.7689859114361752</v>
      </c>
      <c r="AA66" s="41" t="str">
        <f t="shared" si="12"/>
        <v/>
      </c>
      <c r="AB66" s="24">
        <f t="shared" si="27"/>
        <v>9.2278309372341027</v>
      </c>
      <c r="AC66" s="41" t="str">
        <f t="shared" si="13"/>
        <v/>
      </c>
      <c r="AD66" s="24">
        <f t="shared" si="28"/>
        <v>2.733971246809233</v>
      </c>
      <c r="AE66" s="41" t="str">
        <f t="shared" si="14"/>
        <v/>
      </c>
      <c r="AF66" s="24">
        <f t="shared" si="29"/>
        <v>8.8076549617107958</v>
      </c>
      <c r="AG66" s="41" t="str">
        <f t="shared" si="15"/>
        <v/>
      </c>
      <c r="AH66" s="24">
        <f t="shared" si="30"/>
        <v>9.6918595405295491</v>
      </c>
      <c r="AI66" s="41" t="str">
        <f t="shared" si="16"/>
        <v/>
      </c>
      <c r="AJ66" s="24">
        <f t="shared" si="31"/>
        <v>8.3023144863545895</v>
      </c>
      <c r="AK66" s="41" t="str">
        <f t="shared" si="17"/>
        <v/>
      </c>
    </row>
    <row r="67" spans="1:37" ht="15" customHeight="1">
      <c r="A67" s="719"/>
      <c r="B67" s="534" t="str">
        <f>Rydberg!B67</f>
        <v>Gravitational radius of the Sun</v>
      </c>
      <c r="C67" s="534" t="str">
        <f>Rydberg!C67</f>
        <v>m</v>
      </c>
      <c r="D67" s="21">
        <f>Rydberg!D67</f>
        <v>1476.6250157971238</v>
      </c>
      <c r="E67" s="8">
        <v>4</v>
      </c>
      <c r="F67" s="21">
        <f>D67/F$3</f>
        <v>1.5443064057128247E+37</v>
      </c>
      <c r="G67" s="37" t="str">
        <f t="shared" si="18"/>
        <v>3;1795</v>
      </c>
      <c r="H67" s="330"/>
      <c r="I67" s="333"/>
      <c r="J67" s="38">
        <f t="shared" si="32"/>
        <v>34</v>
      </c>
      <c r="K67" s="61">
        <f t="shared" si="33"/>
        <v>3.1374087776972099</v>
      </c>
      <c r="L67" s="39" t="str">
        <f>INDEX(powers!$H$2:$H$75,33+J67)</f>
        <v>tetra-cosmic hecty</v>
      </c>
      <c r="M67" s="40" t="str">
        <f t="shared" si="5"/>
        <v>3</v>
      </c>
      <c r="N67" s="24">
        <f t="shared" si="20"/>
        <v>1.6489053323665193</v>
      </c>
      <c r="O67" s="41" t="str">
        <f t="shared" si="6"/>
        <v>1</v>
      </c>
      <c r="P67" s="24">
        <f t="shared" si="21"/>
        <v>7.7868639883982311</v>
      </c>
      <c r="Q67" s="41" t="str">
        <f t="shared" si="7"/>
        <v>7</v>
      </c>
      <c r="R67" s="24">
        <f t="shared" si="22"/>
        <v>9.4423678607787735</v>
      </c>
      <c r="S67" s="41" t="str">
        <f t="shared" si="8"/>
        <v>9</v>
      </c>
      <c r="T67" s="24">
        <f t="shared" si="23"/>
        <v>5.3084143293452826</v>
      </c>
      <c r="U67" s="41" t="str">
        <f t="shared" si="9"/>
        <v>5</v>
      </c>
      <c r="V67" s="24">
        <f t="shared" si="24"/>
        <v>3.7009719521433908</v>
      </c>
      <c r="W67" s="41" t="str">
        <f t="shared" si="10"/>
        <v/>
      </c>
      <c r="X67" s="24">
        <f t="shared" si="25"/>
        <v>8.4116634257206897</v>
      </c>
      <c r="Y67" s="41" t="str">
        <f t="shared" si="11"/>
        <v/>
      </c>
      <c r="Z67" s="24">
        <f t="shared" si="26"/>
        <v>4.9399611086482764</v>
      </c>
      <c r="AA67" s="41" t="str">
        <f t="shared" si="12"/>
        <v/>
      </c>
      <c r="AB67" s="24">
        <f t="shared" si="27"/>
        <v>11.279533303779317</v>
      </c>
      <c r="AC67" s="41" t="str">
        <f t="shared" si="13"/>
        <v/>
      </c>
      <c r="AD67" s="24">
        <f t="shared" si="28"/>
        <v>3.3543996453518048</v>
      </c>
      <c r="AE67" s="41" t="str">
        <f t="shared" si="14"/>
        <v/>
      </c>
      <c r="AF67" s="24">
        <f t="shared" si="29"/>
        <v>4.2527957442216575</v>
      </c>
      <c r="AG67" s="41" t="str">
        <f t="shared" si="15"/>
        <v/>
      </c>
      <c r="AH67" s="24">
        <f t="shared" si="30"/>
        <v>3.0335489306598902</v>
      </c>
      <c r="AI67" s="41" t="str">
        <f t="shared" si="16"/>
        <v/>
      </c>
      <c r="AJ67" s="24">
        <f t="shared" si="31"/>
        <v>0.4025871679186821</v>
      </c>
      <c r="AK67" s="41" t="str">
        <f t="shared" si="17"/>
        <v/>
      </c>
    </row>
    <row r="68" spans="1:37" ht="15" customHeight="1">
      <c r="A68" s="719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4</v>
      </c>
      <c r="F68" s="29">
        <f>D68/F$3</f>
        <v>1.5645471697313801E+45</v>
      </c>
      <c r="G68" s="37" t="str">
        <f t="shared" si="18"/>
        <v>8;X547</v>
      </c>
      <c r="H68" s="330"/>
      <c r="I68" s="336"/>
      <c r="J68" s="43">
        <f t="shared" si="32"/>
        <v>41</v>
      </c>
      <c r="K68" s="62">
        <f t="shared" si="33"/>
        <v>8.8706934909010684</v>
      </c>
      <c r="L68" s="39" t="str">
        <f>INDEX(powers!$H$2:$H$75,33+J68)</f>
        <v>penta-cosmic dirac</v>
      </c>
      <c r="M68" s="40" t="str">
        <f t="shared" si="5"/>
        <v>8</v>
      </c>
      <c r="N68" s="24">
        <f t="shared" si="20"/>
        <v>10.448321890812821</v>
      </c>
      <c r="O68" s="41" t="str">
        <f t="shared" si="6"/>
        <v>X</v>
      </c>
      <c r="P68" s="24">
        <f t="shared" si="21"/>
        <v>5.3798626897538497</v>
      </c>
      <c r="Q68" s="41" t="str">
        <f t="shared" si="7"/>
        <v>5</v>
      </c>
      <c r="R68" s="24">
        <f t="shared" si="22"/>
        <v>4.5583522770461968</v>
      </c>
      <c r="S68" s="41" t="str">
        <f t="shared" si="8"/>
        <v>4</v>
      </c>
      <c r="T68" s="24">
        <f t="shared" si="23"/>
        <v>6.700227324554362</v>
      </c>
      <c r="U68" s="41" t="str">
        <f t="shared" si="9"/>
        <v>7</v>
      </c>
      <c r="V68" s="24">
        <f t="shared" si="24"/>
        <v>8.4027278946523438</v>
      </c>
      <c r="W68" s="41" t="str">
        <f t="shared" si="10"/>
        <v/>
      </c>
      <c r="X68" s="24">
        <f t="shared" si="25"/>
        <v>4.8327347358281258</v>
      </c>
      <c r="Y68" s="41" t="str">
        <f t="shared" si="11"/>
        <v/>
      </c>
      <c r="Z68" s="24">
        <f t="shared" si="26"/>
        <v>9.9928168299375102</v>
      </c>
      <c r="AA68" s="41" t="str">
        <f t="shared" si="12"/>
        <v/>
      </c>
      <c r="AB68" s="24">
        <f t="shared" si="27"/>
        <v>11.913801959250122</v>
      </c>
      <c r="AC68" s="41" t="str">
        <f t="shared" si="13"/>
        <v/>
      </c>
      <c r="AD68" s="24">
        <f t="shared" si="28"/>
        <v>10.965623511001468</v>
      </c>
      <c r="AE68" s="41" t="str">
        <f t="shared" si="14"/>
        <v/>
      </c>
      <c r="AF68" s="24">
        <f t="shared" si="29"/>
        <v>11.587482132017612</v>
      </c>
      <c r="AG68" s="41" t="str">
        <f t="shared" si="15"/>
        <v/>
      </c>
      <c r="AH68" s="24">
        <f t="shared" si="30"/>
        <v>7.0497855842113495</v>
      </c>
      <c r="AI68" s="41" t="str">
        <f t="shared" si="16"/>
        <v/>
      </c>
      <c r="AJ68" s="24">
        <f t="shared" si="31"/>
        <v>0.59742701053619385</v>
      </c>
      <c r="AK68" s="41" t="str">
        <f t="shared" si="17"/>
        <v/>
      </c>
    </row>
    <row r="69" spans="1:37" ht="15" customHeight="1">
      <c r="A69" s="719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4</v>
      </c>
      <c r="F69" s="29">
        <f>D69/F$4</f>
        <v>1.5645471697313798E+45</v>
      </c>
      <c r="G69" s="37" t="str">
        <f t="shared" si="18"/>
        <v>8;X547</v>
      </c>
      <c r="H69" s="330"/>
      <c r="I69" s="336"/>
      <c r="J69" s="43">
        <f t="shared" si="32"/>
        <v>41</v>
      </c>
      <c r="K69" s="62">
        <f t="shared" si="33"/>
        <v>8.8706934909010666</v>
      </c>
      <c r="L69" s="39" t="str">
        <f>INDEX(powers!$H$2:$H$75,33+J69)</f>
        <v>penta-cosmic dirac</v>
      </c>
      <c r="M69" s="40" t="str">
        <f t="shared" si="5"/>
        <v>8</v>
      </c>
      <c r="N69" s="24">
        <f t="shared" si="20"/>
        <v>10.448321890812799</v>
      </c>
      <c r="O69" s="41" t="str">
        <f t="shared" si="6"/>
        <v>X</v>
      </c>
      <c r="P69" s="24">
        <f t="shared" si="21"/>
        <v>5.3798626897535939</v>
      </c>
      <c r="Q69" s="41" t="str">
        <f t="shared" si="7"/>
        <v>5</v>
      </c>
      <c r="R69" s="24">
        <f t="shared" si="22"/>
        <v>4.5583522770431273</v>
      </c>
      <c r="S69" s="41" t="str">
        <f t="shared" si="8"/>
        <v>4</v>
      </c>
      <c r="T69" s="24">
        <f t="shared" si="23"/>
        <v>6.7002273245175274</v>
      </c>
      <c r="U69" s="41" t="str">
        <f t="shared" si="9"/>
        <v>7</v>
      </c>
      <c r="V69" s="24">
        <f t="shared" si="24"/>
        <v>8.4027278942103294</v>
      </c>
      <c r="W69" s="41" t="str">
        <f t="shared" si="10"/>
        <v/>
      </c>
      <c r="X69" s="24">
        <f t="shared" si="25"/>
        <v>4.8327347305239527</v>
      </c>
      <c r="Y69" s="41" t="str">
        <f t="shared" si="11"/>
        <v/>
      </c>
      <c r="Z69" s="24">
        <f t="shared" si="26"/>
        <v>9.992816766287433</v>
      </c>
      <c r="AA69" s="41" t="str">
        <f t="shared" si="12"/>
        <v/>
      </c>
      <c r="AB69" s="24">
        <f t="shared" si="27"/>
        <v>11.913801195449196</v>
      </c>
      <c r="AC69" s="41" t="str">
        <f t="shared" si="13"/>
        <v/>
      </c>
      <c r="AD69" s="24">
        <f t="shared" si="28"/>
        <v>10.96561434539035</v>
      </c>
      <c r="AE69" s="41" t="str">
        <f t="shared" si="14"/>
        <v/>
      </c>
      <c r="AF69" s="24">
        <f t="shared" si="29"/>
        <v>11.587372144684196</v>
      </c>
      <c r="AG69" s="41" t="str">
        <f t="shared" si="15"/>
        <v/>
      </c>
      <c r="AH69" s="24">
        <f t="shared" si="30"/>
        <v>7.0484657362103462</v>
      </c>
      <c r="AI69" s="41" t="str">
        <f t="shared" si="16"/>
        <v/>
      </c>
      <c r="AJ69" s="24">
        <f t="shared" si="31"/>
        <v>0.58158883452415466</v>
      </c>
      <c r="AK69" s="41" t="str">
        <f t="shared" si="17"/>
        <v/>
      </c>
    </row>
    <row r="70" spans="1:37" ht="15" customHeight="1" thickBot="1">
      <c r="A70" s="720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8"/>
        <v>9;E91731X53</v>
      </c>
      <c r="H70" s="330"/>
      <c r="I70" s="336"/>
      <c r="J70" s="43">
        <f t="shared" si="32"/>
        <v>0</v>
      </c>
      <c r="K70" s="62">
        <f t="shared" si="33"/>
        <v>9.9800956300241541</v>
      </c>
      <c r="L70" s="44" t="str">
        <f>INDEX(powers!$H$2:$H$75,33+J70)</f>
        <v xml:space="preserve"> </v>
      </c>
      <c r="M70" s="40" t="str">
        <f t="shared" si="5"/>
        <v>9</v>
      </c>
      <c r="N70" s="24">
        <f t="shared" si="20"/>
        <v>11.761147560289849</v>
      </c>
      <c r="O70" s="41" t="str">
        <f t="shared" si="6"/>
        <v>E</v>
      </c>
      <c r="P70" s="24">
        <f t="shared" si="21"/>
        <v>9.1337707234781931</v>
      </c>
      <c r="Q70" s="41" t="str">
        <f t="shared" si="7"/>
        <v>9</v>
      </c>
      <c r="R70" s="24">
        <f t="shared" si="22"/>
        <v>1.6052486817383169</v>
      </c>
      <c r="S70" s="41" t="str">
        <f t="shared" si="8"/>
        <v>1</v>
      </c>
      <c r="T70" s="24">
        <f t="shared" si="23"/>
        <v>7.262984180859803</v>
      </c>
      <c r="U70" s="41" t="str">
        <f t="shared" si="9"/>
        <v>7</v>
      </c>
      <c r="V70" s="24">
        <f t="shared" si="24"/>
        <v>3.1558101703176362</v>
      </c>
      <c r="W70" s="41" t="str">
        <f t="shared" si="10"/>
        <v>3</v>
      </c>
      <c r="X70" s="24">
        <f t="shared" si="25"/>
        <v>1.8697220438116346</v>
      </c>
      <c r="Y70" s="41" t="str">
        <f t="shared" si="11"/>
        <v>1</v>
      </c>
      <c r="Z70" s="24">
        <f t="shared" si="26"/>
        <v>10.436664525739616</v>
      </c>
      <c r="AA70" s="41" t="str">
        <f t="shared" si="12"/>
        <v>X</v>
      </c>
      <c r="AB70" s="24">
        <f t="shared" si="27"/>
        <v>5.2399743088753894</v>
      </c>
      <c r="AC70" s="41" t="str">
        <f t="shared" si="13"/>
        <v>5</v>
      </c>
      <c r="AD70" s="24">
        <f t="shared" si="28"/>
        <v>2.8796917065046728</v>
      </c>
      <c r="AE70" s="41" t="str">
        <f t="shared" si="14"/>
        <v>3</v>
      </c>
      <c r="AF70" s="24">
        <f t="shared" si="29"/>
        <v>10.556300478056073</v>
      </c>
      <c r="AG70" s="41" t="str">
        <f t="shared" si="15"/>
        <v/>
      </c>
      <c r="AH70" s="24">
        <f t="shared" si="30"/>
        <v>6.6756057366728783</v>
      </c>
      <c r="AI70" s="41" t="str">
        <f t="shared" si="16"/>
        <v/>
      </c>
      <c r="AJ70" s="24">
        <f t="shared" si="31"/>
        <v>8.1072688400745392</v>
      </c>
      <c r="AK70" s="41" t="str">
        <f t="shared" si="17"/>
        <v/>
      </c>
    </row>
    <row r="71" spans="1:37" ht="12" customHeight="1">
      <c r="A71" s="715" t="s">
        <v>49</v>
      </c>
      <c r="B71" s="535" t="s">
        <v>42</v>
      </c>
      <c r="C71" s="535"/>
      <c r="D71" s="535"/>
      <c r="E71" s="18" t="s">
        <v>54</v>
      </c>
      <c r="F71" s="535" t="s">
        <v>43</v>
      </c>
      <c r="G71" s="535" t="s">
        <v>92</v>
      </c>
      <c r="H71" s="535"/>
      <c r="I71" s="332"/>
      <c r="J71" s="18" t="s">
        <v>44</v>
      </c>
      <c r="K71" s="533" t="s">
        <v>46</v>
      </c>
      <c r="L71" s="537" t="str">
        <f>Rydberg!L71</f>
        <v>Prefix</v>
      </c>
    </row>
    <row r="72" spans="1:37" ht="11.25" customHeight="1">
      <c r="A72" s="716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4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65">F72/POWER(12,J72)</f>
        <v>1.0508187695616</v>
      </c>
      <c r="L72" s="39" t="str">
        <f>INDEX(powers!$H$2:$H$75,33+J72)</f>
        <v>centy</v>
      </c>
      <c r="M72" s="40" t="str">
        <f t="shared" ref="M72:M88" si="6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7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7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8">IF($E72&gt;=AK$31,MID($J$31,IF($E72&gt;AK$31,INT(AJ72),ROUND(AJ72,0))+1,1),"")</f>
        <v/>
      </c>
    </row>
    <row r="73" spans="1:37" ht="13.5" customHeight="1">
      <c r="A73" s="716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4"/>
        <v>0;E5052258X</v>
      </c>
      <c r="H73" s="37"/>
      <c r="I73" s="340"/>
      <c r="J73" s="38">
        <v>2</v>
      </c>
      <c r="K73" s="61">
        <f t="shared" si="65"/>
        <v>0.9516388829038509</v>
      </c>
      <c r="L73" s="39" t="str">
        <f>INDEX(powers!$H$2:$H$75,33+J73)</f>
        <v>hecty</v>
      </c>
      <c r="M73" s="40" t="str">
        <f t="shared" si="66"/>
        <v>0</v>
      </c>
      <c r="N73" s="24">
        <f t="shared" ref="N73:N88" si="79">(K73-INT(K73))*12</f>
        <v>11.419666594846211</v>
      </c>
      <c r="O73" s="41" t="str">
        <f t="shared" si="67"/>
        <v>E</v>
      </c>
      <c r="P73" s="24">
        <f t="shared" ref="P73:P88" si="80">(N73-INT(N73))*12</f>
        <v>5.0359991381545299</v>
      </c>
      <c r="Q73" s="41" t="str">
        <f t="shared" si="68"/>
        <v>5</v>
      </c>
      <c r="R73" s="24">
        <f t="shared" ref="R73:R88" si="81">(P73-INT(P73))*12</f>
        <v>0.43198965785435917</v>
      </c>
      <c r="S73" s="41" t="str">
        <f t="shared" si="69"/>
        <v>0</v>
      </c>
      <c r="T73" s="24">
        <f t="shared" ref="T73:T88" si="82">(R73-INT(R73))*12</f>
        <v>5.18387589425231</v>
      </c>
      <c r="U73" s="41" t="str">
        <f t="shared" si="70"/>
        <v>5</v>
      </c>
      <c r="V73" s="24">
        <f t="shared" ref="V73:V88" si="83">(T73-INT(T73))*12</f>
        <v>2.2065107310277199</v>
      </c>
      <c r="W73" s="41" t="str">
        <f t="shared" si="71"/>
        <v>2</v>
      </c>
      <c r="X73" s="24">
        <f t="shared" ref="X73:X88" si="84">(V73-INT(V73))*12</f>
        <v>2.4781287723326386</v>
      </c>
      <c r="Y73" s="41" t="str">
        <f t="shared" si="72"/>
        <v>2</v>
      </c>
      <c r="Z73" s="24">
        <f t="shared" ref="Z73:Z88" si="85">(X73-INT(X73))*12</f>
        <v>5.7375452679916634</v>
      </c>
      <c r="AA73" s="41" t="str">
        <f t="shared" si="73"/>
        <v>5</v>
      </c>
      <c r="AB73" s="24">
        <f t="shared" ref="AB73:AB88" si="86">(Z73-INT(Z73))*12</f>
        <v>8.8505432158999611</v>
      </c>
      <c r="AC73" s="41" t="str">
        <f t="shared" si="74"/>
        <v>8</v>
      </c>
      <c r="AD73" s="24">
        <f t="shared" ref="AD73:AD88" si="87">(AB73-INT(AB73))*12</f>
        <v>10.206518590799533</v>
      </c>
      <c r="AE73" s="41" t="str">
        <f t="shared" si="75"/>
        <v>X</v>
      </c>
      <c r="AF73" s="24">
        <f t="shared" ref="AF73:AF88" si="88">(AD73-INT(AD73))*12</f>
        <v>2.478223089594394</v>
      </c>
      <c r="AG73" s="41" t="str">
        <f t="shared" si="76"/>
        <v/>
      </c>
      <c r="AH73" s="24">
        <f t="shared" ref="AH73:AH88" si="89">(AF73-INT(AF73))*12</f>
        <v>5.7386770751327276</v>
      </c>
      <c r="AI73" s="41" t="str">
        <f t="shared" si="77"/>
        <v/>
      </c>
      <c r="AJ73" s="24">
        <f t="shared" ref="AJ73:AJ88" si="90">(AH73-INT(AH73))*12</f>
        <v>8.8641249015927315</v>
      </c>
      <c r="AK73" s="41" t="str">
        <f t="shared" si="78"/>
        <v/>
      </c>
    </row>
    <row r="74" spans="1:37" ht="13.5" customHeight="1">
      <c r="A74" s="716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65"/>
        <v>137.03599913815452</v>
      </c>
      <c r="L74" s="39" t="str">
        <f>INDEX(powers!$H$2:$H$75,33+J74)</f>
        <v xml:space="preserve"> </v>
      </c>
      <c r="M74" s="40" t="str">
        <f t="shared" si="66"/>
        <v/>
      </c>
      <c r="N74" s="24">
        <f t="shared" si="79"/>
        <v>0.4319896578542739</v>
      </c>
      <c r="O74" s="41" t="str">
        <f t="shared" si="67"/>
        <v>0</v>
      </c>
      <c r="P74" s="24">
        <f t="shared" si="80"/>
        <v>5.1838758942512868</v>
      </c>
      <c r="Q74" s="41" t="str">
        <f t="shared" si="68"/>
        <v>5</v>
      </c>
      <c r="R74" s="24">
        <f t="shared" si="81"/>
        <v>2.2065107310154417</v>
      </c>
      <c r="S74" s="41" t="str">
        <f t="shared" si="69"/>
        <v>2</v>
      </c>
      <c r="T74" s="24">
        <f t="shared" si="82"/>
        <v>2.4781287721853005</v>
      </c>
      <c r="U74" s="41" t="str">
        <f t="shared" si="70"/>
        <v>2</v>
      </c>
      <c r="V74" s="24">
        <f t="shared" si="83"/>
        <v>5.7375452662236057</v>
      </c>
      <c r="W74" s="41" t="str">
        <f t="shared" si="71"/>
        <v>5</v>
      </c>
      <c r="X74" s="24">
        <f t="shared" si="84"/>
        <v>8.8505431946832687</v>
      </c>
      <c r="Y74" s="41" t="str">
        <f t="shared" si="72"/>
        <v>8</v>
      </c>
      <c r="Z74" s="24">
        <f t="shared" si="85"/>
        <v>10.206518336199224</v>
      </c>
      <c r="AA74" s="41" t="str">
        <f t="shared" si="73"/>
        <v>X</v>
      </c>
      <c r="AB74" s="24">
        <f t="shared" si="86"/>
        <v>2.4782200343906879</v>
      </c>
      <c r="AC74" s="41" t="str">
        <f t="shared" si="74"/>
        <v>2</v>
      </c>
      <c r="AD74" s="24">
        <f t="shared" si="87"/>
        <v>5.7386404126882553</v>
      </c>
      <c r="AE74" s="41" t="str">
        <f t="shared" si="75"/>
        <v>6</v>
      </c>
      <c r="AF74" s="24">
        <f t="shared" si="88"/>
        <v>8.8636849522590637</v>
      </c>
      <c r="AG74" s="41" t="str">
        <f t="shared" si="76"/>
        <v/>
      </c>
      <c r="AH74" s="24">
        <f t="shared" si="89"/>
        <v>10.364219427108765</v>
      </c>
      <c r="AI74" s="41" t="str">
        <f t="shared" si="77"/>
        <v/>
      </c>
      <c r="AJ74" s="24">
        <f t="shared" si="90"/>
        <v>4.3706331253051758</v>
      </c>
      <c r="AK74" s="41" t="str">
        <f t="shared" si="78"/>
        <v/>
      </c>
    </row>
    <row r="75" spans="1:37" ht="13.5" customHeight="1">
      <c r="A75" s="716"/>
      <c r="B75" s="8" t="s">
        <v>39</v>
      </c>
      <c r="C75" s="8"/>
      <c r="D75" s="21"/>
      <c r="E75" s="8">
        <v>9</v>
      </c>
      <c r="F75" s="21">
        <f t="shared" ref="F75" si="91">SQRT($D$32)</f>
        <v>8.542454311496199E-2</v>
      </c>
      <c r="G75" s="37" t="str">
        <f t="shared" ref="G75:G78" si="92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65"/>
        <v>1.025094517379544</v>
      </c>
      <c r="L75" s="39" t="str">
        <f>INDEX(powers!$H$2:$H$75,33+J75)</f>
        <v>dour</v>
      </c>
      <c r="M75" s="40" t="str">
        <f t="shared" si="66"/>
        <v>1</v>
      </c>
      <c r="N75" s="24">
        <f t="shared" si="79"/>
        <v>0.30113420855452855</v>
      </c>
      <c r="O75" s="41" t="str">
        <f t="shared" si="67"/>
        <v>0</v>
      </c>
      <c r="P75" s="24">
        <f t="shared" si="80"/>
        <v>3.6136105026543426</v>
      </c>
      <c r="Q75" s="41" t="str">
        <f t="shared" si="68"/>
        <v>3</v>
      </c>
      <c r="R75" s="24">
        <f t="shared" si="81"/>
        <v>7.363326031852111</v>
      </c>
      <c r="S75" s="41" t="str">
        <f t="shared" si="69"/>
        <v>7</v>
      </c>
      <c r="T75" s="24">
        <f t="shared" si="82"/>
        <v>4.3599123822253318</v>
      </c>
      <c r="U75" s="41" t="str">
        <f t="shared" si="70"/>
        <v>4</v>
      </c>
      <c r="V75" s="24">
        <f t="shared" si="83"/>
        <v>4.3189485867039821</v>
      </c>
      <c r="W75" s="41" t="str">
        <f t="shared" si="71"/>
        <v>4</v>
      </c>
      <c r="X75" s="24">
        <f t="shared" si="84"/>
        <v>3.8273830404477849</v>
      </c>
      <c r="Y75" s="41" t="str">
        <f t="shared" si="72"/>
        <v>3</v>
      </c>
      <c r="Z75" s="24">
        <f t="shared" si="85"/>
        <v>9.9285964853734185</v>
      </c>
      <c r="AA75" s="41" t="str">
        <f t="shared" si="73"/>
        <v>9</v>
      </c>
      <c r="AB75" s="24">
        <f t="shared" si="86"/>
        <v>11.143157824481023</v>
      </c>
      <c r="AC75" s="41" t="str">
        <f t="shared" si="74"/>
        <v>E</v>
      </c>
      <c r="AD75" s="24">
        <f t="shared" si="87"/>
        <v>1.7178938937722705</v>
      </c>
      <c r="AE75" s="41" t="str">
        <f t="shared" si="75"/>
        <v>2</v>
      </c>
      <c r="AF75" s="24">
        <f t="shared" si="88"/>
        <v>8.6147267252672464</v>
      </c>
      <c r="AG75" s="41" t="str">
        <f t="shared" si="76"/>
        <v/>
      </c>
      <c r="AH75" s="24">
        <f t="shared" si="89"/>
        <v>7.3767207032069564</v>
      </c>
      <c r="AI75" s="41" t="str">
        <f t="shared" si="77"/>
        <v/>
      </c>
      <c r="AJ75" s="24">
        <f t="shared" si="90"/>
        <v>4.5206484384834766</v>
      </c>
      <c r="AK75" s="41" t="str">
        <f t="shared" si="78"/>
        <v/>
      </c>
    </row>
    <row r="76" spans="1:37" ht="13.5" customHeight="1">
      <c r="A76" s="716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2"/>
        <v>0;E85846628</v>
      </c>
      <c r="H76" s="37"/>
      <c r="I76" s="340"/>
      <c r="J76" s="38">
        <v>1</v>
      </c>
      <c r="K76" s="61">
        <f t="shared" si="65"/>
        <v>0.97551980138993111</v>
      </c>
      <c r="L76" s="39" t="str">
        <f>INDEX(powers!$H$2:$H$75,33+J76)</f>
        <v>dirac</v>
      </c>
      <c r="M76" s="40" t="str">
        <f t="shared" si="66"/>
        <v>0</v>
      </c>
      <c r="N76" s="24">
        <f t="shared" si="79"/>
        <v>11.706237616679173</v>
      </c>
      <c r="O76" s="41" t="str">
        <f t="shared" si="67"/>
        <v>E</v>
      </c>
      <c r="P76" s="24">
        <f t="shared" si="80"/>
        <v>8.4748514001500794</v>
      </c>
      <c r="Q76" s="41" t="str">
        <f t="shared" si="68"/>
        <v>8</v>
      </c>
      <c r="R76" s="24">
        <f t="shared" si="81"/>
        <v>5.6982168018009531</v>
      </c>
      <c r="S76" s="41" t="str">
        <f t="shared" si="69"/>
        <v>5</v>
      </c>
      <c r="T76" s="24">
        <f t="shared" si="82"/>
        <v>8.3786016216114376</v>
      </c>
      <c r="U76" s="41" t="str">
        <f t="shared" si="70"/>
        <v>8</v>
      </c>
      <c r="V76" s="24">
        <f t="shared" si="83"/>
        <v>4.5432194593372515</v>
      </c>
      <c r="W76" s="41" t="str">
        <f t="shared" si="71"/>
        <v>4</v>
      </c>
      <c r="X76" s="24">
        <f t="shared" si="84"/>
        <v>6.5186335120470176</v>
      </c>
      <c r="Y76" s="41" t="str">
        <f t="shared" si="72"/>
        <v>6</v>
      </c>
      <c r="Z76" s="24">
        <f t="shared" si="85"/>
        <v>6.2236021445642109</v>
      </c>
      <c r="AA76" s="41" t="str">
        <f t="shared" si="73"/>
        <v>6</v>
      </c>
      <c r="AB76" s="24">
        <f t="shared" si="86"/>
        <v>2.6832257347705308</v>
      </c>
      <c r="AC76" s="41" t="str">
        <f t="shared" si="74"/>
        <v>2</v>
      </c>
      <c r="AD76" s="24">
        <f t="shared" si="87"/>
        <v>8.19870881724637</v>
      </c>
      <c r="AE76" s="41" t="str">
        <f t="shared" si="75"/>
        <v>8</v>
      </c>
      <c r="AF76" s="24">
        <f t="shared" si="88"/>
        <v>2.3845058069564402</v>
      </c>
      <c r="AG76" s="41" t="str">
        <f t="shared" si="76"/>
        <v/>
      </c>
      <c r="AH76" s="24">
        <f t="shared" si="89"/>
        <v>4.6140696834772825</v>
      </c>
      <c r="AI76" s="41" t="str">
        <f t="shared" si="77"/>
        <v/>
      </c>
      <c r="AJ76" s="24">
        <f t="shared" si="90"/>
        <v>7.3688362017273903</v>
      </c>
      <c r="AK76" s="41" t="str">
        <f t="shared" si="78"/>
        <v/>
      </c>
    </row>
    <row r="77" spans="1:37" ht="13.5" customHeight="1">
      <c r="A77" s="716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2"/>
        <v>1;0696831713E1</v>
      </c>
      <c r="H77" s="37"/>
      <c r="I77" s="340"/>
      <c r="J77" s="38">
        <v>1</v>
      </c>
      <c r="K77" s="61">
        <f t="shared" si="65"/>
        <v>1.0471975511965976</v>
      </c>
      <c r="L77" s="39" t="str">
        <f>INDEX(powers!$H$2:$H$75,33+J77)</f>
        <v>dirac</v>
      </c>
      <c r="M77" s="40" t="str">
        <f t="shared" si="66"/>
        <v>1</v>
      </c>
      <c r="N77" s="24">
        <f t="shared" si="79"/>
        <v>0.56637061435917158</v>
      </c>
      <c r="O77" s="41" t="str">
        <f t="shared" si="67"/>
        <v>0</v>
      </c>
      <c r="P77" s="24">
        <f t="shared" si="80"/>
        <v>6.7964473723100589</v>
      </c>
      <c r="Q77" s="41" t="str">
        <f t="shared" si="68"/>
        <v>6</v>
      </c>
      <c r="R77" s="24">
        <f t="shared" si="81"/>
        <v>9.5573684677207069</v>
      </c>
      <c r="S77" s="41" t="str">
        <f t="shared" si="69"/>
        <v>9</v>
      </c>
      <c r="T77" s="24">
        <f t="shared" si="82"/>
        <v>6.688421612648483</v>
      </c>
      <c r="U77" s="41" t="str">
        <f t="shared" si="70"/>
        <v>6</v>
      </c>
      <c r="V77" s="24">
        <f t="shared" si="83"/>
        <v>8.2610593517817961</v>
      </c>
      <c r="W77" s="41" t="str">
        <f t="shared" si="71"/>
        <v>8</v>
      </c>
      <c r="X77" s="24">
        <f t="shared" si="84"/>
        <v>3.1327122213815528</v>
      </c>
      <c r="Y77" s="41" t="str">
        <f t="shared" si="72"/>
        <v>3</v>
      </c>
      <c r="Z77" s="24">
        <f t="shared" si="85"/>
        <v>1.5925466565786337</v>
      </c>
      <c r="AA77" s="41" t="str">
        <f t="shared" si="73"/>
        <v>1</v>
      </c>
      <c r="AB77" s="24">
        <f t="shared" si="86"/>
        <v>7.1105598789436044</v>
      </c>
      <c r="AC77" s="41" t="str">
        <f t="shared" si="74"/>
        <v>7</v>
      </c>
      <c r="AD77" s="24">
        <f t="shared" si="87"/>
        <v>1.326718547323253</v>
      </c>
      <c r="AE77" s="41" t="str">
        <f t="shared" si="75"/>
        <v>1</v>
      </c>
      <c r="AF77" s="24">
        <f t="shared" si="88"/>
        <v>3.9206225678790361</v>
      </c>
      <c r="AG77" s="41" t="str">
        <f t="shared" si="76"/>
        <v>3</v>
      </c>
      <c r="AH77" s="24">
        <f t="shared" si="89"/>
        <v>11.047470814548433</v>
      </c>
      <c r="AI77" s="41" t="str">
        <f t="shared" si="77"/>
        <v>E</v>
      </c>
      <c r="AJ77" s="24">
        <f t="shared" si="90"/>
        <v>0.56964977458119392</v>
      </c>
      <c r="AK77" s="41" t="str">
        <f t="shared" si="78"/>
        <v>1</v>
      </c>
    </row>
    <row r="78" spans="1:37" ht="13.5" customHeight="1">
      <c r="A78" s="716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2"/>
        <v>0;E5615082189E</v>
      </c>
      <c r="H78" s="37"/>
      <c r="I78" s="340"/>
      <c r="J78" s="38">
        <v>-1</v>
      </c>
      <c r="K78" s="61">
        <f t="shared" si="65"/>
        <v>0.95492965855137213</v>
      </c>
      <c r="L78" s="39" t="str">
        <f>INDEX(powers!$H$2:$H$75,33+J78)</f>
        <v>dour</v>
      </c>
      <c r="M78" s="40" t="str">
        <f t="shared" si="66"/>
        <v>0</v>
      </c>
      <c r="N78" s="24">
        <f t="shared" si="79"/>
        <v>11.459155902616466</v>
      </c>
      <c r="O78" s="41" t="str">
        <f t="shared" si="67"/>
        <v>E</v>
      </c>
      <c r="P78" s="24">
        <f t="shared" si="80"/>
        <v>5.5098708313975919</v>
      </c>
      <c r="Q78" s="41" t="str">
        <f t="shared" si="68"/>
        <v>5</v>
      </c>
      <c r="R78" s="24">
        <f t="shared" si="81"/>
        <v>6.1184499767711031</v>
      </c>
      <c r="S78" s="41" t="str">
        <f t="shared" si="69"/>
        <v>6</v>
      </c>
      <c r="T78" s="24">
        <f t="shared" si="82"/>
        <v>1.4213997212532377</v>
      </c>
      <c r="U78" s="41" t="str">
        <f t="shared" si="70"/>
        <v>1</v>
      </c>
      <c r="V78" s="24">
        <f t="shared" si="83"/>
        <v>5.0567966550388519</v>
      </c>
      <c r="W78" s="41" t="str">
        <f t="shared" si="71"/>
        <v>5</v>
      </c>
      <c r="X78" s="24">
        <f t="shared" si="84"/>
        <v>0.68155986046622274</v>
      </c>
      <c r="Y78" s="41" t="str">
        <f t="shared" si="72"/>
        <v>0</v>
      </c>
      <c r="Z78" s="24">
        <f t="shared" si="85"/>
        <v>8.1787183255946729</v>
      </c>
      <c r="AA78" s="41" t="str">
        <f t="shared" si="73"/>
        <v>8</v>
      </c>
      <c r="AB78" s="24">
        <f t="shared" si="86"/>
        <v>2.1446199071360752</v>
      </c>
      <c r="AC78" s="41" t="str">
        <f t="shared" si="74"/>
        <v>2</v>
      </c>
      <c r="AD78" s="24">
        <f t="shared" si="87"/>
        <v>1.7354388856329024</v>
      </c>
      <c r="AE78" s="41" t="str">
        <f t="shared" si="75"/>
        <v>1</v>
      </c>
      <c r="AF78" s="24">
        <f t="shared" si="88"/>
        <v>8.8252666275948286</v>
      </c>
      <c r="AG78" s="41" t="str">
        <f t="shared" si="76"/>
        <v>8</v>
      </c>
      <c r="AH78" s="24">
        <f t="shared" si="89"/>
        <v>9.9031995311379433</v>
      </c>
      <c r="AI78" s="41" t="str">
        <f t="shared" si="77"/>
        <v>9</v>
      </c>
      <c r="AJ78" s="24">
        <f t="shared" si="90"/>
        <v>10.838394373655319</v>
      </c>
      <c r="AK78" s="41" t="str">
        <f t="shared" si="78"/>
        <v>E</v>
      </c>
    </row>
    <row r="79" spans="1:37" ht="13.5" customHeight="1">
      <c r="A79" s="716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65"/>
        <v>137.50987083139759</v>
      </c>
      <c r="L79" s="39" t="str">
        <f>INDEX(powers!$H$2:$H$75,33+J79)</f>
        <v>milly</v>
      </c>
      <c r="M79" s="40" t="str">
        <f t="shared" si="66"/>
        <v/>
      </c>
      <c r="N79" s="24">
        <f t="shared" si="79"/>
        <v>6.1184499767711031</v>
      </c>
      <c r="O79" s="41" t="str">
        <f t="shared" si="67"/>
        <v>6</v>
      </c>
      <c r="P79" s="24">
        <f t="shared" si="80"/>
        <v>1.4213997212532377</v>
      </c>
      <c r="Q79" s="41" t="str">
        <f t="shared" si="68"/>
        <v>1</v>
      </c>
      <c r="R79" s="24">
        <f t="shared" si="81"/>
        <v>5.0567966550388519</v>
      </c>
      <c r="S79" s="41" t="str">
        <f t="shared" si="69"/>
        <v>5</v>
      </c>
      <c r="T79" s="24">
        <f t="shared" si="82"/>
        <v>0.68155986046622274</v>
      </c>
      <c r="U79" s="41" t="str">
        <f t="shared" si="70"/>
        <v>0</v>
      </c>
      <c r="V79" s="24">
        <f t="shared" si="83"/>
        <v>8.1787183255946729</v>
      </c>
      <c r="W79" s="41" t="str">
        <f t="shared" si="71"/>
        <v>8</v>
      </c>
      <c r="X79" s="24">
        <f t="shared" si="84"/>
        <v>2.1446199071360752</v>
      </c>
      <c r="Y79" s="41" t="str">
        <f t="shared" si="72"/>
        <v>2</v>
      </c>
      <c r="Z79" s="24">
        <f t="shared" si="85"/>
        <v>1.7354388856329024</v>
      </c>
      <c r="AA79" s="41" t="str">
        <f t="shared" si="73"/>
        <v>1</v>
      </c>
      <c r="AB79" s="24">
        <f t="shared" si="86"/>
        <v>8.8252666275948286</v>
      </c>
      <c r="AC79" s="41" t="str">
        <f t="shared" si="74"/>
        <v>8</v>
      </c>
      <c r="AD79" s="24">
        <f t="shared" si="87"/>
        <v>9.9031995311379433</v>
      </c>
      <c r="AE79" s="41" t="str">
        <f t="shared" si="75"/>
        <v>X</v>
      </c>
      <c r="AF79" s="24">
        <f t="shared" si="88"/>
        <v>10.838394373655319</v>
      </c>
      <c r="AG79" s="41" t="str">
        <f t="shared" si="76"/>
        <v/>
      </c>
      <c r="AH79" s="24">
        <f t="shared" si="89"/>
        <v>10.060732483863831</v>
      </c>
      <c r="AI79" s="41" t="str">
        <f t="shared" si="77"/>
        <v/>
      </c>
      <c r="AJ79" s="24">
        <f t="shared" si="90"/>
        <v>0.7287898063659668</v>
      </c>
      <c r="AK79" s="41" t="str">
        <f t="shared" si="78"/>
        <v/>
      </c>
    </row>
    <row r="80" spans="1:37" ht="13.5" customHeight="1">
      <c r="A80" s="716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3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65"/>
        <v>0.99655390780037834</v>
      </c>
      <c r="L80" s="39" t="str">
        <f>INDEX(powers!$H$2:$H$75,33+J80)</f>
        <v>kily</v>
      </c>
      <c r="M80" s="40" t="str">
        <f t="shared" si="66"/>
        <v>0</v>
      </c>
      <c r="N80" s="24">
        <f t="shared" si="79"/>
        <v>11.95864689360454</v>
      </c>
      <c r="O80" s="41" t="str">
        <f t="shared" si="67"/>
        <v>E</v>
      </c>
      <c r="P80" s="24">
        <f t="shared" si="80"/>
        <v>11.503762723254475</v>
      </c>
      <c r="Q80" s="41" t="str">
        <f t="shared" si="68"/>
        <v>E</v>
      </c>
      <c r="R80" s="24">
        <f t="shared" si="81"/>
        <v>6.0451526790537002</v>
      </c>
      <c r="S80" s="41" t="str">
        <f t="shared" si="69"/>
        <v>6</v>
      </c>
      <c r="T80" s="24">
        <f t="shared" si="82"/>
        <v>0.54183214864440288</v>
      </c>
      <c r="U80" s="41" t="str">
        <f t="shared" si="70"/>
        <v>0</v>
      </c>
      <c r="V80" s="24">
        <f t="shared" si="83"/>
        <v>6.5019857837328345</v>
      </c>
      <c r="W80" s="41" t="str">
        <f t="shared" si="71"/>
        <v>6</v>
      </c>
      <c r="X80" s="24">
        <f t="shared" si="84"/>
        <v>6.0238294047940144</v>
      </c>
      <c r="Y80" s="41" t="str">
        <f t="shared" si="72"/>
        <v>6</v>
      </c>
      <c r="Z80" s="24">
        <f t="shared" si="85"/>
        <v>0.2859528575281729</v>
      </c>
      <c r="AA80" s="41" t="str">
        <f t="shared" si="73"/>
        <v>0</v>
      </c>
      <c r="AB80" s="24">
        <f t="shared" si="86"/>
        <v>3.4314342903380748</v>
      </c>
      <c r="AC80" s="41" t="str">
        <f t="shared" si="74"/>
        <v>3</v>
      </c>
      <c r="AD80" s="24">
        <f t="shared" si="87"/>
        <v>5.1772114840568975</v>
      </c>
      <c r="AE80" s="41" t="str">
        <f t="shared" si="75"/>
        <v>5</v>
      </c>
      <c r="AF80" s="24">
        <f t="shared" si="88"/>
        <v>2.1265378086827695</v>
      </c>
      <c r="AG80" s="41" t="str">
        <f t="shared" si="76"/>
        <v/>
      </c>
      <c r="AH80" s="24">
        <f t="shared" si="89"/>
        <v>1.5184537041932344</v>
      </c>
      <c r="AI80" s="41" t="str">
        <f t="shared" si="77"/>
        <v/>
      </c>
      <c r="AJ80" s="24">
        <f t="shared" si="90"/>
        <v>6.2214444503188133</v>
      </c>
      <c r="AK80" s="41" t="str">
        <f t="shared" si="78"/>
        <v/>
      </c>
    </row>
    <row r="81" spans="1:37" ht="13.5" customHeight="1">
      <c r="A81" s="716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3"/>
        <v>1;005E85686</v>
      </c>
      <c r="H81" s="37"/>
      <c r="I81" s="340"/>
      <c r="J81" s="38">
        <v>-3</v>
      </c>
      <c r="K81" s="61">
        <f t="shared" si="65"/>
        <v>1.0034580088168317</v>
      </c>
      <c r="L81" s="39" t="str">
        <f>INDEX(powers!$H$2:$H$75,33+J81)</f>
        <v>milly</v>
      </c>
      <c r="M81" s="40" t="str">
        <f t="shared" si="66"/>
        <v>1</v>
      </c>
      <c r="N81" s="24">
        <f t="shared" si="79"/>
        <v>4.1496105801980043E-2</v>
      </c>
      <c r="O81" s="41" t="str">
        <f t="shared" si="67"/>
        <v>0</v>
      </c>
      <c r="P81" s="24">
        <f t="shared" si="80"/>
        <v>0.49795326962376052</v>
      </c>
      <c r="Q81" s="41" t="str">
        <f t="shared" si="68"/>
        <v>0</v>
      </c>
      <c r="R81" s="24">
        <f t="shared" si="81"/>
        <v>5.9754392354851262</v>
      </c>
      <c r="S81" s="41" t="str">
        <f t="shared" si="69"/>
        <v>5</v>
      </c>
      <c r="T81" s="24">
        <f t="shared" si="82"/>
        <v>11.705270825821515</v>
      </c>
      <c r="U81" s="41" t="str">
        <f t="shared" si="70"/>
        <v>E</v>
      </c>
      <c r="V81" s="24">
        <f t="shared" si="83"/>
        <v>8.4632499098581775</v>
      </c>
      <c r="W81" s="41" t="str">
        <f t="shared" si="71"/>
        <v>8</v>
      </c>
      <c r="X81" s="24">
        <f t="shared" si="84"/>
        <v>5.5589989182981299</v>
      </c>
      <c r="Y81" s="41" t="str">
        <f t="shared" si="72"/>
        <v>5</v>
      </c>
      <c r="Z81" s="24">
        <f t="shared" si="85"/>
        <v>6.7079870195775584</v>
      </c>
      <c r="AA81" s="41" t="str">
        <f t="shared" si="73"/>
        <v>6</v>
      </c>
      <c r="AB81" s="24">
        <f t="shared" si="86"/>
        <v>8.4958442349307006</v>
      </c>
      <c r="AC81" s="41" t="str">
        <f t="shared" si="74"/>
        <v>8</v>
      </c>
      <c r="AD81" s="24">
        <f t="shared" si="87"/>
        <v>5.9501308191684075</v>
      </c>
      <c r="AE81" s="41" t="str">
        <f t="shared" si="75"/>
        <v>6</v>
      </c>
      <c r="AF81" s="24">
        <f t="shared" si="88"/>
        <v>11.40156983002089</v>
      </c>
      <c r="AG81" s="41" t="str">
        <f t="shared" si="76"/>
        <v/>
      </c>
      <c r="AH81" s="24">
        <f t="shared" si="89"/>
        <v>4.8188379602506757</v>
      </c>
      <c r="AI81" s="41" t="str">
        <f t="shared" si="77"/>
        <v/>
      </c>
      <c r="AJ81" s="24">
        <f t="shared" si="90"/>
        <v>9.8260555230081081</v>
      </c>
      <c r="AK81" s="41" t="str">
        <f t="shared" si="78"/>
        <v/>
      </c>
    </row>
    <row r="82" spans="1:37" ht="13.5" customHeight="1">
      <c r="A82" s="716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3"/>
        <v>0;E46922178</v>
      </c>
      <c r="H82" s="37"/>
      <c r="I82" s="340"/>
      <c r="J82" s="38">
        <v>5</v>
      </c>
      <c r="K82" s="61">
        <f t="shared" si="65"/>
        <v>0.94835944757261925</v>
      </c>
      <c r="L82" s="39" t="str">
        <f>INDEX(powers!$H$2:$H$75,33+J82)</f>
        <v>cosmic milly</v>
      </c>
      <c r="M82" s="40" t="str">
        <f t="shared" si="66"/>
        <v>0</v>
      </c>
      <c r="N82" s="24">
        <f t="shared" si="79"/>
        <v>11.380313370871431</v>
      </c>
      <c r="O82" s="41" t="str">
        <f t="shared" si="67"/>
        <v>E</v>
      </c>
      <c r="P82" s="24">
        <f t="shared" si="80"/>
        <v>4.5637604504571669</v>
      </c>
      <c r="Q82" s="41" t="str">
        <f t="shared" si="68"/>
        <v>4</v>
      </c>
      <c r="R82" s="24">
        <f t="shared" si="81"/>
        <v>6.7651254054860033</v>
      </c>
      <c r="S82" s="41" t="str">
        <f t="shared" si="69"/>
        <v>6</v>
      </c>
      <c r="T82" s="24">
        <f t="shared" si="82"/>
        <v>9.1815048658320393</v>
      </c>
      <c r="U82" s="41" t="str">
        <f t="shared" si="70"/>
        <v>9</v>
      </c>
      <c r="V82" s="24">
        <f t="shared" si="83"/>
        <v>2.1780583899844714</v>
      </c>
      <c r="W82" s="41" t="str">
        <f t="shared" si="71"/>
        <v>2</v>
      </c>
      <c r="X82" s="24">
        <f t="shared" si="84"/>
        <v>2.1367006798136572</v>
      </c>
      <c r="Y82" s="41" t="str">
        <f t="shared" si="72"/>
        <v>2</v>
      </c>
      <c r="Z82" s="24">
        <f t="shared" si="85"/>
        <v>1.6404081577638863</v>
      </c>
      <c r="AA82" s="41" t="str">
        <f t="shared" si="73"/>
        <v>1</v>
      </c>
      <c r="AB82" s="24">
        <f t="shared" si="86"/>
        <v>7.6848978931666352</v>
      </c>
      <c r="AC82" s="41" t="str">
        <f t="shared" si="74"/>
        <v>7</v>
      </c>
      <c r="AD82" s="24">
        <f t="shared" si="87"/>
        <v>8.2187747179996222</v>
      </c>
      <c r="AE82" s="41" t="str">
        <f t="shared" si="75"/>
        <v>8</v>
      </c>
      <c r="AF82" s="24">
        <f t="shared" si="88"/>
        <v>2.6252966159954667</v>
      </c>
      <c r="AG82" s="41" t="str">
        <f t="shared" si="76"/>
        <v/>
      </c>
      <c r="AH82" s="24">
        <f t="shared" si="89"/>
        <v>7.5035593919456005</v>
      </c>
      <c r="AI82" s="41" t="str">
        <f t="shared" si="77"/>
        <v/>
      </c>
      <c r="AJ82" s="24">
        <f t="shared" si="90"/>
        <v>6.0427127033472061</v>
      </c>
      <c r="AK82" s="41" t="str">
        <f t="shared" si="78"/>
        <v/>
      </c>
    </row>
    <row r="83" spans="1:37" ht="14.25" customHeight="1">
      <c r="A83" s="716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93"/>
        <v>1;07X1163X8</v>
      </c>
      <c r="H83" s="112"/>
      <c r="I83" s="341"/>
      <c r="J83" s="43">
        <v>-5</v>
      </c>
      <c r="K83" s="62">
        <f t="shared" si="65"/>
        <v>1.054452510131636</v>
      </c>
      <c r="L83" s="44" t="str">
        <f>INDEX(powers!$H$2:$H$75,33+J83)</f>
        <v>atomic kily</v>
      </c>
      <c r="M83" s="40" t="str">
        <f t="shared" si="66"/>
        <v>1</v>
      </c>
      <c r="N83" s="24">
        <f t="shared" si="79"/>
        <v>0.65343012157963187</v>
      </c>
      <c r="O83" s="41" t="str">
        <f t="shared" si="67"/>
        <v>0</v>
      </c>
      <c r="P83" s="24">
        <f t="shared" si="80"/>
        <v>7.8411614589555825</v>
      </c>
      <c r="Q83" s="41" t="str">
        <f t="shared" si="68"/>
        <v>7</v>
      </c>
      <c r="R83" s="24">
        <f t="shared" si="81"/>
        <v>10.09393750746699</v>
      </c>
      <c r="S83" s="41" t="str">
        <f t="shared" si="69"/>
        <v>X</v>
      </c>
      <c r="T83" s="24">
        <f t="shared" si="82"/>
        <v>1.1272500896038764</v>
      </c>
      <c r="U83" s="41" t="str">
        <f t="shared" si="70"/>
        <v>1</v>
      </c>
      <c r="V83" s="24">
        <f t="shared" si="83"/>
        <v>1.5270010752465168</v>
      </c>
      <c r="W83" s="41" t="str">
        <f t="shared" si="71"/>
        <v>1</v>
      </c>
      <c r="X83" s="24">
        <f t="shared" si="84"/>
        <v>6.3240129029582022</v>
      </c>
      <c r="Y83" s="41" t="str">
        <f t="shared" si="72"/>
        <v>6</v>
      </c>
      <c r="Z83" s="24">
        <f t="shared" si="85"/>
        <v>3.8881548354984261</v>
      </c>
      <c r="AA83" s="41" t="str">
        <f t="shared" si="73"/>
        <v>3</v>
      </c>
      <c r="AB83" s="24">
        <f t="shared" si="86"/>
        <v>10.657858025981113</v>
      </c>
      <c r="AC83" s="41" t="str">
        <f t="shared" si="74"/>
        <v>X</v>
      </c>
      <c r="AD83" s="24">
        <f t="shared" si="87"/>
        <v>7.8942963117733598</v>
      </c>
      <c r="AE83" s="41" t="str">
        <f t="shared" si="75"/>
        <v>8</v>
      </c>
      <c r="AF83" s="24">
        <f t="shared" si="88"/>
        <v>10.731555741280317</v>
      </c>
      <c r="AG83" s="41" t="str">
        <f t="shared" si="76"/>
        <v/>
      </c>
      <c r="AH83" s="24">
        <f t="shared" si="89"/>
        <v>8.7786688953638077</v>
      </c>
      <c r="AI83" s="41" t="str">
        <f t="shared" si="77"/>
        <v/>
      </c>
      <c r="AJ83" s="24">
        <f t="shared" si="90"/>
        <v>9.3440267443656921</v>
      </c>
      <c r="AK83" s="41" t="str">
        <f t="shared" si="78"/>
        <v/>
      </c>
    </row>
    <row r="84" spans="1:37" ht="14.25" customHeight="1">
      <c r="A84" s="716"/>
      <c r="B84" s="30" t="s">
        <v>1432</v>
      </c>
      <c r="C84" s="30"/>
      <c r="D84" s="29"/>
      <c r="E84" s="30">
        <v>11</v>
      </c>
      <c r="F84" s="29">
        <v>1836.15267245</v>
      </c>
      <c r="G84" s="112" t="str">
        <f t="shared" si="93"/>
        <v>1;09019E9995E</v>
      </c>
      <c r="H84" s="112"/>
      <c r="I84" s="341"/>
      <c r="J84" s="43">
        <v>3</v>
      </c>
      <c r="K84" s="62">
        <f t="shared" si="65"/>
        <v>1.0625883521122685</v>
      </c>
      <c r="L84" s="44" t="str">
        <f>INDEX(powers!$H$2:$H$75,33+J84)</f>
        <v>kily</v>
      </c>
      <c r="M84" s="40" t="str">
        <f t="shared" si="66"/>
        <v>1</v>
      </c>
      <c r="N84" s="24">
        <f t="shared" si="79"/>
        <v>0.7510602253472225</v>
      </c>
      <c r="O84" s="41" t="str">
        <f t="shared" si="67"/>
        <v>0</v>
      </c>
      <c r="P84" s="24">
        <f t="shared" si="80"/>
        <v>9.01272270416667</v>
      </c>
      <c r="Q84" s="41" t="str">
        <f t="shared" si="68"/>
        <v>9</v>
      </c>
      <c r="R84" s="24">
        <f t="shared" si="81"/>
        <v>0.15267245000003982</v>
      </c>
      <c r="S84" s="41" t="str">
        <f t="shared" si="69"/>
        <v>0</v>
      </c>
      <c r="T84" s="24">
        <f t="shared" si="82"/>
        <v>1.8320694000004778</v>
      </c>
      <c r="U84" s="41" t="str">
        <f t="shared" si="70"/>
        <v>1</v>
      </c>
      <c r="V84" s="24">
        <f t="shared" si="83"/>
        <v>9.9848328000057336</v>
      </c>
      <c r="W84" s="41" t="str">
        <f t="shared" si="71"/>
        <v>9</v>
      </c>
      <c r="X84" s="24">
        <f t="shared" si="84"/>
        <v>11.817993600068803</v>
      </c>
      <c r="Y84" s="41" t="str">
        <f t="shared" si="72"/>
        <v>E</v>
      </c>
      <c r="Z84" s="24">
        <f t="shared" si="85"/>
        <v>9.8159232008256367</v>
      </c>
      <c r="AA84" s="41" t="str">
        <f t="shared" si="73"/>
        <v>9</v>
      </c>
      <c r="AB84" s="24">
        <f t="shared" si="86"/>
        <v>9.7910784099076409</v>
      </c>
      <c r="AC84" s="41" t="str">
        <f t="shared" si="74"/>
        <v>9</v>
      </c>
      <c r="AD84" s="24">
        <f t="shared" si="87"/>
        <v>9.4929409188916907</v>
      </c>
      <c r="AE84" s="41" t="str">
        <f t="shared" si="75"/>
        <v>9</v>
      </c>
      <c r="AF84" s="24">
        <f t="shared" si="88"/>
        <v>5.9152910267002881</v>
      </c>
      <c r="AG84" s="41" t="str">
        <f t="shared" si="76"/>
        <v>5</v>
      </c>
      <c r="AH84" s="24">
        <f t="shared" si="89"/>
        <v>10.983492320403457</v>
      </c>
      <c r="AI84" s="41" t="str">
        <f t="shared" si="77"/>
        <v>E</v>
      </c>
      <c r="AJ84" s="24">
        <f t="shared" si="90"/>
        <v>11.80190784484148</v>
      </c>
      <c r="AK84" s="41" t="str">
        <f t="shared" si="78"/>
        <v/>
      </c>
    </row>
    <row r="85" spans="1:37" ht="14.25" customHeight="1">
      <c r="A85" s="716"/>
      <c r="B85" s="30" t="s">
        <v>1433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93"/>
        <v>1;001XXX0E449</v>
      </c>
      <c r="H85" s="112"/>
      <c r="I85" s="341"/>
      <c r="J85" s="43">
        <v>49</v>
      </c>
      <c r="K85" s="62">
        <f t="shared" si="65"/>
        <v>1.0011045199619639</v>
      </c>
      <c r="L85" s="44" t="str">
        <f>Rydberg!L85</f>
        <v>sexty-cosmic dirac</v>
      </c>
      <c r="M85" s="40" t="str">
        <f t="shared" si="66"/>
        <v>1</v>
      </c>
      <c r="N85" s="24">
        <f t="shared" si="79"/>
        <v>1.3254239543567081E-2</v>
      </c>
      <c r="O85" s="41" t="str">
        <f t="shared" si="67"/>
        <v>0</v>
      </c>
      <c r="P85" s="24">
        <f t="shared" si="80"/>
        <v>0.15905087452280497</v>
      </c>
      <c r="Q85" s="41" t="str">
        <f t="shared" si="68"/>
        <v>0</v>
      </c>
      <c r="R85" s="24">
        <f t="shared" si="81"/>
        <v>1.9086104942736597</v>
      </c>
      <c r="S85" s="41" t="str">
        <f t="shared" si="69"/>
        <v>1</v>
      </c>
      <c r="T85" s="24">
        <f t="shared" si="82"/>
        <v>10.903325931283916</v>
      </c>
      <c r="U85" s="41" t="str">
        <f t="shared" si="70"/>
        <v>X</v>
      </c>
      <c r="V85" s="24">
        <f t="shared" si="83"/>
        <v>10.839911175406996</v>
      </c>
      <c r="W85" s="41" t="str">
        <f t="shared" si="71"/>
        <v>X</v>
      </c>
      <c r="X85" s="24">
        <f t="shared" si="84"/>
        <v>10.078934104883956</v>
      </c>
      <c r="Y85" s="41" t="str">
        <f t="shared" si="72"/>
        <v>X</v>
      </c>
      <c r="Z85" s="24">
        <f t="shared" si="85"/>
        <v>0.94720925860747229</v>
      </c>
      <c r="AA85" s="41" t="str">
        <f t="shared" si="73"/>
        <v>0</v>
      </c>
      <c r="AB85" s="24">
        <f t="shared" si="86"/>
        <v>11.366511103289668</v>
      </c>
      <c r="AC85" s="41" t="str">
        <f t="shared" si="74"/>
        <v>E</v>
      </c>
      <c r="AD85" s="24">
        <f t="shared" si="87"/>
        <v>4.3981332394760102</v>
      </c>
      <c r="AE85" s="41" t="str">
        <f t="shared" si="75"/>
        <v>4</v>
      </c>
      <c r="AF85" s="24">
        <f t="shared" si="88"/>
        <v>4.7775988737121224</v>
      </c>
      <c r="AG85" s="41" t="str">
        <f t="shared" si="76"/>
        <v>4</v>
      </c>
      <c r="AH85" s="24">
        <f t="shared" si="89"/>
        <v>9.3311864845454693</v>
      </c>
      <c r="AI85" s="41" t="str">
        <f t="shared" si="77"/>
        <v>9</v>
      </c>
      <c r="AJ85" s="24">
        <f t="shared" si="90"/>
        <v>3.9742378145456314</v>
      </c>
      <c r="AK85" s="41" t="str">
        <f t="shared" si="78"/>
        <v/>
      </c>
    </row>
    <row r="86" spans="1:37" ht="14.25" customHeight="1">
      <c r="A86" s="716"/>
      <c r="B86" s="30" t="s">
        <v>372</v>
      </c>
      <c r="C86" s="30"/>
      <c r="D86" s="29"/>
      <c r="E86" s="30">
        <v>12</v>
      </c>
      <c r="F86" s="29">
        <f>POWER(2,43)</f>
        <v>8796093022208</v>
      </c>
      <c r="G86" s="112" t="str">
        <f t="shared" si="93"/>
        <v>0;EX08X990X0X8</v>
      </c>
      <c r="H86" s="112"/>
      <c r="I86" s="341"/>
      <c r="J86" s="43">
        <v>12</v>
      </c>
      <c r="K86" s="62">
        <f t="shared" si="65"/>
        <v>0.98654036854514426</v>
      </c>
      <c r="L86" s="44" t="str">
        <f>INDEX(powers!$H$2:$H$75,33+J86)</f>
        <v>cosmic super</v>
      </c>
      <c r="M86" s="40" t="str">
        <f t="shared" si="66"/>
        <v>0</v>
      </c>
      <c r="N86" s="24">
        <f t="shared" si="79"/>
        <v>11.838484422541731</v>
      </c>
      <c r="O86" s="41" t="str">
        <f t="shared" si="67"/>
        <v>E</v>
      </c>
      <c r="P86" s="24">
        <f t="shared" si="80"/>
        <v>10.061813070500769</v>
      </c>
      <c r="Q86" s="41" t="str">
        <f t="shared" si="68"/>
        <v>X</v>
      </c>
      <c r="R86" s="24">
        <f t="shared" si="81"/>
        <v>0.74175684600922409</v>
      </c>
      <c r="S86" s="41" t="str">
        <f t="shared" si="69"/>
        <v>0</v>
      </c>
      <c r="T86" s="24">
        <f t="shared" si="82"/>
        <v>8.9010821521106891</v>
      </c>
      <c r="U86" s="41" t="str">
        <f t="shared" si="70"/>
        <v>8</v>
      </c>
      <c r="V86" s="24">
        <f t="shared" si="83"/>
        <v>10.812985825328269</v>
      </c>
      <c r="W86" s="41" t="str">
        <f t="shared" si="71"/>
        <v>X</v>
      </c>
      <c r="X86" s="24">
        <f t="shared" si="84"/>
        <v>9.7558299039392296</v>
      </c>
      <c r="Y86" s="41" t="str">
        <f t="shared" si="72"/>
        <v>9</v>
      </c>
      <c r="Z86" s="24">
        <f t="shared" si="85"/>
        <v>9.0699588472707546</v>
      </c>
      <c r="AA86" s="41" t="str">
        <f t="shared" si="73"/>
        <v>9</v>
      </c>
      <c r="AB86" s="24">
        <f t="shared" si="86"/>
        <v>0.83950616724905558</v>
      </c>
      <c r="AC86" s="41" t="str">
        <f t="shared" si="74"/>
        <v>0</v>
      </c>
      <c r="AD86" s="24">
        <f t="shared" si="87"/>
        <v>10.074074006988667</v>
      </c>
      <c r="AE86" s="41" t="str">
        <f t="shared" si="75"/>
        <v>X</v>
      </c>
      <c r="AF86" s="24">
        <f t="shared" si="88"/>
        <v>0.88888808386400342</v>
      </c>
      <c r="AG86" s="41" t="str">
        <f t="shared" si="76"/>
        <v>0</v>
      </c>
      <c r="AH86" s="24">
        <f t="shared" si="89"/>
        <v>10.666657006368041</v>
      </c>
      <c r="AI86" s="41" t="str">
        <f t="shared" si="77"/>
        <v>X</v>
      </c>
      <c r="AJ86" s="24">
        <f t="shared" si="90"/>
        <v>7.9998840764164925</v>
      </c>
      <c r="AK86" s="41" t="str">
        <f t="shared" si="78"/>
        <v>8</v>
      </c>
    </row>
    <row r="87" spans="1:37" ht="14.25" customHeight="1">
      <c r="A87" s="716"/>
      <c r="B87" s="30" t="s">
        <v>682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93"/>
        <v>4;68X10E696900</v>
      </c>
      <c r="H87" s="112"/>
      <c r="I87" s="341"/>
      <c r="J87" s="43">
        <v>2</v>
      </c>
      <c r="K87" s="62">
        <f t="shared" si="65"/>
        <v>4.5613946914672852</v>
      </c>
      <c r="L87" s="44" t="str">
        <f>INDEX(powers!$H$2:$H$75,33+J87)</f>
        <v>hecty</v>
      </c>
      <c r="M87" s="40" t="str">
        <f t="shared" si="66"/>
        <v>4</v>
      </c>
      <c r="N87" s="24">
        <f t="shared" si="79"/>
        <v>6.7367362976074219</v>
      </c>
      <c r="O87" s="41" t="str">
        <f t="shared" si="67"/>
        <v>6</v>
      </c>
      <c r="P87" s="24">
        <f t="shared" si="80"/>
        <v>8.8408355712890625</v>
      </c>
      <c r="Q87" s="41" t="str">
        <f t="shared" si="68"/>
        <v>8</v>
      </c>
      <c r="R87" s="24">
        <f t="shared" si="81"/>
        <v>10.09002685546875</v>
      </c>
      <c r="S87" s="41" t="str">
        <f t="shared" si="69"/>
        <v>X</v>
      </c>
      <c r="T87" s="24">
        <f t="shared" si="82"/>
        <v>1.080322265625</v>
      </c>
      <c r="U87" s="41" t="str">
        <f t="shared" si="70"/>
        <v>1</v>
      </c>
      <c r="V87" s="24">
        <f t="shared" si="83"/>
        <v>0.9638671875</v>
      </c>
      <c r="W87" s="41" t="str">
        <f t="shared" si="71"/>
        <v>0</v>
      </c>
      <c r="X87" s="24">
        <f t="shared" si="84"/>
        <v>11.56640625</v>
      </c>
      <c r="Y87" s="41" t="str">
        <f t="shared" si="72"/>
        <v>E</v>
      </c>
      <c r="Z87" s="24">
        <f t="shared" si="85"/>
        <v>6.796875</v>
      </c>
      <c r="AA87" s="41" t="str">
        <f t="shared" si="73"/>
        <v>6</v>
      </c>
      <c r="AB87" s="24">
        <f t="shared" si="86"/>
        <v>9.5625</v>
      </c>
      <c r="AC87" s="41" t="str">
        <f t="shared" si="74"/>
        <v>9</v>
      </c>
      <c r="AD87" s="24">
        <f t="shared" si="87"/>
        <v>6.75</v>
      </c>
      <c r="AE87" s="41" t="str">
        <f t="shared" si="75"/>
        <v>6</v>
      </c>
      <c r="AF87" s="24">
        <f t="shared" si="88"/>
        <v>9</v>
      </c>
      <c r="AG87" s="41" t="str">
        <f t="shared" si="76"/>
        <v>9</v>
      </c>
      <c r="AH87" s="24">
        <f t="shared" si="89"/>
        <v>0</v>
      </c>
      <c r="AI87" s="41" t="str">
        <f t="shared" si="77"/>
        <v>0</v>
      </c>
      <c r="AJ87" s="24">
        <f t="shared" si="90"/>
        <v>0</v>
      </c>
      <c r="AK87" s="41" t="str">
        <f t="shared" si="78"/>
        <v>0</v>
      </c>
    </row>
    <row r="88" spans="1:37" ht="14.25" customHeight="1" thickBot="1">
      <c r="A88" s="717"/>
      <c r="B88" s="33" t="s">
        <v>373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3"/>
        <v>0;EE17EX582521</v>
      </c>
      <c r="H88" s="47"/>
      <c r="I88" s="342"/>
      <c r="J88" s="48">
        <v>-4</v>
      </c>
      <c r="K88" s="63">
        <f t="shared" si="65"/>
        <v>0.99401955054989555</v>
      </c>
      <c r="L88" s="49" t="str">
        <f>INDEX(powers!$H$2:$H$75,33+J88)</f>
        <v>sub</v>
      </c>
      <c r="M88" s="40" t="str">
        <f t="shared" si="66"/>
        <v>0</v>
      </c>
      <c r="N88" s="24">
        <f t="shared" si="79"/>
        <v>11.928234606598746</v>
      </c>
      <c r="O88" s="41" t="str">
        <f t="shared" si="67"/>
        <v>E</v>
      </c>
      <c r="P88" s="24">
        <f t="shared" si="80"/>
        <v>11.138815279184954</v>
      </c>
      <c r="Q88" s="41" t="str">
        <f t="shared" si="68"/>
        <v>E</v>
      </c>
      <c r="R88" s="24">
        <f t="shared" si="81"/>
        <v>1.6657833502194421</v>
      </c>
      <c r="S88" s="41" t="str">
        <f t="shared" si="69"/>
        <v>1</v>
      </c>
      <c r="T88" s="24">
        <f t="shared" si="82"/>
        <v>7.9894002026333055</v>
      </c>
      <c r="U88" s="41" t="str">
        <f t="shared" si="70"/>
        <v>7</v>
      </c>
      <c r="V88" s="24">
        <f t="shared" si="83"/>
        <v>11.872802431599666</v>
      </c>
      <c r="W88" s="41" t="str">
        <f t="shared" si="71"/>
        <v>E</v>
      </c>
      <c r="X88" s="24">
        <f t="shared" si="84"/>
        <v>10.473629179195996</v>
      </c>
      <c r="Y88" s="41" t="str">
        <f t="shared" si="72"/>
        <v>X</v>
      </c>
      <c r="Z88" s="24">
        <f t="shared" si="85"/>
        <v>5.6835501503519481</v>
      </c>
      <c r="AA88" s="41" t="str">
        <f t="shared" si="73"/>
        <v>5</v>
      </c>
      <c r="AB88" s="24">
        <f t="shared" si="86"/>
        <v>8.2026018042233773</v>
      </c>
      <c r="AC88" s="41" t="str">
        <f t="shared" si="74"/>
        <v>8</v>
      </c>
      <c r="AD88" s="24">
        <f t="shared" si="87"/>
        <v>2.4312216506805271</v>
      </c>
      <c r="AE88" s="41" t="str">
        <f t="shared" si="75"/>
        <v>2</v>
      </c>
      <c r="AF88" s="24">
        <f t="shared" si="88"/>
        <v>5.1746598081663251</v>
      </c>
      <c r="AG88" s="41" t="str">
        <f t="shared" si="76"/>
        <v>5</v>
      </c>
      <c r="AH88" s="24">
        <f t="shared" si="89"/>
        <v>2.0959176979959011</v>
      </c>
      <c r="AI88" s="41" t="str">
        <f t="shared" si="77"/>
        <v>2</v>
      </c>
      <c r="AJ88" s="24">
        <f t="shared" si="90"/>
        <v>1.1510123759508133</v>
      </c>
      <c r="AK88" s="41" t="str">
        <f t="shared" si="78"/>
        <v>1</v>
      </c>
    </row>
    <row r="89" spans="1:37">
      <c r="K89" s="79"/>
      <c r="L89" s="79"/>
      <c r="M89" s="79"/>
    </row>
    <row r="90" spans="1:37" ht="15" customHeight="1">
      <c r="B90" s="534" t="s">
        <v>269</v>
      </c>
      <c r="C90" s="534" t="str">
        <f>Rydberg!C34</f>
        <v>Ω_1/m</v>
      </c>
      <c r="D90" s="21">
        <f>Rydberg!D34*D91</f>
        <v>10967758.340625035</v>
      </c>
      <c r="E90" s="8">
        <v>4</v>
      </c>
      <c r="F90" s="21">
        <f>D90/(1/F$3)</f>
        <v>1.0487080978925956E-27</v>
      </c>
      <c r="G90" s="142" t="str">
        <f t="shared" ref="G90" si="94">M90&amp;";"&amp;O90&amp;Q90&amp;S90&amp;U90&amp;W90&amp;Y90&amp;AA90&amp;AC90&amp;AE90&amp;AG90&amp;AI90&amp;AK90</f>
        <v>1;0009</v>
      </c>
      <c r="H90" s="142"/>
      <c r="I90" s="344"/>
      <c r="J90" s="38">
        <v>-25</v>
      </c>
      <c r="K90" s="61">
        <f>F90/POWER(12,J90)</f>
        <v>1.0004278490295158</v>
      </c>
      <c r="L90" s="39" t="str">
        <f>INDEX(powers!$H$2:$H$75,33+J90)</f>
        <v>tri-atomic dour</v>
      </c>
      <c r="M90" s="40" t="str">
        <f t="shared" ref="M90" si="95">IF($E90&gt;=M$31,MID($J$31,IF($E90&gt;M$31,INT(K90),ROUND(K90,0))+1,1),"")</f>
        <v>1</v>
      </c>
      <c r="N90" s="24">
        <f t="shared" ref="N90" si="96">(K90-INT(K90))*12</f>
        <v>5.1341883541891065E-3</v>
      </c>
      <c r="O90" s="41" t="str">
        <f t="shared" ref="O90" si="97">IF($E90&gt;=O$31,MID($J$31,IF($E90&gt;O$31,INT(N90),ROUND(N90,0))+1,1),"")</f>
        <v>0</v>
      </c>
      <c r="P90" s="24">
        <f t="shared" ref="P90" si="98">(N90-INT(N90))*12</f>
        <v>6.1610260250269278E-2</v>
      </c>
      <c r="Q90" s="41" t="str">
        <f t="shared" ref="Q90" si="99">IF($E90&gt;=Q$31,MID($J$31,IF($E90&gt;Q$31,INT(P90),ROUND(P90,0))+1,1),"")</f>
        <v>0</v>
      </c>
      <c r="R90" s="24">
        <f t="shared" ref="R90" si="100">(P90-INT(P90))*12</f>
        <v>0.73932312300323133</v>
      </c>
      <c r="S90" s="41" t="str">
        <f t="shared" ref="S90" si="101">IF($E90&gt;=S$31,MID($J$31,IF($E90&gt;S$31,INT(R90),ROUND(R90,0))+1,1),"")</f>
        <v>0</v>
      </c>
      <c r="T90" s="24">
        <f t="shared" ref="T90" si="102">(R90-INT(R90))*12</f>
        <v>8.871877476038776</v>
      </c>
      <c r="U90" s="41" t="str">
        <f t="shared" ref="U90" si="103">IF($E90&gt;=U$31,MID($J$31,IF($E90&gt;U$31,INT(T90),ROUND(T90,0))+1,1),"")</f>
        <v>9</v>
      </c>
      <c r="V90" s="24">
        <f t="shared" ref="V90" si="104">(T90-INT(T90))*12</f>
        <v>10.462529712465312</v>
      </c>
      <c r="W90" s="41" t="str">
        <f t="shared" ref="W90" si="105">IF($E90&gt;=W$31,MID($J$31,IF($E90&gt;W$31,INT(V90),ROUND(V90,0))+1,1),"")</f>
        <v/>
      </c>
      <c r="X90" s="24">
        <f t="shared" ref="X90" si="106">(V90-INT(V90))*12</f>
        <v>5.5503565495837393</v>
      </c>
      <c r="Y90" s="41" t="str">
        <f t="shared" ref="Y90" si="107">IF($E90&gt;=Y$31,MID($J$31,IF($E90&gt;Y$31,INT(X90),ROUND(X90,0))+1,1),"")</f>
        <v/>
      </c>
      <c r="Z90" s="24">
        <f t="shared" ref="Z90" si="108">(X90-INT(X90))*12</f>
        <v>6.604278595004871</v>
      </c>
      <c r="AA90" s="41" t="str">
        <f t="shared" ref="AA90" si="109">IF($E90&gt;=AA$31,MID($J$31,IF($E90&gt;AA$31,INT(Z90),ROUND(Z90,0))+1,1),"")</f>
        <v/>
      </c>
      <c r="AB90" s="24">
        <f t="shared" ref="AB90" si="110">(Z90-INT(Z90))*12</f>
        <v>7.2513431400584523</v>
      </c>
      <c r="AC90" s="41" t="str">
        <f t="shared" ref="AC90" si="111">IF($E90&gt;=AC$31,MID($J$31,IF($E90&gt;AC$31,INT(AB90),ROUND(AB90,0))+1,1),"")</f>
        <v/>
      </c>
      <c r="AD90" s="24">
        <f t="shared" ref="AD90" si="112">(AB90-INT(AB90))*12</f>
        <v>3.0161176807014272</v>
      </c>
      <c r="AE90" s="41" t="str">
        <f t="shared" ref="AE90" si="113">IF($E90&gt;=AE$31,MID($J$31,IF($E90&gt;AE$31,INT(AD90),ROUND(AD90,0))+1,1),"")</f>
        <v/>
      </c>
      <c r="AF90" s="24">
        <f t="shared" ref="AF90" si="114">(AD90-INT(AD90))*12</f>
        <v>0.19341216841712594</v>
      </c>
      <c r="AG90" s="41" t="str">
        <f t="shared" ref="AG90" si="115">IF($E90&gt;=AG$31,MID($J$31,IF($E90&gt;AG$31,INT(AF90),ROUND(AF90,0))+1,1),"")</f>
        <v/>
      </c>
      <c r="AH90" s="24">
        <f t="shared" ref="AH90" si="116">(AF90-INT(AF90))*12</f>
        <v>2.3209460210055113</v>
      </c>
      <c r="AI90" s="41" t="str">
        <f t="shared" ref="AI90" si="117">IF($E90&gt;=AI$31,MID($J$31,IF($E90&gt;AI$31,INT(AH90),ROUND(AH90,0))+1,1),"")</f>
        <v/>
      </c>
      <c r="AJ90" s="24">
        <f t="shared" ref="AJ90" si="118">(AH90-INT(AH90))*12</f>
        <v>3.8513522520661354</v>
      </c>
      <c r="AK90" s="41" t="str">
        <f t="shared" ref="AK90" si="119">IF($E90&gt;=AK$31,MID($J$31,IF($E90&gt;AK$31,INT(AJ90),ROUND(AJ90,0))+1,1),"")</f>
        <v/>
      </c>
    </row>
    <row r="91" spans="1:37">
      <c r="B91" s="141" t="s">
        <v>270</v>
      </c>
      <c r="D91" s="14">
        <f>1/(1+0.00054461702177)</f>
        <v>0.99945567942448077</v>
      </c>
    </row>
    <row r="92" spans="1:37">
      <c r="B92" s="534" t="s">
        <v>1295</v>
      </c>
      <c r="C92" s="534"/>
      <c r="D92" s="21">
        <f>R23</f>
        <v>0.96867741649673156</v>
      </c>
      <c r="E92" s="8">
        <v>7</v>
      </c>
      <c r="F92" s="21">
        <f>D92</f>
        <v>0.96867741649673156</v>
      </c>
      <c r="G92" s="142" t="str">
        <f t="shared" ref="G92:G93" si="120">M92&amp;";"&amp;O92&amp;Q92&amp;S92&amp;U92&amp;W92&amp;Y92&amp;AA92&amp;AC92&amp;AE92&amp;AG92&amp;AI92&amp;AK92</f>
        <v>0;E75X5E3</v>
      </c>
      <c r="H92" s="142"/>
      <c r="I92" s="344"/>
      <c r="J92" s="38">
        <v>0</v>
      </c>
      <c r="K92" s="61">
        <f>F92/POWER(12,J92)</f>
        <v>0.96867741649673156</v>
      </c>
      <c r="L92" s="39" t="str">
        <f>INDEX(powers!$H$2:$H$75,33+J92)</f>
        <v xml:space="preserve"> </v>
      </c>
      <c r="M92" s="40" t="str">
        <f t="shared" ref="M92" si="121">IF($E92&gt;=M$31,MID($J$31,IF($E92&gt;M$31,INT(K92),ROUND(K92,0))+1,1),"")</f>
        <v>0</v>
      </c>
      <c r="N92" s="24">
        <f t="shared" ref="N92:N93" si="122">(K92-INT(K92))*12</f>
        <v>11.624128997960778</v>
      </c>
      <c r="O92" s="41" t="str">
        <f t="shared" ref="O92" si="123">IF($E92&gt;=O$31,MID($J$31,IF($E92&gt;O$31,INT(N92),ROUND(N92,0))+1,1),"")</f>
        <v>E</v>
      </c>
      <c r="P92" s="24">
        <f t="shared" ref="P92:P93" si="124">(N92-INT(N92))*12</f>
        <v>7.4895479755293337</v>
      </c>
      <c r="Q92" s="41" t="str">
        <f t="shared" ref="Q92" si="125">IF($E92&gt;=Q$31,MID($J$31,IF($E92&gt;Q$31,INT(P92),ROUND(P92,0))+1,1),"")</f>
        <v>7</v>
      </c>
      <c r="R92" s="24">
        <f t="shared" ref="R92:R93" si="126">(P92-INT(P92))*12</f>
        <v>5.8745757063520045</v>
      </c>
      <c r="S92" s="41" t="str">
        <f t="shared" ref="S92" si="127">IF($E92&gt;=S$31,MID($J$31,IF($E92&gt;S$31,INT(R92),ROUND(R92,0))+1,1),"")</f>
        <v>5</v>
      </c>
      <c r="T92" s="24">
        <f t="shared" ref="T92:T93" si="128">(R92-INT(R92))*12</f>
        <v>10.494908476224055</v>
      </c>
      <c r="U92" s="41" t="str">
        <f t="shared" ref="U92" si="129">IF($E92&gt;=U$31,MID($J$31,IF($E92&gt;U$31,INT(T92),ROUND(T92,0))+1,1),"")</f>
        <v>X</v>
      </c>
      <c r="V92" s="24">
        <f t="shared" ref="V92:V93" si="130">(T92-INT(T92))*12</f>
        <v>5.9389017146886545</v>
      </c>
      <c r="W92" s="41" t="str">
        <f t="shared" ref="W92" si="131">IF($E92&gt;=W$31,MID($J$31,IF($E92&gt;W$31,INT(V92),ROUND(V92,0))+1,1),"")</f>
        <v>5</v>
      </c>
      <c r="X92" s="24">
        <f t="shared" ref="X92:X93" si="132">(V92-INT(V92))*12</f>
        <v>11.266820576263854</v>
      </c>
      <c r="Y92" s="41" t="str">
        <f t="shared" ref="Y92" si="133">IF($E92&gt;=Y$31,MID($J$31,IF($E92&gt;Y$31,INT(X92),ROUND(X92,0))+1,1),"")</f>
        <v>E</v>
      </c>
      <c r="Z92" s="24">
        <f t="shared" ref="Z92:Z93" si="134">(X92-INT(X92))*12</f>
        <v>3.201846915166243</v>
      </c>
      <c r="AA92" s="41" t="str">
        <f t="shared" ref="AA92" si="135">IF($E92&gt;=AA$31,MID($J$31,IF($E92&gt;AA$31,INT(Z92),ROUND(Z92,0))+1,1),"")</f>
        <v>3</v>
      </c>
      <c r="AB92" s="24">
        <f t="shared" ref="AB92:AB93" si="136">(Z92-INT(Z92))*12</f>
        <v>2.4221629819949158</v>
      </c>
      <c r="AC92" s="41" t="str">
        <f t="shared" ref="AC92" si="137">IF($E92&gt;=AC$31,MID($J$31,IF($E92&gt;AC$31,INT(AB92),ROUND(AB92,0))+1,1),"")</f>
        <v/>
      </c>
      <c r="AD92" s="24">
        <f t="shared" ref="AD92:AD93" si="138">(AB92-INT(AB92))*12</f>
        <v>5.065955783938989</v>
      </c>
      <c r="AE92" s="41" t="str">
        <f t="shared" ref="AE92" si="139">IF($E92&gt;=AE$31,MID($J$31,IF($E92&gt;AE$31,INT(AD92),ROUND(AD92,0))+1,1),"")</f>
        <v/>
      </c>
      <c r="AF92" s="24">
        <f t="shared" ref="AF92:AF93" si="140">(AD92-INT(AD92))*12</f>
        <v>0.79146940726786852</v>
      </c>
      <c r="AG92" s="41" t="str">
        <f t="shared" ref="AG92" si="141">IF($E92&gt;=AG$31,MID($J$31,IF($E92&gt;AG$31,INT(AF92),ROUND(AF92,0))+1,1),"")</f>
        <v/>
      </c>
      <c r="AH92" s="24">
        <f t="shared" ref="AH92:AH93" si="142">(AF92-INT(AF92))*12</f>
        <v>9.4976328872144222</v>
      </c>
      <c r="AI92" s="41" t="str">
        <f t="shared" ref="AI92" si="143">IF($E92&gt;=AI$31,MID($J$31,IF($E92&gt;AI$31,INT(AH92),ROUND(AH92,0))+1,1),"")</f>
        <v/>
      </c>
      <c r="AJ92" s="24">
        <f t="shared" ref="AJ92:AJ93" si="144">(AH92-INT(AH92))*12</f>
        <v>5.9715946465730667</v>
      </c>
      <c r="AK92" s="41" t="str">
        <f t="shared" ref="AK92" si="145">IF($E92&gt;=AK$31,MID($J$31,IF($E92&gt;AK$31,INT(AJ92),ROUND(AJ92,0))+1,1),"")</f>
        <v/>
      </c>
    </row>
    <row r="93" spans="1:37">
      <c r="B93" s="534" t="s">
        <v>769</v>
      </c>
      <c r="C93" s="534"/>
      <c r="D93" s="21">
        <v>540000000000000</v>
      </c>
      <c r="E93" s="8">
        <v>4</v>
      </c>
      <c r="F93" s="21">
        <f>D93/F22</f>
        <v>1.722303981777147E-28</v>
      </c>
      <c r="G93" s="142" t="str">
        <f t="shared" si="120"/>
        <v>1;E7XE</v>
      </c>
      <c r="H93" s="142"/>
      <c r="I93" s="344"/>
      <c r="J93" s="38">
        <v>-26</v>
      </c>
      <c r="K93" s="61">
        <f>F93/POWER(12,J93)</f>
        <v>1.9716154052706649</v>
      </c>
      <c r="L93" s="39" t="str">
        <f>INDEX(powers!$H$2:$H$75,33+J93)</f>
        <v>tri-atomic centy</v>
      </c>
      <c r="M93" s="40" t="str">
        <f>IF($E93&gt;=M$31,MID($J$31,IF($E93&gt;M$31,INT(K93),ROUND(K93,0))+1,1),"")</f>
        <v>1</v>
      </c>
      <c r="N93" s="24">
        <f t="shared" si="122"/>
        <v>11.659384863247979</v>
      </c>
      <c r="O93" s="41" t="str">
        <f>IF($E93&gt;=O$31,MID($J$31,IF($E93&gt;O$31,INT(N93),ROUND(N93,0))+1,1),"")</f>
        <v>E</v>
      </c>
      <c r="P93" s="24">
        <f t="shared" si="124"/>
        <v>7.9126183589757488</v>
      </c>
      <c r="Q93" s="41" t="str">
        <f>IF($E93&gt;=Q$31,MID($J$31,IF($E93&gt;Q$31,INT(P93),ROUND(P93,0))+1,1),"")</f>
        <v>7</v>
      </c>
      <c r="R93" s="24">
        <f t="shared" si="126"/>
        <v>10.951420307708986</v>
      </c>
      <c r="S93" s="41" t="str">
        <f>IF($E93&gt;=S$31,MID($J$31,IF($E93&gt;S$31,INT(R93),ROUND(R93,0))+1,1),"")</f>
        <v>X</v>
      </c>
      <c r="T93" s="24">
        <f t="shared" si="128"/>
        <v>11.417043692507832</v>
      </c>
      <c r="U93" s="41" t="str">
        <f>IF($E93&gt;=U$31,MID($J$31,IF($E93&gt;U$31,INT(T93),ROUND(T93,0))+1,1),"")</f>
        <v>E</v>
      </c>
      <c r="V93" s="24">
        <f t="shared" si="130"/>
        <v>5.0045243100939842</v>
      </c>
      <c r="W93" s="41" t="str">
        <f>IF($E93&gt;=W$31,MID($J$31,IF($E93&gt;W$31,INT(V93),ROUND(V93,0))+1,1),"")</f>
        <v/>
      </c>
      <c r="X93" s="24">
        <f t="shared" si="132"/>
        <v>5.4291721127810888E-2</v>
      </c>
      <c r="Y93" s="41" t="str">
        <f>IF($E93&gt;=Y$31,MID($J$31,IF($E93&gt;Y$31,INT(X93),ROUND(X93,0))+1,1),"")</f>
        <v/>
      </c>
      <c r="Z93" s="24">
        <f t="shared" si="134"/>
        <v>0.65150065353373066</v>
      </c>
      <c r="AA93" s="41" t="str">
        <f>IF($E93&gt;=AA$31,MID($J$31,IF($E93&gt;AA$31,INT(Z93),ROUND(Z93,0))+1,1),"")</f>
        <v/>
      </c>
      <c r="AB93" s="24">
        <f t="shared" si="136"/>
        <v>7.8180078424047679</v>
      </c>
      <c r="AC93" s="41" t="str">
        <f>IF($E93&gt;=AC$31,MID($J$31,IF($E93&gt;AC$31,INT(AB93),ROUND(AB93,0))+1,1),"")</f>
        <v/>
      </c>
      <c r="AD93" s="24">
        <f t="shared" si="138"/>
        <v>9.8160941088572145</v>
      </c>
      <c r="AE93" s="41" t="str">
        <f>IF($E93&gt;=AE$31,MID($J$31,IF($E93&gt;AE$31,INT(AD93),ROUND(AD93,0))+1,1),"")</f>
        <v/>
      </c>
      <c r="AF93" s="24">
        <f t="shared" si="140"/>
        <v>9.7931293062865734</v>
      </c>
      <c r="AG93" s="41" t="str">
        <f>IF($E93&gt;=AG$31,MID($J$31,IF($E93&gt;AG$31,INT(AF93),ROUND(AF93,0))+1,1),"")</f>
        <v/>
      </c>
      <c r="AH93" s="24">
        <f t="shared" si="142"/>
        <v>9.5175516754388809</v>
      </c>
      <c r="AI93" s="41" t="str">
        <f>IF($E93&gt;=AI$31,MID($J$31,IF($E93&gt;AI$31,INT(AH93),ROUND(AH93,0))+1,1),"")</f>
        <v/>
      </c>
      <c r="AJ93" s="24">
        <f t="shared" si="144"/>
        <v>6.210620105266571</v>
      </c>
      <c r="AK93" s="41" t="str">
        <f>IF($E93&gt;=AK$31,MID($J$31,IF($E93&gt;AK$31,INT(AJ93),ROUND(AJ93,0))+1,1),"")</f>
        <v/>
      </c>
    </row>
    <row r="94" spans="1:37">
      <c r="B94" s="14" t="s">
        <v>1887</v>
      </c>
      <c r="D94" s="204">
        <f>F22*F94</f>
        <v>6.7091908880199866E+56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5" spans="1:37">
      <c r="I95" s="14"/>
    </row>
    <row r="96" spans="1:37">
      <c r="D96" s="538">
        <f>D$6*POWER(12,-27)-273.15</f>
        <v>-98.815503003248892</v>
      </c>
      <c r="E96" s="14" t="s">
        <v>1318</v>
      </c>
      <c r="F96" s="14" t="s">
        <v>1319</v>
      </c>
      <c r="I96" s="14"/>
    </row>
    <row r="97" spans="2:9">
      <c r="D97" s="538">
        <f>2*D$6*POWER(12,-27)-273.15</f>
        <v>75.518993993502193</v>
      </c>
      <c r="E97" s="14" t="s">
        <v>1318</v>
      </c>
      <c r="F97" s="14" t="s">
        <v>1320</v>
      </c>
      <c r="I97" s="14"/>
    </row>
    <row r="98" spans="2:9">
      <c r="D98" s="538">
        <f>D$6*POWER(12,-26)-273.15</f>
        <v>1818.8639639610128</v>
      </c>
      <c r="E98" s="14" t="s">
        <v>1318</v>
      </c>
      <c r="F98" s="14" t="s">
        <v>1321</v>
      </c>
      <c r="I98" s="14"/>
    </row>
    <row r="99" spans="2:9">
      <c r="D99" s="538">
        <f>3*D$6*POWER(12,-26)-273.15</f>
        <v>6002.8918918830386</v>
      </c>
      <c r="E99" s="14" t="s">
        <v>1318</v>
      </c>
      <c r="F99" s="14" t="s">
        <v>1322</v>
      </c>
      <c r="I99" s="14"/>
    </row>
    <row r="100" spans="2:9">
      <c r="D100" s="538"/>
      <c r="I100" s="14"/>
    </row>
    <row r="101" spans="2:9" ht="22.5">
      <c r="B101" s="725" t="s">
        <v>1479</v>
      </c>
      <c r="C101" s="725"/>
      <c r="D101" s="725"/>
      <c r="E101" s="725"/>
      <c r="F101" s="725"/>
      <c r="G101" s="725"/>
      <c r="H101" s="725"/>
      <c r="I101" s="14"/>
    </row>
    <row r="102" spans="2:9">
      <c r="D102" s="538"/>
      <c r="I102" s="14"/>
    </row>
    <row r="103" spans="2:9" s="552" customFormat="1" ht="25.5">
      <c r="B103" s="726" t="s">
        <v>1911</v>
      </c>
      <c r="C103" s="726"/>
      <c r="D103" s="726"/>
      <c r="E103" s="726"/>
      <c r="F103" s="726"/>
      <c r="G103" s="726"/>
      <c r="H103" s="726"/>
    </row>
    <row r="104" spans="2:9">
      <c r="D104" s="538"/>
      <c r="I104" s="14"/>
    </row>
    <row r="105" spans="2:9">
      <c r="D105" s="538"/>
      <c r="I105" s="14"/>
    </row>
    <row r="106" spans="2:9">
      <c r="D106" s="538"/>
      <c r="I106" s="14"/>
    </row>
    <row r="107" spans="2:9">
      <c r="D107" s="538"/>
      <c r="I107" s="14"/>
    </row>
    <row r="108" spans="2:9">
      <c r="D108" s="538"/>
      <c r="I108" s="14"/>
    </row>
    <row r="109" spans="2:9">
      <c r="I109" s="14"/>
    </row>
    <row r="110" spans="2:9">
      <c r="B110" s="546" t="s">
        <v>1406</v>
      </c>
      <c r="C110" s="724" t="s">
        <v>1407</v>
      </c>
      <c r="D110" s="724"/>
      <c r="E110" s="724" t="s">
        <v>1408</v>
      </c>
      <c r="F110" s="724"/>
      <c r="G110" s="724"/>
      <c r="H110" s="544" t="s">
        <v>1410</v>
      </c>
      <c r="I110" s="14"/>
    </row>
    <row r="111" spans="2:9">
      <c r="B111" s="8" t="str">
        <f>B54</f>
        <v>Maximum density of water</v>
      </c>
      <c r="C111" s="541">
        <f>$K54</f>
        <v>1.0643980044130783</v>
      </c>
      <c r="D111" s="543">
        <f>$J54</f>
        <v>-84</v>
      </c>
      <c r="E111" s="723" t="s">
        <v>1766</v>
      </c>
      <c r="F111" s="723"/>
      <c r="G111" s="723"/>
      <c r="H111" s="545" t="str">
        <f>DEC2OCT(ABS(D111))</f>
        <v>124</v>
      </c>
      <c r="I111" s="14"/>
    </row>
    <row r="112" spans="2:9">
      <c r="B112" s="553">
        <f>$C112*D$6*POWER(12,-26)-273.15</f>
        <v>6002.8918918830386</v>
      </c>
      <c r="C112" s="541">
        <v>3</v>
      </c>
      <c r="D112" s="543">
        <v>-26</v>
      </c>
      <c r="E112" s="723" t="s">
        <v>1762</v>
      </c>
      <c r="F112" s="723"/>
      <c r="G112" s="723"/>
      <c r="H112" s="545" t="str">
        <f t="shared" ref="H112:H123" si="146">DEC2OCT(ABS(D112))</f>
        <v>32</v>
      </c>
      <c r="I112" s="14"/>
    </row>
    <row r="113" spans="2:9">
      <c r="B113" s="8" t="str">
        <f>B34</f>
        <v>Rydberg constant</v>
      </c>
      <c r="C113" s="541">
        <f>$K34</f>
        <v>1.0009726990651502</v>
      </c>
      <c r="D113" s="543">
        <f>$J34</f>
        <v>-25</v>
      </c>
      <c r="E113" s="723" t="s">
        <v>1763</v>
      </c>
      <c r="F113" s="723"/>
      <c r="G113" s="723"/>
      <c r="H113" s="545" t="str">
        <f t="shared" si="146"/>
        <v>31</v>
      </c>
      <c r="I113" s="14"/>
    </row>
    <row r="114" spans="2:9">
      <c r="B114" s="8" t="s">
        <v>1421</v>
      </c>
      <c r="C114" s="541">
        <f>$K58</f>
        <v>1.032335412150464</v>
      </c>
      <c r="D114" s="543">
        <f>$J58</f>
        <v>-25</v>
      </c>
      <c r="E114" s="723" t="s">
        <v>1763</v>
      </c>
      <c r="F114" s="723"/>
      <c r="G114" s="723"/>
      <c r="H114" s="545" t="str">
        <f t="shared" ref="H114" si="147">DEC2OCT(ABS(D114))</f>
        <v>31</v>
      </c>
      <c r="I114" s="14"/>
    </row>
    <row r="115" spans="2:9">
      <c r="B115" s="8" t="str">
        <f>B42</f>
        <v>Electron mass</v>
      </c>
      <c r="C115" s="541">
        <f>$K42</f>
        <v>0.94928191627298353</v>
      </c>
      <c r="D115" s="543">
        <f>$J42</f>
        <v>-20</v>
      </c>
      <c r="E115" s="723" t="s">
        <v>1767</v>
      </c>
      <c r="F115" s="723"/>
      <c r="G115" s="723"/>
      <c r="H115" s="545" t="str">
        <f t="shared" ref="H115" si="148">DEC2OCT(ABS(D115))</f>
        <v>24</v>
      </c>
      <c r="I115" s="14"/>
    </row>
    <row r="116" spans="2:9">
      <c r="B116" s="8" t="str">
        <f>B39</f>
        <v>Unified atomic mass unit</v>
      </c>
      <c r="C116" s="541">
        <f>$K39</f>
        <v>1.0014091866367301</v>
      </c>
      <c r="D116" s="543">
        <f>$J39</f>
        <v>-17</v>
      </c>
      <c r="E116" s="723" t="s">
        <v>1409</v>
      </c>
      <c r="F116" s="723"/>
      <c r="G116" s="723"/>
      <c r="H116" s="545" t="str">
        <f t="shared" si="146"/>
        <v>21</v>
      </c>
      <c r="I116" s="14"/>
    </row>
    <row r="117" spans="2:9">
      <c r="B117" s="21" t="str">
        <f>B32</f>
        <v>Fine Structure Constant</v>
      </c>
      <c r="C117" s="541">
        <f>$K32</f>
        <v>1.0508187695616</v>
      </c>
      <c r="D117" s="543">
        <f>$J32</f>
        <v>-2</v>
      </c>
      <c r="E117" s="723" t="s">
        <v>1764</v>
      </c>
      <c r="F117" s="723"/>
      <c r="G117" s="723"/>
      <c r="H117" s="545" t="str">
        <f t="shared" ref="H117" si="149">DEC2OCT(ABS(D117))</f>
        <v>2</v>
      </c>
      <c r="I117" s="14"/>
    </row>
    <row r="118" spans="2:9">
      <c r="B118" s="8" t="str">
        <f>B41</f>
        <v>Elementary electric charge</v>
      </c>
      <c r="C118" s="541">
        <f>$K41</f>
        <v>1.025094517379544</v>
      </c>
      <c r="D118" s="543">
        <f>$J41</f>
        <v>-1</v>
      </c>
      <c r="E118" s="723" t="s">
        <v>1765</v>
      </c>
      <c r="F118" s="723"/>
      <c r="G118" s="723"/>
      <c r="H118" s="545" t="str">
        <f t="shared" si="146"/>
        <v>1</v>
      </c>
      <c r="I118" s="14"/>
    </row>
    <row r="119" spans="2:9">
      <c r="B119" s="8" t="str">
        <f>B47</f>
        <v>Planck length</v>
      </c>
      <c r="C119" s="541">
        <f>$K47</f>
        <v>2.0283702113484399</v>
      </c>
      <c r="D119" s="543">
        <f>$J47</f>
        <v>-1</v>
      </c>
      <c r="E119" s="723" t="s">
        <v>1428</v>
      </c>
      <c r="F119" s="723"/>
      <c r="G119" s="723"/>
      <c r="H119" s="545" t="str">
        <f t="shared" si="146"/>
        <v>1</v>
      </c>
      <c r="I119" s="14"/>
    </row>
    <row r="120" spans="2:9">
      <c r="B120" s="8" t="str">
        <f>B40</f>
        <v>Bohr Radius</v>
      </c>
      <c r="C120" s="541">
        <f>$K40</f>
        <v>1.0024828946302902</v>
      </c>
      <c r="D120" s="543">
        <f>$J40</f>
        <v>22</v>
      </c>
      <c r="E120" s="723" t="s">
        <v>1768</v>
      </c>
      <c r="F120" s="723"/>
      <c r="G120" s="723"/>
      <c r="H120" s="545" t="str">
        <f t="shared" si="146"/>
        <v>26</v>
      </c>
      <c r="I120" s="14"/>
    </row>
    <row r="121" spans="2:9">
      <c r="B121" s="8" t="s">
        <v>1412</v>
      </c>
      <c r="C121" s="542">
        <f>86400/128/($D4*POWER(12,42))</f>
        <v>0.99994334194967516</v>
      </c>
      <c r="D121" s="543">
        <v>42</v>
      </c>
      <c r="E121" s="723" t="s">
        <v>1910</v>
      </c>
      <c r="F121" s="723"/>
      <c r="G121" s="723"/>
      <c r="H121" s="545" t="str">
        <f t="shared" si="146"/>
        <v>52</v>
      </c>
      <c r="I121" s="14"/>
    </row>
    <row r="122" spans="2:9">
      <c r="B122" s="8" t="s">
        <v>1427</v>
      </c>
      <c r="C122" s="542">
        <f>4600000000*365.2422*86400/($D4*POWER(12,D122))</f>
        <v>2.0098698980308911</v>
      </c>
      <c r="D122" s="543">
        <v>55</v>
      </c>
      <c r="E122" s="723" t="s">
        <v>1909</v>
      </c>
      <c r="F122" s="723"/>
      <c r="G122" s="723"/>
      <c r="H122" s="545" t="str">
        <f t="shared" si="146"/>
        <v>67</v>
      </c>
      <c r="I122" s="14"/>
    </row>
    <row r="123" spans="2:9">
      <c r="B123" s="8" t="s">
        <v>1616</v>
      </c>
      <c r="C123" s="542">
        <f>435.4*POWER(10,15)/($D4*POWER(12,D123))</f>
        <v>0.50236873158668049</v>
      </c>
      <c r="D123" s="543">
        <v>56</v>
      </c>
      <c r="E123" s="723" t="s">
        <v>1908</v>
      </c>
      <c r="F123" s="723"/>
      <c r="G123" s="723"/>
      <c r="H123" s="545" t="str">
        <f t="shared" si="146"/>
        <v>70</v>
      </c>
      <c r="I123" s="14"/>
    </row>
    <row r="124" spans="2:9">
      <c r="I124" s="14"/>
    </row>
    <row r="125" spans="2:9" s="547" customFormat="1" ht="18.75">
      <c r="D125" s="548" t="s">
        <v>1413</v>
      </c>
      <c r="E125" s="549"/>
      <c r="F125" s="550" t="s">
        <v>1411</v>
      </c>
      <c r="G125" s="551"/>
    </row>
    <row r="126" spans="2:9">
      <c r="I126" s="14"/>
    </row>
    <row r="127" spans="2:9">
      <c r="I127" s="14"/>
    </row>
    <row r="128" spans="2:9">
      <c r="I128" s="14"/>
    </row>
    <row r="129" spans="9:9">
      <c r="I129" s="14"/>
    </row>
    <row r="130" spans="9:9">
      <c r="I130" s="14"/>
    </row>
    <row r="131" spans="9:9">
      <c r="I131" s="14"/>
    </row>
  </sheetData>
  <mergeCells count="21">
    <mergeCell ref="C110:D110"/>
    <mergeCell ref="A1:A30"/>
    <mergeCell ref="A31:A70"/>
    <mergeCell ref="J31:K31"/>
    <mergeCell ref="A71:A88"/>
    <mergeCell ref="E110:G110"/>
    <mergeCell ref="B101:H101"/>
    <mergeCell ref="B103:H103"/>
    <mergeCell ref="E111:G111"/>
    <mergeCell ref="E112:G112"/>
    <mergeCell ref="E113:G113"/>
    <mergeCell ref="E116:G116"/>
    <mergeCell ref="E123:G123"/>
    <mergeCell ref="E118:G118"/>
    <mergeCell ref="E119:G119"/>
    <mergeCell ref="E120:G120"/>
    <mergeCell ref="E121:G121"/>
    <mergeCell ref="E122:G122"/>
    <mergeCell ref="E115:G115"/>
    <mergeCell ref="E117:G117"/>
    <mergeCell ref="E114:G114"/>
  </mergeCells>
  <phoneticPr fontId="1"/>
  <hyperlinks>
    <hyperlink ref="F125" r:id="rId1"/>
    <hyperlink ref="B103:H103" r:id="rId2" location="Other_possible_normalizations" display="corresponding to 35G=c0=ħ=kB=ZP=1 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3"/>
  <headerFooter>
    <oddHeader>&amp;A</oddHead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0"/>
  <sheetViews>
    <sheetView topLeftCell="A37" workbookViewId="0">
      <selection activeCell="D70" sqref="D70"/>
    </sheetView>
  </sheetViews>
  <sheetFormatPr defaultRowHeight="12"/>
  <cols>
    <col min="1" max="1" width="2.75" style="14" customWidth="1"/>
    <col min="2" max="2" width="26.75" style="14" customWidth="1"/>
    <col min="3" max="3" width="8.625" style="14" customWidth="1"/>
    <col min="4" max="4" width="14.125" style="14" customWidth="1"/>
    <col min="5" max="5" width="3.5" style="14" customWidth="1"/>
    <col min="6" max="6" width="13.875" style="14" customWidth="1"/>
    <col min="7" max="7" width="13.625" style="14" customWidth="1"/>
    <col min="8" max="8" width="7" style="14" customWidth="1"/>
    <col min="9" max="9" width="2.75" style="343" customWidth="1"/>
    <col min="10" max="10" width="3.625" style="14" customWidth="1"/>
    <col min="11" max="11" width="9.125" style="14" customWidth="1"/>
    <col min="12" max="12" width="15.875" style="14" customWidth="1"/>
    <col min="13" max="13" width="3.125" style="14" customWidth="1"/>
    <col min="14" max="14" width="8.625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9" style="14" customWidth="1"/>
    <col min="37" max="37" width="3.125" style="14" customWidth="1"/>
    <col min="38" max="16384" width="9" style="14"/>
  </cols>
  <sheetData>
    <row r="1" spans="1:37" ht="11.25" customHeight="1">
      <c r="A1" s="718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106</v>
      </c>
      <c r="H1" s="18" t="str">
        <f>Rydberg!H$1</f>
        <v>difference</v>
      </c>
      <c r="I1" s="349" t="s">
        <v>767</v>
      </c>
      <c r="J1" s="19"/>
      <c r="K1" s="56" t="s">
        <v>46</v>
      </c>
      <c r="L1" s="20"/>
      <c r="M1" s="729" t="s">
        <v>116</v>
      </c>
      <c r="N1" s="730"/>
      <c r="O1" s="730"/>
      <c r="P1" s="730"/>
      <c r="Q1" s="730"/>
      <c r="R1" s="730"/>
    </row>
    <row r="2" spans="1:37" ht="13.5" customHeight="1">
      <c r="A2" s="719"/>
      <c r="B2" s="2" t="str">
        <f>Rydberg!B2</f>
        <v>Local Time</v>
      </c>
      <c r="C2" s="2" t="str">
        <f>Rydberg!C2</f>
        <v>s</v>
      </c>
      <c r="D2" s="50">
        <f>86400/128</f>
        <v>675</v>
      </c>
      <c r="E2" s="8"/>
      <c r="F2" s="8"/>
      <c r="G2" s="8"/>
      <c r="H2" s="8"/>
      <c r="I2" s="333"/>
      <c r="J2" s="8"/>
      <c r="K2" s="57"/>
      <c r="L2" s="22"/>
      <c r="M2" s="727">
        <f>365.2421896698-(0.00000615359)*P2-(0.000000000729)*P2*P2+(0.000000000264)*P2*P2*P2</f>
        <v>365.24218750000171</v>
      </c>
      <c r="N2" s="728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719"/>
      <c r="B3" s="2" t="str">
        <f>Rydberg!B3</f>
        <v>Length</v>
      </c>
      <c r="C3" s="7" t="str">
        <f>Rydberg!C3</f>
        <v>m</v>
      </c>
      <c r="D3" s="25">
        <f>D$4*D$35</f>
        <v>9.121017583262049E-8</v>
      </c>
      <c r="E3" s="8">
        <v>6</v>
      </c>
      <c r="F3" s="21">
        <f t="shared" ref="F3:F30" si="0">D3*POWER(12,E3)</f>
        <v>0.27235212567339145</v>
      </c>
      <c r="G3" s="21"/>
      <c r="H3" s="26"/>
      <c r="I3" s="334"/>
      <c r="J3" s="8">
        <v>-3</v>
      </c>
      <c r="K3" s="58">
        <f>F3/POWER(10,J3)</f>
        <v>272.35212567339147</v>
      </c>
      <c r="L3" s="122" t="str">
        <f>Rydberg!L3</f>
        <v>mm</v>
      </c>
      <c r="M3" s="23"/>
      <c r="N3" s="82">
        <f>-LOG(F3)/(LOG(12)-LOG(10))</f>
        <v>7.1338765043577439</v>
      </c>
      <c r="O3" s="24"/>
      <c r="P3" s="83">
        <f>POWER(12,N3)*F3/POWER(10,N3)</f>
        <v>1.0000000000000002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719"/>
      <c r="B4" s="2" t="str">
        <f>Rydberg!B4</f>
        <v>Time</v>
      </c>
      <c r="C4" s="7" t="str">
        <f>Rydberg!C4</f>
        <v>s</v>
      </c>
      <c r="D4" s="25">
        <f>F$4*POWER(12,-E4)</f>
        <v>3.0424439774472407E-16</v>
      </c>
      <c r="E4" s="8">
        <v>14</v>
      </c>
      <c r="F4" s="51">
        <f>$D$2/(12*12*12)</f>
        <v>0.390625</v>
      </c>
      <c r="G4" s="21"/>
      <c r="H4" s="283"/>
      <c r="I4" s="335"/>
      <c r="J4" s="8">
        <v>-3</v>
      </c>
      <c r="K4" s="58">
        <f t="shared" ref="K4:K30" si="1">F4/POWER(10,J4)</f>
        <v>390.625</v>
      </c>
      <c r="L4" s="122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719"/>
      <c r="B5" s="2" t="str">
        <f>Rydberg!B5</f>
        <v>Energy</v>
      </c>
      <c r="C5" s="2" t="str">
        <f>Rydberg!C5</f>
        <v>J</v>
      </c>
      <c r="D5" s="21">
        <f>D$36/D$4</f>
        <v>3.4661995679040812E-19</v>
      </c>
      <c r="E5" s="8">
        <v>16</v>
      </c>
      <c r="F5" s="21">
        <f t="shared" si="0"/>
        <v>6.4084573829424146E-2</v>
      </c>
      <c r="G5" s="21"/>
      <c r="H5" s="21"/>
      <c r="I5" s="333"/>
      <c r="J5" s="8">
        <v>-3</v>
      </c>
      <c r="K5" s="58">
        <f t="shared" si="1"/>
        <v>64.084573829424144</v>
      </c>
      <c r="L5" s="122" t="str">
        <f>Rydberg!L5</f>
        <v>mJ</v>
      </c>
      <c r="M5" s="23"/>
      <c r="N5" s="82">
        <f t="shared" si="2"/>
        <v>15.069812095838074</v>
      </c>
      <c r="O5" s="24"/>
      <c r="P5" s="83">
        <f t="shared" si="3"/>
        <v>0.99999999999999556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719"/>
      <c r="B6" s="2" t="str">
        <f>Rydberg!B6</f>
        <v>Temperature</v>
      </c>
      <c r="C6" s="2" t="str">
        <f>Rydberg!C6</f>
        <v>K</v>
      </c>
      <c r="D6" s="21">
        <f>D$5/D$37</f>
        <v>25105.590001313885</v>
      </c>
      <c r="E6" s="136">
        <v>-8</v>
      </c>
      <c r="F6" s="139">
        <f t="shared" si="0"/>
        <v>5.8387578436161818E-5</v>
      </c>
      <c r="G6" s="21"/>
      <c r="H6" s="21"/>
      <c r="I6" s="333"/>
      <c r="J6" s="136">
        <v>-6</v>
      </c>
      <c r="K6" s="140">
        <f t="shared" si="1"/>
        <v>58.387578436161817</v>
      </c>
      <c r="L6" s="137" t="str">
        <f>Rydberg!L6</f>
        <v>μK</v>
      </c>
      <c r="M6" s="23"/>
      <c r="N6" s="82">
        <f t="shared" si="2"/>
        <v>53.468210562623263</v>
      </c>
      <c r="O6" s="24"/>
      <c r="P6" s="83">
        <f t="shared" si="3"/>
        <v>0.99999999999998379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719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719"/>
      <c r="B8" s="2" t="str">
        <f>Rydberg!B8</f>
        <v>Mass</v>
      </c>
      <c r="C8" s="2" t="str">
        <f>Rydberg!C8</f>
        <v>g</v>
      </c>
      <c r="D8" s="21">
        <f>D$5/(D$35*D$35)</f>
        <v>3.8566671435215041E-36</v>
      </c>
      <c r="E8" s="8">
        <v>32</v>
      </c>
      <c r="F8" s="21">
        <f t="shared" si="0"/>
        <v>0.13182932593178243</v>
      </c>
      <c r="G8" s="21"/>
      <c r="H8" s="21"/>
      <c r="I8" s="333"/>
      <c r="J8" s="8">
        <v>-3</v>
      </c>
      <c r="K8" s="58">
        <f t="shared" si="1"/>
        <v>131.82932593178242</v>
      </c>
      <c r="L8" s="122" t="str">
        <f>Rydberg!L8</f>
        <v>g</v>
      </c>
      <c r="M8" s="23"/>
      <c r="N8" s="82">
        <f t="shared" si="2"/>
        <v>11.113590811852122</v>
      </c>
      <c r="O8" s="24"/>
      <c r="P8" s="83">
        <f t="shared" si="3"/>
        <v>0.99999999999999567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719"/>
      <c r="B9" s="2" t="str">
        <f>Rydberg!B9</f>
        <v>Power</v>
      </c>
      <c r="C9" s="2" t="str">
        <f>Rydberg!C9</f>
        <v>W</v>
      </c>
      <c r="D9" s="21">
        <f>D$5/D$4</f>
        <v>1.139281312523096E-3</v>
      </c>
      <c r="E9" s="8">
        <v>2</v>
      </c>
      <c r="F9" s="21">
        <f t="shared" si="0"/>
        <v>0.16405650900332583</v>
      </c>
      <c r="G9" s="21"/>
      <c r="H9" s="21"/>
      <c r="I9" s="333"/>
      <c r="J9" s="8">
        <v>-3</v>
      </c>
      <c r="K9" s="58">
        <f t="shared" si="1"/>
        <v>164.05650900332583</v>
      </c>
      <c r="L9" s="122" t="str">
        <f>Rydberg!L9</f>
        <v>mW</v>
      </c>
      <c r="M9" s="23"/>
      <c r="N9" s="82">
        <f t="shared" si="2"/>
        <v>9.9140462334733055</v>
      </c>
      <c r="O9" s="24"/>
      <c r="P9" s="83">
        <f t="shared" si="3"/>
        <v>0.99999999999999711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719"/>
      <c r="B10" s="2" t="str">
        <f>Rydberg!B10</f>
        <v>Force</v>
      </c>
      <c r="C10" s="2" t="str">
        <f>Rydberg!C10</f>
        <v>N</v>
      </c>
      <c r="D10" s="21">
        <f>D$5/D$3</f>
        <v>3.800233401879296E-12</v>
      </c>
      <c r="E10" s="8">
        <v>10</v>
      </c>
      <c r="F10" s="21">
        <f t="shared" si="0"/>
        <v>0.23530043568037093</v>
      </c>
      <c r="G10" s="21"/>
      <c r="H10" s="21"/>
      <c r="I10" s="333"/>
      <c r="J10" s="8">
        <v>-3</v>
      </c>
      <c r="K10" s="58">
        <f t="shared" si="1"/>
        <v>235.30043568037092</v>
      </c>
      <c r="L10" s="122" t="str">
        <f>Rydberg!L10</f>
        <v>mN</v>
      </c>
      <c r="M10" s="23"/>
      <c r="N10" s="82">
        <f t="shared" si="2"/>
        <v>7.9359355914803293</v>
      </c>
      <c r="O10" s="24"/>
      <c r="P10" s="83">
        <f t="shared" si="3"/>
        <v>0.99999999999999512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719"/>
      <c r="B11" s="2" t="str">
        <f>Rydberg!B11</f>
        <v>Pressure</v>
      </c>
      <c r="C11" s="2" t="str">
        <f>Rydberg!C11</f>
        <v>P</v>
      </c>
      <c r="D11" s="21">
        <f>D$5/POWER(D$3,3)</f>
        <v>456.7974648033927</v>
      </c>
      <c r="E11" s="8">
        <v>-2</v>
      </c>
      <c r="F11" s="21">
        <f t="shared" si="0"/>
        <v>3.1722046166902267</v>
      </c>
      <c r="G11" s="21"/>
      <c r="H11" s="21"/>
      <c r="I11" s="333"/>
      <c r="J11" s="8">
        <v>0</v>
      </c>
      <c r="K11" s="58">
        <f t="shared" si="1"/>
        <v>3.1722046166902267</v>
      </c>
      <c r="L11" s="122" t="str">
        <f>Rydberg!L11</f>
        <v>Pa</v>
      </c>
      <c r="M11" s="23"/>
      <c r="N11" s="82">
        <f t="shared" si="2"/>
        <v>-6.3318174172351576</v>
      </c>
      <c r="O11" s="24"/>
      <c r="P11" s="83">
        <f t="shared" si="3"/>
        <v>1.0000000000000002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719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719"/>
      <c r="B13" s="2" t="str">
        <f>Rydberg!B13</f>
        <v>Electric current</v>
      </c>
      <c r="C13" s="2" t="str">
        <f>Rydberg!C13</f>
        <v>A</v>
      </c>
      <c r="D13" s="21">
        <f>D$12/D$4</f>
        <v>6.1646033139848471E-3</v>
      </c>
      <c r="E13" s="8">
        <v>1</v>
      </c>
      <c r="F13" s="21">
        <f t="shared" si="0"/>
        <v>7.3975239767818168E-2</v>
      </c>
      <c r="G13" s="21"/>
      <c r="H13" s="21"/>
      <c r="I13" s="333"/>
      <c r="J13" s="8">
        <v>-3</v>
      </c>
      <c r="K13" s="58">
        <f t="shared" si="1"/>
        <v>73.975239767818167</v>
      </c>
      <c r="L13" s="122" t="str">
        <f>Rydberg!L13</f>
        <v>mA</v>
      </c>
      <c r="M13" s="23"/>
      <c r="N13" s="82">
        <f t="shared" si="2"/>
        <v>14.282594363996825</v>
      </c>
      <c r="O13" s="24"/>
      <c r="P13" s="83">
        <f t="shared" si="3"/>
        <v>0.99999999999999578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719"/>
      <c r="B14" s="2" t="str">
        <f>Rydberg!B14</f>
        <v>Field Strength</v>
      </c>
      <c r="C14" s="2" t="str">
        <f>Rydberg!C14</f>
        <v>O</v>
      </c>
      <c r="D14" s="21">
        <f>D13/D3</f>
        <v>67586.793443940856</v>
      </c>
      <c r="E14" s="8">
        <v>-5</v>
      </c>
      <c r="F14" s="21">
        <f t="shared" si="0"/>
        <v>0.27161616449629011</v>
      </c>
      <c r="G14" s="21"/>
      <c r="H14" s="21"/>
      <c r="I14" s="333"/>
      <c r="J14" s="8">
        <v>-3</v>
      </c>
      <c r="K14" s="58">
        <f t="shared" si="1"/>
        <v>271.61616449629008</v>
      </c>
      <c r="L14" s="122" t="str">
        <f>Rydberg!L14</f>
        <v>mA/m</v>
      </c>
      <c r="M14" s="23"/>
      <c r="N14" s="82">
        <f t="shared" si="2"/>
        <v>7.1487178596390804</v>
      </c>
      <c r="O14" s="24"/>
      <c r="P14" s="83">
        <f t="shared" si="3"/>
        <v>0.99999999999999567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719"/>
      <c r="B15" s="2" t="str">
        <f>Rydberg!B15</f>
        <v>Flux density</v>
      </c>
      <c r="C15" s="2" t="str">
        <f>Rydberg!C15</f>
        <v>G</v>
      </c>
      <c r="D15" s="21">
        <f>D12/D3/D3</f>
        <v>2.2544527602472525E-4</v>
      </c>
      <c r="E15" s="8">
        <v>3</v>
      </c>
      <c r="F15" s="21">
        <f t="shared" si="0"/>
        <v>0.38956943697072521</v>
      </c>
      <c r="G15" s="21"/>
      <c r="H15" s="21"/>
      <c r="I15" s="333"/>
      <c r="J15" s="8">
        <v>-3</v>
      </c>
      <c r="K15" s="58">
        <f t="shared" si="1"/>
        <v>389.56943697072518</v>
      </c>
      <c r="L15" s="122" t="str">
        <f>Rydberg!L15</f>
        <v>mC/m^2</v>
      </c>
      <c r="M15" s="23"/>
      <c r="N15" s="82">
        <f t="shared" si="2"/>
        <v>5.170607217646106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719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v>0</v>
      </c>
      <c r="K16" s="58">
        <f t="shared" si="1"/>
        <v>29.979245800000001</v>
      </c>
      <c r="L16" s="122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719"/>
      <c r="B17" s="2" t="str">
        <f>Rydberg!B17</f>
        <v>Electric potential difference</v>
      </c>
      <c r="C17" s="2" t="str">
        <f>Rydberg!C17</f>
        <v>ΩA</v>
      </c>
      <c r="D17" s="21">
        <f>D13*D$16</f>
        <v>0.18481015800944631</v>
      </c>
      <c r="E17" s="8">
        <v>1</v>
      </c>
      <c r="F17" s="21">
        <f t="shared" si="0"/>
        <v>2.2177218961133556</v>
      </c>
      <c r="G17" s="21"/>
      <c r="H17" s="21"/>
      <c r="I17" s="333"/>
      <c r="J17" s="8">
        <v>0</v>
      </c>
      <c r="K17" s="58">
        <f t="shared" si="1"/>
        <v>2.2177218961133556</v>
      </c>
      <c r="L17" s="122" t="str">
        <f>Rydberg!L17</f>
        <v>V</v>
      </c>
      <c r="M17" s="23"/>
      <c r="N17" s="82">
        <f t="shared" si="2"/>
        <v>-4.3685481305235188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719"/>
      <c r="B18" s="2" t="str">
        <f>Rydberg!B18</f>
        <v>Electric capacitance</v>
      </c>
      <c r="C18" s="2" t="str">
        <f>Rydberg!C18</f>
        <v>s/Ω</v>
      </c>
      <c r="D18" s="21">
        <f>D4/D16</f>
        <v>1.0148500725282557E-17</v>
      </c>
      <c r="E18" s="8">
        <v>14</v>
      </c>
      <c r="F18" s="21">
        <f t="shared" si="0"/>
        <v>1.3029847468677812E-2</v>
      </c>
      <c r="G18" s="21"/>
      <c r="H18" s="21"/>
      <c r="I18" s="333"/>
      <c r="J18" s="8">
        <v>-3</v>
      </c>
      <c r="K18" s="58">
        <f t="shared" si="1"/>
        <v>13.029847468677811</v>
      </c>
      <c r="L18" s="122" t="str">
        <f>Rydberg!L18</f>
        <v>mF</v>
      </c>
      <c r="M18" s="119"/>
      <c r="N18" s="120">
        <f t="shared" si="2"/>
        <v>23.806908356885113</v>
      </c>
      <c r="O18" s="76"/>
      <c r="P18" s="121">
        <f t="shared" si="3"/>
        <v>0.99999999999999289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719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tr">
        <f>Rydberg!L19</f>
        <v>Wb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719"/>
      <c r="B20" s="2" t="str">
        <f>Rydberg!B20</f>
        <v>Magnetic flux density</v>
      </c>
      <c r="C20" s="2" t="str">
        <f>Rydberg!C20</f>
        <v>ΩG</v>
      </c>
      <c r="D20" s="21">
        <f>D19/D3/D3</f>
        <v>6.7586793443940854E-3</v>
      </c>
      <c r="E20" s="8">
        <v>3</v>
      </c>
      <c r="F20" s="21">
        <f t="shared" si="0"/>
        <v>11.678997907112979</v>
      </c>
      <c r="G20" s="21"/>
      <c r="H20" s="21"/>
      <c r="I20" s="333"/>
      <c r="J20" s="8">
        <v>0</v>
      </c>
      <c r="K20" s="58">
        <f t="shared" si="1"/>
        <v>11.678997907112979</v>
      </c>
      <c r="L20" s="122" t="str">
        <f>Rydberg!L20</f>
        <v>T</v>
      </c>
      <c r="M20" s="119"/>
      <c r="N20" s="120">
        <f t="shared" si="2"/>
        <v>-13.480535276874237</v>
      </c>
      <c r="O20" s="76"/>
      <c r="P20" s="121">
        <f t="shared" si="3"/>
        <v>1.0000000000000029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719"/>
      <c r="B21" s="6" t="str">
        <f>Rydberg!B21</f>
        <v>Inductance</v>
      </c>
      <c r="C21" s="6" t="str">
        <f>Rydberg!C21</f>
        <v>sΩ</v>
      </c>
      <c r="D21" s="29">
        <f>D4*D$16</f>
        <v>9.1210175832620484E-15</v>
      </c>
      <c r="E21" s="30">
        <v>14</v>
      </c>
      <c r="F21" s="29">
        <f t="shared" si="0"/>
        <v>11.710642890625</v>
      </c>
      <c r="G21" s="29"/>
      <c r="H21" s="29"/>
      <c r="I21" s="336"/>
      <c r="J21" s="30">
        <v>0</v>
      </c>
      <c r="K21" s="59">
        <f t="shared" si="1"/>
        <v>11.710642890625</v>
      </c>
      <c r="L21" s="123" t="str">
        <f>Rydberg!L21</f>
        <v>H</v>
      </c>
      <c r="M21" s="119"/>
      <c r="N21" s="120">
        <f t="shared" si="2"/>
        <v>-13.495376632155578</v>
      </c>
      <c r="O21" s="76"/>
      <c r="P21" s="121">
        <f t="shared" si="3"/>
        <v>1.000000000000004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719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333"/>
      <c r="J22" s="8">
        <v>0</v>
      </c>
      <c r="K22" s="58">
        <f t="shared" si="1"/>
        <v>2.56</v>
      </c>
      <c r="L22" s="122" t="s">
        <v>711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>
      <c r="A23" s="719"/>
      <c r="B23" s="2" t="str">
        <f>Rydberg!B23</f>
        <v>Luminous flux</v>
      </c>
      <c r="C23" s="2" t="str">
        <f>Rydberg!C23</f>
        <v>W_sen</v>
      </c>
      <c r="D23" s="21">
        <f>D9*683/R23</f>
        <v>0.80324474992664152</v>
      </c>
      <c r="E23" s="8">
        <f>E9</f>
        <v>2</v>
      </c>
      <c r="F23" s="21">
        <f t="shared" si="0"/>
        <v>115.66724398943637</v>
      </c>
      <c r="G23" s="21"/>
      <c r="H23" s="21"/>
      <c r="I23" s="333"/>
      <c r="J23" s="8">
        <v>0</v>
      </c>
      <c r="K23" s="58">
        <f t="shared" si="1"/>
        <v>115.66724398943637</v>
      </c>
      <c r="L23" s="122" t="s">
        <v>696</v>
      </c>
      <c r="M23" s="23"/>
      <c r="N23" s="82">
        <f t="shared" si="2"/>
        <v>-26.056806260700771</v>
      </c>
      <c r="O23" s="24"/>
      <c r="P23" s="83">
        <f t="shared" si="3"/>
        <v>1.0000000000000004</v>
      </c>
      <c r="Q23" s="24"/>
      <c r="R23" s="297">
        <f>1/K58</f>
        <v>0.96873230298030488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719"/>
      <c r="B24" s="6" t="str">
        <f>Rydberg!B24</f>
        <v>Luminous intensity</v>
      </c>
      <c r="C24" s="2" t="str">
        <f>Rydberg!C24</f>
        <v>W_sen/sr</v>
      </c>
      <c r="D24" s="21">
        <f>D23</f>
        <v>0.80324474992664152</v>
      </c>
      <c r="E24" s="8">
        <f>E9</f>
        <v>2</v>
      </c>
      <c r="F24" s="21">
        <f t="shared" si="0"/>
        <v>115.66724398943637</v>
      </c>
      <c r="G24" s="21"/>
      <c r="H24" s="21"/>
      <c r="I24" s="333"/>
      <c r="J24" s="8">
        <v>0</v>
      </c>
      <c r="K24" s="58">
        <f t="shared" si="1"/>
        <v>115.66724398943637</v>
      </c>
      <c r="L24" s="122" t="s">
        <v>699</v>
      </c>
      <c r="M24" s="23"/>
      <c r="N24" s="82">
        <f t="shared" si="2"/>
        <v>-26.056806260700771</v>
      </c>
      <c r="O24" s="24"/>
      <c r="P24" s="83">
        <f t="shared" si="3"/>
        <v>1.0000000000000004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719"/>
      <c r="B25" s="299"/>
      <c r="C25" s="2" t="str">
        <f>Rydberg!C25</f>
        <v>W_sen/Ω_2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333"/>
      <c r="J25" s="8">
        <v>0</v>
      </c>
      <c r="K25" s="58">
        <f t="shared" si="1"/>
        <v>9.2045068173675588</v>
      </c>
      <c r="L25" s="122" t="s">
        <v>699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719"/>
      <c r="B26" s="2" t="str">
        <f>Rydberg!B26</f>
        <v>Illuminance and luminous emittance</v>
      </c>
      <c r="C26" s="2" t="str">
        <f>Rydberg!C26</f>
        <v>W_sen/m^2</v>
      </c>
      <c r="D26" s="21">
        <f>D23/D3/D3</f>
        <v>96552007885009.156</v>
      </c>
      <c r="E26" s="8">
        <f>E9-2*E3</f>
        <v>-10</v>
      </c>
      <c r="F26" s="21">
        <f t="shared" si="0"/>
        <v>1559.3688312653383</v>
      </c>
      <c r="G26" s="21"/>
      <c r="H26" s="21"/>
      <c r="I26" s="333"/>
      <c r="J26" s="8">
        <v>3</v>
      </c>
      <c r="K26" s="58">
        <f t="shared" si="1"/>
        <v>1.5593688312653382</v>
      </c>
      <c r="L26" s="122" t="s">
        <v>700</v>
      </c>
      <c r="M26" s="23"/>
      <c r="N26" s="82">
        <f t="shared" si="2"/>
        <v>-40.324559269416255</v>
      </c>
      <c r="O26" s="24"/>
      <c r="P26" s="83">
        <f t="shared" si="3"/>
        <v>1.000000000000014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719"/>
      <c r="B27" s="2" t="str">
        <f>Rydberg!B27</f>
        <v>Catalytic activity</v>
      </c>
      <c r="C27" s="2" t="str">
        <f>Rydberg!C27</f>
        <v>mol/s</v>
      </c>
      <c r="D27" s="21">
        <f>D7/D4</f>
        <v>5.4579116418782435E-9</v>
      </c>
      <c r="E27" s="8">
        <f>E7-E4</f>
        <v>10</v>
      </c>
      <c r="F27" s="21">
        <f t="shared" si="0"/>
        <v>337.93950303258504</v>
      </c>
      <c r="G27" s="21"/>
      <c r="H27" s="21"/>
      <c r="I27" s="333"/>
      <c r="J27" s="8">
        <v>0</v>
      </c>
      <c r="K27" s="58">
        <f t="shared" si="1"/>
        <v>337.93950303258504</v>
      </c>
      <c r="L27" s="122" t="s">
        <v>703</v>
      </c>
      <c r="M27" s="23"/>
      <c r="N27" s="82">
        <f t="shared" si="2"/>
        <v>-31.937347380886589</v>
      </c>
      <c r="O27" s="24"/>
      <c r="P27" s="83">
        <f t="shared" si="3"/>
        <v>1.0000000000000053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719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333"/>
      <c r="J28" s="8">
        <v>0</v>
      </c>
      <c r="K28" s="58">
        <f t="shared" si="1"/>
        <v>2.56</v>
      </c>
      <c r="L28" s="122" t="s">
        <v>705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719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707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720"/>
      <c r="B30" s="4" t="str">
        <f>Rydberg!B30</f>
        <v>Equivalent dose</v>
      </c>
      <c r="C30" s="4" t="str">
        <f>Rydberg!C30</f>
        <v>J_sen/g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337"/>
      <c r="J30" s="33">
        <v>0</v>
      </c>
      <c r="K30" s="60">
        <f t="shared" si="1"/>
        <v>0.48611773879952869</v>
      </c>
      <c r="L30" s="128" t="s">
        <v>708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>
      <c r="A31" s="718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338"/>
      <c r="J31" s="721" t="str">
        <f>Rydberg!J31</f>
        <v>0123456789XE</v>
      </c>
      <c r="K31" s="722">
        <f>Rydberg!K31</f>
        <v>0</v>
      </c>
      <c r="L31" s="124" t="str">
        <f>Rydberg!L31</f>
        <v>Prefix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719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centy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>
      <c r="A33" s="719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330">
        <f t="shared" ref="H33:H50" si="18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tri-cosmic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>
      <c r="A34" s="719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2988719.1192523539</v>
      </c>
      <c r="G34" s="37" t="str">
        <f t="shared" si="17"/>
        <v>1;0016EE15209X</v>
      </c>
      <c r="H34" s="330">
        <f t="shared" si="18"/>
        <v>9.1598590359298626E-4</v>
      </c>
      <c r="I34" s="333"/>
      <c r="J34" s="38">
        <v>6</v>
      </c>
      <c r="K34" s="61">
        <f>F34/POWER(12,J34)</f>
        <v>1.000915985903593</v>
      </c>
      <c r="L34" s="39" t="str">
        <f>INDEX(powers!$H$2:$H$75,33+J34)</f>
        <v>cosmic centy</v>
      </c>
      <c r="M34" s="40" t="str">
        <f t="shared" si="4"/>
        <v>1</v>
      </c>
      <c r="N34" s="24">
        <f t="shared" si="19"/>
        <v>1.0991830843115835E-2</v>
      </c>
      <c r="O34" s="41" t="str">
        <f t="shared" si="5"/>
        <v>0</v>
      </c>
      <c r="P34" s="24">
        <f t="shared" si="20"/>
        <v>0.13190197011739002</v>
      </c>
      <c r="Q34" s="41" t="str">
        <f t="shared" si="6"/>
        <v>0</v>
      </c>
      <c r="R34" s="24">
        <f t="shared" si="21"/>
        <v>1.5828236414086803</v>
      </c>
      <c r="S34" s="41" t="str">
        <f t="shared" si="7"/>
        <v>1</v>
      </c>
      <c r="T34" s="24">
        <f t="shared" si="22"/>
        <v>6.9938836969041631</v>
      </c>
      <c r="U34" s="41" t="str">
        <f t="shared" si="8"/>
        <v>6</v>
      </c>
      <c r="V34" s="24">
        <f t="shared" si="23"/>
        <v>11.926604362849957</v>
      </c>
      <c r="W34" s="41" t="str">
        <f t="shared" si="9"/>
        <v>E</v>
      </c>
      <c r="X34" s="24">
        <f t="shared" si="24"/>
        <v>11.119252354199489</v>
      </c>
      <c r="Y34" s="41" t="str">
        <f t="shared" si="10"/>
        <v>E</v>
      </c>
      <c r="Z34" s="24">
        <f t="shared" si="25"/>
        <v>1.4310282503938652</v>
      </c>
      <c r="AA34" s="41" t="str">
        <f t="shared" si="11"/>
        <v>1</v>
      </c>
      <c r="AB34" s="24">
        <f t="shared" si="26"/>
        <v>5.172339004726382</v>
      </c>
      <c r="AC34" s="41" t="str">
        <f t="shared" si="12"/>
        <v>5</v>
      </c>
      <c r="AD34" s="24">
        <f t="shared" si="27"/>
        <v>2.0680680567165837</v>
      </c>
      <c r="AE34" s="41" t="str">
        <f t="shared" si="13"/>
        <v>2</v>
      </c>
      <c r="AF34" s="24">
        <f t="shared" si="28"/>
        <v>0.81681668059900403</v>
      </c>
      <c r="AG34" s="41" t="str">
        <f t="shared" si="14"/>
        <v>0</v>
      </c>
      <c r="AH34" s="24">
        <f t="shared" si="29"/>
        <v>9.8018001671880484</v>
      </c>
      <c r="AI34" s="41" t="str">
        <f t="shared" si="15"/>
        <v>9</v>
      </c>
      <c r="AJ34" s="24">
        <f t="shared" si="30"/>
        <v>9.6216020062565804</v>
      </c>
      <c r="AK34" s="41" t="str">
        <f t="shared" si="16"/>
        <v>X</v>
      </c>
    </row>
    <row r="35" spans="1:37" ht="15" customHeight="1">
      <c r="A35" s="719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330">
        <f t="shared" si="18"/>
        <v>0</v>
      </c>
      <c r="I35" s="333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>
      <c r="A36" s="719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17"/>
        <v>1;0000000</v>
      </c>
      <c r="H36" s="330">
        <f t="shared" si="18"/>
        <v>1.000088900582341E-12</v>
      </c>
      <c r="I36" s="333"/>
      <c r="J36" s="38">
        <v>-30</v>
      </c>
      <c r="K36" s="61">
        <f>F36/POWER(12,J36)+0.000000000001</f>
        <v>1.0000000000010001</v>
      </c>
      <c r="L36" s="39" t="str">
        <f>INDEX(powers!$H$2:$H$75,33+J36)</f>
        <v>tetra-atomic hecty</v>
      </c>
      <c r="M36" s="40" t="str">
        <f t="shared" si="4"/>
        <v>1</v>
      </c>
      <c r="N36" s="24">
        <f t="shared" si="19"/>
        <v>1.2001066806988092E-11</v>
      </c>
      <c r="O36" s="41" t="str">
        <f t="shared" si="5"/>
        <v>0</v>
      </c>
      <c r="P36" s="24">
        <f t="shared" si="20"/>
        <v>1.4401280168385711E-10</v>
      </c>
      <c r="Q36" s="41" t="str">
        <f t="shared" si="6"/>
        <v>0</v>
      </c>
      <c r="R36" s="24">
        <f t="shared" si="21"/>
        <v>1.7281536202062853E-9</v>
      </c>
      <c r="S36" s="41" t="str">
        <f t="shared" si="7"/>
        <v>0</v>
      </c>
      <c r="T36" s="24">
        <f t="shared" si="22"/>
        <v>2.0737843442475423E-8</v>
      </c>
      <c r="U36" s="41" t="str">
        <f t="shared" si="8"/>
        <v>0</v>
      </c>
      <c r="V36" s="24">
        <f t="shared" si="23"/>
        <v>2.4885412130970508E-7</v>
      </c>
      <c r="W36" s="41" t="str">
        <f t="shared" si="9"/>
        <v>0</v>
      </c>
      <c r="X36" s="24">
        <f t="shared" si="24"/>
        <v>2.9862494557164609E-6</v>
      </c>
      <c r="Y36" s="41" t="str">
        <f t="shared" si="10"/>
        <v>0</v>
      </c>
      <c r="Z36" s="24">
        <f t="shared" si="25"/>
        <v>3.5834993468597531E-5</v>
      </c>
      <c r="AA36" s="41" t="str">
        <f t="shared" si="11"/>
        <v>0</v>
      </c>
      <c r="AB36" s="24">
        <f t="shared" si="26"/>
        <v>4.3001992162317038E-4</v>
      </c>
      <c r="AC36" s="41" t="str">
        <f t="shared" si="12"/>
        <v/>
      </c>
      <c r="AD36" s="24">
        <f t="shared" si="27"/>
        <v>5.1602390594780445E-3</v>
      </c>
      <c r="AE36" s="41" t="str">
        <f t="shared" si="13"/>
        <v/>
      </c>
      <c r="AF36" s="24">
        <f t="shared" si="28"/>
        <v>6.1922868713736534E-2</v>
      </c>
      <c r="AG36" s="41" t="str">
        <f t="shared" si="14"/>
        <v/>
      </c>
      <c r="AH36" s="24">
        <f t="shared" si="29"/>
        <v>0.74307442456483841</v>
      </c>
      <c r="AI36" s="41" t="str">
        <f t="shared" si="15"/>
        <v/>
      </c>
      <c r="AJ36" s="24">
        <f t="shared" si="30"/>
        <v>8.9168930947780609</v>
      </c>
      <c r="AK36" s="41" t="str">
        <f t="shared" si="16"/>
        <v/>
      </c>
    </row>
    <row r="37" spans="1:37" ht="15" customHeight="1">
      <c r="A37" s="719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330">
        <f t="shared" si="18"/>
        <v>0</v>
      </c>
      <c r="I37" s="333"/>
      <c r="J37" s="135">
        <v>-24</v>
      </c>
      <c r="K37" s="61">
        <f t="shared" ref="K37:K70" si="31">F37/POWER(12,J37)</f>
        <v>1</v>
      </c>
      <c r="L37" s="138" t="str">
        <f>INDEX(powers!$H$2:$H$75,33+J37)</f>
        <v>tri-atomic</v>
      </c>
      <c r="M37" s="40" t="str">
        <f t="shared" si="4"/>
        <v>1</v>
      </c>
      <c r="N37" s="24">
        <f t="shared" si="19"/>
        <v>0</v>
      </c>
      <c r="O37" s="41" t="str">
        <f t="shared" si="5"/>
        <v>0</v>
      </c>
      <c r="P37" s="24">
        <f t="shared" si="20"/>
        <v>0</v>
      </c>
      <c r="Q37" s="41" t="str">
        <f t="shared" si="6"/>
        <v>0</v>
      </c>
      <c r="R37" s="24">
        <f t="shared" si="21"/>
        <v>0</v>
      </c>
      <c r="S37" s="41" t="str">
        <f t="shared" si="7"/>
        <v>0</v>
      </c>
      <c r="T37" s="24">
        <f t="shared" si="22"/>
        <v>0</v>
      </c>
      <c r="U37" s="41" t="str">
        <f t="shared" si="8"/>
        <v>0</v>
      </c>
      <c r="V37" s="24">
        <f t="shared" si="23"/>
        <v>0</v>
      </c>
      <c r="W37" s="41" t="str">
        <f t="shared" si="9"/>
        <v>0</v>
      </c>
      <c r="X37" s="24">
        <f t="shared" si="24"/>
        <v>0</v>
      </c>
      <c r="Y37" s="41" t="str">
        <f t="shared" si="10"/>
        <v>0</v>
      </c>
      <c r="Z37" s="24">
        <f t="shared" si="25"/>
        <v>0</v>
      </c>
      <c r="AA37" s="41" t="str">
        <f t="shared" si="11"/>
        <v/>
      </c>
      <c r="AB37" s="24">
        <f t="shared" si="26"/>
        <v>0</v>
      </c>
      <c r="AC37" s="41" t="str">
        <f t="shared" si="12"/>
        <v/>
      </c>
      <c r="AD37" s="24">
        <f t="shared" si="27"/>
        <v>0</v>
      </c>
      <c r="AE37" s="41" t="str">
        <f t="shared" si="13"/>
        <v/>
      </c>
      <c r="AF37" s="24">
        <f t="shared" si="28"/>
        <v>0</v>
      </c>
      <c r="AG37" s="41" t="str">
        <f t="shared" si="14"/>
        <v/>
      </c>
      <c r="AH37" s="24">
        <f t="shared" si="29"/>
        <v>0</v>
      </c>
      <c r="AI37" s="41" t="str">
        <f t="shared" si="15"/>
        <v/>
      </c>
      <c r="AJ37" s="24">
        <f t="shared" si="30"/>
        <v>0</v>
      </c>
      <c r="AK37" s="41" t="str">
        <f t="shared" si="16"/>
        <v/>
      </c>
    </row>
    <row r="38" spans="1:37" ht="15" customHeight="1">
      <c r="A38" s="719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330">
        <f t="shared" si="18"/>
        <v>1.000310945187266E-12</v>
      </c>
      <c r="I38" s="333"/>
      <c r="J38" s="135">
        <v>0</v>
      </c>
      <c r="K38" s="61">
        <f>F38/POWER(12,J38)+0.000000000001</f>
        <v>1.0000000000010003</v>
      </c>
      <c r="L38" s="138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>
      <c r="A39" s="719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1.2596127821053088E-26</v>
      </c>
      <c r="G39" s="37" t="str">
        <f t="shared" si="17"/>
        <v>1;0024065</v>
      </c>
      <c r="H39" s="330">
        <f t="shared" si="18"/>
        <v>1.3524487446376909E-3</v>
      </c>
      <c r="I39" s="333"/>
      <c r="J39" s="38">
        <v>-24</v>
      </c>
      <c r="K39" s="61">
        <f t="shared" si="31"/>
        <v>1.0013524487446377</v>
      </c>
      <c r="L39" s="39" t="str">
        <f>INDEX(powers!$H$2:$H$75,33+J39)</f>
        <v>tri-atomic</v>
      </c>
      <c r="M39" s="40" t="str">
        <f t="shared" si="4"/>
        <v>1</v>
      </c>
      <c r="N39" s="24">
        <f t="shared" si="19"/>
        <v>1.6229384935652291E-2</v>
      </c>
      <c r="O39" s="41" t="str">
        <f t="shared" si="5"/>
        <v>0</v>
      </c>
      <c r="P39" s="24">
        <f t="shared" si="20"/>
        <v>0.19475261922782749</v>
      </c>
      <c r="Q39" s="41" t="str">
        <f t="shared" si="6"/>
        <v>0</v>
      </c>
      <c r="R39" s="24">
        <f t="shared" si="21"/>
        <v>2.3370314307339299</v>
      </c>
      <c r="S39" s="41" t="str">
        <f t="shared" si="7"/>
        <v>2</v>
      </c>
      <c r="T39" s="24">
        <f t="shared" si="22"/>
        <v>4.0443771688071593</v>
      </c>
      <c r="U39" s="41" t="str">
        <f t="shared" si="8"/>
        <v>4</v>
      </c>
      <c r="V39" s="24">
        <f t="shared" si="23"/>
        <v>0.53252602568591101</v>
      </c>
      <c r="W39" s="41" t="str">
        <f t="shared" si="9"/>
        <v>0</v>
      </c>
      <c r="X39" s="24">
        <f t="shared" si="24"/>
        <v>6.3903123082309321</v>
      </c>
      <c r="Y39" s="41" t="str">
        <f t="shared" si="10"/>
        <v>6</v>
      </c>
      <c r="Z39" s="24">
        <f t="shared" si="25"/>
        <v>4.6837476987711852</v>
      </c>
      <c r="AA39" s="41" t="str">
        <f t="shared" si="11"/>
        <v>5</v>
      </c>
      <c r="AB39" s="24">
        <f t="shared" si="26"/>
        <v>8.2049723852542229</v>
      </c>
      <c r="AC39" s="41" t="str">
        <f t="shared" si="12"/>
        <v/>
      </c>
      <c r="AD39" s="24">
        <f t="shared" si="27"/>
        <v>2.4596686230506748</v>
      </c>
      <c r="AE39" s="41" t="str">
        <f t="shared" si="13"/>
        <v/>
      </c>
      <c r="AF39" s="24">
        <f t="shared" si="28"/>
        <v>5.5160234766080976</v>
      </c>
      <c r="AG39" s="41" t="str">
        <f t="shared" si="14"/>
        <v/>
      </c>
      <c r="AH39" s="24">
        <f t="shared" si="29"/>
        <v>6.1922817192971706</v>
      </c>
      <c r="AI39" s="41" t="str">
        <f t="shared" si="15"/>
        <v/>
      </c>
      <c r="AJ39" s="24">
        <f t="shared" si="30"/>
        <v>2.3073806315660477</v>
      </c>
      <c r="AK39" s="41" t="str">
        <f t="shared" si="16"/>
        <v/>
      </c>
    </row>
    <row r="40" spans="1:37" ht="15" customHeight="1">
      <c r="A40" s="719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1.9429890967864038E-10</v>
      </c>
      <c r="G40" s="37" t="str">
        <f t="shared" si="17"/>
        <v>1;00447E5E0</v>
      </c>
      <c r="H40" s="330">
        <f t="shared" si="18"/>
        <v>2.5396965748714084E-3</v>
      </c>
      <c r="I40" s="333"/>
      <c r="J40" s="38">
        <v>-9</v>
      </c>
      <c r="K40" s="61">
        <f t="shared" si="31"/>
        <v>1.0025396965748714</v>
      </c>
      <c r="L40" s="39" t="str">
        <f>INDEX(powers!$H$2:$H$75,33+J40)</f>
        <v>atomic dour</v>
      </c>
      <c r="M40" s="40" t="str">
        <f t="shared" si="4"/>
        <v>1</v>
      </c>
      <c r="N40" s="24">
        <f t="shared" si="19"/>
        <v>3.0476358898456901E-2</v>
      </c>
      <c r="O40" s="41" t="str">
        <f t="shared" si="5"/>
        <v>0</v>
      </c>
      <c r="P40" s="24">
        <f t="shared" si="20"/>
        <v>0.36571630678148281</v>
      </c>
      <c r="Q40" s="41" t="str">
        <f t="shared" si="6"/>
        <v>0</v>
      </c>
      <c r="R40" s="24">
        <f t="shared" si="21"/>
        <v>4.3885956813777938</v>
      </c>
      <c r="S40" s="41" t="str">
        <f t="shared" si="7"/>
        <v>4</v>
      </c>
      <c r="T40" s="24">
        <f t="shared" si="22"/>
        <v>4.6631481765335252</v>
      </c>
      <c r="U40" s="41" t="str">
        <f t="shared" si="8"/>
        <v>4</v>
      </c>
      <c r="V40" s="24">
        <f t="shared" si="23"/>
        <v>7.9577781184023024</v>
      </c>
      <c r="W40" s="41" t="str">
        <f t="shared" si="9"/>
        <v>7</v>
      </c>
      <c r="X40" s="24">
        <f t="shared" si="24"/>
        <v>11.493337420827629</v>
      </c>
      <c r="Y40" s="41" t="str">
        <f t="shared" si="10"/>
        <v>E</v>
      </c>
      <c r="Z40" s="24">
        <f t="shared" si="25"/>
        <v>5.9200490499315492</v>
      </c>
      <c r="AA40" s="41" t="str">
        <f t="shared" si="11"/>
        <v>5</v>
      </c>
      <c r="AB40" s="24">
        <f t="shared" si="26"/>
        <v>11.040588599178591</v>
      </c>
      <c r="AC40" s="41" t="str">
        <f t="shared" si="12"/>
        <v>E</v>
      </c>
      <c r="AD40" s="24">
        <f t="shared" si="27"/>
        <v>0.48706319014308974</v>
      </c>
      <c r="AE40" s="41" t="str">
        <f t="shared" si="13"/>
        <v>0</v>
      </c>
      <c r="AF40" s="24">
        <f t="shared" si="28"/>
        <v>5.8447582817170769</v>
      </c>
      <c r="AG40" s="41" t="str">
        <f t="shared" si="14"/>
        <v/>
      </c>
      <c r="AH40" s="24">
        <f t="shared" si="29"/>
        <v>10.137099380604923</v>
      </c>
      <c r="AI40" s="41" t="str">
        <f t="shared" si="15"/>
        <v/>
      </c>
      <c r="AJ40" s="24">
        <f t="shared" si="30"/>
        <v>1.6451925672590733</v>
      </c>
      <c r="AK40" s="41" t="str">
        <f t="shared" si="16"/>
        <v/>
      </c>
    </row>
    <row r="41" spans="1:37" ht="15" customHeight="1">
      <c r="A41" s="719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330">
        <f t="shared" si="18"/>
        <v>2.5094517379544046E-2</v>
      </c>
      <c r="I41" s="333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>
      <c r="A42" s="719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6.9099826579662722E-30</v>
      </c>
      <c r="G42" s="37" t="str">
        <f t="shared" si="17"/>
        <v>0;E483240</v>
      </c>
      <c r="H42" s="330">
        <f t="shared" si="18"/>
        <v>-5.077186818960111E-2</v>
      </c>
      <c r="I42" s="333"/>
      <c r="J42" s="38">
        <v>-27</v>
      </c>
      <c r="K42" s="61">
        <f t="shared" si="31"/>
        <v>0.94922813181039889</v>
      </c>
      <c r="L42" s="39" t="str">
        <f>INDEX(powers!$H$2:$H$75,33+J42)</f>
        <v>tri-atomic milly</v>
      </c>
      <c r="M42" s="40" t="str">
        <f t="shared" si="4"/>
        <v>0</v>
      </c>
      <c r="N42" s="24">
        <f t="shared" si="19"/>
        <v>11.390737581724787</v>
      </c>
      <c r="O42" s="41" t="str">
        <f t="shared" si="5"/>
        <v>E</v>
      </c>
      <c r="P42" s="24">
        <f t="shared" si="20"/>
        <v>4.6888509806974454</v>
      </c>
      <c r="Q42" s="41" t="str">
        <f t="shared" si="6"/>
        <v>4</v>
      </c>
      <c r="R42" s="24">
        <f t="shared" si="21"/>
        <v>8.2662117683693452</v>
      </c>
      <c r="S42" s="41" t="str">
        <f t="shared" si="7"/>
        <v>8</v>
      </c>
      <c r="T42" s="24">
        <f t="shared" si="22"/>
        <v>3.1945412204321428</v>
      </c>
      <c r="U42" s="41" t="str">
        <f t="shared" si="8"/>
        <v>3</v>
      </c>
      <c r="V42" s="24">
        <f t="shared" si="23"/>
        <v>2.334494645185714</v>
      </c>
      <c r="W42" s="41" t="str">
        <f t="shared" si="9"/>
        <v>2</v>
      </c>
      <c r="X42" s="24">
        <f t="shared" si="24"/>
        <v>4.0139357422285684</v>
      </c>
      <c r="Y42" s="41" t="str">
        <f t="shared" si="10"/>
        <v>4</v>
      </c>
      <c r="Z42" s="24">
        <f t="shared" si="25"/>
        <v>0.16722890674282098</v>
      </c>
      <c r="AA42" s="41" t="str">
        <f t="shared" si="11"/>
        <v>0</v>
      </c>
      <c r="AB42" s="24">
        <f t="shared" si="26"/>
        <v>2.0067468809138518</v>
      </c>
      <c r="AC42" s="41" t="str">
        <f t="shared" si="12"/>
        <v/>
      </c>
      <c r="AD42" s="24">
        <f t="shared" si="27"/>
        <v>8.0962570966221392E-2</v>
      </c>
      <c r="AE42" s="41" t="str">
        <f t="shared" si="13"/>
        <v/>
      </c>
      <c r="AF42" s="24">
        <f t="shared" si="28"/>
        <v>0.97155085159465671</v>
      </c>
      <c r="AG42" s="41" t="str">
        <f t="shared" si="14"/>
        <v/>
      </c>
      <c r="AH42" s="24">
        <f t="shared" si="29"/>
        <v>11.65861021913588</v>
      </c>
      <c r="AI42" s="41" t="str">
        <f t="shared" si="15"/>
        <v/>
      </c>
      <c r="AJ42" s="24">
        <f t="shared" si="30"/>
        <v>7.9033226296305656</v>
      </c>
      <c r="AK42" s="41" t="str">
        <f t="shared" si="16"/>
        <v/>
      </c>
    </row>
    <row r="43" spans="1:37" ht="15" customHeight="1">
      <c r="A43" s="719"/>
      <c r="B43" s="573" t="str">
        <f>Rydberg!B43</f>
        <v>Proton mass</v>
      </c>
      <c r="C43" s="57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1.2687783127946629E-26</v>
      </c>
      <c r="G43" s="37" t="str">
        <f t="shared" ref="G43" si="32">M43&amp;";"&amp;O43&amp;Q43&amp;S43&amp;U43&amp;W43&amp;Y43&amp;AA43&amp;AC43&amp;AE43&amp;AG43&amp;AI43&amp;AK43</f>
        <v>1;012E172</v>
      </c>
      <c r="H43" s="330">
        <f t="shared" ref="H43" si="33">K43*POWER(12,I43)/ROUND(K43*POWER(12,I43),0)-1</f>
        <v>8.6387566721335407E-3</v>
      </c>
      <c r="I43" s="333"/>
      <c r="J43" s="38">
        <v>-24</v>
      </c>
      <c r="K43" s="61">
        <f t="shared" ref="K43" si="34">F43/POWER(12,J43)</f>
        <v>1.0086387566721335</v>
      </c>
      <c r="L43" s="39" t="str">
        <f>INDEX(powers!$H$2:$H$75,33+J43)</f>
        <v>tri-atomic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0.10366508006560249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1.2439809607872299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2.9277715294467583</v>
      </c>
      <c r="S43" s="41" t="str">
        <f t="shared" ref="S43" si="41">IF($E43&gt;=S$31,MID($J$31,IF($E43&gt;S$31,INT(R43),ROUND(R43,0))+1,1),"")</f>
        <v>2</v>
      </c>
      <c r="T43" s="24">
        <f t="shared" ref="T43" si="42">(R43-INT(R43))*12</f>
        <v>11.1332583533611</v>
      </c>
      <c r="U43" s="41" t="str">
        <f t="shared" ref="U43" si="43">IF($E43&gt;=U$31,MID($J$31,IF($E43&gt;U$31,INT(T43),ROUND(T43,0))+1,1),"")</f>
        <v>E</v>
      </c>
      <c r="V43" s="24">
        <f t="shared" ref="V43" si="44">(T43-INT(T43))*12</f>
        <v>1.5991002403332004</v>
      </c>
      <c r="W43" s="41" t="str">
        <f t="shared" ref="W43" si="45">IF($E43&gt;=W$31,MID($J$31,IF($E43&gt;W$31,INT(V43),ROUND(V43,0))+1,1),"")</f>
        <v>1</v>
      </c>
      <c r="X43" s="24">
        <f t="shared" ref="X43" si="46">(V43-INT(V43))*12</f>
        <v>7.189202883998405</v>
      </c>
      <c r="Y43" s="41" t="str">
        <f t="shared" ref="Y43" si="47">IF($E43&gt;=Y$31,MID($J$31,IF($E43&gt;Y$31,INT(X43),ROUND(X43,0))+1,1),"")</f>
        <v>7</v>
      </c>
      <c r="Z43" s="24">
        <f t="shared" ref="Z43" si="48">(X43-INT(X43))*12</f>
        <v>2.2704346079808602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3.245215295770322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2.9425835492438637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11.311002590926364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3.7320310911163688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8.7843730933964252</v>
      </c>
      <c r="AK43" s="41" t="str">
        <f t="shared" ref="AK43" si="59">IF($E43&gt;=AK$31,MID($J$31,IF($E43&gt;AK$31,INT(AJ43),ROUND(AJ43,0))+1,1),"")</f>
        <v/>
      </c>
    </row>
    <row r="44" spans="1:37" ht="15" customHeight="1">
      <c r="A44" s="719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6.6455541515607823E-11</v>
      </c>
      <c r="G44" s="37" t="str">
        <f t="shared" si="17"/>
        <v>4;1463</v>
      </c>
      <c r="H44" s="330">
        <f t="shared" si="18"/>
        <v>2.8687992181260613E-2</v>
      </c>
      <c r="I44" s="333"/>
      <c r="J44" s="38">
        <v>-10</v>
      </c>
      <c r="K44" s="61">
        <f t="shared" si="31"/>
        <v>4.1147519687250425</v>
      </c>
      <c r="L44" s="39" t="str">
        <f>INDEX(powers!$H$2:$H$75,33+J44)</f>
        <v>atomic centy</v>
      </c>
      <c r="M44" s="40" t="str">
        <f t="shared" si="4"/>
        <v>4</v>
      </c>
      <c r="N44" s="24">
        <f t="shared" si="19"/>
        <v>1.3770236247005094</v>
      </c>
      <c r="O44" s="41" t="str">
        <f t="shared" si="5"/>
        <v>1</v>
      </c>
      <c r="P44" s="24">
        <f t="shared" si="20"/>
        <v>4.5242834964061132</v>
      </c>
      <c r="Q44" s="41" t="str">
        <f t="shared" si="6"/>
        <v>4</v>
      </c>
      <c r="R44" s="24">
        <f t="shared" si="21"/>
        <v>6.2914019568733579</v>
      </c>
      <c r="S44" s="41" t="str">
        <f t="shared" si="7"/>
        <v>6</v>
      </c>
      <c r="T44" s="24">
        <f t="shared" si="22"/>
        <v>3.4968234824802948</v>
      </c>
      <c r="U44" s="41" t="str">
        <f t="shared" si="8"/>
        <v>3</v>
      </c>
      <c r="V44" s="24">
        <f t="shared" si="23"/>
        <v>5.9618817897635381</v>
      </c>
      <c r="W44" s="41" t="str">
        <f t="shared" si="9"/>
        <v/>
      </c>
      <c r="X44" s="24">
        <f t="shared" si="24"/>
        <v>11.542581477162457</v>
      </c>
      <c r="Y44" s="41" t="str">
        <f t="shared" si="10"/>
        <v/>
      </c>
      <c r="Z44" s="24">
        <f t="shared" si="25"/>
        <v>6.5109777259494876</v>
      </c>
      <c r="AA44" s="41" t="str">
        <f t="shared" si="11"/>
        <v/>
      </c>
      <c r="AB44" s="24">
        <f t="shared" si="26"/>
        <v>6.1317327113938518</v>
      </c>
      <c r="AC44" s="41" t="str">
        <f t="shared" si="12"/>
        <v/>
      </c>
      <c r="AD44" s="24">
        <f t="shared" si="27"/>
        <v>1.5807925367262214</v>
      </c>
      <c r="AE44" s="41" t="str">
        <f t="shared" si="13"/>
        <v/>
      </c>
      <c r="AF44" s="24">
        <f t="shared" si="28"/>
        <v>6.9695104407146573</v>
      </c>
      <c r="AG44" s="41" t="str">
        <f t="shared" si="14"/>
        <v/>
      </c>
      <c r="AH44" s="24">
        <f t="shared" si="29"/>
        <v>11.634125288575888</v>
      </c>
      <c r="AI44" s="41" t="str">
        <f t="shared" si="15"/>
        <v/>
      </c>
      <c r="AJ44" s="24">
        <f t="shared" si="30"/>
        <v>7.6095034629106522</v>
      </c>
      <c r="AK44" s="41" t="str">
        <f t="shared" si="16"/>
        <v/>
      </c>
    </row>
    <row r="45" spans="1:37" ht="15" customHeight="1">
      <c r="A45" s="719"/>
      <c r="B45" s="259" t="str">
        <f>Rydberg!B45</f>
        <v>Planck force</v>
      </c>
      <c r="C45" s="259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5.1436175836651319E+44</v>
      </c>
      <c r="G45" s="37" t="str">
        <f t="shared" si="17"/>
        <v>2;XEE5</v>
      </c>
      <c r="H45" s="331">
        <f t="shared" si="18"/>
        <v>-1.133128905148606E-4</v>
      </c>
      <c r="I45" s="339">
        <v>1</v>
      </c>
      <c r="J45" s="38">
        <v>41</v>
      </c>
      <c r="K45" s="61">
        <f t="shared" si="31"/>
        <v>2.9163361707359985</v>
      </c>
      <c r="L45" s="39" t="str">
        <f>INDEX(powers!$H$2:$H$75,33+J45)</f>
        <v>penta-cosmic dirac</v>
      </c>
      <c r="M45" s="40" t="str">
        <f t="shared" si="4"/>
        <v>2</v>
      </c>
      <c r="N45" s="24">
        <f t="shared" si="19"/>
        <v>10.996034048831982</v>
      </c>
      <c r="O45" s="41" t="str">
        <f t="shared" si="5"/>
        <v>X</v>
      </c>
      <c r="P45" s="24">
        <f t="shared" si="20"/>
        <v>11.952408585983783</v>
      </c>
      <c r="Q45" s="41" t="str">
        <f t="shared" si="6"/>
        <v>E</v>
      </c>
      <c r="R45" s="24">
        <f t="shared" si="21"/>
        <v>11.42890303180539</v>
      </c>
      <c r="S45" s="41" t="str">
        <f t="shared" si="7"/>
        <v>E</v>
      </c>
      <c r="T45" s="24">
        <f t="shared" si="22"/>
        <v>5.1468363816646843</v>
      </c>
      <c r="U45" s="41" t="str">
        <f t="shared" si="8"/>
        <v>5</v>
      </c>
      <c r="V45" s="24">
        <f t="shared" si="23"/>
        <v>1.7620365799762112</v>
      </c>
      <c r="W45" s="41" t="str">
        <f t="shared" si="9"/>
        <v/>
      </c>
      <c r="X45" s="24">
        <f t="shared" si="24"/>
        <v>9.1444389597145346</v>
      </c>
      <c r="Y45" s="41" t="str">
        <f t="shared" si="10"/>
        <v/>
      </c>
      <c r="Z45" s="24">
        <f t="shared" si="25"/>
        <v>1.7332675165744149</v>
      </c>
      <c r="AA45" s="41" t="str">
        <f t="shared" si="11"/>
        <v/>
      </c>
      <c r="AB45" s="24">
        <f t="shared" si="26"/>
        <v>8.799210198892979</v>
      </c>
      <c r="AC45" s="41" t="str">
        <f t="shared" si="12"/>
        <v/>
      </c>
      <c r="AD45" s="24">
        <f t="shared" si="27"/>
        <v>9.5905223867157474</v>
      </c>
      <c r="AE45" s="41" t="str">
        <f t="shared" si="13"/>
        <v/>
      </c>
      <c r="AF45" s="24">
        <f t="shared" si="28"/>
        <v>7.086268640588969</v>
      </c>
      <c r="AG45" s="41" t="str">
        <f t="shared" si="14"/>
        <v/>
      </c>
      <c r="AH45" s="24">
        <f t="shared" si="29"/>
        <v>1.0352236870676279</v>
      </c>
      <c r="AI45" s="41" t="str">
        <f t="shared" si="15"/>
        <v/>
      </c>
      <c r="AJ45" s="24">
        <f t="shared" si="30"/>
        <v>0.42268424481153488</v>
      </c>
      <c r="AK45" s="41" t="str">
        <f t="shared" si="16"/>
        <v/>
      </c>
    </row>
    <row r="46" spans="1:37" ht="15" customHeight="1">
      <c r="A46" s="719"/>
      <c r="B46" s="259" t="str">
        <f>Rydberg!B46</f>
        <v>Gravitic meter</v>
      </c>
      <c r="C46" s="259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3.5107991092721344E-34</v>
      </c>
      <c r="G46" s="37" t="str">
        <f t="shared" si="17"/>
        <v>1;0001</v>
      </c>
      <c r="H46" s="330">
        <f t="shared" si="18"/>
        <v>5.6661260641410749E-5</v>
      </c>
      <c r="I46" s="333"/>
      <c r="J46" s="38">
        <v>-31</v>
      </c>
      <c r="K46" s="61">
        <f t="shared" si="31"/>
        <v>1.0000566612606414</v>
      </c>
      <c r="L46" s="39" t="str">
        <f>INDEX(powers!$H$2:$H$75,33+J46)</f>
        <v>tetra-atomic dirac</v>
      </c>
      <c r="M46" s="40" t="str">
        <f t="shared" si="4"/>
        <v>1</v>
      </c>
      <c r="N46" s="24">
        <f t="shared" si="19"/>
        <v>6.7993512769692899E-4</v>
      </c>
      <c r="O46" s="41" t="str">
        <f t="shared" si="5"/>
        <v>0</v>
      </c>
      <c r="P46" s="24">
        <f t="shared" si="20"/>
        <v>8.1592215323631478E-3</v>
      </c>
      <c r="Q46" s="41" t="str">
        <f t="shared" si="6"/>
        <v>0</v>
      </c>
      <c r="R46" s="24">
        <f t="shared" si="21"/>
        <v>9.7910658388357774E-2</v>
      </c>
      <c r="S46" s="41" t="str">
        <f t="shared" si="7"/>
        <v>0</v>
      </c>
      <c r="T46" s="24">
        <f t="shared" si="22"/>
        <v>1.1749279006602933</v>
      </c>
      <c r="U46" s="41" t="str">
        <f t="shared" si="8"/>
        <v>1</v>
      </c>
      <c r="V46" s="24">
        <f t="shared" si="23"/>
        <v>2.0991348079235195</v>
      </c>
      <c r="W46" s="41" t="str">
        <f t="shared" si="9"/>
        <v/>
      </c>
      <c r="X46" s="24">
        <f t="shared" si="24"/>
        <v>1.1896176950822337</v>
      </c>
      <c r="Y46" s="41" t="str">
        <f t="shared" si="10"/>
        <v/>
      </c>
      <c r="Z46" s="24">
        <f t="shared" si="25"/>
        <v>2.2754123409868043</v>
      </c>
      <c r="AA46" s="41" t="str">
        <f t="shared" si="11"/>
        <v/>
      </c>
      <c r="AB46" s="24">
        <f t="shared" si="26"/>
        <v>3.3049480918416521</v>
      </c>
      <c r="AC46" s="41" t="str">
        <f t="shared" si="12"/>
        <v/>
      </c>
      <c r="AD46" s="24">
        <f t="shared" si="27"/>
        <v>3.6593771020998247</v>
      </c>
      <c r="AE46" s="41" t="str">
        <f t="shared" si="13"/>
        <v/>
      </c>
      <c r="AF46" s="24">
        <f t="shared" si="28"/>
        <v>7.9125252251978964</v>
      </c>
      <c r="AG46" s="41" t="str">
        <f t="shared" si="14"/>
        <v/>
      </c>
      <c r="AH46" s="24">
        <f t="shared" si="29"/>
        <v>10.950302702374756</v>
      </c>
      <c r="AI46" s="41" t="str">
        <f t="shared" si="15"/>
        <v/>
      </c>
      <c r="AJ46" s="24">
        <f t="shared" si="30"/>
        <v>11.403632428497076</v>
      </c>
      <c r="AK46" s="41" t="str">
        <f t="shared" si="16"/>
        <v/>
      </c>
    </row>
    <row r="47" spans="1:37" ht="15" customHeight="1">
      <c r="A47" s="719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5.9343336093968607E-35</v>
      </c>
      <c r="G47" s="37" t="str">
        <f t="shared" si="17"/>
        <v>2;0413</v>
      </c>
      <c r="H47" s="330">
        <f t="shared" si="18"/>
        <v>1.4242570680831124E-2</v>
      </c>
      <c r="I47" s="333"/>
      <c r="J47" s="38">
        <v>-32</v>
      </c>
      <c r="K47" s="61">
        <f t="shared" si="31"/>
        <v>2.0284851413616622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0.34182169633994697</v>
      </c>
      <c r="O47" s="41" t="str">
        <f t="shared" si="5"/>
        <v>0</v>
      </c>
      <c r="P47" s="24">
        <f t="shared" si="20"/>
        <v>4.1018603560793636</v>
      </c>
      <c r="Q47" s="41" t="str">
        <f t="shared" si="6"/>
        <v>4</v>
      </c>
      <c r="R47" s="24">
        <f t="shared" si="21"/>
        <v>1.2223242729523633</v>
      </c>
      <c r="S47" s="41" t="str">
        <f t="shared" si="7"/>
        <v>1</v>
      </c>
      <c r="T47" s="24">
        <f t="shared" si="22"/>
        <v>2.6678912754283601</v>
      </c>
      <c r="U47" s="41" t="str">
        <f t="shared" si="8"/>
        <v>3</v>
      </c>
      <c r="V47" s="24">
        <f t="shared" si="23"/>
        <v>8.0146953051403216</v>
      </c>
      <c r="W47" s="41" t="str">
        <f t="shared" si="9"/>
        <v/>
      </c>
      <c r="X47" s="24">
        <f t="shared" si="24"/>
        <v>0.17634366168385895</v>
      </c>
      <c r="Y47" s="41" t="str">
        <f t="shared" si="10"/>
        <v/>
      </c>
      <c r="Z47" s="24">
        <f t="shared" si="25"/>
        <v>2.1161239402063075</v>
      </c>
      <c r="AA47" s="41" t="str">
        <f t="shared" si="11"/>
        <v/>
      </c>
      <c r="AB47" s="24">
        <f t="shared" si="26"/>
        <v>1.3934872824756894</v>
      </c>
      <c r="AC47" s="41" t="str">
        <f t="shared" si="12"/>
        <v/>
      </c>
      <c r="AD47" s="24">
        <f t="shared" si="27"/>
        <v>4.7218473897082731</v>
      </c>
      <c r="AE47" s="41" t="str">
        <f t="shared" si="13"/>
        <v/>
      </c>
      <c r="AF47" s="24">
        <f t="shared" si="28"/>
        <v>8.6621686764992774</v>
      </c>
      <c r="AG47" s="41" t="str">
        <f t="shared" si="14"/>
        <v/>
      </c>
      <c r="AH47" s="24">
        <f t="shared" si="29"/>
        <v>7.9460241179913282</v>
      </c>
      <c r="AI47" s="41" t="str">
        <f t="shared" si="15"/>
        <v/>
      </c>
      <c r="AJ47" s="24">
        <f t="shared" si="30"/>
        <v>11.352289415895939</v>
      </c>
      <c r="AK47" s="41" t="str">
        <f t="shared" si="16"/>
        <v/>
      </c>
    </row>
    <row r="48" spans="1:37" ht="15" customHeight="1">
      <c r="A48" s="719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6.9468719328245028E-34</v>
      </c>
      <c r="G48" s="37" t="str">
        <f t="shared" si="17"/>
        <v>1;E8E5</v>
      </c>
      <c r="H48" s="330">
        <f t="shared" si="18"/>
        <v>-1.0586288888222439E-2</v>
      </c>
      <c r="I48" s="333"/>
      <c r="J48" s="38">
        <v>-31</v>
      </c>
      <c r="K48" s="61">
        <f t="shared" si="31"/>
        <v>1.9788274222235551</v>
      </c>
      <c r="L48" s="39" t="str">
        <f>INDEX(powers!$H$2:$H$75,33+J48)</f>
        <v>tetra-atomic dirac</v>
      </c>
      <c r="M48" s="40" t="str">
        <f t="shared" si="4"/>
        <v>1</v>
      </c>
      <c r="N48" s="24">
        <f t="shared" si="19"/>
        <v>11.745929066682661</v>
      </c>
      <c r="O48" s="41" t="str">
        <f t="shared" si="5"/>
        <v>E</v>
      </c>
      <c r="P48" s="24">
        <f t="shared" si="20"/>
        <v>8.9511488001919375</v>
      </c>
      <c r="Q48" s="41" t="str">
        <f t="shared" si="6"/>
        <v>8</v>
      </c>
      <c r="R48" s="24">
        <f t="shared" si="21"/>
        <v>11.41378560230325</v>
      </c>
      <c r="S48" s="41" t="str">
        <f t="shared" si="7"/>
        <v>E</v>
      </c>
      <c r="T48" s="24">
        <f t="shared" si="22"/>
        <v>4.9654272276389975</v>
      </c>
      <c r="U48" s="41" t="str">
        <f t="shared" si="8"/>
        <v>5</v>
      </c>
      <c r="V48" s="24">
        <f t="shared" si="23"/>
        <v>11.58512673166797</v>
      </c>
      <c r="W48" s="41" t="str">
        <f t="shared" si="9"/>
        <v/>
      </c>
      <c r="X48" s="24">
        <f t="shared" si="24"/>
        <v>7.021520780015635</v>
      </c>
      <c r="Y48" s="41" t="str">
        <f t="shared" si="10"/>
        <v/>
      </c>
      <c r="Z48" s="24">
        <f t="shared" si="25"/>
        <v>0.25824936018761946</v>
      </c>
      <c r="AA48" s="41" t="str">
        <f t="shared" si="11"/>
        <v/>
      </c>
      <c r="AB48" s="24">
        <f t="shared" si="26"/>
        <v>3.0989923222514335</v>
      </c>
      <c r="AC48" s="41" t="str">
        <f t="shared" si="12"/>
        <v/>
      </c>
      <c r="AD48" s="24">
        <f t="shared" si="27"/>
        <v>1.1879078670172021</v>
      </c>
      <c r="AE48" s="41" t="str">
        <f t="shared" si="13"/>
        <v/>
      </c>
      <c r="AF48" s="24">
        <f t="shared" si="28"/>
        <v>2.254894404206425</v>
      </c>
      <c r="AG48" s="41" t="str">
        <f t="shared" si="14"/>
        <v/>
      </c>
      <c r="AH48" s="24">
        <f t="shared" si="29"/>
        <v>3.0587328504770994</v>
      </c>
      <c r="AI48" s="41" t="str">
        <f t="shared" si="15"/>
        <v/>
      </c>
      <c r="AJ48" s="24">
        <f t="shared" si="30"/>
        <v>0.70479420572519302</v>
      </c>
      <c r="AK48" s="41" t="str">
        <f t="shared" si="16"/>
        <v/>
      </c>
    </row>
    <row r="49" spans="1:37" ht="15" customHeight="1">
      <c r="A49" s="719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330">
        <f t="shared" si="18"/>
        <v>-1.3039559891063979E-2</v>
      </c>
      <c r="I49" s="333"/>
      <c r="J49" s="135">
        <v>-23</v>
      </c>
      <c r="K49" s="61">
        <f t="shared" si="31"/>
        <v>1.973920880217872</v>
      </c>
      <c r="L49" s="138" t="str">
        <f>INDEX(powers!$H$2:$H$75,33+J49)</f>
        <v>tri-atomic dirac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>
      <c r="A50" s="719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142.71974021183038</v>
      </c>
      <c r="G50" s="37" t="str">
        <f t="shared" si="17"/>
        <v>0;EX8779</v>
      </c>
      <c r="H50" s="330">
        <f t="shared" si="18"/>
        <v>-8.8906929734000606E-3</v>
      </c>
      <c r="I50" s="333"/>
      <c r="J50" s="38">
        <v>2</v>
      </c>
      <c r="K50" s="61">
        <f t="shared" si="31"/>
        <v>0.99110930702659994</v>
      </c>
      <c r="L50" s="39" t="str">
        <f>INDEX(powers!$H$2:$H$75,33+J50)</f>
        <v>hecty</v>
      </c>
      <c r="M50" s="40" t="str">
        <f t="shared" si="4"/>
        <v>0</v>
      </c>
      <c r="N50" s="24">
        <f t="shared" si="19"/>
        <v>11.893311684319199</v>
      </c>
      <c r="O50" s="41" t="str">
        <f t="shared" si="5"/>
        <v>E</v>
      </c>
      <c r="P50" s="24">
        <f t="shared" si="20"/>
        <v>10.719740211830391</v>
      </c>
      <c r="Q50" s="41" t="str">
        <f t="shared" si="6"/>
        <v>X</v>
      </c>
      <c r="R50" s="24">
        <f t="shared" si="21"/>
        <v>8.6368825419646953</v>
      </c>
      <c r="S50" s="41" t="str">
        <f t="shared" si="7"/>
        <v>8</v>
      </c>
      <c r="T50" s="24">
        <f t="shared" si="22"/>
        <v>7.6425905035763435</v>
      </c>
      <c r="U50" s="41" t="str">
        <f t="shared" si="8"/>
        <v>7</v>
      </c>
      <c r="V50" s="24">
        <f t="shared" si="23"/>
        <v>7.7110860429161221</v>
      </c>
      <c r="W50" s="41" t="str">
        <f t="shared" si="9"/>
        <v>7</v>
      </c>
      <c r="X50" s="24">
        <f t="shared" si="24"/>
        <v>8.5330325149934652</v>
      </c>
      <c r="Y50" s="41" t="str">
        <f t="shared" si="10"/>
        <v>9</v>
      </c>
      <c r="Z50" s="24">
        <f t="shared" si="25"/>
        <v>6.3963901799215819</v>
      </c>
      <c r="AA50" s="41" t="str">
        <f t="shared" si="11"/>
        <v/>
      </c>
      <c r="AB50" s="24">
        <f t="shared" si="26"/>
        <v>4.7566821590589825</v>
      </c>
      <c r="AC50" s="41" t="str">
        <f t="shared" si="12"/>
        <v/>
      </c>
      <c r="AD50" s="24">
        <f t="shared" si="27"/>
        <v>9.0801859087077901</v>
      </c>
      <c r="AE50" s="41" t="str">
        <f t="shared" si="13"/>
        <v/>
      </c>
      <c r="AF50" s="24">
        <f t="shared" si="28"/>
        <v>0.96223090449348092</v>
      </c>
      <c r="AG50" s="41" t="str">
        <f t="shared" si="14"/>
        <v/>
      </c>
      <c r="AH50" s="24">
        <f t="shared" si="29"/>
        <v>11.546770853921771</v>
      </c>
      <c r="AI50" s="41" t="str">
        <f t="shared" si="15"/>
        <v/>
      </c>
      <c r="AJ50" s="24">
        <f t="shared" si="30"/>
        <v>6.5612502470612526</v>
      </c>
      <c r="AK50" s="41" t="str">
        <f t="shared" si="16"/>
        <v/>
      </c>
    </row>
    <row r="51" spans="1:37" ht="15" customHeight="1">
      <c r="A51" s="719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4678392.3450200986</v>
      </c>
      <c r="G51" s="37" t="str">
        <f t="shared" si="17"/>
        <v>1;6974X0</v>
      </c>
      <c r="H51" s="330"/>
      <c r="I51" s="333"/>
      <c r="J51" s="135">
        <v>6</v>
      </c>
      <c r="K51" s="61">
        <f t="shared" si="31"/>
        <v>1.5667841304642285</v>
      </c>
      <c r="L51" s="138" t="str">
        <f>INDEX(powers!$H$2:$H$75,33+J51)</f>
        <v>cosmic centy</v>
      </c>
      <c r="M51" s="40" t="str">
        <f t="shared" si="4"/>
        <v>1</v>
      </c>
      <c r="N51" s="24">
        <f t="shared" si="19"/>
        <v>6.8014095655707418</v>
      </c>
      <c r="O51" s="41" t="str">
        <f t="shared" si="5"/>
        <v>6</v>
      </c>
      <c r="P51" s="24">
        <f t="shared" si="20"/>
        <v>9.616914786848902</v>
      </c>
      <c r="Q51" s="41" t="str">
        <f t="shared" si="6"/>
        <v>9</v>
      </c>
      <c r="R51" s="24">
        <f t="shared" si="21"/>
        <v>7.402977442186824</v>
      </c>
      <c r="S51" s="41" t="str">
        <f t="shared" si="7"/>
        <v>7</v>
      </c>
      <c r="T51" s="24">
        <f t="shared" si="22"/>
        <v>4.8357293062418876</v>
      </c>
      <c r="U51" s="41" t="str">
        <f t="shared" si="8"/>
        <v>4</v>
      </c>
      <c r="V51" s="24">
        <f t="shared" si="23"/>
        <v>10.028751674902651</v>
      </c>
      <c r="W51" s="41" t="str">
        <f t="shared" si="9"/>
        <v>X</v>
      </c>
      <c r="X51" s="24">
        <f t="shared" si="24"/>
        <v>0.34502009883181017</v>
      </c>
      <c r="Y51" s="41" t="str">
        <f t="shared" si="10"/>
        <v>0</v>
      </c>
      <c r="Z51" s="24">
        <f t="shared" si="25"/>
        <v>4.1402411859817221</v>
      </c>
      <c r="AA51" s="41" t="str">
        <f t="shared" si="11"/>
        <v/>
      </c>
      <c r="AB51" s="24">
        <f t="shared" si="26"/>
        <v>1.682894231780665</v>
      </c>
      <c r="AC51" s="41" t="str">
        <f t="shared" si="12"/>
        <v/>
      </c>
      <c r="AD51" s="24">
        <f t="shared" si="27"/>
        <v>8.1947307813679799</v>
      </c>
      <c r="AE51" s="41" t="str">
        <f t="shared" si="13"/>
        <v/>
      </c>
      <c r="AF51" s="24">
        <f t="shared" si="28"/>
        <v>2.3367693764157593</v>
      </c>
      <c r="AG51" s="41" t="str">
        <f t="shared" si="14"/>
        <v/>
      </c>
      <c r="AH51" s="24">
        <f t="shared" si="29"/>
        <v>4.0412325169891119</v>
      </c>
      <c r="AI51" s="41" t="str">
        <f t="shared" si="15"/>
        <v/>
      </c>
      <c r="AJ51" s="24">
        <f t="shared" si="30"/>
        <v>0.4947902038693428</v>
      </c>
      <c r="AK51" s="41" t="str">
        <f t="shared" si="16"/>
        <v/>
      </c>
    </row>
    <row r="52" spans="1:37" ht="15" customHeight="1">
      <c r="A52" s="719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146.46212108663693</v>
      </c>
      <c r="G52" s="37" t="str">
        <f t="shared" si="17"/>
        <v>1;025667</v>
      </c>
      <c r="H52" s="330">
        <f>K52*POWER(12,I52)/ROUND(K52*POWER(12,I52),0)-1</f>
        <v>1.70980631016453E-2</v>
      </c>
      <c r="I52" s="333"/>
      <c r="J52" s="38">
        <v>2</v>
      </c>
      <c r="K52" s="61">
        <f t="shared" si="31"/>
        <v>1.0170980631016453</v>
      </c>
      <c r="L52" s="39" t="str">
        <f>INDEX(powers!$H$2:$H$75,33+J52)</f>
        <v>hecty</v>
      </c>
      <c r="M52" s="40" t="str">
        <f t="shared" si="4"/>
        <v>1</v>
      </c>
      <c r="N52" s="24">
        <f t="shared" si="19"/>
        <v>0.2051767572197436</v>
      </c>
      <c r="O52" s="41" t="str">
        <f t="shared" si="5"/>
        <v>0</v>
      </c>
      <c r="P52" s="24">
        <f t="shared" si="20"/>
        <v>2.4621210866369232</v>
      </c>
      <c r="Q52" s="41" t="str">
        <f t="shared" si="6"/>
        <v>2</v>
      </c>
      <c r="R52" s="24">
        <f t="shared" si="21"/>
        <v>5.5454530396430783</v>
      </c>
      <c r="S52" s="41" t="str">
        <f t="shared" si="7"/>
        <v>5</v>
      </c>
      <c r="T52" s="24">
        <f t="shared" si="22"/>
        <v>6.5454364757169401</v>
      </c>
      <c r="U52" s="41" t="str">
        <f t="shared" si="8"/>
        <v>6</v>
      </c>
      <c r="V52" s="24">
        <f t="shared" si="23"/>
        <v>6.5452377086032811</v>
      </c>
      <c r="W52" s="41" t="str">
        <f t="shared" si="9"/>
        <v>6</v>
      </c>
      <c r="X52" s="24">
        <f t="shared" si="24"/>
        <v>6.5428525032393736</v>
      </c>
      <c r="Y52" s="41" t="str">
        <f t="shared" si="10"/>
        <v>7</v>
      </c>
      <c r="Z52" s="24">
        <f t="shared" si="25"/>
        <v>6.5142300388724834</v>
      </c>
      <c r="AA52" s="41" t="str">
        <f t="shared" si="11"/>
        <v/>
      </c>
      <c r="AB52" s="24">
        <f t="shared" si="26"/>
        <v>6.170760466469801</v>
      </c>
      <c r="AC52" s="41" t="str">
        <f t="shared" si="12"/>
        <v/>
      </c>
      <c r="AD52" s="24">
        <f t="shared" si="27"/>
        <v>2.0491255976376124</v>
      </c>
      <c r="AE52" s="41" t="str">
        <f t="shared" si="13"/>
        <v/>
      </c>
      <c r="AF52" s="24">
        <f t="shared" si="28"/>
        <v>0.58950717165134847</v>
      </c>
      <c r="AG52" s="41" t="str">
        <f t="shared" si="14"/>
        <v/>
      </c>
      <c r="AH52" s="24">
        <f t="shared" si="29"/>
        <v>7.0740860598161817</v>
      </c>
      <c r="AI52" s="41" t="str">
        <f t="shared" si="15"/>
        <v/>
      </c>
      <c r="AJ52" s="24">
        <f t="shared" si="30"/>
        <v>0.88903271779417992</v>
      </c>
      <c r="AK52" s="41" t="str">
        <f t="shared" si="16"/>
        <v/>
      </c>
    </row>
    <row r="53" spans="1:37" ht="15" customHeight="1">
      <c r="A53" s="719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7.2401892180933949</v>
      </c>
      <c r="G53" s="37" t="str">
        <f t="shared" si="17"/>
        <v>7;2X71</v>
      </c>
      <c r="H53" s="330"/>
      <c r="I53" s="333"/>
      <c r="J53" s="38">
        <v>0</v>
      </c>
      <c r="K53" s="61">
        <f t="shared" si="31"/>
        <v>7.2401892180933949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2.8822706171207386</v>
      </c>
      <c r="O53" s="41" t="str">
        <f t="shared" si="5"/>
        <v>2</v>
      </c>
      <c r="P53" s="24">
        <f t="shared" si="20"/>
        <v>10.587247405448863</v>
      </c>
      <c r="Q53" s="41" t="str">
        <f t="shared" si="6"/>
        <v>X</v>
      </c>
      <c r="R53" s="24">
        <f t="shared" si="21"/>
        <v>7.0469688653863614</v>
      </c>
      <c r="S53" s="41" t="str">
        <f t="shared" si="7"/>
        <v>7</v>
      </c>
      <c r="T53" s="24">
        <f t="shared" si="22"/>
        <v>0.5636263846363363</v>
      </c>
      <c r="U53" s="41" t="str">
        <f t="shared" si="8"/>
        <v>1</v>
      </c>
      <c r="V53" s="24">
        <f t="shared" si="23"/>
        <v>6.7635166156360356</v>
      </c>
      <c r="W53" s="41" t="str">
        <f t="shared" si="9"/>
        <v/>
      </c>
      <c r="X53" s="24">
        <f t="shared" si="24"/>
        <v>9.1621993876324268</v>
      </c>
      <c r="Y53" s="41" t="str">
        <f t="shared" si="10"/>
        <v/>
      </c>
      <c r="Z53" s="24">
        <f t="shared" si="25"/>
        <v>1.9463926515891217</v>
      </c>
      <c r="AA53" s="41" t="str">
        <f t="shared" si="11"/>
        <v/>
      </c>
      <c r="AB53" s="24">
        <f t="shared" si="26"/>
        <v>11.35671181906946</v>
      </c>
      <c r="AC53" s="41" t="str">
        <f t="shared" si="12"/>
        <v/>
      </c>
      <c r="AD53" s="24">
        <f t="shared" si="27"/>
        <v>4.2805418288335204</v>
      </c>
      <c r="AE53" s="41" t="str">
        <f t="shared" si="13"/>
        <v/>
      </c>
      <c r="AF53" s="24">
        <f t="shared" si="28"/>
        <v>3.3665019460022449</v>
      </c>
      <c r="AG53" s="41" t="str">
        <f t="shared" si="14"/>
        <v/>
      </c>
      <c r="AH53" s="24">
        <f t="shared" si="29"/>
        <v>4.3980233520269394</v>
      </c>
      <c r="AI53" s="41" t="str">
        <f t="shared" si="15"/>
        <v/>
      </c>
      <c r="AJ53" s="24">
        <f t="shared" si="30"/>
        <v>4.7762802243232727</v>
      </c>
      <c r="AK53" s="41" t="str">
        <f t="shared" si="16"/>
        <v/>
      </c>
    </row>
    <row r="54" spans="1:37" ht="15" customHeight="1">
      <c r="A54" s="719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153.2385789192966</v>
      </c>
      <c r="G54" s="37" t="str">
        <f t="shared" si="17"/>
        <v>1;092X43</v>
      </c>
      <c r="H54" s="351">
        <f t="shared" ref="H54:H62" si="60">K54*POWER(12,I54)/ROUND(K54*POWER(12,I54),0)-1</f>
        <v>6.415679805067076E-2</v>
      </c>
      <c r="I54" s="352"/>
      <c r="J54" s="38">
        <v>2</v>
      </c>
      <c r="K54" s="61">
        <f t="shared" si="31"/>
        <v>1.0641567980506708</v>
      </c>
      <c r="L54" s="39" t="str">
        <f>INDEX(powers!$H$2:$H$75,33+J54)</f>
        <v>hecty</v>
      </c>
      <c r="M54" s="40" t="str">
        <f t="shared" si="4"/>
        <v>1</v>
      </c>
      <c r="N54" s="24">
        <f t="shared" si="19"/>
        <v>0.76988157660804912</v>
      </c>
      <c r="O54" s="41" t="str">
        <f t="shared" si="5"/>
        <v>0</v>
      </c>
      <c r="P54" s="24">
        <f t="shared" si="20"/>
        <v>9.2385789192965895</v>
      </c>
      <c r="Q54" s="41" t="str">
        <f t="shared" si="6"/>
        <v>9</v>
      </c>
      <c r="R54" s="24">
        <f t="shared" si="21"/>
        <v>2.8629470315590737</v>
      </c>
      <c r="S54" s="41" t="str">
        <f t="shared" si="7"/>
        <v>2</v>
      </c>
      <c r="T54" s="24">
        <f t="shared" si="22"/>
        <v>10.355364378708884</v>
      </c>
      <c r="U54" s="41" t="str">
        <f t="shared" si="8"/>
        <v>X</v>
      </c>
      <c r="V54" s="24">
        <f t="shared" si="23"/>
        <v>4.2643725445066138</v>
      </c>
      <c r="W54" s="41" t="str">
        <f t="shared" si="9"/>
        <v>4</v>
      </c>
      <c r="X54" s="24">
        <f t="shared" si="24"/>
        <v>3.1724705340793662</v>
      </c>
      <c r="Y54" s="41" t="str">
        <f t="shared" si="10"/>
        <v>3</v>
      </c>
      <c r="Z54" s="24">
        <f t="shared" si="25"/>
        <v>2.0696464089523943</v>
      </c>
      <c r="AA54" s="41" t="str">
        <f t="shared" si="11"/>
        <v/>
      </c>
      <c r="AB54" s="24">
        <f t="shared" si="26"/>
        <v>0.83575690742873121</v>
      </c>
      <c r="AC54" s="41" t="str">
        <f t="shared" si="12"/>
        <v/>
      </c>
      <c r="AD54" s="24">
        <f t="shared" si="27"/>
        <v>10.029082889144775</v>
      </c>
      <c r="AE54" s="41" t="str">
        <f t="shared" si="13"/>
        <v/>
      </c>
      <c r="AF54" s="24">
        <f t="shared" si="28"/>
        <v>0.34899466973729432</v>
      </c>
      <c r="AG54" s="41" t="str">
        <f t="shared" si="14"/>
        <v/>
      </c>
      <c r="AH54" s="24">
        <f t="shared" si="29"/>
        <v>4.1879360368475318</v>
      </c>
      <c r="AI54" s="41" t="str">
        <f t="shared" si="15"/>
        <v/>
      </c>
      <c r="AJ54" s="24">
        <f t="shared" si="30"/>
        <v>2.2552324421703815</v>
      </c>
      <c r="AK54" s="41" t="str">
        <f t="shared" si="16"/>
        <v/>
      </c>
    </row>
    <row r="55" spans="1:37" ht="15" customHeight="1">
      <c r="A55" s="719"/>
      <c r="B55" s="3" t="str">
        <f>Rydberg!B55</f>
        <v>Density of ice at the ice point</v>
      </c>
      <c r="C55" s="311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140.49306295897398</v>
      </c>
      <c r="G55" s="37" t="str">
        <f t="shared" si="17"/>
        <v>0;E85E</v>
      </c>
      <c r="H55" s="330">
        <f t="shared" si="60"/>
        <v>-2.435372945156955E-2</v>
      </c>
      <c r="I55" s="333"/>
      <c r="J55" s="38">
        <v>2</v>
      </c>
      <c r="K55" s="61">
        <f t="shared" si="31"/>
        <v>0.97564627054843045</v>
      </c>
      <c r="L55" s="39" t="str">
        <f>INDEX(powers!$H$2:$H$75,33+J55)</f>
        <v>hecty</v>
      </c>
      <c r="M55" s="40" t="str">
        <f t="shared" si="4"/>
        <v>0</v>
      </c>
      <c r="N55" s="24">
        <f t="shared" si="19"/>
        <v>11.707755246581165</v>
      </c>
      <c r="O55" s="41" t="str">
        <f t="shared" si="5"/>
        <v>E</v>
      </c>
      <c r="P55" s="24">
        <f t="shared" si="20"/>
        <v>8.4930629589739794</v>
      </c>
      <c r="Q55" s="41" t="str">
        <f t="shared" si="6"/>
        <v>8</v>
      </c>
      <c r="R55" s="24">
        <f t="shared" si="21"/>
        <v>5.9167555076877534</v>
      </c>
      <c r="S55" s="41" t="str">
        <f t="shared" si="7"/>
        <v>5</v>
      </c>
      <c r="T55" s="24">
        <f t="shared" si="22"/>
        <v>11.001066092253041</v>
      </c>
      <c r="U55" s="41" t="str">
        <f t="shared" si="8"/>
        <v>E</v>
      </c>
      <c r="V55" s="24">
        <f t="shared" si="23"/>
        <v>1.2793107036486617E-2</v>
      </c>
      <c r="W55" s="41" t="str">
        <f t="shared" si="9"/>
        <v/>
      </c>
      <c r="X55" s="24">
        <f t="shared" si="24"/>
        <v>0.15351728443783941</v>
      </c>
      <c r="Y55" s="41" t="str">
        <f t="shared" si="10"/>
        <v/>
      </c>
      <c r="Z55" s="24">
        <f t="shared" si="25"/>
        <v>1.8422074132540729</v>
      </c>
      <c r="AA55" s="41" t="str">
        <f t="shared" si="11"/>
        <v/>
      </c>
      <c r="AB55" s="24">
        <f t="shared" si="26"/>
        <v>10.106488959048875</v>
      </c>
      <c r="AC55" s="41" t="str">
        <f t="shared" si="12"/>
        <v/>
      </c>
      <c r="AD55" s="24">
        <f t="shared" si="27"/>
        <v>1.2778675085864961</v>
      </c>
      <c r="AE55" s="41" t="str">
        <f t="shared" si="13"/>
        <v/>
      </c>
      <c r="AF55" s="24">
        <f t="shared" si="28"/>
        <v>3.3344101030379534</v>
      </c>
      <c r="AG55" s="41" t="str">
        <f t="shared" si="14"/>
        <v/>
      </c>
      <c r="AH55" s="24">
        <f t="shared" si="29"/>
        <v>4.0129212364554405</v>
      </c>
      <c r="AI55" s="41" t="str">
        <f t="shared" si="15"/>
        <v/>
      </c>
      <c r="AJ55" s="24">
        <f t="shared" si="30"/>
        <v>0.15505483746528625</v>
      </c>
      <c r="AK55" s="41" t="str">
        <f t="shared" si="16"/>
        <v/>
      </c>
    </row>
    <row r="56" spans="1:37" ht="15" customHeight="1">
      <c r="A56" s="719"/>
      <c r="B56" s="3" t="str">
        <f>Rydberg!B56</f>
        <v>Specific heat of water</v>
      </c>
      <c r="C56" s="311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0.50254004056750923</v>
      </c>
      <c r="G56" s="37" t="str">
        <f t="shared" si="17"/>
        <v>6;0448</v>
      </c>
      <c r="H56" s="351">
        <f t="shared" si="60"/>
        <v>5.0800811350184549E-3</v>
      </c>
      <c r="I56" s="352"/>
      <c r="J56" s="135">
        <v>-1</v>
      </c>
      <c r="K56" s="61">
        <f t="shared" si="31"/>
        <v>6.0304804868101112</v>
      </c>
      <c r="L56" s="138" t="str">
        <f>INDEX(powers!$H$2:$H$75,33+J56)</f>
        <v>dour</v>
      </c>
      <c r="M56" s="40" t="str">
        <f t="shared" si="4"/>
        <v>6</v>
      </c>
      <c r="N56" s="24">
        <f t="shared" si="19"/>
        <v>0.36576584172133408</v>
      </c>
      <c r="O56" s="41" t="str">
        <f t="shared" si="5"/>
        <v>0</v>
      </c>
      <c r="P56" s="24">
        <f t="shared" si="20"/>
        <v>4.389190100656009</v>
      </c>
      <c r="Q56" s="41" t="str">
        <f t="shared" si="6"/>
        <v>4</v>
      </c>
      <c r="R56" s="24">
        <f t="shared" si="21"/>
        <v>4.6702812078721081</v>
      </c>
      <c r="S56" s="41" t="str">
        <f t="shared" si="7"/>
        <v>4</v>
      </c>
      <c r="T56" s="24">
        <f t="shared" si="22"/>
        <v>8.0433744944652972</v>
      </c>
      <c r="U56" s="41" t="str">
        <f t="shared" si="8"/>
        <v>8</v>
      </c>
      <c r="V56" s="24">
        <f t="shared" si="23"/>
        <v>0.5204939335835661</v>
      </c>
      <c r="W56" s="41" t="str">
        <f t="shared" si="9"/>
        <v/>
      </c>
      <c r="X56" s="24">
        <f t="shared" si="24"/>
        <v>6.2459272030027932</v>
      </c>
      <c r="Y56" s="41" t="str">
        <f t="shared" si="10"/>
        <v/>
      </c>
      <c r="Z56" s="24">
        <f t="shared" si="25"/>
        <v>2.951126436033519</v>
      </c>
      <c r="AA56" s="41" t="str">
        <f t="shared" si="11"/>
        <v/>
      </c>
      <c r="AB56" s="24">
        <f t="shared" si="26"/>
        <v>11.413517232402228</v>
      </c>
      <c r="AC56" s="41" t="str">
        <f t="shared" si="12"/>
        <v/>
      </c>
      <c r="AD56" s="24">
        <f t="shared" si="27"/>
        <v>4.9622067888267338</v>
      </c>
      <c r="AE56" s="41" t="str">
        <f t="shared" si="13"/>
        <v/>
      </c>
      <c r="AF56" s="24">
        <f t="shared" si="28"/>
        <v>11.546481465920806</v>
      </c>
      <c r="AG56" s="41" t="str">
        <f t="shared" si="14"/>
        <v/>
      </c>
      <c r="AH56" s="24">
        <f t="shared" si="29"/>
        <v>6.5577775910496712</v>
      </c>
      <c r="AI56" s="41" t="str">
        <f t="shared" si="15"/>
        <v/>
      </c>
      <c r="AJ56" s="24">
        <f t="shared" si="30"/>
        <v>6.6933310925960541</v>
      </c>
      <c r="AK56" s="41" t="str">
        <f t="shared" si="16"/>
        <v/>
      </c>
    </row>
    <row r="57" spans="1:37" ht="15" customHeight="1">
      <c r="A57" s="719"/>
      <c r="B57" s="3" t="str">
        <f>Rydberg!B57</f>
        <v>Surface tension of water at 25℃</v>
      </c>
      <c r="C57" s="311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8.3302788743408782E-2</v>
      </c>
      <c r="G57" s="37" t="str">
        <f t="shared" si="17"/>
        <v>0;EEE4</v>
      </c>
      <c r="H57" s="330">
        <f t="shared" si="60"/>
        <v>-3.665350790945654E-4</v>
      </c>
      <c r="I57" s="333"/>
      <c r="J57" s="38">
        <v>-1</v>
      </c>
      <c r="K57" s="61">
        <f t="shared" si="31"/>
        <v>0.99963346492090543</v>
      </c>
      <c r="L57" s="39" t="str">
        <f>INDEX(powers!$H$2:$H$75,33+J57)</f>
        <v>dour</v>
      </c>
      <c r="M57" s="40" t="str">
        <f t="shared" si="4"/>
        <v>0</v>
      </c>
      <c r="N57" s="24">
        <f t="shared" si="19"/>
        <v>11.995601579050865</v>
      </c>
      <c r="O57" s="41" t="str">
        <f t="shared" si="5"/>
        <v>E</v>
      </c>
      <c r="P57" s="24">
        <f t="shared" si="20"/>
        <v>11.947218948610377</v>
      </c>
      <c r="Q57" s="41" t="str">
        <f t="shared" si="6"/>
        <v>E</v>
      </c>
      <c r="R57" s="24">
        <f t="shared" si="21"/>
        <v>11.366627383324527</v>
      </c>
      <c r="S57" s="41" t="str">
        <f t="shared" si="7"/>
        <v>E</v>
      </c>
      <c r="T57" s="24">
        <f t="shared" si="22"/>
        <v>4.3995285998943245</v>
      </c>
      <c r="U57" s="41" t="str">
        <f t="shared" si="8"/>
        <v>4</v>
      </c>
      <c r="V57" s="24">
        <f t="shared" si="23"/>
        <v>4.7943431987318945</v>
      </c>
      <c r="W57" s="41" t="str">
        <f t="shared" si="9"/>
        <v/>
      </c>
      <c r="X57" s="24">
        <f t="shared" si="24"/>
        <v>9.5321183847827342</v>
      </c>
      <c r="Y57" s="41" t="str">
        <f t="shared" si="10"/>
        <v/>
      </c>
      <c r="Z57" s="24">
        <f t="shared" si="25"/>
        <v>6.3854206173928105</v>
      </c>
      <c r="AA57" s="41" t="str">
        <f t="shared" si="11"/>
        <v/>
      </c>
      <c r="AB57" s="24">
        <f t="shared" si="26"/>
        <v>4.6250474087137263</v>
      </c>
      <c r="AC57" s="41" t="str">
        <f t="shared" si="12"/>
        <v/>
      </c>
      <c r="AD57" s="24">
        <f t="shared" si="27"/>
        <v>7.5005689045647159</v>
      </c>
      <c r="AE57" s="41" t="str">
        <f t="shared" si="13"/>
        <v/>
      </c>
      <c r="AF57" s="24">
        <f t="shared" si="28"/>
        <v>6.0068268547765911</v>
      </c>
      <c r="AG57" s="41" t="str">
        <f t="shared" si="14"/>
        <v/>
      </c>
      <c r="AH57" s="24">
        <f t="shared" si="29"/>
        <v>8.1922257319092751E-2</v>
      </c>
      <c r="AI57" s="41" t="str">
        <f t="shared" si="15"/>
        <v/>
      </c>
      <c r="AJ57" s="24">
        <f t="shared" si="30"/>
        <v>0.98306708782911301</v>
      </c>
      <c r="AK57" s="41" t="str">
        <f t="shared" si="16"/>
        <v/>
      </c>
    </row>
    <row r="58" spans="1:37" ht="15" customHeight="1">
      <c r="A58" s="719"/>
      <c r="B58" s="5" t="str">
        <f>Rydberg!B58</f>
        <v>photon energy at 540THz</v>
      </c>
      <c r="C58" s="311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5.5833683635813514E-18</v>
      </c>
      <c r="G58" s="37" t="str">
        <f t="shared" si="17"/>
        <v>1;0479364</v>
      </c>
      <c r="H58" s="330">
        <f t="shared" si="60"/>
        <v>3.2276922038730449E-2</v>
      </c>
      <c r="I58" s="333"/>
      <c r="J58" s="38">
        <v>-16</v>
      </c>
      <c r="K58" s="61">
        <f t="shared" si="31"/>
        <v>1.0322769220387304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0.38732306446476539</v>
      </c>
      <c r="O58" s="41" t="str">
        <f t="shared" si="5"/>
        <v>0</v>
      </c>
      <c r="P58" s="24">
        <f t="shared" si="20"/>
        <v>4.6478767735771847</v>
      </c>
      <c r="Q58" s="41" t="str">
        <f t="shared" si="6"/>
        <v>4</v>
      </c>
      <c r="R58" s="24">
        <f t="shared" si="21"/>
        <v>7.7745212829262158</v>
      </c>
      <c r="S58" s="41" t="str">
        <f t="shared" si="7"/>
        <v>7</v>
      </c>
      <c r="T58" s="24">
        <f t="shared" si="22"/>
        <v>9.2942553951145896</v>
      </c>
      <c r="U58" s="41" t="str">
        <f t="shared" si="8"/>
        <v>9</v>
      </c>
      <c r="V58" s="24">
        <f t="shared" si="23"/>
        <v>3.5310647413750758</v>
      </c>
      <c r="W58" s="41" t="str">
        <f t="shared" si="9"/>
        <v>3</v>
      </c>
      <c r="X58" s="24">
        <f t="shared" si="24"/>
        <v>6.3727768965009091</v>
      </c>
      <c r="Y58" s="41" t="str">
        <f t="shared" si="10"/>
        <v>6</v>
      </c>
      <c r="Z58" s="24">
        <f t="shared" si="25"/>
        <v>4.4733227580109087</v>
      </c>
      <c r="AA58" s="41" t="str">
        <f t="shared" si="11"/>
        <v>4</v>
      </c>
      <c r="AB58" s="24">
        <f t="shared" si="26"/>
        <v>5.6798730961309047</v>
      </c>
      <c r="AC58" s="41" t="str">
        <f t="shared" si="12"/>
        <v/>
      </c>
      <c r="AD58" s="24">
        <f t="shared" si="27"/>
        <v>8.1584771535708569</v>
      </c>
      <c r="AE58" s="41" t="str">
        <f t="shared" si="13"/>
        <v/>
      </c>
      <c r="AF58" s="24">
        <f t="shared" si="28"/>
        <v>1.9017258428502828</v>
      </c>
      <c r="AG58" s="41" t="str">
        <f t="shared" si="14"/>
        <v/>
      </c>
      <c r="AH58" s="24">
        <f t="shared" si="29"/>
        <v>10.820710114203393</v>
      </c>
      <c r="AI58" s="41" t="str">
        <f t="shared" si="15"/>
        <v/>
      </c>
      <c r="AJ58" s="24">
        <f t="shared" si="30"/>
        <v>9.8485213704407215</v>
      </c>
      <c r="AK58" s="41" t="str">
        <f t="shared" si="16"/>
        <v/>
      </c>
    </row>
    <row r="59" spans="1:37" ht="15" customHeight="1">
      <c r="A59" s="719"/>
      <c r="B59" s="237" t="str">
        <f>Rydberg!B59</f>
        <v>(according to the definition of candela)</v>
      </c>
      <c r="C59" s="311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1.007006577966632</v>
      </c>
      <c r="G59" s="37" t="str">
        <f t="shared" si="17"/>
        <v>1;0101356</v>
      </c>
      <c r="H59" s="330">
        <f t="shared" si="60"/>
        <v>7.006577966631955E-3</v>
      </c>
      <c r="I59" s="333"/>
      <c r="J59" s="38">
        <v>0</v>
      </c>
      <c r="K59" s="61">
        <f t="shared" si="31"/>
        <v>1.007006577966632</v>
      </c>
      <c r="L59" s="293">
        <f>540/K59</f>
        <v>536.24277320052761</v>
      </c>
      <c r="M59" s="40" t="str">
        <f t="shared" si="4"/>
        <v>1</v>
      </c>
      <c r="N59" s="24">
        <f t="shared" si="19"/>
        <v>8.407893559958346E-2</v>
      </c>
      <c r="O59" s="41" t="str">
        <f t="shared" si="5"/>
        <v>0</v>
      </c>
      <c r="P59" s="24">
        <f t="shared" si="20"/>
        <v>1.0089472271950015</v>
      </c>
      <c r="Q59" s="41" t="str">
        <f t="shared" si="6"/>
        <v>1</v>
      </c>
      <c r="R59" s="24">
        <f t="shared" si="21"/>
        <v>0.1073667263400182</v>
      </c>
      <c r="S59" s="41" t="str">
        <f t="shared" si="7"/>
        <v>0</v>
      </c>
      <c r="T59" s="24">
        <f t="shared" si="22"/>
        <v>1.2884007160802184</v>
      </c>
      <c r="U59" s="41" t="str">
        <f t="shared" si="8"/>
        <v>1</v>
      </c>
      <c r="V59" s="24">
        <f t="shared" si="23"/>
        <v>3.4608085929626213</v>
      </c>
      <c r="W59" s="41" t="str">
        <f t="shared" si="9"/>
        <v>3</v>
      </c>
      <c r="X59" s="24">
        <f t="shared" si="24"/>
        <v>5.529703115551456</v>
      </c>
      <c r="Y59" s="41" t="str">
        <f t="shared" si="10"/>
        <v>5</v>
      </c>
      <c r="Z59" s="24">
        <f t="shared" si="25"/>
        <v>6.3564373866174719</v>
      </c>
      <c r="AA59" s="41" t="str">
        <f t="shared" si="11"/>
        <v>6</v>
      </c>
      <c r="AB59" s="24">
        <f t="shared" si="26"/>
        <v>4.2772486394096632</v>
      </c>
      <c r="AC59" s="41" t="str">
        <f t="shared" si="12"/>
        <v/>
      </c>
      <c r="AD59" s="24">
        <f t="shared" si="27"/>
        <v>3.3269836729159579</v>
      </c>
      <c r="AE59" s="41" t="str">
        <f t="shared" si="13"/>
        <v/>
      </c>
      <c r="AF59" s="24">
        <f t="shared" si="28"/>
        <v>3.9238040749914944</v>
      </c>
      <c r="AG59" s="41" t="str">
        <f t="shared" si="14"/>
        <v/>
      </c>
      <c r="AH59" s="24">
        <f t="shared" si="29"/>
        <v>11.085648899897933</v>
      </c>
      <c r="AI59" s="41" t="str">
        <f t="shared" si="15"/>
        <v/>
      </c>
      <c r="AJ59" s="24">
        <f t="shared" si="30"/>
        <v>1.0277867987751961</v>
      </c>
      <c r="AK59" s="41" t="str">
        <f t="shared" si="16"/>
        <v/>
      </c>
    </row>
    <row r="60" spans="1:37" ht="15" customHeight="1">
      <c r="A60" s="719"/>
      <c r="B60" s="315">
        <f>Rydberg!B60</f>
        <v>1.024</v>
      </c>
      <c r="C60" s="311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862.14050230202236</v>
      </c>
      <c r="G60" s="37" t="str">
        <f t="shared" si="17"/>
        <v>5;EX1829</v>
      </c>
      <c r="H60" s="330">
        <f t="shared" si="60"/>
        <v>-2.1521964096963275E-3</v>
      </c>
      <c r="I60" s="333"/>
      <c r="J60" s="38">
        <v>2</v>
      </c>
      <c r="K60" s="61">
        <f t="shared" si="31"/>
        <v>5.9870868215418218</v>
      </c>
      <c r="L60" s="39" t="str">
        <f>INDEX(powers!$H$2:$H$75,33+J60)</f>
        <v>hecty</v>
      </c>
      <c r="M60" s="40" t="str">
        <f t="shared" si="4"/>
        <v>5</v>
      </c>
      <c r="N60" s="24">
        <f t="shared" si="19"/>
        <v>11.845041858501862</v>
      </c>
      <c r="O60" s="41" t="str">
        <f t="shared" si="5"/>
        <v>E</v>
      </c>
      <c r="P60" s="24">
        <f t="shared" si="20"/>
        <v>10.140502302022341</v>
      </c>
      <c r="Q60" s="41" t="str">
        <f t="shared" si="6"/>
        <v>X</v>
      </c>
      <c r="R60" s="24">
        <f t="shared" si="21"/>
        <v>1.6860276242680925</v>
      </c>
      <c r="S60" s="41" t="str">
        <f t="shared" si="7"/>
        <v>1</v>
      </c>
      <c r="T60" s="24">
        <f t="shared" si="22"/>
        <v>8.2323314912171099</v>
      </c>
      <c r="U60" s="41" t="str">
        <f t="shared" si="8"/>
        <v>8</v>
      </c>
      <c r="V60" s="24">
        <f t="shared" si="23"/>
        <v>2.7879778946053193</v>
      </c>
      <c r="W60" s="41" t="str">
        <f t="shared" si="9"/>
        <v>2</v>
      </c>
      <c r="X60" s="24">
        <f t="shared" si="24"/>
        <v>9.4557347352638317</v>
      </c>
      <c r="Y60" s="41" t="str">
        <f t="shared" si="10"/>
        <v>9</v>
      </c>
      <c r="Z60" s="24">
        <f t="shared" si="25"/>
        <v>5.4688168231659802</v>
      </c>
      <c r="AA60" s="41" t="str">
        <f t="shared" si="11"/>
        <v/>
      </c>
      <c r="AB60" s="24">
        <f t="shared" si="26"/>
        <v>5.625801877991762</v>
      </c>
      <c r="AC60" s="41" t="str">
        <f t="shared" si="12"/>
        <v/>
      </c>
      <c r="AD60" s="24">
        <f t="shared" si="27"/>
        <v>7.5096225359011441</v>
      </c>
      <c r="AE60" s="41" t="str">
        <f t="shared" si="13"/>
        <v/>
      </c>
      <c r="AF60" s="24">
        <f t="shared" si="28"/>
        <v>6.1154704308137298</v>
      </c>
      <c r="AG60" s="41" t="str">
        <f t="shared" si="14"/>
        <v/>
      </c>
      <c r="AH60" s="24">
        <f t="shared" si="29"/>
        <v>1.3856451697647572</v>
      </c>
      <c r="AI60" s="41" t="str">
        <f t="shared" si="15"/>
        <v/>
      </c>
      <c r="AJ60" s="24">
        <f t="shared" si="30"/>
        <v>4.6277420371770859</v>
      </c>
      <c r="AK60" s="41" t="str">
        <f t="shared" si="16"/>
        <v/>
      </c>
    </row>
    <row r="61" spans="1:37" ht="15" customHeight="1">
      <c r="A61" s="719"/>
      <c r="B61" s="311" t="str">
        <f>Rydberg!B61</f>
        <v>Sea depth at standard atmosphere</v>
      </c>
      <c r="C61" s="311" t="str">
        <f>Rydberg!C61</f>
        <v>m</v>
      </c>
      <c r="D61" s="21">
        <f>D62/D60</f>
        <v>10.090394374791382</v>
      </c>
      <c r="E61" s="8">
        <v>6</v>
      </c>
      <c r="F61" s="21">
        <f>D61/F$3</f>
        <v>37.049075162688197</v>
      </c>
      <c r="G61" s="37" t="str">
        <f t="shared" si="17"/>
        <v>3;107097</v>
      </c>
      <c r="H61" s="331">
        <f t="shared" si="60"/>
        <v>1.3263557483296218E-3</v>
      </c>
      <c r="I61" s="339">
        <v>1</v>
      </c>
      <c r="J61" s="38">
        <v>1</v>
      </c>
      <c r="K61" s="61">
        <f t="shared" si="31"/>
        <v>3.0874229302240166</v>
      </c>
      <c r="L61" s="39" t="str">
        <f>INDEX(powers!$H$2:$H$75,33+J61)</f>
        <v>dirac</v>
      </c>
      <c r="M61" s="40" t="str">
        <f t="shared" si="4"/>
        <v>3</v>
      </c>
      <c r="N61" s="24">
        <f t="shared" si="19"/>
        <v>1.0490751626881991</v>
      </c>
      <c r="O61" s="41" t="str">
        <f t="shared" si="5"/>
        <v>1</v>
      </c>
      <c r="P61" s="24">
        <f t="shared" si="20"/>
        <v>0.58890195225838937</v>
      </c>
      <c r="Q61" s="41" t="str">
        <f t="shared" si="6"/>
        <v>0</v>
      </c>
      <c r="R61" s="24">
        <f t="shared" si="21"/>
        <v>7.0668234271006725</v>
      </c>
      <c r="S61" s="41" t="str">
        <f t="shared" si="7"/>
        <v>7</v>
      </c>
      <c r="T61" s="24">
        <f t="shared" si="22"/>
        <v>0.80188112520806953</v>
      </c>
      <c r="U61" s="41" t="str">
        <f t="shared" si="8"/>
        <v>0</v>
      </c>
      <c r="V61" s="24">
        <f t="shared" si="23"/>
        <v>9.6225735024968344</v>
      </c>
      <c r="W61" s="41" t="str">
        <f t="shared" si="9"/>
        <v>9</v>
      </c>
      <c r="X61" s="24">
        <f t="shared" si="24"/>
        <v>7.4708820299620129</v>
      </c>
      <c r="Y61" s="41" t="str">
        <f t="shared" si="10"/>
        <v>7</v>
      </c>
      <c r="Z61" s="24">
        <f t="shared" si="25"/>
        <v>5.6505843595441547</v>
      </c>
      <c r="AA61" s="41" t="str">
        <f t="shared" si="11"/>
        <v/>
      </c>
      <c r="AB61" s="24">
        <f t="shared" si="26"/>
        <v>7.8070123145298567</v>
      </c>
      <c r="AC61" s="41" t="str">
        <f t="shared" si="12"/>
        <v/>
      </c>
      <c r="AD61" s="24">
        <f t="shared" si="27"/>
        <v>9.68414777435828</v>
      </c>
      <c r="AE61" s="41" t="str">
        <f t="shared" si="13"/>
        <v/>
      </c>
      <c r="AF61" s="24">
        <f t="shared" si="28"/>
        <v>8.20977329229936</v>
      </c>
      <c r="AG61" s="41" t="str">
        <f t="shared" si="14"/>
        <v/>
      </c>
      <c r="AH61" s="24">
        <f t="shared" si="29"/>
        <v>2.5172795075923204</v>
      </c>
      <c r="AI61" s="41" t="str">
        <f t="shared" si="15"/>
        <v/>
      </c>
      <c r="AJ61" s="24">
        <f t="shared" si="30"/>
        <v>6.2073540911078453</v>
      </c>
      <c r="AK61" s="41" t="str">
        <f t="shared" si="16"/>
        <v/>
      </c>
    </row>
    <row r="62" spans="1:37" ht="15" customHeight="1">
      <c r="A62" s="719"/>
      <c r="B62" s="3" t="str">
        <f>Rydberg!B62</f>
        <v>Standard atmosphere</v>
      </c>
      <c r="C62" s="311" t="str">
        <f>Rydberg!C62</f>
        <v>P</v>
      </c>
      <c r="D62" s="21">
        <f>Rydberg!D62</f>
        <v>101325</v>
      </c>
      <c r="E62" s="8">
        <v>6</v>
      </c>
      <c r="F62" s="21">
        <f>D62/F$11</f>
        <v>31941.508270585378</v>
      </c>
      <c r="G62" s="37" t="str">
        <f t="shared" si="17"/>
        <v>1;659961</v>
      </c>
      <c r="H62" s="331">
        <f t="shared" si="60"/>
        <v>-8.2869523944650858E-4</v>
      </c>
      <c r="I62" s="339">
        <v>2</v>
      </c>
      <c r="J62" s="38">
        <v>4</v>
      </c>
      <c r="K62" s="61">
        <f t="shared" si="31"/>
        <v>1.5403890948391867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6.4846691380702408</v>
      </c>
      <c r="O62" s="41" t="str">
        <f t="shared" si="5"/>
        <v>6</v>
      </c>
      <c r="P62" s="24">
        <f t="shared" si="20"/>
        <v>5.8160296568428898</v>
      </c>
      <c r="Q62" s="41" t="str">
        <f t="shared" si="6"/>
        <v>5</v>
      </c>
      <c r="R62" s="24">
        <f t="shared" si="21"/>
        <v>9.792355882114677</v>
      </c>
      <c r="S62" s="41" t="str">
        <f t="shared" si="7"/>
        <v>9</v>
      </c>
      <c r="T62" s="24">
        <f t="shared" si="22"/>
        <v>9.508270585376124</v>
      </c>
      <c r="U62" s="41" t="str">
        <f t="shared" si="8"/>
        <v>9</v>
      </c>
      <c r="V62" s="24">
        <f t="shared" si="23"/>
        <v>6.0992470245134882</v>
      </c>
      <c r="W62" s="41" t="str">
        <f t="shared" si="9"/>
        <v>6</v>
      </c>
      <c r="X62" s="24">
        <f t="shared" si="24"/>
        <v>1.1909642941618586</v>
      </c>
      <c r="Y62" s="41" t="str">
        <f t="shared" si="10"/>
        <v>1</v>
      </c>
      <c r="Z62" s="24">
        <f t="shared" si="25"/>
        <v>2.2915715299423027</v>
      </c>
      <c r="AA62" s="41" t="str">
        <f t="shared" si="11"/>
        <v/>
      </c>
      <c r="AB62" s="24">
        <f t="shared" si="26"/>
        <v>3.4988583593076328</v>
      </c>
      <c r="AC62" s="41" t="str">
        <f t="shared" si="12"/>
        <v/>
      </c>
      <c r="AD62" s="24">
        <f t="shared" si="27"/>
        <v>5.9863003116915934</v>
      </c>
      <c r="AE62" s="41" t="str">
        <f t="shared" si="13"/>
        <v/>
      </c>
      <c r="AF62" s="24">
        <f t="shared" si="28"/>
        <v>11.835603740299121</v>
      </c>
      <c r="AG62" s="41" t="str">
        <f t="shared" si="14"/>
        <v/>
      </c>
      <c r="AH62" s="24">
        <f t="shared" si="29"/>
        <v>10.027244883589447</v>
      </c>
      <c r="AI62" s="41" t="str">
        <f t="shared" si="15"/>
        <v/>
      </c>
      <c r="AJ62" s="24">
        <f t="shared" si="30"/>
        <v>0.32693860307335854</v>
      </c>
      <c r="AK62" s="41" t="str">
        <f t="shared" si="16"/>
        <v/>
      </c>
    </row>
    <row r="63" spans="1:37" ht="15" customHeight="1">
      <c r="A63" s="719"/>
      <c r="B63" s="3" t="str">
        <f>Rydberg!B63</f>
        <v>Standard gravitational acceleration</v>
      </c>
      <c r="C63" s="311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5.4942697212216061</v>
      </c>
      <c r="G63" s="37" t="str">
        <f t="shared" si="17"/>
        <v>5;5E21216</v>
      </c>
      <c r="H63" s="353">
        <f>K63*POWER(12,I63)/ROUND(K63*POWER(12,I63)+1,0)-1</f>
        <v>-8.4288379796399027E-2</v>
      </c>
      <c r="I63" s="354">
        <v>0</v>
      </c>
      <c r="J63" s="38">
        <v>0</v>
      </c>
      <c r="K63" s="61">
        <f t="shared" si="31"/>
        <v>5.4942697212216061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5.9312366546592727</v>
      </c>
      <c r="O63" s="41" t="str">
        <f t="shared" si="5"/>
        <v>5</v>
      </c>
      <c r="P63" s="24">
        <f t="shared" si="20"/>
        <v>11.174839855911273</v>
      </c>
      <c r="Q63" s="41" t="str">
        <f t="shared" si="6"/>
        <v>E</v>
      </c>
      <c r="R63" s="24">
        <f t="shared" si="21"/>
        <v>2.0980782709352752</v>
      </c>
      <c r="S63" s="41" t="str">
        <f t="shared" si="7"/>
        <v>2</v>
      </c>
      <c r="T63" s="24">
        <f t="shared" si="22"/>
        <v>1.1769392512233026</v>
      </c>
      <c r="U63" s="41" t="str">
        <f t="shared" si="8"/>
        <v>1</v>
      </c>
      <c r="V63" s="24">
        <f t="shared" si="23"/>
        <v>2.1232710146796308</v>
      </c>
      <c r="W63" s="41" t="str">
        <f t="shared" si="9"/>
        <v>2</v>
      </c>
      <c r="X63" s="24">
        <f t="shared" si="24"/>
        <v>1.479252176155569</v>
      </c>
      <c r="Y63" s="41" t="str">
        <f t="shared" si="10"/>
        <v>1</v>
      </c>
      <c r="Z63" s="24">
        <f t="shared" si="25"/>
        <v>5.7510261138668284</v>
      </c>
      <c r="AA63" s="41" t="str">
        <f t="shared" si="11"/>
        <v>6</v>
      </c>
      <c r="AB63" s="24">
        <f t="shared" si="26"/>
        <v>9.0123133664019406</v>
      </c>
      <c r="AC63" s="41" t="str">
        <f t="shared" si="12"/>
        <v/>
      </c>
      <c r="AD63" s="24">
        <f t="shared" si="27"/>
        <v>0.14776039682328701</v>
      </c>
      <c r="AE63" s="41" t="str">
        <f t="shared" si="13"/>
        <v/>
      </c>
      <c r="AF63" s="24">
        <f t="shared" si="28"/>
        <v>1.7731247618794441</v>
      </c>
      <c r="AG63" s="41" t="str">
        <f t="shared" si="14"/>
        <v/>
      </c>
      <c r="AH63" s="24">
        <f t="shared" si="29"/>
        <v>9.2774971425533295</v>
      </c>
      <c r="AI63" s="41" t="str">
        <f t="shared" si="15"/>
        <v/>
      </c>
      <c r="AJ63" s="24">
        <f t="shared" si="30"/>
        <v>3.3299657106399536</v>
      </c>
      <c r="AK63" s="41" t="str">
        <f t="shared" si="16"/>
        <v/>
      </c>
    </row>
    <row r="64" spans="1:37" ht="15" customHeight="1">
      <c r="A64" s="719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1.6284168989509629E-2</v>
      </c>
      <c r="G64" s="37" t="str">
        <f t="shared" si="17"/>
        <v>2;418032724E</v>
      </c>
      <c r="H64" s="330"/>
      <c r="I64" s="333"/>
      <c r="J64" s="38">
        <v>-2</v>
      </c>
      <c r="K64" s="61">
        <f t="shared" si="31"/>
        <v>2.3449203344893865</v>
      </c>
      <c r="L64" s="39" t="str">
        <f>INDEX(powers!$H$2:$H$75,33+J64)</f>
        <v>centy</v>
      </c>
      <c r="M64" s="40" t="str">
        <f t="shared" si="4"/>
        <v>2</v>
      </c>
      <c r="N64" s="24">
        <f t="shared" si="19"/>
        <v>4.1390440138726383</v>
      </c>
      <c r="O64" s="41" t="str">
        <f t="shared" si="5"/>
        <v>4</v>
      </c>
      <c r="P64" s="24">
        <f t="shared" si="20"/>
        <v>1.6685281664716598</v>
      </c>
      <c r="Q64" s="41" t="str">
        <f t="shared" si="6"/>
        <v>1</v>
      </c>
      <c r="R64" s="24">
        <f t="shared" si="21"/>
        <v>8.0223379976599176</v>
      </c>
      <c r="S64" s="41" t="str">
        <f t="shared" si="7"/>
        <v>8</v>
      </c>
      <c r="T64" s="24">
        <f t="shared" si="22"/>
        <v>0.26805597191901143</v>
      </c>
      <c r="U64" s="41" t="str">
        <f t="shared" si="8"/>
        <v>0</v>
      </c>
      <c r="V64" s="24">
        <f t="shared" si="23"/>
        <v>3.2166716630281371</v>
      </c>
      <c r="W64" s="41" t="str">
        <f t="shared" si="9"/>
        <v>3</v>
      </c>
      <c r="X64" s="24">
        <f t="shared" si="24"/>
        <v>2.6000599563376454</v>
      </c>
      <c r="Y64" s="41" t="str">
        <f t="shared" si="10"/>
        <v>2</v>
      </c>
      <c r="Z64" s="24">
        <f t="shared" si="25"/>
        <v>7.200719476051745</v>
      </c>
      <c r="AA64" s="41" t="str">
        <f t="shared" si="11"/>
        <v>7</v>
      </c>
      <c r="AB64" s="24">
        <f t="shared" si="26"/>
        <v>2.4086337126209401</v>
      </c>
      <c r="AC64" s="41" t="str">
        <f t="shared" si="12"/>
        <v>2</v>
      </c>
      <c r="AD64" s="24">
        <f t="shared" si="27"/>
        <v>4.9036045514512807</v>
      </c>
      <c r="AE64" s="41" t="str">
        <f t="shared" si="13"/>
        <v>4</v>
      </c>
      <c r="AF64" s="24">
        <f t="shared" si="28"/>
        <v>10.843254617415369</v>
      </c>
      <c r="AG64" s="41" t="str">
        <f t="shared" si="14"/>
        <v>E</v>
      </c>
      <c r="AH64" s="24">
        <f t="shared" si="29"/>
        <v>10.119055408984423</v>
      </c>
      <c r="AI64" s="41" t="str">
        <f t="shared" si="15"/>
        <v/>
      </c>
      <c r="AJ64" s="24">
        <f t="shared" si="30"/>
        <v>1.4286649078130722</v>
      </c>
      <c r="AK64" s="41" t="str">
        <f t="shared" si="16"/>
        <v/>
      </c>
    </row>
    <row r="65" spans="1:37" ht="15" customHeight="1">
      <c r="A65" s="719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23418726.709879827</v>
      </c>
      <c r="G65" s="37" t="str">
        <f t="shared" si="17"/>
        <v>0;7X14607</v>
      </c>
      <c r="H65" s="330"/>
      <c r="I65" s="333"/>
      <c r="J65" s="38">
        <v>7</v>
      </c>
      <c r="K65" s="61">
        <f t="shared" si="31"/>
        <v>0.65357368263080184</v>
      </c>
      <c r="L65" s="39" t="str">
        <f>INDEX(powers!$H$2:$H$75,33+J65)</f>
        <v>cosmic dour</v>
      </c>
      <c r="M65" s="40" t="str">
        <f t="shared" si="4"/>
        <v>0</v>
      </c>
      <c r="N65" s="24">
        <f t="shared" si="19"/>
        <v>7.8428841915696221</v>
      </c>
      <c r="O65" s="41" t="str">
        <f t="shared" si="5"/>
        <v>7</v>
      </c>
      <c r="P65" s="24">
        <f t="shared" si="20"/>
        <v>10.114610298835466</v>
      </c>
      <c r="Q65" s="41" t="str">
        <f t="shared" si="6"/>
        <v>X</v>
      </c>
      <c r="R65" s="24">
        <f t="shared" si="21"/>
        <v>1.375323586025587</v>
      </c>
      <c r="S65" s="41" t="str">
        <f t="shared" si="7"/>
        <v>1</v>
      </c>
      <c r="T65" s="24">
        <f t="shared" si="22"/>
        <v>4.5038830323070442</v>
      </c>
      <c r="U65" s="41" t="str">
        <f t="shared" si="8"/>
        <v>4</v>
      </c>
      <c r="V65" s="24">
        <f t="shared" si="23"/>
        <v>6.0465963876845308</v>
      </c>
      <c r="W65" s="41" t="str">
        <f t="shared" si="9"/>
        <v>6</v>
      </c>
      <c r="X65" s="24">
        <f t="shared" si="24"/>
        <v>0.55915665221436939</v>
      </c>
      <c r="Y65" s="41" t="str">
        <f t="shared" si="10"/>
        <v>0</v>
      </c>
      <c r="Z65" s="24">
        <f t="shared" si="25"/>
        <v>6.7098798265724326</v>
      </c>
      <c r="AA65" s="41" t="str">
        <f t="shared" si="11"/>
        <v>7</v>
      </c>
      <c r="AB65" s="24">
        <f t="shared" si="26"/>
        <v>8.5185579188691918</v>
      </c>
      <c r="AC65" s="41" t="str">
        <f t="shared" si="12"/>
        <v/>
      </c>
      <c r="AD65" s="24">
        <f t="shared" si="27"/>
        <v>6.2226950264303014</v>
      </c>
      <c r="AE65" s="41" t="str">
        <f t="shared" si="13"/>
        <v/>
      </c>
      <c r="AF65" s="24">
        <f t="shared" si="28"/>
        <v>2.6723403171636164</v>
      </c>
      <c r="AG65" s="41" t="str">
        <f t="shared" si="14"/>
        <v/>
      </c>
      <c r="AH65" s="24">
        <f t="shared" si="29"/>
        <v>8.068083805963397</v>
      </c>
      <c r="AI65" s="41" t="str">
        <f t="shared" si="15"/>
        <v/>
      </c>
      <c r="AJ65" s="24">
        <f t="shared" si="30"/>
        <v>0.81700567156076431</v>
      </c>
      <c r="AK65" s="41" t="str">
        <f t="shared" si="16"/>
        <v/>
      </c>
    </row>
    <row r="66" spans="1:37" ht="15" customHeight="1">
      <c r="A66" s="719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36724387.501181096</v>
      </c>
      <c r="G66" s="37" t="str">
        <f t="shared" si="17"/>
        <v>1;0370658</v>
      </c>
      <c r="H66" s="330">
        <f t="shared" ref="H66" si="61">K66*POWER(12,I66)/ROUND(K66*POWER(12,I66),0)-1</f>
        <v>2.4910255747661258E-2</v>
      </c>
      <c r="I66" s="333"/>
      <c r="J66" s="38">
        <v>7</v>
      </c>
      <c r="K66" s="61">
        <f t="shared" si="31"/>
        <v>1.0249102557476613</v>
      </c>
      <c r="L66" s="39" t="str">
        <f>INDEX(powers!$H$2:$H$75,33+J66)</f>
        <v>cosmic dour</v>
      </c>
      <c r="M66" s="40" t="str">
        <f t="shared" si="4"/>
        <v>1</v>
      </c>
      <c r="N66" s="24">
        <f t="shared" si="19"/>
        <v>0.2989230689719351</v>
      </c>
      <c r="O66" s="41" t="str">
        <f t="shared" si="5"/>
        <v>0</v>
      </c>
      <c r="P66" s="24">
        <f t="shared" si="20"/>
        <v>3.5870768276632212</v>
      </c>
      <c r="Q66" s="41" t="str">
        <f t="shared" si="6"/>
        <v>3</v>
      </c>
      <c r="R66" s="24">
        <f t="shared" si="21"/>
        <v>7.0449219319586547</v>
      </c>
      <c r="S66" s="41" t="str">
        <f t="shared" si="7"/>
        <v>7</v>
      </c>
      <c r="T66" s="24">
        <f t="shared" si="22"/>
        <v>0.53906318350385618</v>
      </c>
      <c r="U66" s="41" t="str">
        <f t="shared" si="8"/>
        <v>0</v>
      </c>
      <c r="V66" s="24">
        <f t="shared" si="23"/>
        <v>6.4687582020462742</v>
      </c>
      <c r="W66" s="41" t="str">
        <f t="shared" si="9"/>
        <v>6</v>
      </c>
      <c r="X66" s="24">
        <f t="shared" si="24"/>
        <v>5.62509842455529</v>
      </c>
      <c r="Y66" s="41" t="str">
        <f t="shared" si="10"/>
        <v>5</v>
      </c>
      <c r="Z66" s="24">
        <f t="shared" si="25"/>
        <v>7.5011810946634796</v>
      </c>
      <c r="AA66" s="41" t="str">
        <f t="shared" si="11"/>
        <v>8</v>
      </c>
      <c r="AB66" s="24">
        <f t="shared" si="26"/>
        <v>6.0141731359617552</v>
      </c>
      <c r="AC66" s="41" t="str">
        <f t="shared" si="12"/>
        <v/>
      </c>
      <c r="AD66" s="24">
        <f t="shared" si="27"/>
        <v>0.17007763154106215</v>
      </c>
      <c r="AE66" s="41" t="str">
        <f t="shared" si="13"/>
        <v/>
      </c>
      <c r="AF66" s="24">
        <f t="shared" si="28"/>
        <v>2.0409315784927458</v>
      </c>
      <c r="AG66" s="41" t="str">
        <f t="shared" si="14"/>
        <v/>
      </c>
      <c r="AH66" s="24">
        <f t="shared" si="29"/>
        <v>0.49117894191294909</v>
      </c>
      <c r="AI66" s="41" t="str">
        <f t="shared" si="15"/>
        <v/>
      </c>
      <c r="AJ66" s="24">
        <f t="shared" si="30"/>
        <v>5.894147302955389</v>
      </c>
      <c r="AK66" s="41" t="str">
        <f t="shared" si="16"/>
        <v/>
      </c>
    </row>
    <row r="67" spans="1:37" ht="15" customHeight="1">
      <c r="A67" s="719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5421.7495536198367</v>
      </c>
      <c r="G67" s="37" t="str">
        <f t="shared" si="17"/>
        <v>3;1798EE29</v>
      </c>
      <c r="H67" s="330"/>
      <c r="I67" s="333"/>
      <c r="J67" s="38">
        <v>3</v>
      </c>
      <c r="K67" s="61">
        <f t="shared" si="31"/>
        <v>3.1375865472337017</v>
      </c>
      <c r="L67" s="39" t="str">
        <f>INDEX(powers!$H$2:$H$75,33+J67)</f>
        <v>kily</v>
      </c>
      <c r="M67" s="40" t="str">
        <f t="shared" si="4"/>
        <v>3</v>
      </c>
      <c r="N67" s="24">
        <f t="shared" si="19"/>
        <v>1.6510385668044201</v>
      </c>
      <c r="O67" s="41" t="str">
        <f t="shared" si="5"/>
        <v>1</v>
      </c>
      <c r="P67" s="24">
        <f t="shared" si="20"/>
        <v>7.8124628016530409</v>
      </c>
      <c r="Q67" s="41" t="str">
        <f t="shared" si="6"/>
        <v>7</v>
      </c>
      <c r="R67" s="24">
        <f t="shared" si="21"/>
        <v>9.7495536198364903</v>
      </c>
      <c r="S67" s="41" t="str">
        <f t="shared" si="7"/>
        <v>9</v>
      </c>
      <c r="T67" s="24">
        <f t="shared" si="22"/>
        <v>8.9946434380378832</v>
      </c>
      <c r="U67" s="41" t="str">
        <f t="shared" si="8"/>
        <v>8</v>
      </c>
      <c r="V67" s="24">
        <f t="shared" si="23"/>
        <v>11.935721256454599</v>
      </c>
      <c r="W67" s="41" t="str">
        <f t="shared" si="9"/>
        <v>E</v>
      </c>
      <c r="X67" s="24">
        <f t="shared" si="24"/>
        <v>11.228655077455187</v>
      </c>
      <c r="Y67" s="41" t="str">
        <f t="shared" si="10"/>
        <v>E</v>
      </c>
      <c r="Z67" s="24">
        <f t="shared" si="25"/>
        <v>2.7438609294622438</v>
      </c>
      <c r="AA67" s="41" t="str">
        <f t="shared" si="11"/>
        <v>2</v>
      </c>
      <c r="AB67" s="24">
        <f t="shared" si="26"/>
        <v>8.9263311535469256</v>
      </c>
      <c r="AC67" s="41" t="str">
        <f t="shared" si="12"/>
        <v>9</v>
      </c>
      <c r="AD67" s="24">
        <f t="shared" si="27"/>
        <v>11.115973842563108</v>
      </c>
      <c r="AE67" s="41" t="str">
        <f t="shared" si="13"/>
        <v/>
      </c>
      <c r="AF67" s="24">
        <f t="shared" si="28"/>
        <v>1.3916861107572913</v>
      </c>
      <c r="AG67" s="41" t="str">
        <f t="shared" si="14"/>
        <v/>
      </c>
      <c r="AH67" s="24">
        <f t="shared" si="29"/>
        <v>4.7002333290874958</v>
      </c>
      <c r="AI67" s="41" t="str">
        <f t="shared" si="15"/>
        <v/>
      </c>
      <c r="AJ67" s="24">
        <f t="shared" si="30"/>
        <v>8.4027999490499496</v>
      </c>
      <c r="AK67" s="41" t="str">
        <f t="shared" si="16"/>
        <v/>
      </c>
    </row>
    <row r="68" spans="1:37" ht="15" customHeight="1">
      <c r="A68" s="719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549281080990.71674</v>
      </c>
      <c r="G68" s="37" t="str">
        <f t="shared" si="17"/>
        <v>8;X555157E4</v>
      </c>
      <c r="H68" s="330"/>
      <c r="I68" s="336"/>
      <c r="J68" s="43">
        <v>10</v>
      </c>
      <c r="K68" s="62">
        <f t="shared" si="31"/>
        <v>8.8711961155770265</v>
      </c>
      <c r="L68" s="39" t="str">
        <f>INDEX(powers!$H$2:$H$75,33+J68)</f>
        <v>cosmic hecty</v>
      </c>
      <c r="M68" s="40" t="str">
        <f t="shared" si="4"/>
        <v>8</v>
      </c>
      <c r="N68" s="24">
        <f t="shared" si="19"/>
        <v>10.454353386924318</v>
      </c>
      <c r="O68" s="41" t="str">
        <f t="shared" si="5"/>
        <v>X</v>
      </c>
      <c r="P68" s="24">
        <f t="shared" si="20"/>
        <v>5.4522406430918124</v>
      </c>
      <c r="Q68" s="41" t="str">
        <f t="shared" si="6"/>
        <v>5</v>
      </c>
      <c r="R68" s="24">
        <f t="shared" si="21"/>
        <v>5.4268877171017493</v>
      </c>
      <c r="S68" s="41" t="str">
        <f t="shared" si="7"/>
        <v>5</v>
      </c>
      <c r="T68" s="24">
        <f t="shared" si="22"/>
        <v>5.122652605220992</v>
      </c>
      <c r="U68" s="41" t="str">
        <f t="shared" si="8"/>
        <v>5</v>
      </c>
      <c r="V68" s="24">
        <f t="shared" si="23"/>
        <v>1.4718312626519037</v>
      </c>
      <c r="W68" s="41" t="str">
        <f t="shared" si="9"/>
        <v>1</v>
      </c>
      <c r="X68" s="24">
        <f t="shared" si="24"/>
        <v>5.6619751518228441</v>
      </c>
      <c r="Y68" s="41" t="str">
        <f t="shared" si="10"/>
        <v>5</v>
      </c>
      <c r="Z68" s="24">
        <f t="shared" si="25"/>
        <v>7.9437018218741287</v>
      </c>
      <c r="AA68" s="41" t="str">
        <f t="shared" si="11"/>
        <v>7</v>
      </c>
      <c r="AB68" s="24">
        <f t="shared" si="26"/>
        <v>11.324421862489544</v>
      </c>
      <c r="AC68" s="41" t="str">
        <f t="shared" si="12"/>
        <v>E</v>
      </c>
      <c r="AD68" s="24">
        <f t="shared" si="27"/>
        <v>3.8930623498745263</v>
      </c>
      <c r="AE68" s="41" t="str">
        <f t="shared" si="13"/>
        <v>4</v>
      </c>
      <c r="AF68" s="24">
        <f t="shared" si="28"/>
        <v>10.716748198494315</v>
      </c>
      <c r="AG68" s="41" t="str">
        <f t="shared" si="14"/>
        <v/>
      </c>
      <c r="AH68" s="24">
        <f t="shared" si="29"/>
        <v>8.6009783819317818</v>
      </c>
      <c r="AI68" s="41" t="str">
        <f t="shared" si="15"/>
        <v/>
      </c>
      <c r="AJ68" s="24">
        <f t="shared" si="30"/>
        <v>7.2117405831813812</v>
      </c>
      <c r="AK68" s="41" t="str">
        <f t="shared" si="16"/>
        <v/>
      </c>
    </row>
    <row r="69" spans="1:37" ht="15" customHeight="1">
      <c r="A69" s="719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330"/>
      <c r="I69" s="336"/>
      <c r="J69" s="43">
        <v>2</v>
      </c>
      <c r="K69" s="62">
        <f t="shared" si="31"/>
        <v>8.8711961155770265</v>
      </c>
      <c r="L69" s="39" t="str">
        <f>INDEX(powers!$H$2:$H$75,33+J69)</f>
        <v>hecty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>
      <c r="A70" s="720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330"/>
      <c r="I70" s="336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>
      <c r="A71" s="715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329"/>
      <c r="I71" s="332"/>
      <c r="J71" s="18" t="s">
        <v>44</v>
      </c>
      <c r="K71" s="56" t="s">
        <v>46</v>
      </c>
      <c r="L71" s="143" t="str">
        <f>Rydberg!L71</f>
        <v>Prefix</v>
      </c>
    </row>
    <row r="72" spans="1:37" ht="11.25" customHeight="1">
      <c r="A72" s="716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2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63">F72/POWER(12,J72)</f>
        <v>1.0508187695616</v>
      </c>
      <c r="L72" s="39" t="str">
        <f>INDEX(powers!$H$2:$H$75,33+J72)</f>
        <v>centy</v>
      </c>
      <c r="M72" s="40" t="str">
        <f t="shared" ref="M72:M88" si="64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5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6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7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68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69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0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1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2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3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4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5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6">IF($E72&gt;=AK$31,MID($J$31,IF($E72&gt;AK$31,INT(AJ72),ROUND(AJ72,0))+1,1),"")</f>
        <v/>
      </c>
    </row>
    <row r="73" spans="1:37" ht="13.5" customHeight="1">
      <c r="A73" s="716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2"/>
        <v>0;E5052258X</v>
      </c>
      <c r="H73" s="37"/>
      <c r="I73" s="340"/>
      <c r="J73" s="38">
        <v>2</v>
      </c>
      <c r="K73" s="61">
        <f t="shared" si="63"/>
        <v>0.9516388829038509</v>
      </c>
      <c r="L73" s="39" t="str">
        <f>INDEX(powers!$H$2:$H$75,33+J73)</f>
        <v>hecty</v>
      </c>
      <c r="M73" s="40" t="str">
        <f t="shared" si="64"/>
        <v>0</v>
      </c>
      <c r="N73" s="24">
        <f t="shared" ref="N73:N88" si="77">(K73-INT(K73))*12</f>
        <v>11.419666594846211</v>
      </c>
      <c r="O73" s="41" t="str">
        <f t="shared" si="65"/>
        <v>E</v>
      </c>
      <c r="P73" s="24">
        <f t="shared" ref="P73:P88" si="78">(N73-INT(N73))*12</f>
        <v>5.0359991381545299</v>
      </c>
      <c r="Q73" s="41" t="str">
        <f t="shared" si="66"/>
        <v>5</v>
      </c>
      <c r="R73" s="24">
        <f t="shared" ref="R73:R88" si="79">(P73-INT(P73))*12</f>
        <v>0.43198965785435917</v>
      </c>
      <c r="S73" s="41" t="str">
        <f t="shared" si="67"/>
        <v>0</v>
      </c>
      <c r="T73" s="24">
        <f t="shared" ref="T73:T88" si="80">(R73-INT(R73))*12</f>
        <v>5.18387589425231</v>
      </c>
      <c r="U73" s="41" t="str">
        <f t="shared" si="68"/>
        <v>5</v>
      </c>
      <c r="V73" s="24">
        <f t="shared" ref="V73:V88" si="81">(T73-INT(T73))*12</f>
        <v>2.2065107310277199</v>
      </c>
      <c r="W73" s="41" t="str">
        <f t="shared" si="69"/>
        <v>2</v>
      </c>
      <c r="X73" s="24">
        <f t="shared" ref="X73:X88" si="82">(V73-INT(V73))*12</f>
        <v>2.4781287723326386</v>
      </c>
      <c r="Y73" s="41" t="str">
        <f t="shared" si="70"/>
        <v>2</v>
      </c>
      <c r="Z73" s="24">
        <f t="shared" ref="Z73:Z88" si="83">(X73-INT(X73))*12</f>
        <v>5.7375452679916634</v>
      </c>
      <c r="AA73" s="41" t="str">
        <f t="shared" si="71"/>
        <v>5</v>
      </c>
      <c r="AB73" s="24">
        <f t="shared" ref="AB73:AB88" si="84">(Z73-INT(Z73))*12</f>
        <v>8.8505432158999611</v>
      </c>
      <c r="AC73" s="41" t="str">
        <f t="shared" si="72"/>
        <v>8</v>
      </c>
      <c r="AD73" s="24">
        <f t="shared" ref="AD73:AD88" si="85">(AB73-INT(AB73))*12</f>
        <v>10.206518590799533</v>
      </c>
      <c r="AE73" s="41" t="str">
        <f t="shared" si="73"/>
        <v>X</v>
      </c>
      <c r="AF73" s="24">
        <f t="shared" ref="AF73:AF88" si="86">(AD73-INT(AD73))*12</f>
        <v>2.478223089594394</v>
      </c>
      <c r="AG73" s="41" t="str">
        <f t="shared" si="74"/>
        <v/>
      </c>
      <c r="AH73" s="24">
        <f t="shared" ref="AH73:AH88" si="87">(AF73-INT(AF73))*12</f>
        <v>5.7386770751327276</v>
      </c>
      <c r="AI73" s="41" t="str">
        <f t="shared" si="75"/>
        <v/>
      </c>
      <c r="AJ73" s="24">
        <f t="shared" ref="AJ73:AJ88" si="88">(AH73-INT(AH73))*12</f>
        <v>8.8641249015927315</v>
      </c>
      <c r="AK73" s="41" t="str">
        <f t="shared" si="76"/>
        <v/>
      </c>
    </row>
    <row r="74" spans="1:37" ht="13.5" customHeight="1">
      <c r="A74" s="716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63"/>
        <v>137.03599913815452</v>
      </c>
      <c r="L74" s="39" t="str">
        <f>INDEX(powers!$H$2:$H$75,33+J74)</f>
        <v xml:space="preserve"> </v>
      </c>
      <c r="M74" s="40" t="str">
        <f t="shared" si="64"/>
        <v/>
      </c>
      <c r="N74" s="24">
        <f t="shared" si="77"/>
        <v>0.4319896578542739</v>
      </c>
      <c r="O74" s="41" t="str">
        <f t="shared" si="65"/>
        <v>0</v>
      </c>
      <c r="P74" s="24">
        <f t="shared" si="78"/>
        <v>5.1838758942512868</v>
      </c>
      <c r="Q74" s="41" t="str">
        <f t="shared" si="66"/>
        <v>5</v>
      </c>
      <c r="R74" s="24">
        <f t="shared" si="79"/>
        <v>2.2065107310154417</v>
      </c>
      <c r="S74" s="41" t="str">
        <f t="shared" si="67"/>
        <v>2</v>
      </c>
      <c r="T74" s="24">
        <f t="shared" si="80"/>
        <v>2.4781287721853005</v>
      </c>
      <c r="U74" s="41" t="str">
        <f t="shared" si="68"/>
        <v>2</v>
      </c>
      <c r="V74" s="24">
        <f t="shared" si="81"/>
        <v>5.7375452662236057</v>
      </c>
      <c r="W74" s="41" t="str">
        <f t="shared" si="69"/>
        <v>5</v>
      </c>
      <c r="X74" s="24">
        <f t="shared" si="82"/>
        <v>8.8505431946832687</v>
      </c>
      <c r="Y74" s="41" t="str">
        <f t="shared" si="70"/>
        <v>8</v>
      </c>
      <c r="Z74" s="24">
        <f t="shared" si="83"/>
        <v>10.206518336199224</v>
      </c>
      <c r="AA74" s="41" t="str">
        <f t="shared" si="71"/>
        <v>X</v>
      </c>
      <c r="AB74" s="24">
        <f t="shared" si="84"/>
        <v>2.4782200343906879</v>
      </c>
      <c r="AC74" s="41" t="str">
        <f t="shared" si="72"/>
        <v>2</v>
      </c>
      <c r="AD74" s="24">
        <f t="shared" si="85"/>
        <v>5.7386404126882553</v>
      </c>
      <c r="AE74" s="41" t="str">
        <f t="shared" si="73"/>
        <v>6</v>
      </c>
      <c r="AF74" s="24">
        <f t="shared" si="86"/>
        <v>8.8636849522590637</v>
      </c>
      <c r="AG74" s="41" t="str">
        <f t="shared" si="74"/>
        <v/>
      </c>
      <c r="AH74" s="24">
        <f t="shared" si="87"/>
        <v>10.364219427108765</v>
      </c>
      <c r="AI74" s="41" t="str">
        <f t="shared" si="75"/>
        <v/>
      </c>
      <c r="AJ74" s="24">
        <f t="shared" si="88"/>
        <v>4.3706331253051758</v>
      </c>
      <c r="AK74" s="41" t="str">
        <f t="shared" si="76"/>
        <v/>
      </c>
    </row>
    <row r="75" spans="1:37" ht="13.5" customHeight="1">
      <c r="A75" s="716"/>
      <c r="B75" s="8" t="s">
        <v>39</v>
      </c>
      <c r="C75" s="8"/>
      <c r="D75" s="21"/>
      <c r="E75" s="8">
        <v>9</v>
      </c>
      <c r="F75" s="21">
        <f t="shared" ref="F75" si="89">SQRT($D$32)</f>
        <v>8.542454311496199E-2</v>
      </c>
      <c r="G75" s="37" t="str">
        <f t="shared" ref="G75:G78" si="90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63"/>
        <v>1.025094517379544</v>
      </c>
      <c r="L75" s="39" t="str">
        <f>INDEX(powers!$H$2:$H$75,33+J75)</f>
        <v>dour</v>
      </c>
      <c r="M75" s="40" t="str">
        <f t="shared" si="64"/>
        <v>1</v>
      </c>
      <c r="N75" s="24">
        <f t="shared" si="77"/>
        <v>0.30113420855452855</v>
      </c>
      <c r="O75" s="41" t="str">
        <f t="shared" si="65"/>
        <v>0</v>
      </c>
      <c r="P75" s="24">
        <f t="shared" si="78"/>
        <v>3.6136105026543426</v>
      </c>
      <c r="Q75" s="41" t="str">
        <f t="shared" si="66"/>
        <v>3</v>
      </c>
      <c r="R75" s="24">
        <f t="shared" si="79"/>
        <v>7.363326031852111</v>
      </c>
      <c r="S75" s="41" t="str">
        <f t="shared" si="67"/>
        <v>7</v>
      </c>
      <c r="T75" s="24">
        <f t="shared" si="80"/>
        <v>4.3599123822253318</v>
      </c>
      <c r="U75" s="41" t="str">
        <f t="shared" si="68"/>
        <v>4</v>
      </c>
      <c r="V75" s="24">
        <f t="shared" si="81"/>
        <v>4.3189485867039821</v>
      </c>
      <c r="W75" s="41" t="str">
        <f t="shared" si="69"/>
        <v>4</v>
      </c>
      <c r="X75" s="24">
        <f t="shared" si="82"/>
        <v>3.8273830404477849</v>
      </c>
      <c r="Y75" s="41" t="str">
        <f t="shared" si="70"/>
        <v>3</v>
      </c>
      <c r="Z75" s="24">
        <f t="shared" si="83"/>
        <v>9.9285964853734185</v>
      </c>
      <c r="AA75" s="41" t="str">
        <f t="shared" si="71"/>
        <v>9</v>
      </c>
      <c r="AB75" s="24">
        <f t="shared" si="84"/>
        <v>11.143157824481023</v>
      </c>
      <c r="AC75" s="41" t="str">
        <f t="shared" si="72"/>
        <v>E</v>
      </c>
      <c r="AD75" s="24">
        <f t="shared" si="85"/>
        <v>1.7178938937722705</v>
      </c>
      <c r="AE75" s="41" t="str">
        <f t="shared" si="73"/>
        <v>2</v>
      </c>
      <c r="AF75" s="24">
        <f t="shared" si="86"/>
        <v>8.6147267252672464</v>
      </c>
      <c r="AG75" s="41" t="str">
        <f t="shared" si="74"/>
        <v/>
      </c>
      <c r="AH75" s="24">
        <f t="shared" si="87"/>
        <v>7.3767207032069564</v>
      </c>
      <c r="AI75" s="41" t="str">
        <f t="shared" si="75"/>
        <v/>
      </c>
      <c r="AJ75" s="24">
        <f t="shared" si="88"/>
        <v>4.5206484384834766</v>
      </c>
      <c r="AK75" s="41" t="str">
        <f t="shared" si="76"/>
        <v/>
      </c>
    </row>
    <row r="76" spans="1:37" ht="13.5" customHeight="1">
      <c r="A76" s="716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0"/>
        <v>0;E85846628</v>
      </c>
      <c r="H76" s="37"/>
      <c r="I76" s="340"/>
      <c r="J76" s="38">
        <v>1</v>
      </c>
      <c r="K76" s="61">
        <f t="shared" si="63"/>
        <v>0.97551980138993111</v>
      </c>
      <c r="L76" s="39" t="str">
        <f>INDEX(powers!$H$2:$H$75,33+J76)</f>
        <v>dirac</v>
      </c>
      <c r="M76" s="40" t="str">
        <f t="shared" si="64"/>
        <v>0</v>
      </c>
      <c r="N76" s="24">
        <f t="shared" si="77"/>
        <v>11.706237616679173</v>
      </c>
      <c r="O76" s="41" t="str">
        <f t="shared" si="65"/>
        <v>E</v>
      </c>
      <c r="P76" s="24">
        <f t="shared" si="78"/>
        <v>8.4748514001500794</v>
      </c>
      <c r="Q76" s="41" t="str">
        <f t="shared" si="66"/>
        <v>8</v>
      </c>
      <c r="R76" s="24">
        <f t="shared" si="79"/>
        <v>5.6982168018009531</v>
      </c>
      <c r="S76" s="41" t="str">
        <f t="shared" si="67"/>
        <v>5</v>
      </c>
      <c r="T76" s="24">
        <f t="shared" si="80"/>
        <v>8.3786016216114376</v>
      </c>
      <c r="U76" s="41" t="str">
        <f t="shared" si="68"/>
        <v>8</v>
      </c>
      <c r="V76" s="24">
        <f t="shared" si="81"/>
        <v>4.5432194593372515</v>
      </c>
      <c r="W76" s="41" t="str">
        <f t="shared" si="69"/>
        <v>4</v>
      </c>
      <c r="X76" s="24">
        <f t="shared" si="82"/>
        <v>6.5186335120470176</v>
      </c>
      <c r="Y76" s="41" t="str">
        <f t="shared" si="70"/>
        <v>6</v>
      </c>
      <c r="Z76" s="24">
        <f t="shared" si="83"/>
        <v>6.2236021445642109</v>
      </c>
      <c r="AA76" s="41" t="str">
        <f t="shared" si="71"/>
        <v>6</v>
      </c>
      <c r="AB76" s="24">
        <f t="shared" si="84"/>
        <v>2.6832257347705308</v>
      </c>
      <c r="AC76" s="41" t="str">
        <f t="shared" si="72"/>
        <v>2</v>
      </c>
      <c r="AD76" s="24">
        <f t="shared" si="85"/>
        <v>8.19870881724637</v>
      </c>
      <c r="AE76" s="41" t="str">
        <f t="shared" si="73"/>
        <v>8</v>
      </c>
      <c r="AF76" s="24">
        <f t="shared" si="86"/>
        <v>2.3845058069564402</v>
      </c>
      <c r="AG76" s="41" t="str">
        <f t="shared" si="74"/>
        <v/>
      </c>
      <c r="AH76" s="24">
        <f t="shared" si="87"/>
        <v>4.6140696834772825</v>
      </c>
      <c r="AI76" s="41" t="str">
        <f t="shared" si="75"/>
        <v/>
      </c>
      <c r="AJ76" s="24">
        <f t="shared" si="88"/>
        <v>7.3688362017273903</v>
      </c>
      <c r="AK76" s="41" t="str">
        <f t="shared" si="76"/>
        <v/>
      </c>
    </row>
    <row r="77" spans="1:37" ht="13.5" customHeight="1">
      <c r="A77" s="716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0"/>
        <v>1;0696831713E1</v>
      </c>
      <c r="H77" s="37"/>
      <c r="I77" s="340"/>
      <c r="J77" s="38">
        <v>1</v>
      </c>
      <c r="K77" s="61">
        <f t="shared" si="63"/>
        <v>1.0471975511965976</v>
      </c>
      <c r="L77" s="39" t="str">
        <f>INDEX(powers!$H$2:$H$75,33+J77)</f>
        <v>dirac</v>
      </c>
      <c r="M77" s="40" t="str">
        <f t="shared" si="64"/>
        <v>1</v>
      </c>
      <c r="N77" s="24">
        <f t="shared" si="77"/>
        <v>0.56637061435917158</v>
      </c>
      <c r="O77" s="41" t="str">
        <f t="shared" si="65"/>
        <v>0</v>
      </c>
      <c r="P77" s="24">
        <f t="shared" si="78"/>
        <v>6.7964473723100589</v>
      </c>
      <c r="Q77" s="41" t="str">
        <f t="shared" si="66"/>
        <v>6</v>
      </c>
      <c r="R77" s="24">
        <f t="shared" si="79"/>
        <v>9.5573684677207069</v>
      </c>
      <c r="S77" s="41" t="str">
        <f t="shared" si="67"/>
        <v>9</v>
      </c>
      <c r="T77" s="24">
        <f t="shared" si="80"/>
        <v>6.688421612648483</v>
      </c>
      <c r="U77" s="41" t="str">
        <f t="shared" si="68"/>
        <v>6</v>
      </c>
      <c r="V77" s="24">
        <f t="shared" si="81"/>
        <v>8.2610593517817961</v>
      </c>
      <c r="W77" s="41" t="str">
        <f t="shared" si="69"/>
        <v>8</v>
      </c>
      <c r="X77" s="24">
        <f t="shared" si="82"/>
        <v>3.1327122213815528</v>
      </c>
      <c r="Y77" s="41" t="str">
        <f t="shared" si="70"/>
        <v>3</v>
      </c>
      <c r="Z77" s="24">
        <f t="shared" si="83"/>
        <v>1.5925466565786337</v>
      </c>
      <c r="AA77" s="41" t="str">
        <f t="shared" si="71"/>
        <v>1</v>
      </c>
      <c r="AB77" s="24">
        <f t="shared" si="84"/>
        <v>7.1105598789436044</v>
      </c>
      <c r="AC77" s="41" t="str">
        <f t="shared" si="72"/>
        <v>7</v>
      </c>
      <c r="AD77" s="24">
        <f t="shared" si="85"/>
        <v>1.326718547323253</v>
      </c>
      <c r="AE77" s="41" t="str">
        <f t="shared" si="73"/>
        <v>1</v>
      </c>
      <c r="AF77" s="24">
        <f t="shared" si="86"/>
        <v>3.9206225678790361</v>
      </c>
      <c r="AG77" s="41" t="str">
        <f t="shared" si="74"/>
        <v>3</v>
      </c>
      <c r="AH77" s="24">
        <f t="shared" si="87"/>
        <v>11.047470814548433</v>
      </c>
      <c r="AI77" s="41" t="str">
        <f t="shared" si="75"/>
        <v>E</v>
      </c>
      <c r="AJ77" s="24">
        <f t="shared" si="88"/>
        <v>0.56964977458119392</v>
      </c>
      <c r="AK77" s="41" t="str">
        <f t="shared" si="76"/>
        <v>1</v>
      </c>
    </row>
    <row r="78" spans="1:37" ht="13.5" customHeight="1">
      <c r="A78" s="716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0"/>
        <v>0;E5615082189E</v>
      </c>
      <c r="H78" s="37"/>
      <c r="I78" s="340"/>
      <c r="J78" s="38">
        <v>-1</v>
      </c>
      <c r="K78" s="61">
        <f t="shared" si="63"/>
        <v>0.95492965855137213</v>
      </c>
      <c r="L78" s="39" t="str">
        <f>INDEX(powers!$H$2:$H$75,33+J78)</f>
        <v>dour</v>
      </c>
      <c r="M78" s="40" t="str">
        <f t="shared" si="64"/>
        <v>0</v>
      </c>
      <c r="N78" s="24">
        <f t="shared" si="77"/>
        <v>11.459155902616466</v>
      </c>
      <c r="O78" s="41" t="str">
        <f t="shared" si="65"/>
        <v>E</v>
      </c>
      <c r="P78" s="24">
        <f t="shared" si="78"/>
        <v>5.5098708313975919</v>
      </c>
      <c r="Q78" s="41" t="str">
        <f t="shared" si="66"/>
        <v>5</v>
      </c>
      <c r="R78" s="24">
        <f t="shared" si="79"/>
        <v>6.1184499767711031</v>
      </c>
      <c r="S78" s="41" t="str">
        <f t="shared" si="67"/>
        <v>6</v>
      </c>
      <c r="T78" s="24">
        <f t="shared" si="80"/>
        <v>1.4213997212532377</v>
      </c>
      <c r="U78" s="41" t="str">
        <f t="shared" si="68"/>
        <v>1</v>
      </c>
      <c r="V78" s="24">
        <f t="shared" si="81"/>
        <v>5.0567966550388519</v>
      </c>
      <c r="W78" s="41" t="str">
        <f t="shared" si="69"/>
        <v>5</v>
      </c>
      <c r="X78" s="24">
        <f t="shared" si="82"/>
        <v>0.68155986046622274</v>
      </c>
      <c r="Y78" s="41" t="str">
        <f t="shared" si="70"/>
        <v>0</v>
      </c>
      <c r="Z78" s="24">
        <f t="shared" si="83"/>
        <v>8.1787183255946729</v>
      </c>
      <c r="AA78" s="41" t="str">
        <f t="shared" si="71"/>
        <v>8</v>
      </c>
      <c r="AB78" s="24">
        <f t="shared" si="84"/>
        <v>2.1446199071360752</v>
      </c>
      <c r="AC78" s="41" t="str">
        <f t="shared" si="72"/>
        <v>2</v>
      </c>
      <c r="AD78" s="24">
        <f t="shared" si="85"/>
        <v>1.7354388856329024</v>
      </c>
      <c r="AE78" s="41" t="str">
        <f t="shared" si="73"/>
        <v>1</v>
      </c>
      <c r="AF78" s="24">
        <f t="shared" si="86"/>
        <v>8.8252666275948286</v>
      </c>
      <c r="AG78" s="41" t="str">
        <f t="shared" si="74"/>
        <v>8</v>
      </c>
      <c r="AH78" s="24">
        <f t="shared" si="87"/>
        <v>9.9031995311379433</v>
      </c>
      <c r="AI78" s="41" t="str">
        <f t="shared" si="75"/>
        <v>9</v>
      </c>
      <c r="AJ78" s="24">
        <f t="shared" si="88"/>
        <v>10.838394373655319</v>
      </c>
      <c r="AK78" s="41" t="str">
        <f t="shared" si="76"/>
        <v>E</v>
      </c>
    </row>
    <row r="79" spans="1:37" ht="13.5" customHeight="1">
      <c r="A79" s="716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63"/>
        <v>137.50987083139759</v>
      </c>
      <c r="L79" s="39" t="str">
        <f>INDEX(powers!$H$2:$H$75,33+J79)</f>
        <v>milly</v>
      </c>
      <c r="M79" s="40" t="str">
        <f t="shared" si="64"/>
        <v/>
      </c>
      <c r="N79" s="24">
        <f t="shared" si="77"/>
        <v>6.1184499767711031</v>
      </c>
      <c r="O79" s="41" t="str">
        <f t="shared" si="65"/>
        <v>6</v>
      </c>
      <c r="P79" s="24">
        <f t="shared" si="78"/>
        <v>1.4213997212532377</v>
      </c>
      <c r="Q79" s="41" t="str">
        <f t="shared" si="66"/>
        <v>1</v>
      </c>
      <c r="R79" s="24">
        <f t="shared" si="79"/>
        <v>5.0567966550388519</v>
      </c>
      <c r="S79" s="41" t="str">
        <f t="shared" si="67"/>
        <v>5</v>
      </c>
      <c r="T79" s="24">
        <f t="shared" si="80"/>
        <v>0.68155986046622274</v>
      </c>
      <c r="U79" s="41" t="str">
        <f t="shared" si="68"/>
        <v>0</v>
      </c>
      <c r="V79" s="24">
        <f t="shared" si="81"/>
        <v>8.1787183255946729</v>
      </c>
      <c r="W79" s="41" t="str">
        <f t="shared" si="69"/>
        <v>8</v>
      </c>
      <c r="X79" s="24">
        <f t="shared" si="82"/>
        <v>2.1446199071360752</v>
      </c>
      <c r="Y79" s="41" t="str">
        <f t="shared" si="70"/>
        <v>2</v>
      </c>
      <c r="Z79" s="24">
        <f t="shared" si="83"/>
        <v>1.7354388856329024</v>
      </c>
      <c r="AA79" s="41" t="str">
        <f t="shared" si="71"/>
        <v>1</v>
      </c>
      <c r="AB79" s="24">
        <f t="shared" si="84"/>
        <v>8.8252666275948286</v>
      </c>
      <c r="AC79" s="41" t="str">
        <f t="shared" si="72"/>
        <v>8</v>
      </c>
      <c r="AD79" s="24">
        <f t="shared" si="85"/>
        <v>9.9031995311379433</v>
      </c>
      <c r="AE79" s="41" t="str">
        <f t="shared" si="73"/>
        <v>X</v>
      </c>
      <c r="AF79" s="24">
        <f t="shared" si="86"/>
        <v>10.838394373655319</v>
      </c>
      <c r="AG79" s="41" t="str">
        <f t="shared" si="74"/>
        <v/>
      </c>
      <c r="AH79" s="24">
        <f t="shared" si="87"/>
        <v>10.060732483863831</v>
      </c>
      <c r="AI79" s="41" t="str">
        <f t="shared" si="75"/>
        <v/>
      </c>
      <c r="AJ79" s="24">
        <f t="shared" si="88"/>
        <v>0.7287898063659668</v>
      </c>
      <c r="AK79" s="41" t="str">
        <f t="shared" si="76"/>
        <v/>
      </c>
    </row>
    <row r="80" spans="1:37" ht="13.5" customHeight="1">
      <c r="A80" s="716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1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63"/>
        <v>0.99655390780037834</v>
      </c>
      <c r="L80" s="39" t="str">
        <f>INDEX(powers!$H$2:$H$75,33+J80)</f>
        <v>kily</v>
      </c>
      <c r="M80" s="40" t="str">
        <f t="shared" si="64"/>
        <v>0</v>
      </c>
      <c r="N80" s="24">
        <f t="shared" si="77"/>
        <v>11.95864689360454</v>
      </c>
      <c r="O80" s="41" t="str">
        <f t="shared" si="65"/>
        <v>E</v>
      </c>
      <c r="P80" s="24">
        <f t="shared" si="78"/>
        <v>11.503762723254475</v>
      </c>
      <c r="Q80" s="41" t="str">
        <f t="shared" si="66"/>
        <v>E</v>
      </c>
      <c r="R80" s="24">
        <f t="shared" si="79"/>
        <v>6.0451526790537002</v>
      </c>
      <c r="S80" s="41" t="str">
        <f t="shared" si="67"/>
        <v>6</v>
      </c>
      <c r="T80" s="24">
        <f t="shared" si="80"/>
        <v>0.54183214864440288</v>
      </c>
      <c r="U80" s="41" t="str">
        <f t="shared" si="68"/>
        <v>0</v>
      </c>
      <c r="V80" s="24">
        <f t="shared" si="81"/>
        <v>6.5019857837328345</v>
      </c>
      <c r="W80" s="41" t="str">
        <f t="shared" si="69"/>
        <v>6</v>
      </c>
      <c r="X80" s="24">
        <f t="shared" si="82"/>
        <v>6.0238294047940144</v>
      </c>
      <c r="Y80" s="41" t="str">
        <f t="shared" si="70"/>
        <v>6</v>
      </c>
      <c r="Z80" s="24">
        <f t="shared" si="83"/>
        <v>0.2859528575281729</v>
      </c>
      <c r="AA80" s="41" t="str">
        <f t="shared" si="71"/>
        <v>0</v>
      </c>
      <c r="AB80" s="24">
        <f t="shared" si="84"/>
        <v>3.4314342903380748</v>
      </c>
      <c r="AC80" s="41" t="str">
        <f t="shared" si="72"/>
        <v>3</v>
      </c>
      <c r="AD80" s="24">
        <f t="shared" si="85"/>
        <v>5.1772114840568975</v>
      </c>
      <c r="AE80" s="41" t="str">
        <f t="shared" si="73"/>
        <v>5</v>
      </c>
      <c r="AF80" s="24">
        <f t="shared" si="86"/>
        <v>2.1265378086827695</v>
      </c>
      <c r="AG80" s="41" t="str">
        <f t="shared" si="74"/>
        <v/>
      </c>
      <c r="AH80" s="24">
        <f t="shared" si="87"/>
        <v>1.5184537041932344</v>
      </c>
      <c r="AI80" s="41" t="str">
        <f t="shared" si="75"/>
        <v/>
      </c>
      <c r="AJ80" s="24">
        <f t="shared" si="88"/>
        <v>6.2214444503188133</v>
      </c>
      <c r="AK80" s="41" t="str">
        <f t="shared" si="76"/>
        <v/>
      </c>
    </row>
    <row r="81" spans="1:37" ht="13.5" customHeight="1">
      <c r="A81" s="716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1"/>
        <v>1;005E85686</v>
      </c>
      <c r="H81" s="37"/>
      <c r="I81" s="340"/>
      <c r="J81" s="38">
        <v>-3</v>
      </c>
      <c r="K81" s="61">
        <f t="shared" si="63"/>
        <v>1.0034580088168317</v>
      </c>
      <c r="L81" s="39" t="str">
        <f>INDEX(powers!$H$2:$H$75,33+J81)</f>
        <v>milly</v>
      </c>
      <c r="M81" s="40" t="str">
        <f t="shared" si="64"/>
        <v>1</v>
      </c>
      <c r="N81" s="24">
        <f t="shared" si="77"/>
        <v>4.1496105801980043E-2</v>
      </c>
      <c r="O81" s="41" t="str">
        <f t="shared" si="65"/>
        <v>0</v>
      </c>
      <c r="P81" s="24">
        <f t="shared" si="78"/>
        <v>0.49795326962376052</v>
      </c>
      <c r="Q81" s="41" t="str">
        <f t="shared" si="66"/>
        <v>0</v>
      </c>
      <c r="R81" s="24">
        <f t="shared" si="79"/>
        <v>5.9754392354851262</v>
      </c>
      <c r="S81" s="41" t="str">
        <f t="shared" si="67"/>
        <v>5</v>
      </c>
      <c r="T81" s="24">
        <f t="shared" si="80"/>
        <v>11.705270825821515</v>
      </c>
      <c r="U81" s="41" t="str">
        <f t="shared" si="68"/>
        <v>E</v>
      </c>
      <c r="V81" s="24">
        <f t="shared" si="81"/>
        <v>8.4632499098581775</v>
      </c>
      <c r="W81" s="41" t="str">
        <f t="shared" si="69"/>
        <v>8</v>
      </c>
      <c r="X81" s="24">
        <f t="shared" si="82"/>
        <v>5.5589989182981299</v>
      </c>
      <c r="Y81" s="41" t="str">
        <f t="shared" si="70"/>
        <v>5</v>
      </c>
      <c r="Z81" s="24">
        <f t="shared" si="83"/>
        <v>6.7079870195775584</v>
      </c>
      <c r="AA81" s="41" t="str">
        <f t="shared" si="71"/>
        <v>6</v>
      </c>
      <c r="AB81" s="24">
        <f t="shared" si="84"/>
        <v>8.4958442349307006</v>
      </c>
      <c r="AC81" s="41" t="str">
        <f t="shared" si="72"/>
        <v>8</v>
      </c>
      <c r="AD81" s="24">
        <f t="shared" si="85"/>
        <v>5.9501308191684075</v>
      </c>
      <c r="AE81" s="41" t="str">
        <f t="shared" si="73"/>
        <v>6</v>
      </c>
      <c r="AF81" s="24">
        <f t="shared" si="86"/>
        <v>11.40156983002089</v>
      </c>
      <c r="AG81" s="41" t="str">
        <f t="shared" si="74"/>
        <v/>
      </c>
      <c r="AH81" s="24">
        <f t="shared" si="87"/>
        <v>4.8188379602506757</v>
      </c>
      <c r="AI81" s="41" t="str">
        <f t="shared" si="75"/>
        <v/>
      </c>
      <c r="AJ81" s="24">
        <f t="shared" si="88"/>
        <v>9.8260555230081081</v>
      </c>
      <c r="AK81" s="41" t="str">
        <f t="shared" si="76"/>
        <v/>
      </c>
    </row>
    <row r="82" spans="1:37" ht="13.5" customHeight="1">
      <c r="A82" s="716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1"/>
        <v>0;E46922178</v>
      </c>
      <c r="H82" s="37"/>
      <c r="I82" s="340"/>
      <c r="J82" s="38">
        <v>5</v>
      </c>
      <c r="K82" s="61">
        <f t="shared" si="63"/>
        <v>0.94835944757261925</v>
      </c>
      <c r="L82" s="39" t="str">
        <f>INDEX(powers!$H$2:$H$75,33+J82)</f>
        <v>cosmic milly</v>
      </c>
      <c r="M82" s="40" t="str">
        <f t="shared" si="64"/>
        <v>0</v>
      </c>
      <c r="N82" s="24">
        <f t="shared" si="77"/>
        <v>11.380313370871431</v>
      </c>
      <c r="O82" s="41" t="str">
        <f t="shared" si="65"/>
        <v>E</v>
      </c>
      <c r="P82" s="24">
        <f t="shared" si="78"/>
        <v>4.5637604504571669</v>
      </c>
      <c r="Q82" s="41" t="str">
        <f t="shared" si="66"/>
        <v>4</v>
      </c>
      <c r="R82" s="24">
        <f t="shared" si="79"/>
        <v>6.7651254054860033</v>
      </c>
      <c r="S82" s="41" t="str">
        <f t="shared" si="67"/>
        <v>6</v>
      </c>
      <c r="T82" s="24">
        <f t="shared" si="80"/>
        <v>9.1815048658320393</v>
      </c>
      <c r="U82" s="41" t="str">
        <f t="shared" si="68"/>
        <v>9</v>
      </c>
      <c r="V82" s="24">
        <f t="shared" si="81"/>
        <v>2.1780583899844714</v>
      </c>
      <c r="W82" s="41" t="str">
        <f t="shared" si="69"/>
        <v>2</v>
      </c>
      <c r="X82" s="24">
        <f t="shared" si="82"/>
        <v>2.1367006798136572</v>
      </c>
      <c r="Y82" s="41" t="str">
        <f t="shared" si="70"/>
        <v>2</v>
      </c>
      <c r="Z82" s="24">
        <f t="shared" si="83"/>
        <v>1.6404081577638863</v>
      </c>
      <c r="AA82" s="41" t="str">
        <f t="shared" si="71"/>
        <v>1</v>
      </c>
      <c r="AB82" s="24">
        <f t="shared" si="84"/>
        <v>7.6848978931666352</v>
      </c>
      <c r="AC82" s="41" t="str">
        <f t="shared" si="72"/>
        <v>7</v>
      </c>
      <c r="AD82" s="24">
        <f t="shared" si="85"/>
        <v>8.2187747179996222</v>
      </c>
      <c r="AE82" s="41" t="str">
        <f t="shared" si="73"/>
        <v>8</v>
      </c>
      <c r="AF82" s="24">
        <f t="shared" si="86"/>
        <v>2.6252966159954667</v>
      </c>
      <c r="AG82" s="41" t="str">
        <f t="shared" si="74"/>
        <v/>
      </c>
      <c r="AH82" s="24">
        <f t="shared" si="87"/>
        <v>7.5035593919456005</v>
      </c>
      <c r="AI82" s="41" t="str">
        <f t="shared" si="75"/>
        <v/>
      </c>
      <c r="AJ82" s="24">
        <f t="shared" si="88"/>
        <v>6.0427127033472061</v>
      </c>
      <c r="AK82" s="41" t="str">
        <f t="shared" si="76"/>
        <v/>
      </c>
    </row>
    <row r="83" spans="1:37" ht="14.25" customHeight="1">
      <c r="A83" s="716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91"/>
        <v>1;07X1163X8</v>
      </c>
      <c r="H83" s="112"/>
      <c r="I83" s="341"/>
      <c r="J83" s="43">
        <v>-5</v>
      </c>
      <c r="K83" s="62">
        <f t="shared" si="63"/>
        <v>1.054452510131636</v>
      </c>
      <c r="L83" s="44" t="str">
        <f>INDEX(powers!$H$2:$H$75,33+J83)</f>
        <v>atomic kily</v>
      </c>
      <c r="M83" s="40" t="str">
        <f t="shared" si="64"/>
        <v>1</v>
      </c>
      <c r="N83" s="24">
        <f t="shared" si="77"/>
        <v>0.65343012157963187</v>
      </c>
      <c r="O83" s="41" t="str">
        <f t="shared" si="65"/>
        <v>0</v>
      </c>
      <c r="P83" s="24">
        <f t="shared" si="78"/>
        <v>7.8411614589555825</v>
      </c>
      <c r="Q83" s="41" t="str">
        <f t="shared" si="66"/>
        <v>7</v>
      </c>
      <c r="R83" s="24">
        <f t="shared" si="79"/>
        <v>10.09393750746699</v>
      </c>
      <c r="S83" s="41" t="str">
        <f t="shared" si="67"/>
        <v>X</v>
      </c>
      <c r="T83" s="24">
        <f t="shared" si="80"/>
        <v>1.1272500896038764</v>
      </c>
      <c r="U83" s="41" t="str">
        <f t="shared" si="68"/>
        <v>1</v>
      </c>
      <c r="V83" s="24">
        <f t="shared" si="81"/>
        <v>1.5270010752465168</v>
      </c>
      <c r="W83" s="41" t="str">
        <f t="shared" si="69"/>
        <v>1</v>
      </c>
      <c r="X83" s="24">
        <f t="shared" si="82"/>
        <v>6.3240129029582022</v>
      </c>
      <c r="Y83" s="41" t="str">
        <f t="shared" si="70"/>
        <v>6</v>
      </c>
      <c r="Z83" s="24">
        <f t="shared" si="83"/>
        <v>3.8881548354984261</v>
      </c>
      <c r="AA83" s="41" t="str">
        <f t="shared" si="71"/>
        <v>3</v>
      </c>
      <c r="AB83" s="24">
        <f t="shared" si="84"/>
        <v>10.657858025981113</v>
      </c>
      <c r="AC83" s="41" t="str">
        <f t="shared" si="72"/>
        <v>X</v>
      </c>
      <c r="AD83" s="24">
        <f t="shared" si="85"/>
        <v>7.8942963117733598</v>
      </c>
      <c r="AE83" s="41" t="str">
        <f t="shared" si="73"/>
        <v>8</v>
      </c>
      <c r="AF83" s="24">
        <f t="shared" si="86"/>
        <v>10.731555741280317</v>
      </c>
      <c r="AG83" s="41" t="str">
        <f t="shared" si="74"/>
        <v/>
      </c>
      <c r="AH83" s="24">
        <f t="shared" si="87"/>
        <v>8.7786688953638077</v>
      </c>
      <c r="AI83" s="41" t="str">
        <f t="shared" si="75"/>
        <v/>
      </c>
      <c r="AJ83" s="24">
        <f t="shared" si="88"/>
        <v>9.3440267443656921</v>
      </c>
      <c r="AK83" s="41" t="str">
        <f t="shared" si="76"/>
        <v/>
      </c>
    </row>
    <row r="84" spans="1:37" ht="14.25" customHeight="1">
      <c r="A84" s="716"/>
      <c r="B84" s="30" t="s">
        <v>1432</v>
      </c>
      <c r="C84" s="30"/>
      <c r="D84" s="29"/>
      <c r="E84" s="30">
        <v>11</v>
      </c>
      <c r="F84" s="29">
        <v>1836.15267245</v>
      </c>
      <c r="G84" s="112" t="str">
        <f t="shared" si="91"/>
        <v>1;09019E9995E</v>
      </c>
      <c r="H84" s="112"/>
      <c r="I84" s="341"/>
      <c r="J84" s="43">
        <v>3</v>
      </c>
      <c r="K84" s="62">
        <f t="shared" si="63"/>
        <v>1.0625883521122685</v>
      </c>
      <c r="L84" s="44" t="str">
        <f>INDEX(powers!$H$2:$H$75,33+J84)</f>
        <v>kily</v>
      </c>
      <c r="M84" s="40" t="str">
        <f t="shared" si="64"/>
        <v>1</v>
      </c>
      <c r="N84" s="24">
        <f t="shared" si="77"/>
        <v>0.7510602253472225</v>
      </c>
      <c r="O84" s="41" t="str">
        <f t="shared" si="65"/>
        <v>0</v>
      </c>
      <c r="P84" s="24">
        <f t="shared" si="78"/>
        <v>9.01272270416667</v>
      </c>
      <c r="Q84" s="41" t="str">
        <f t="shared" si="66"/>
        <v>9</v>
      </c>
      <c r="R84" s="24">
        <f t="shared" si="79"/>
        <v>0.15267245000003982</v>
      </c>
      <c r="S84" s="41" t="str">
        <f t="shared" si="67"/>
        <v>0</v>
      </c>
      <c r="T84" s="24">
        <f t="shared" si="80"/>
        <v>1.8320694000004778</v>
      </c>
      <c r="U84" s="41" t="str">
        <f t="shared" si="68"/>
        <v>1</v>
      </c>
      <c r="V84" s="24">
        <f t="shared" si="81"/>
        <v>9.9848328000057336</v>
      </c>
      <c r="W84" s="41" t="str">
        <f t="shared" si="69"/>
        <v>9</v>
      </c>
      <c r="X84" s="24">
        <f t="shared" si="82"/>
        <v>11.817993600068803</v>
      </c>
      <c r="Y84" s="41" t="str">
        <f t="shared" si="70"/>
        <v>E</v>
      </c>
      <c r="Z84" s="24">
        <f t="shared" si="83"/>
        <v>9.8159232008256367</v>
      </c>
      <c r="AA84" s="41" t="str">
        <f t="shared" si="71"/>
        <v>9</v>
      </c>
      <c r="AB84" s="24">
        <f t="shared" si="84"/>
        <v>9.7910784099076409</v>
      </c>
      <c r="AC84" s="41" t="str">
        <f t="shared" si="72"/>
        <v>9</v>
      </c>
      <c r="AD84" s="24">
        <f t="shared" si="85"/>
        <v>9.4929409188916907</v>
      </c>
      <c r="AE84" s="41" t="str">
        <f t="shared" si="73"/>
        <v>9</v>
      </c>
      <c r="AF84" s="24">
        <f t="shared" si="86"/>
        <v>5.9152910267002881</v>
      </c>
      <c r="AG84" s="41" t="str">
        <f t="shared" si="74"/>
        <v>5</v>
      </c>
      <c r="AH84" s="24">
        <f t="shared" si="87"/>
        <v>10.983492320403457</v>
      </c>
      <c r="AI84" s="41" t="str">
        <f t="shared" si="75"/>
        <v>E</v>
      </c>
      <c r="AJ84" s="24">
        <f t="shared" si="88"/>
        <v>11.80190784484148</v>
      </c>
      <c r="AK84" s="41" t="str">
        <f t="shared" si="76"/>
        <v/>
      </c>
    </row>
    <row r="85" spans="1:37" ht="14.25" customHeight="1">
      <c r="A85" s="716"/>
      <c r="B85" s="30" t="s">
        <v>1433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91"/>
        <v>1;001XXX0E449</v>
      </c>
      <c r="H85" s="112"/>
      <c r="I85" s="341"/>
      <c r="J85" s="43">
        <v>49</v>
      </c>
      <c r="K85" s="62">
        <f t="shared" si="63"/>
        <v>1.0011045199619639</v>
      </c>
      <c r="L85" s="44" t="str">
        <f>Rydberg!L85</f>
        <v>sexty-cosmic dirac</v>
      </c>
      <c r="M85" s="40" t="str">
        <f t="shared" si="64"/>
        <v>1</v>
      </c>
      <c r="N85" s="24">
        <f t="shared" si="77"/>
        <v>1.3254239543567081E-2</v>
      </c>
      <c r="O85" s="41" t="str">
        <f t="shared" si="65"/>
        <v>0</v>
      </c>
      <c r="P85" s="24">
        <f t="shared" si="78"/>
        <v>0.15905087452280497</v>
      </c>
      <c r="Q85" s="41" t="str">
        <f t="shared" si="66"/>
        <v>0</v>
      </c>
      <c r="R85" s="24">
        <f t="shared" si="79"/>
        <v>1.9086104942736597</v>
      </c>
      <c r="S85" s="41" t="str">
        <f t="shared" si="67"/>
        <v>1</v>
      </c>
      <c r="T85" s="24">
        <f t="shared" si="80"/>
        <v>10.903325931283916</v>
      </c>
      <c r="U85" s="41" t="str">
        <f t="shared" si="68"/>
        <v>X</v>
      </c>
      <c r="V85" s="24">
        <f t="shared" si="81"/>
        <v>10.839911175406996</v>
      </c>
      <c r="W85" s="41" t="str">
        <f t="shared" si="69"/>
        <v>X</v>
      </c>
      <c r="X85" s="24">
        <f t="shared" si="82"/>
        <v>10.078934104883956</v>
      </c>
      <c r="Y85" s="41" t="str">
        <f t="shared" si="70"/>
        <v>X</v>
      </c>
      <c r="Z85" s="24">
        <f t="shared" si="83"/>
        <v>0.94720925860747229</v>
      </c>
      <c r="AA85" s="41" t="str">
        <f t="shared" si="71"/>
        <v>0</v>
      </c>
      <c r="AB85" s="24">
        <f t="shared" si="84"/>
        <v>11.366511103289668</v>
      </c>
      <c r="AC85" s="41" t="str">
        <f t="shared" si="72"/>
        <v>E</v>
      </c>
      <c r="AD85" s="24">
        <f t="shared" si="85"/>
        <v>4.3981332394760102</v>
      </c>
      <c r="AE85" s="41" t="str">
        <f t="shared" si="73"/>
        <v>4</v>
      </c>
      <c r="AF85" s="24">
        <f t="shared" si="86"/>
        <v>4.7775988737121224</v>
      </c>
      <c r="AG85" s="41" t="str">
        <f t="shared" si="74"/>
        <v>4</v>
      </c>
      <c r="AH85" s="24">
        <f t="shared" si="87"/>
        <v>9.3311864845454693</v>
      </c>
      <c r="AI85" s="41" t="str">
        <f t="shared" si="75"/>
        <v>9</v>
      </c>
      <c r="AJ85" s="24">
        <f t="shared" si="88"/>
        <v>3.9742378145456314</v>
      </c>
      <c r="AK85" s="41" t="str">
        <f t="shared" si="76"/>
        <v/>
      </c>
    </row>
    <row r="86" spans="1:37" ht="14.25" customHeight="1">
      <c r="A86" s="716"/>
      <c r="B86" s="30" t="s">
        <v>372</v>
      </c>
      <c r="C86" s="30"/>
      <c r="D86" s="29"/>
      <c r="E86" s="30">
        <v>12</v>
      </c>
      <c r="F86" s="29">
        <f>POWER(2,43)</f>
        <v>8796093022208</v>
      </c>
      <c r="G86" s="112" t="str">
        <f t="shared" si="91"/>
        <v>0;EX08X990X0X8</v>
      </c>
      <c r="H86" s="112"/>
      <c r="I86" s="341"/>
      <c r="J86" s="43">
        <v>12</v>
      </c>
      <c r="K86" s="62">
        <f t="shared" si="63"/>
        <v>0.98654036854514426</v>
      </c>
      <c r="L86" s="44" t="str">
        <f>INDEX(powers!$H$2:$H$75,33+J86)</f>
        <v>cosmic super</v>
      </c>
      <c r="M86" s="40" t="str">
        <f t="shared" si="64"/>
        <v>0</v>
      </c>
      <c r="N86" s="24">
        <f t="shared" si="77"/>
        <v>11.838484422541731</v>
      </c>
      <c r="O86" s="41" t="str">
        <f t="shared" si="65"/>
        <v>E</v>
      </c>
      <c r="P86" s="24">
        <f t="shared" si="78"/>
        <v>10.061813070500769</v>
      </c>
      <c r="Q86" s="41" t="str">
        <f t="shared" si="66"/>
        <v>X</v>
      </c>
      <c r="R86" s="24">
        <f t="shared" si="79"/>
        <v>0.74175684600922409</v>
      </c>
      <c r="S86" s="41" t="str">
        <f t="shared" si="67"/>
        <v>0</v>
      </c>
      <c r="T86" s="24">
        <f t="shared" si="80"/>
        <v>8.9010821521106891</v>
      </c>
      <c r="U86" s="41" t="str">
        <f t="shared" si="68"/>
        <v>8</v>
      </c>
      <c r="V86" s="24">
        <f t="shared" si="81"/>
        <v>10.812985825328269</v>
      </c>
      <c r="W86" s="41" t="str">
        <f t="shared" si="69"/>
        <v>X</v>
      </c>
      <c r="X86" s="24">
        <f t="shared" si="82"/>
        <v>9.7558299039392296</v>
      </c>
      <c r="Y86" s="41" t="str">
        <f t="shared" si="70"/>
        <v>9</v>
      </c>
      <c r="Z86" s="24">
        <f t="shared" si="83"/>
        <v>9.0699588472707546</v>
      </c>
      <c r="AA86" s="41" t="str">
        <f t="shared" si="71"/>
        <v>9</v>
      </c>
      <c r="AB86" s="24">
        <f t="shared" si="84"/>
        <v>0.83950616724905558</v>
      </c>
      <c r="AC86" s="41" t="str">
        <f t="shared" si="72"/>
        <v>0</v>
      </c>
      <c r="AD86" s="24">
        <f t="shared" si="85"/>
        <v>10.074074006988667</v>
      </c>
      <c r="AE86" s="41" t="str">
        <f t="shared" si="73"/>
        <v>X</v>
      </c>
      <c r="AF86" s="24">
        <f t="shared" si="86"/>
        <v>0.88888808386400342</v>
      </c>
      <c r="AG86" s="41" t="str">
        <f t="shared" si="74"/>
        <v>0</v>
      </c>
      <c r="AH86" s="24">
        <f t="shared" si="87"/>
        <v>10.666657006368041</v>
      </c>
      <c r="AI86" s="41" t="str">
        <f t="shared" si="75"/>
        <v>X</v>
      </c>
      <c r="AJ86" s="24">
        <f t="shared" si="88"/>
        <v>7.9998840764164925</v>
      </c>
      <c r="AK86" s="41" t="str">
        <f t="shared" si="76"/>
        <v>8</v>
      </c>
    </row>
    <row r="87" spans="1:37" ht="14.25" customHeight="1">
      <c r="A87" s="716"/>
      <c r="B87" s="30" t="s">
        <v>682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91"/>
        <v>4;68X10E696900</v>
      </c>
      <c r="H87" s="112"/>
      <c r="I87" s="341"/>
      <c r="J87" s="43">
        <v>2</v>
      </c>
      <c r="K87" s="62">
        <f t="shared" si="63"/>
        <v>4.5613946914672852</v>
      </c>
      <c r="L87" s="44" t="str">
        <f>INDEX(powers!$H$2:$H$75,33+J87)</f>
        <v>hecty</v>
      </c>
      <c r="M87" s="40" t="str">
        <f t="shared" si="64"/>
        <v>4</v>
      </c>
      <c r="N87" s="24">
        <f t="shared" si="77"/>
        <v>6.7367362976074219</v>
      </c>
      <c r="O87" s="41" t="str">
        <f t="shared" si="65"/>
        <v>6</v>
      </c>
      <c r="P87" s="24">
        <f t="shared" si="78"/>
        <v>8.8408355712890625</v>
      </c>
      <c r="Q87" s="41" t="str">
        <f t="shared" si="66"/>
        <v>8</v>
      </c>
      <c r="R87" s="24">
        <f t="shared" si="79"/>
        <v>10.09002685546875</v>
      </c>
      <c r="S87" s="41" t="str">
        <f t="shared" si="67"/>
        <v>X</v>
      </c>
      <c r="T87" s="24">
        <f t="shared" si="80"/>
        <v>1.080322265625</v>
      </c>
      <c r="U87" s="41" t="str">
        <f t="shared" si="68"/>
        <v>1</v>
      </c>
      <c r="V87" s="24">
        <f t="shared" si="81"/>
        <v>0.9638671875</v>
      </c>
      <c r="W87" s="41" t="str">
        <f t="shared" si="69"/>
        <v>0</v>
      </c>
      <c r="X87" s="24">
        <f t="shared" si="82"/>
        <v>11.56640625</v>
      </c>
      <c r="Y87" s="41" t="str">
        <f t="shared" si="70"/>
        <v>E</v>
      </c>
      <c r="Z87" s="24">
        <f t="shared" si="83"/>
        <v>6.796875</v>
      </c>
      <c r="AA87" s="41" t="str">
        <f t="shared" si="71"/>
        <v>6</v>
      </c>
      <c r="AB87" s="24">
        <f t="shared" si="84"/>
        <v>9.5625</v>
      </c>
      <c r="AC87" s="41" t="str">
        <f t="shared" si="72"/>
        <v>9</v>
      </c>
      <c r="AD87" s="24">
        <f t="shared" si="85"/>
        <v>6.75</v>
      </c>
      <c r="AE87" s="41" t="str">
        <f t="shared" si="73"/>
        <v>6</v>
      </c>
      <c r="AF87" s="24">
        <f t="shared" si="86"/>
        <v>9</v>
      </c>
      <c r="AG87" s="41" t="str">
        <f t="shared" si="74"/>
        <v>9</v>
      </c>
      <c r="AH87" s="24">
        <f t="shared" si="87"/>
        <v>0</v>
      </c>
      <c r="AI87" s="41" t="str">
        <f t="shared" si="75"/>
        <v>0</v>
      </c>
      <c r="AJ87" s="24">
        <f t="shared" si="88"/>
        <v>0</v>
      </c>
      <c r="AK87" s="41" t="str">
        <f t="shared" si="76"/>
        <v>0</v>
      </c>
    </row>
    <row r="88" spans="1:37" ht="14.25" customHeight="1" thickBot="1">
      <c r="A88" s="717"/>
      <c r="B88" s="33" t="s">
        <v>373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1"/>
        <v>0;EE17EX582521</v>
      </c>
      <c r="H88" s="47"/>
      <c r="I88" s="342"/>
      <c r="J88" s="48">
        <v>-4</v>
      </c>
      <c r="K88" s="63">
        <f t="shared" si="63"/>
        <v>0.99401955054989555</v>
      </c>
      <c r="L88" s="49" t="str">
        <f>INDEX(powers!$H$2:$H$75,33+J88)</f>
        <v>sub</v>
      </c>
      <c r="M88" s="40" t="str">
        <f t="shared" si="64"/>
        <v>0</v>
      </c>
      <c r="N88" s="24">
        <f t="shared" si="77"/>
        <v>11.928234606598746</v>
      </c>
      <c r="O88" s="41" t="str">
        <f t="shared" si="65"/>
        <v>E</v>
      </c>
      <c r="P88" s="24">
        <f t="shared" si="78"/>
        <v>11.138815279184954</v>
      </c>
      <c r="Q88" s="41" t="str">
        <f t="shared" si="66"/>
        <v>E</v>
      </c>
      <c r="R88" s="24">
        <f t="shared" si="79"/>
        <v>1.6657833502194421</v>
      </c>
      <c r="S88" s="41" t="str">
        <f t="shared" si="67"/>
        <v>1</v>
      </c>
      <c r="T88" s="24">
        <f t="shared" si="80"/>
        <v>7.9894002026333055</v>
      </c>
      <c r="U88" s="41" t="str">
        <f t="shared" si="68"/>
        <v>7</v>
      </c>
      <c r="V88" s="24">
        <f t="shared" si="81"/>
        <v>11.872802431599666</v>
      </c>
      <c r="W88" s="41" t="str">
        <f t="shared" si="69"/>
        <v>E</v>
      </c>
      <c r="X88" s="24">
        <f t="shared" si="82"/>
        <v>10.473629179195996</v>
      </c>
      <c r="Y88" s="41" t="str">
        <f t="shared" si="70"/>
        <v>X</v>
      </c>
      <c r="Z88" s="24">
        <f t="shared" si="83"/>
        <v>5.6835501503519481</v>
      </c>
      <c r="AA88" s="41" t="str">
        <f t="shared" si="71"/>
        <v>5</v>
      </c>
      <c r="AB88" s="24">
        <f t="shared" si="84"/>
        <v>8.2026018042233773</v>
      </c>
      <c r="AC88" s="41" t="str">
        <f t="shared" si="72"/>
        <v>8</v>
      </c>
      <c r="AD88" s="24">
        <f t="shared" si="85"/>
        <v>2.4312216506805271</v>
      </c>
      <c r="AE88" s="41" t="str">
        <f t="shared" si="73"/>
        <v>2</v>
      </c>
      <c r="AF88" s="24">
        <f t="shared" si="86"/>
        <v>5.1746598081663251</v>
      </c>
      <c r="AG88" s="41" t="str">
        <f t="shared" si="74"/>
        <v>5</v>
      </c>
      <c r="AH88" s="24">
        <f t="shared" si="87"/>
        <v>2.0959176979959011</v>
      </c>
      <c r="AI88" s="41" t="str">
        <f t="shared" si="75"/>
        <v>2</v>
      </c>
      <c r="AJ88" s="24">
        <f t="shared" si="88"/>
        <v>1.1510123759508133</v>
      </c>
      <c r="AK88" s="41" t="str">
        <f t="shared" si="76"/>
        <v>1</v>
      </c>
    </row>
    <row r="89" spans="1:37">
      <c r="K89" s="79"/>
      <c r="L89" s="79"/>
      <c r="M89" s="79"/>
    </row>
    <row r="90" spans="1:37" ht="15" customHeight="1">
      <c r="B90" s="259" t="s">
        <v>269</v>
      </c>
      <c r="C90" s="259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2987092.2979412968</v>
      </c>
      <c r="G90" s="142" t="str">
        <f t="shared" ref="G90" si="92">M90&amp;";"&amp;O90&amp;Q90&amp;S90&amp;U90&amp;W90&amp;Y90&amp;AA90&amp;AC90&amp;AE90&amp;AG90&amp;AI90&amp;AK90</f>
        <v>1;00078436XX14</v>
      </c>
      <c r="H90" s="142"/>
      <c r="I90" s="344"/>
      <c r="J90" s="38">
        <v>6</v>
      </c>
      <c r="K90" s="61">
        <f>F90/POWER(12,J90)</f>
        <v>1.0003711667380994</v>
      </c>
      <c r="L90" s="39" t="str">
        <f>INDEX(powers!$H$2:$H$75,33+J90)</f>
        <v>cosmic centy</v>
      </c>
      <c r="M90" s="40" t="str">
        <f t="shared" ref="M90" si="93">IF($E90&gt;=M$31,MID($J$31,IF($E90&gt;M$31,INT(K90),ROUND(K90,0))+1,1),"")</f>
        <v>1</v>
      </c>
      <c r="N90" s="24">
        <f t="shared" ref="N90" si="94">(K90-INT(K90))*12</f>
        <v>4.4540008571933853E-3</v>
      </c>
      <c r="O90" s="41" t="str">
        <f t="shared" ref="O90" si="95">IF($E90&gt;=O$31,MID($J$31,IF($E90&gt;O$31,INT(N90),ROUND(N90,0))+1,1),"")</f>
        <v>0</v>
      </c>
      <c r="P90" s="24">
        <f t="shared" ref="P90" si="96">(N90-INT(N90))*12</f>
        <v>5.3448010286320624E-2</v>
      </c>
      <c r="Q90" s="41" t="str">
        <f t="shared" ref="Q90" si="97">IF($E90&gt;=Q$31,MID($J$31,IF($E90&gt;Q$31,INT(P90),ROUND(P90,0))+1,1),"")</f>
        <v>0</v>
      </c>
      <c r="R90" s="24">
        <f t="shared" ref="R90" si="98">(P90-INT(P90))*12</f>
        <v>0.64137612343584749</v>
      </c>
      <c r="S90" s="41" t="str">
        <f t="shared" ref="S90" si="99">IF($E90&gt;=S$31,MID($J$31,IF($E90&gt;S$31,INT(R90),ROUND(R90,0))+1,1),"")</f>
        <v>0</v>
      </c>
      <c r="T90" s="24">
        <f t="shared" ref="T90" si="100">(R90-INT(R90))*12</f>
        <v>7.6965134812301699</v>
      </c>
      <c r="U90" s="41" t="str">
        <f t="shared" ref="U90" si="101">IF($E90&gt;=U$31,MID($J$31,IF($E90&gt;U$31,INT(T90),ROUND(T90,0))+1,1),"")</f>
        <v>7</v>
      </c>
      <c r="V90" s="24">
        <f t="shared" ref="V90" si="102">(T90-INT(T90))*12</f>
        <v>8.3581617747620385</v>
      </c>
      <c r="W90" s="41" t="str">
        <f t="shared" ref="W90" si="103">IF($E90&gt;=W$31,MID($J$31,IF($E90&gt;W$31,INT(V90),ROUND(V90,0))+1,1),"")</f>
        <v>8</v>
      </c>
      <c r="X90" s="24">
        <f t="shared" ref="X90" si="104">(V90-INT(V90))*12</f>
        <v>4.2979412971444617</v>
      </c>
      <c r="Y90" s="41" t="str">
        <f t="shared" ref="Y90" si="105">IF($E90&gt;=Y$31,MID($J$31,IF($E90&gt;Y$31,INT(X90),ROUND(X90,0))+1,1),"")</f>
        <v>4</v>
      </c>
      <c r="Z90" s="24">
        <f t="shared" ref="Z90" si="106">(X90-INT(X90))*12</f>
        <v>3.5752955657335406</v>
      </c>
      <c r="AA90" s="41" t="str">
        <f t="shared" ref="AA90" si="107">IF($E90&gt;=AA$31,MID($J$31,IF($E90&gt;AA$31,INT(Z90),ROUND(Z90,0))+1,1),"")</f>
        <v>3</v>
      </c>
      <c r="AB90" s="24">
        <f t="shared" ref="AB90" si="108">(Z90-INT(Z90))*12</f>
        <v>6.9035467888024868</v>
      </c>
      <c r="AC90" s="41" t="str">
        <f t="shared" ref="AC90" si="109">IF($E90&gt;=AC$31,MID($J$31,IF($E90&gt;AC$31,INT(AB90),ROUND(AB90,0))+1,1),"")</f>
        <v>6</v>
      </c>
      <c r="AD90" s="24">
        <f t="shared" ref="AD90" si="110">(AB90-INT(AB90))*12</f>
        <v>10.842561465629842</v>
      </c>
      <c r="AE90" s="41" t="str">
        <f t="shared" ref="AE90" si="111">IF($E90&gt;=AE$31,MID($J$31,IF($E90&gt;AE$31,INT(AD90),ROUND(AD90,0))+1,1),"")</f>
        <v>X</v>
      </c>
      <c r="AF90" s="24">
        <f t="shared" ref="AF90" si="112">(AD90-INT(AD90))*12</f>
        <v>10.110737587558106</v>
      </c>
      <c r="AG90" s="41" t="str">
        <f t="shared" ref="AG90" si="113">IF($E90&gt;=AG$31,MID($J$31,IF($E90&gt;AG$31,INT(AF90),ROUND(AF90,0))+1,1),"")</f>
        <v>X</v>
      </c>
      <c r="AH90" s="24">
        <f t="shared" ref="AH90" si="114">(AF90-INT(AF90))*12</f>
        <v>1.3288510506972671</v>
      </c>
      <c r="AI90" s="41" t="str">
        <f t="shared" ref="AI90" si="115">IF($E90&gt;=AI$31,MID($J$31,IF($E90&gt;AI$31,INT(AH90),ROUND(AH90,0))+1,1),"")</f>
        <v>1</v>
      </c>
      <c r="AJ90" s="24">
        <f t="shared" ref="AJ90" si="116">(AH90-INT(AH90))*12</f>
        <v>3.9462126083672047</v>
      </c>
      <c r="AK90" s="41" t="str">
        <f t="shared" ref="AK90" si="117">IF($E90&gt;=AK$31,MID($J$31,IF($E90&gt;AK$31,INT(AJ90),ROUND(AJ90,0))+1,1),"")</f>
        <v>4</v>
      </c>
    </row>
    <row r="91" spans="1:37">
      <c r="B91" s="141" t="s">
        <v>270</v>
      </c>
      <c r="D91" s="14">
        <f>1/(1+0.00054461702177)</f>
        <v>0.99945567942448077</v>
      </c>
    </row>
    <row r="92" spans="1:37">
      <c r="B92" s="529" t="s">
        <v>1295</v>
      </c>
      <c r="C92" s="301"/>
      <c r="D92" s="21">
        <f>R23</f>
        <v>0.96873230298030488</v>
      </c>
      <c r="E92" s="8">
        <v>7</v>
      </c>
      <c r="F92" s="21">
        <f>D92</f>
        <v>0.96873230298030488</v>
      </c>
      <c r="G92" s="142" t="str">
        <f t="shared" ref="G92:G93" si="118">M92&amp;";"&amp;O92&amp;Q92&amp;S92&amp;U92&amp;W92&amp;Y92&amp;AA92&amp;AC92&amp;AE92&amp;AG92&amp;AI92&amp;AK92</f>
        <v>0;E75E772</v>
      </c>
      <c r="H92" s="142"/>
      <c r="I92" s="344"/>
      <c r="J92" s="38">
        <v>0</v>
      </c>
      <c r="K92" s="61">
        <f>F92/POWER(12,J92)</f>
        <v>0.96873230298030488</v>
      </c>
      <c r="L92" s="39" t="str">
        <f>INDEX(powers!$H$2:$H$75,33+J92)</f>
        <v xml:space="preserve"> </v>
      </c>
      <c r="M92" s="40" t="str">
        <f t="shared" ref="M92" si="119">IF($E92&gt;=M$31,MID($J$31,IF($E92&gt;M$31,INT(K92),ROUND(K92,0))+1,1),"")</f>
        <v>0</v>
      </c>
      <c r="N92" s="24">
        <f t="shared" ref="N92:N93" si="120">(K92-INT(K92))*12</f>
        <v>11.624787635763658</v>
      </c>
      <c r="O92" s="41" t="str">
        <f t="shared" ref="O92" si="121">IF($E92&gt;=O$31,MID($J$31,IF($E92&gt;O$31,INT(N92),ROUND(N92,0))+1,1),"")</f>
        <v>E</v>
      </c>
      <c r="P92" s="24">
        <f t="shared" ref="P92:P93" si="122">(N92-INT(N92))*12</f>
        <v>7.4974516291638977</v>
      </c>
      <c r="Q92" s="41" t="str">
        <f t="shared" ref="Q92" si="123">IF($E92&gt;=Q$31,MID($J$31,IF($E92&gt;Q$31,INT(P92),ROUND(P92,0))+1,1),"")</f>
        <v>7</v>
      </c>
      <c r="R92" s="24">
        <f t="shared" ref="R92:R93" si="124">(P92-INT(P92))*12</f>
        <v>5.9694195499667728</v>
      </c>
      <c r="S92" s="41" t="str">
        <f t="shared" ref="S92" si="125">IF($E92&gt;=S$31,MID($J$31,IF($E92&gt;S$31,INT(R92),ROUND(R92,0))+1,1),"")</f>
        <v>5</v>
      </c>
      <c r="T92" s="24">
        <f t="shared" ref="T92:T93" si="126">(R92-INT(R92))*12</f>
        <v>11.633034599601274</v>
      </c>
      <c r="U92" s="41" t="str">
        <f t="shared" ref="U92" si="127">IF($E92&gt;=U$31,MID($J$31,IF($E92&gt;U$31,INT(T92),ROUND(T92,0))+1,1),"")</f>
        <v>E</v>
      </c>
      <c r="V92" s="24">
        <f t="shared" ref="V92:V93" si="128">(T92-INT(T92))*12</f>
        <v>7.5964151952152861</v>
      </c>
      <c r="W92" s="41" t="str">
        <f t="shared" ref="W92" si="129">IF($E92&gt;=W$31,MID($J$31,IF($E92&gt;W$31,INT(V92),ROUND(V92,0))+1,1),"")</f>
        <v>7</v>
      </c>
      <c r="X92" s="24">
        <f t="shared" ref="X92:X93" si="130">(V92-INT(V92))*12</f>
        <v>7.1569823425834329</v>
      </c>
      <c r="Y92" s="41" t="str">
        <f t="shared" ref="Y92" si="131">IF($E92&gt;=Y$31,MID($J$31,IF($E92&gt;Y$31,INT(X92),ROUND(X92,0))+1,1),"")</f>
        <v>7</v>
      </c>
      <c r="Z92" s="24">
        <f t="shared" ref="Z92:Z93" si="132">(X92-INT(X92))*12</f>
        <v>1.8837881110011949</v>
      </c>
      <c r="AA92" s="41" t="str">
        <f t="shared" ref="AA92" si="133">IF($E92&gt;=AA$31,MID($J$31,IF($E92&gt;AA$31,INT(Z92),ROUND(Z92,0))+1,1),"")</f>
        <v>2</v>
      </c>
      <c r="AB92" s="24">
        <f t="shared" ref="AB92:AB93" si="134">(Z92-INT(Z92))*12</f>
        <v>10.605457332014339</v>
      </c>
      <c r="AC92" s="41" t="str">
        <f t="shared" ref="AC92" si="135">IF($E92&gt;=AC$31,MID($J$31,IF($E92&gt;AC$31,INT(AB92),ROUND(AB92,0))+1,1),"")</f>
        <v/>
      </c>
      <c r="AD92" s="24">
        <f t="shared" ref="AD92:AD93" si="136">(AB92-INT(AB92))*12</f>
        <v>7.2654879841720685</v>
      </c>
      <c r="AE92" s="41" t="str">
        <f t="shared" ref="AE92" si="137">IF($E92&gt;=AE$31,MID($J$31,IF($E92&gt;AE$31,INT(AD92),ROUND(AD92,0))+1,1),"")</f>
        <v/>
      </c>
      <c r="AF92" s="24">
        <f t="shared" ref="AF92:AF93" si="138">(AD92-INT(AD92))*12</f>
        <v>3.1858558100648224</v>
      </c>
      <c r="AG92" s="41" t="str">
        <f t="shared" ref="AG92" si="139">IF($E92&gt;=AG$31,MID($J$31,IF($E92&gt;AG$31,INT(AF92),ROUND(AF92,0))+1,1),"")</f>
        <v/>
      </c>
      <c r="AH92" s="24">
        <f t="shared" ref="AH92:AH93" si="140">(AF92-INT(AF92))*12</f>
        <v>2.2302697207778692</v>
      </c>
      <c r="AI92" s="41" t="str">
        <f t="shared" ref="AI92" si="141">IF($E92&gt;=AI$31,MID($J$31,IF($E92&gt;AI$31,INT(AH92),ROUND(AH92,0))+1,1),"")</f>
        <v/>
      </c>
      <c r="AJ92" s="24">
        <f t="shared" ref="AJ92:AJ93" si="142">(AH92-INT(AH92))*12</f>
        <v>2.7632366493344307</v>
      </c>
      <c r="AK92" s="41" t="str">
        <f t="shared" ref="AK92" si="143">IF($E92&gt;=AK$31,MID($J$31,IF($E92&gt;AK$31,INT(AJ92),ROUND(AJ92,0))+1,1),"")</f>
        <v/>
      </c>
    </row>
    <row r="93" spans="1:37">
      <c r="B93" s="529" t="s">
        <v>769</v>
      </c>
      <c r="C93" s="350"/>
      <c r="D93" s="21">
        <v>540000000000000</v>
      </c>
      <c r="E93" s="8">
        <v>7</v>
      </c>
      <c r="F93" s="21">
        <f>D93/F22</f>
        <v>210937500000000</v>
      </c>
      <c r="G93" s="142" t="str">
        <f t="shared" si="118"/>
        <v>1;E7X9126</v>
      </c>
      <c r="H93" s="142"/>
      <c r="I93" s="344"/>
      <c r="J93" s="38">
        <v>13</v>
      </c>
      <c r="K93" s="61">
        <f>F93/POWER(12,J93)</f>
        <v>1.971503697385812</v>
      </c>
      <c r="L93" s="39" t="str">
        <f>INDEX(powers!$H$2:$H$75,33+J93)</f>
        <v>di-cosmic milly</v>
      </c>
      <c r="M93" s="40" t="str">
        <f>IF($E93&gt;=M$31,MID($J$31,IF($E93&gt;M$31,INT(K93),ROUND(K93,0))+1,1),"")</f>
        <v>1</v>
      </c>
      <c r="N93" s="24">
        <f t="shared" si="120"/>
        <v>11.658044368629744</v>
      </c>
      <c r="O93" s="41" t="str">
        <f>IF($E93&gt;=O$31,MID($J$31,IF($E93&gt;O$31,INT(N93),ROUND(N93,0))+1,1),"")</f>
        <v>E</v>
      </c>
      <c r="P93" s="24">
        <f t="shared" si="122"/>
        <v>7.896532423556927</v>
      </c>
      <c r="Q93" s="41" t="str">
        <f>IF($E93&gt;=Q$31,MID($J$31,IF($E93&gt;Q$31,INT(P93),ROUND(P93,0))+1,1),"")</f>
        <v>7</v>
      </c>
      <c r="R93" s="24">
        <f t="shared" si="124"/>
        <v>10.758389082683124</v>
      </c>
      <c r="S93" s="41" t="str">
        <f>IF($E93&gt;=S$31,MID($J$31,IF($E93&gt;S$31,INT(R93),ROUND(R93,0))+1,1),"")</f>
        <v>X</v>
      </c>
      <c r="T93" s="24">
        <f t="shared" si="126"/>
        <v>9.1006689921974839</v>
      </c>
      <c r="U93" s="41" t="str">
        <f>IF($E93&gt;=U$31,MID($J$31,IF($E93&gt;U$31,INT(T93),ROUND(T93,0))+1,1),"")</f>
        <v>9</v>
      </c>
      <c r="V93" s="24">
        <f t="shared" si="128"/>
        <v>1.2080279063698072</v>
      </c>
      <c r="W93" s="41" t="str">
        <f>IF($E93&gt;=W$31,MID($J$31,IF($E93&gt;W$31,INT(V93),ROUND(V93,0))+1,1),"")</f>
        <v>1</v>
      </c>
      <c r="X93" s="24">
        <f t="shared" si="130"/>
        <v>2.496334876437686</v>
      </c>
      <c r="Y93" s="41" t="str">
        <f>IF($E93&gt;=Y$31,MID($J$31,IF($E93&gt;Y$31,INT(X93),ROUND(X93,0))+1,1),"")</f>
        <v>2</v>
      </c>
      <c r="Z93" s="24">
        <f t="shared" si="132"/>
        <v>5.9560185172522324</v>
      </c>
      <c r="AA93" s="41" t="str">
        <f>IF($E93&gt;=AA$31,MID($J$31,IF($E93&gt;AA$31,INT(Z93),ROUND(Z93,0))+1,1),"")</f>
        <v>6</v>
      </c>
      <c r="AB93" s="24">
        <f t="shared" si="134"/>
        <v>11.472222207026789</v>
      </c>
      <c r="AC93" s="41" t="str">
        <f>IF($E93&gt;=AC$31,MID($J$31,IF($E93&gt;AC$31,INT(AB93),ROUND(AB93,0))+1,1),"")</f>
        <v/>
      </c>
      <c r="AD93" s="24">
        <f t="shared" si="136"/>
        <v>5.6666664843214676</v>
      </c>
      <c r="AE93" s="41" t="str">
        <f>IF($E93&gt;=AE$31,MID($J$31,IF($E93&gt;AE$31,INT(AD93),ROUND(AD93,0))+1,1),"")</f>
        <v/>
      </c>
      <c r="AF93" s="24">
        <f t="shared" si="138"/>
        <v>7.9999978118576109</v>
      </c>
      <c r="AG93" s="41" t="str">
        <f>IF($E93&gt;=AG$31,MID($J$31,IF($E93&gt;AG$31,INT(AF93),ROUND(AF93,0))+1,1),"")</f>
        <v/>
      </c>
      <c r="AH93" s="24">
        <f t="shared" si="140"/>
        <v>11.999973742291331</v>
      </c>
      <c r="AI93" s="41" t="str">
        <f>IF($E93&gt;=AI$31,MID($J$31,IF($E93&gt;AI$31,INT(AH93),ROUND(AH93,0))+1,1),"")</f>
        <v/>
      </c>
      <c r="AJ93" s="24">
        <f t="shared" si="142"/>
        <v>11.999684907495975</v>
      </c>
      <c r="AK93" s="41" t="str">
        <f>IF($E93&gt;=AK$31,MID($J$31,IF($E93&gt;AK$31,INT(AJ93),ROUND(AJ93,0))+1,1),"")</f>
        <v/>
      </c>
    </row>
    <row r="94" spans="1:37">
      <c r="B94" s="14" t="s">
        <v>1887</v>
      </c>
      <c r="D94" s="204">
        <f>F22*F94</f>
        <v>547805211540848.62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5" spans="1:37" ht="12.75" thickBot="1">
      <c r="K95" s="79"/>
      <c r="L95" s="79"/>
      <c r="M95" s="79"/>
    </row>
    <row r="96" spans="1:37" ht="12.75" thickBot="1">
      <c r="B96" s="68" t="s">
        <v>115</v>
      </c>
      <c r="C96" s="69"/>
      <c r="D96" s="70"/>
      <c r="E96" s="69">
        <v>9</v>
      </c>
      <c r="F96" s="70">
        <f>(365+31/128)/(POWER(3,6)/2)</f>
        <v>1.0020361796982167</v>
      </c>
      <c r="G96" s="71" t="str">
        <f t="shared" ref="G96" si="144">M96&amp;";"&amp;O96&amp;Q96&amp;S96&amp;U96&amp;W96&amp;Y96&amp;AA96&amp;AC96&amp;AE96&amp;AG96&amp;AI96&amp;AK96</f>
        <v>1;003628000</v>
      </c>
      <c r="H96" s="71"/>
      <c r="I96" s="355"/>
      <c r="J96" s="72">
        <v>0</v>
      </c>
      <c r="K96" s="73">
        <f>F96/POWER(12,J96)+0.00000000000001</f>
        <v>1.0020361796982267</v>
      </c>
      <c r="L96" s="74" t="str">
        <f>INDEX(powers!$H$2:$H$75,33+J96)</f>
        <v xml:space="preserve"> </v>
      </c>
      <c r="M96" s="75" t="str">
        <f t="shared" ref="M96" si="145">IF($E96&gt;=M$31,MID($J$31,IF($E96&gt;M$31,INT(K96),ROUND(K96,0))+1,1),"")</f>
        <v>1</v>
      </c>
      <c r="N96" s="76">
        <f>(K96-INT(K96))*12</f>
        <v>2.443415637872004E-2</v>
      </c>
      <c r="O96" s="77" t="str">
        <f t="shared" ref="O96" si="146">IF($E96&gt;=O$31,MID($J$31,IF($E96&gt;O$31,INT(N96),ROUND(N96,0))+1,1),"")</f>
        <v>0</v>
      </c>
      <c r="P96" s="76">
        <f>(N96-INT(N96))*12</f>
        <v>0.29320987654464048</v>
      </c>
      <c r="Q96" s="77" t="str">
        <f t="shared" ref="Q96" si="147">IF($E96&gt;=Q$31,MID($J$31,IF($E96&gt;Q$31,INT(P96),ROUND(P96,0))+1,1),"")</f>
        <v>0</v>
      </c>
      <c r="R96" s="76">
        <f>(P96-INT(P96))*12</f>
        <v>3.5185185185356858</v>
      </c>
      <c r="S96" s="77" t="str">
        <f t="shared" ref="S96" si="148">IF($E96&gt;=S$31,MID($J$31,IF($E96&gt;S$31,INT(R96),ROUND(R96,0))+1,1),"")</f>
        <v>3</v>
      </c>
      <c r="T96" s="76">
        <f>(R96-INT(R96))*12</f>
        <v>6.2222222224282291</v>
      </c>
      <c r="U96" s="77" t="str">
        <f t="shared" ref="U96" si="149">IF($E96&gt;=U$31,MID($J$31,IF($E96&gt;U$31,INT(T96),ROUND(T96,0))+1,1),"")</f>
        <v>6</v>
      </c>
      <c r="V96" s="76">
        <f>(T96-INT(T96))*12</f>
        <v>2.6666666691387491</v>
      </c>
      <c r="W96" s="77" t="str">
        <f t="shared" ref="W96" si="150">IF($E96&gt;=W$31,MID($J$31,IF($E96&gt;W$31,INT(V96),ROUND(V96,0))+1,1),"")</f>
        <v>2</v>
      </c>
      <c r="X96" s="76">
        <f>(V96-INT(V96))*12</f>
        <v>8.0000000296649887</v>
      </c>
      <c r="Y96" s="77" t="str">
        <f t="shared" ref="Y96" si="151">IF($E96&gt;=Y$31,MID($J$31,IF($E96&gt;Y$31,INT(X96),ROUND(X96,0))+1,1),"")</f>
        <v>8</v>
      </c>
      <c r="Z96" s="76">
        <f>(X96-INT(X96))*12</f>
        <v>3.559798642527312E-7</v>
      </c>
      <c r="AA96" s="77" t="str">
        <f t="shared" ref="AA96" si="152">IF($E96&gt;=AA$31,MID($J$31,IF($E96&gt;AA$31,INT(Z96),ROUND(Z96,0))+1,1),"")</f>
        <v>0</v>
      </c>
      <c r="AB96" s="76">
        <f>(Z96-INT(Z96))*12</f>
        <v>4.2717583710327744E-6</v>
      </c>
      <c r="AC96" s="77" t="str">
        <f t="shared" ref="AC96" si="153">IF($E96&gt;=AC$31,MID($J$31,IF($E96&gt;AC$31,INT(AB96),ROUND(AB96,0))+1,1),"")</f>
        <v>0</v>
      </c>
      <c r="AD96" s="76">
        <f>(AB96-INT(AB96))*12</f>
        <v>5.1261100452393293E-5</v>
      </c>
      <c r="AE96" s="77" t="str">
        <f t="shared" ref="AE96" si="154">IF($E96&gt;=AE$31,MID($J$31,IF($E96&gt;AE$31,INT(AD96),ROUND(AD96,0))+1,1),"")</f>
        <v>0</v>
      </c>
      <c r="AF96" s="76">
        <f>(AD96-INT(AD96))*12</f>
        <v>6.1513320542871952E-4</v>
      </c>
      <c r="AG96" s="77" t="str">
        <f t="shared" ref="AG96" si="155">IF($E96&gt;=AG$31,MID($J$31,IF($E96&gt;AG$31,INT(AF96),ROUND(AF96,0))+1,1),"")</f>
        <v/>
      </c>
      <c r="AH96" s="76">
        <f>(AF96-INT(AF96))*12</f>
        <v>7.3815984651446342E-3</v>
      </c>
      <c r="AI96" s="77" t="str">
        <f t="shared" ref="AI96" si="156">IF($E96&gt;=AI$31,MID($J$31,IF($E96&gt;AI$31,INT(AH96),ROUND(AH96,0))+1,1),"")</f>
        <v/>
      </c>
      <c r="AJ96" s="76">
        <f>(AH96-INT(AH96))*12</f>
        <v>8.8579181581735611E-2</v>
      </c>
      <c r="AK96" s="78" t="str">
        <f t="shared" ref="AK96" si="157">IF($E96&gt;=AK$31,MID($J$31,IF($E96&gt;AK$31,INT(AJ96),ROUND(AJ96,0))+1,1),"")</f>
        <v/>
      </c>
    </row>
    <row r="97" spans="9:9">
      <c r="I97" s="14"/>
    </row>
    <row r="98" spans="9:9">
      <c r="I98" s="14"/>
    </row>
    <row r="99" spans="9:9">
      <c r="I99" s="14"/>
    </row>
    <row r="100" spans="9:9">
      <c r="I100" s="14"/>
    </row>
    <row r="101" spans="9:9">
      <c r="I101" s="14"/>
    </row>
    <row r="102" spans="9:9">
      <c r="I102" s="14"/>
    </row>
    <row r="103" spans="9:9">
      <c r="I103" s="14"/>
    </row>
    <row r="104" spans="9:9">
      <c r="I104" s="14"/>
    </row>
    <row r="105" spans="9:9">
      <c r="I105" s="14"/>
    </row>
    <row r="106" spans="9:9">
      <c r="I106" s="14"/>
    </row>
    <row r="107" spans="9:9">
      <c r="I107" s="14"/>
    </row>
    <row r="108" spans="9:9">
      <c r="I108" s="14"/>
    </row>
    <row r="109" spans="9:9">
      <c r="I109" s="14"/>
    </row>
    <row r="110" spans="9:9">
      <c r="I110" s="14"/>
    </row>
    <row r="111" spans="9:9">
      <c r="I111" s="14"/>
    </row>
    <row r="112" spans="9:9">
      <c r="I112" s="14"/>
    </row>
    <row r="113" spans="8:9">
      <c r="I113" s="14"/>
    </row>
    <row r="114" spans="8:9">
      <c r="I114" s="14"/>
    </row>
    <row r="115" spans="8:9">
      <c r="I115" s="14"/>
    </row>
    <row r="116" spans="8:9">
      <c r="I116" s="14"/>
    </row>
    <row r="117" spans="8:9">
      <c r="I117" s="14"/>
    </row>
    <row r="118" spans="8:9">
      <c r="I118" s="14"/>
    </row>
    <row r="119" spans="8:9">
      <c r="I119" s="14"/>
    </row>
    <row r="120" spans="8:9">
      <c r="H120" s="249"/>
      <c r="I120" s="348"/>
    </row>
  </sheetData>
  <mergeCells count="6">
    <mergeCell ref="A71:A88"/>
    <mergeCell ref="J31:K31"/>
    <mergeCell ref="A31:A70"/>
    <mergeCell ref="M2:N2"/>
    <mergeCell ref="M1:R1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5"/>
  <sheetViews>
    <sheetView tabSelected="1" zoomScaleNormal="100" workbookViewId="0">
      <selection activeCell="B68" sqref="B68"/>
    </sheetView>
  </sheetViews>
  <sheetFormatPr defaultRowHeight="12"/>
  <cols>
    <col min="1" max="1" width="2.75" style="14" customWidth="1"/>
    <col min="2" max="2" width="27.125" style="14" customWidth="1"/>
    <col min="3" max="3" width="8.625" style="14" customWidth="1"/>
    <col min="4" max="4" width="14.125" style="14" customWidth="1"/>
    <col min="5" max="5" width="3.5" style="14" customWidth="1"/>
    <col min="6" max="6" width="14.625" style="14" customWidth="1"/>
    <col min="7" max="7" width="14.125" style="14" customWidth="1"/>
    <col min="8" max="8" width="7" style="14" customWidth="1"/>
    <col min="9" max="9" width="2.75" style="343" customWidth="1"/>
    <col min="10" max="10" width="3.625" style="14" customWidth="1"/>
    <col min="11" max="11" width="9.625" style="14" customWidth="1"/>
    <col min="12" max="12" width="15.75" style="14" customWidth="1"/>
    <col min="13" max="13" width="3.125" style="14" customWidth="1"/>
    <col min="14" max="14" width="8.625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9" style="14" customWidth="1"/>
    <col min="37" max="37" width="3.125" style="14" customWidth="1"/>
    <col min="38" max="38" width="10.25" style="14" customWidth="1"/>
    <col min="39" max="39" width="10.125" style="14" customWidth="1"/>
    <col min="40" max="16384" width="9" style="14"/>
  </cols>
  <sheetData>
    <row r="1" spans="1:37" ht="11.25" customHeight="1">
      <c r="A1" s="718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349" t="s">
        <v>767</v>
      </c>
      <c r="J1" s="19"/>
      <c r="K1" s="56" t="s">
        <v>46</v>
      </c>
      <c r="L1" s="20"/>
      <c r="M1" s="729" t="s">
        <v>116</v>
      </c>
      <c r="N1" s="730"/>
      <c r="O1" s="730"/>
      <c r="P1" s="730"/>
      <c r="Q1" s="730"/>
      <c r="R1" s="730"/>
    </row>
    <row r="2" spans="1:37" ht="13.5" customHeight="1">
      <c r="A2" s="719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727">
        <f>365.2421896698-(0.00000615359)*P2-(0.000000000729)*P2*P2+(0.000000000264)*P2*P2*P2</f>
        <v>365.24218750000171</v>
      </c>
      <c r="N2" s="728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719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6</v>
      </c>
      <c r="F3" s="21">
        <f t="shared" ref="F3:F30" si="0">D3*POWER(12,E3)</f>
        <v>0.27235220593302245</v>
      </c>
      <c r="G3" s="26" t="s">
        <v>79</v>
      </c>
      <c r="H3" s="26"/>
      <c r="I3" s="334"/>
      <c r="J3" s="8">
        <v>-3</v>
      </c>
      <c r="K3" s="58">
        <f>F3/POWER(10,J3)</f>
        <v>272.35220593302245</v>
      </c>
      <c r="L3" s="122" t="str">
        <f>Rydberg!L3</f>
        <v>mm</v>
      </c>
      <c r="M3" s="23"/>
      <c r="N3" s="82">
        <f>-LOG(F3)/(LOG(12)-LOG(10))</f>
        <v>7.1338748880341774</v>
      </c>
      <c r="O3" s="24"/>
      <c r="P3" s="83">
        <f>POWER(12,N3)*F3/POWER(10,N3)</f>
        <v>0.99999999999999978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719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14</v>
      </c>
      <c r="F4" s="21">
        <f t="shared" si="0"/>
        <v>0.39062511511354381</v>
      </c>
      <c r="G4" s="554">
        <f>(F4-Clock!F4)*(365+31/128)*128*12*12*12</f>
        <v>9.2995314392070014</v>
      </c>
      <c r="H4" s="283"/>
      <c r="I4" s="335"/>
      <c r="J4" s="8">
        <v>-3</v>
      </c>
      <c r="K4" s="58">
        <f t="shared" ref="K4:K30" si="1">F4/POWER(10,J4)</f>
        <v>390.62511511354381</v>
      </c>
      <c r="L4" s="122" t="str">
        <f>Rydberg!L4</f>
        <v>ms</v>
      </c>
      <c r="M4" s="23"/>
      <c r="N4" s="82">
        <f t="shared" ref="N4:N30" si="2">-LOG(F4)/(LOG(12)-LOG(10))</f>
        <v>5.1557642460412021</v>
      </c>
      <c r="O4" s="24"/>
      <c r="P4" s="83">
        <f t="shared" ref="P4:P30" si="3">POWER(12,N4)*F4/POWER(10,N4)</f>
        <v>0.99999999999999978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719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16</v>
      </c>
      <c r="F5" s="21">
        <f t="shared" si="0"/>
        <v>6.4084554944303582E-2</v>
      </c>
      <c r="G5" s="21"/>
      <c r="H5" s="21"/>
      <c r="I5" s="333"/>
      <c r="J5" s="8">
        <v>-3</v>
      </c>
      <c r="K5" s="58">
        <f t="shared" si="1"/>
        <v>64.084554944303576</v>
      </c>
      <c r="L5" s="122" t="str">
        <f>Rydberg!L5</f>
        <v>mJ</v>
      </c>
      <c r="M5" s="23"/>
      <c r="N5" s="82">
        <f t="shared" si="2"/>
        <v>15.06981371216164</v>
      </c>
      <c r="O5" s="24"/>
      <c r="P5" s="83">
        <f t="shared" si="3"/>
        <v>0.99999999999999611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719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6">
        <v>-8</v>
      </c>
      <c r="F6" s="139">
        <f t="shared" si="0"/>
        <v>5.8387561229892158E-5</v>
      </c>
      <c r="G6" s="21"/>
      <c r="H6" s="21"/>
      <c r="I6" s="333"/>
      <c r="J6" s="136">
        <v>-6</v>
      </c>
      <c r="K6" s="140">
        <f t="shared" si="1"/>
        <v>58.387561229892164</v>
      </c>
      <c r="L6" s="137" t="str">
        <f>Rydberg!L6</f>
        <v>μK</v>
      </c>
      <c r="M6" s="23"/>
      <c r="N6" s="82">
        <f t="shared" si="2"/>
        <v>53.468212178946835</v>
      </c>
      <c r="O6" s="24"/>
      <c r="P6" s="83">
        <f t="shared" si="3"/>
        <v>0.99999999999997724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719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719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32</v>
      </c>
      <c r="F8" s="21">
        <f t="shared" si="0"/>
        <v>0.13182928708292121</v>
      </c>
      <c r="G8" s="21"/>
      <c r="H8" s="21"/>
      <c r="I8" s="333"/>
      <c r="J8" s="8">
        <v>-3</v>
      </c>
      <c r="K8" s="58">
        <f t="shared" si="1"/>
        <v>131.82928708292121</v>
      </c>
      <c r="L8" s="122" t="str">
        <f>Rydberg!L8</f>
        <v>g</v>
      </c>
      <c r="M8" s="23"/>
      <c r="N8" s="82">
        <f t="shared" si="2"/>
        <v>11.113592428175686</v>
      </c>
      <c r="O8" s="24"/>
      <c r="P8" s="83">
        <f t="shared" si="3"/>
        <v>0.99999999999999989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719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2</v>
      </c>
      <c r="F9" s="21">
        <f t="shared" si="0"/>
        <v>0.16405641231152276</v>
      </c>
      <c r="G9" s="21"/>
      <c r="H9" s="21"/>
      <c r="I9" s="333"/>
      <c r="J9" s="8">
        <v>-3</v>
      </c>
      <c r="K9" s="58">
        <f t="shared" si="1"/>
        <v>164.05641231152276</v>
      </c>
      <c r="L9" s="122" t="str">
        <f>Rydberg!L9</f>
        <v>mW</v>
      </c>
      <c r="M9" s="23"/>
      <c r="N9" s="82">
        <f t="shared" si="2"/>
        <v>9.914049466120435</v>
      </c>
      <c r="O9" s="24"/>
      <c r="P9" s="83">
        <f t="shared" si="3"/>
        <v>0.99999999999999822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719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333"/>
      <c r="J10" s="8">
        <v>-3</v>
      </c>
      <c r="K10" s="58">
        <f t="shared" si="1"/>
        <v>235.30029699874513</v>
      </c>
      <c r="L10" s="122" t="str">
        <f>Rydberg!L10</f>
        <v>mN</v>
      </c>
      <c r="M10" s="23"/>
      <c r="N10" s="82">
        <f t="shared" si="2"/>
        <v>7.9359388241274607</v>
      </c>
      <c r="O10" s="24"/>
      <c r="P10" s="83">
        <f t="shared" si="3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719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-2</v>
      </c>
      <c r="F11" s="21">
        <f t="shared" si="0"/>
        <v>3.1722008774165378</v>
      </c>
      <c r="G11" s="21"/>
      <c r="H11" s="21"/>
      <c r="I11" s="333"/>
      <c r="J11" s="8">
        <v>0</v>
      </c>
      <c r="K11" s="58">
        <f t="shared" si="1"/>
        <v>3.1722008774165378</v>
      </c>
      <c r="L11" s="122" t="str">
        <f>Rydberg!L11</f>
        <v>Pa</v>
      </c>
      <c r="M11" s="23"/>
      <c r="N11" s="82">
        <f t="shared" si="2"/>
        <v>-6.3318109519408949</v>
      </c>
      <c r="O11" s="24"/>
      <c r="P11" s="83">
        <f t="shared" si="3"/>
        <v>1.000000000000002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719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719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333"/>
      <c r="J13" s="8">
        <v>-3</v>
      </c>
      <c r="K13" s="58">
        <f t="shared" si="1"/>
        <v>73.975217968011464</v>
      </c>
      <c r="L13" s="122" t="str">
        <f>Rydberg!L13</f>
        <v>mA</v>
      </c>
      <c r="M13" s="23"/>
      <c r="N13" s="82">
        <f t="shared" si="2"/>
        <v>14.282595980320391</v>
      </c>
      <c r="O13" s="24"/>
      <c r="P13" s="83">
        <f t="shared" si="3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719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-5</v>
      </c>
      <c r="F14" s="21">
        <f t="shared" ref="F14" si="4">D14*POWER(12,E14)</f>
        <v>0.2716160044108607</v>
      </c>
      <c r="G14" s="21"/>
      <c r="H14" s="21"/>
      <c r="I14" s="333"/>
      <c r="J14" s="8">
        <v>-3</v>
      </c>
      <c r="K14" s="58">
        <f t="shared" ref="K14" si="5">F14/POWER(10,J14)</f>
        <v>271.61600441086068</v>
      </c>
      <c r="L14" s="122" t="str">
        <f>Rydberg!L14</f>
        <v>mA/m</v>
      </c>
      <c r="M14" s="23"/>
      <c r="N14" s="82">
        <f t="shared" ref="N14" si="6">-LOG(F14)/(LOG(12)-LOG(10))</f>
        <v>7.1487210922862126</v>
      </c>
      <c r="O14" s="24"/>
      <c r="P14" s="83">
        <f t="shared" ref="P14" si="7">POWER(12,N14)*F14/POWER(10,N14)</f>
        <v>1.0000000000000002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719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ref="F15" si="8">D15*POWER(12,E15)</f>
        <v>0.38956920736586814</v>
      </c>
      <c r="G15" s="21"/>
      <c r="H15" s="21"/>
      <c r="I15" s="333"/>
      <c r="J15" s="8">
        <v>-3</v>
      </c>
      <c r="K15" s="58">
        <f t="shared" ref="K15" si="9">F15/POWER(10,J15)</f>
        <v>389.56920736586812</v>
      </c>
      <c r="L15" s="122" t="str">
        <f>Rydberg!L15</f>
        <v>mC/m^2</v>
      </c>
      <c r="M15" s="23"/>
      <c r="N15" s="82">
        <f t="shared" ref="N15" si="10">-LOG(F15)/(LOG(12)-LOG(10))</f>
        <v>5.1706104502932382</v>
      </c>
      <c r="O15" s="24"/>
      <c r="P15" s="83">
        <f t="shared" ref="P15" si="11">POWER(12,N15)*F15/POWER(10,N15)</f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719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v>0</v>
      </c>
      <c r="K16" s="58">
        <f t="shared" si="1"/>
        <v>29.979245800000001</v>
      </c>
      <c r="L16" s="122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719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333"/>
      <c r="J17" s="8">
        <v>0</v>
      </c>
      <c r="K17" s="58">
        <f t="shared" si="1"/>
        <v>2.2177212425715922</v>
      </c>
      <c r="L17" s="122" t="str">
        <f>Rydberg!L17</f>
        <v>V</v>
      </c>
      <c r="M17" s="23"/>
      <c r="N17" s="82">
        <f t="shared" si="2"/>
        <v>-4.368546514199954</v>
      </c>
      <c r="O17" s="24"/>
      <c r="P17" s="83">
        <f t="shared" si="3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719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14</v>
      </c>
      <c r="F18" s="21">
        <f t="shared" si="0"/>
        <v>1.3029851308452323E-2</v>
      </c>
      <c r="G18" s="21"/>
      <c r="H18" s="21"/>
      <c r="I18" s="333"/>
      <c r="J18" s="8">
        <v>-3</v>
      </c>
      <c r="K18" s="58">
        <f t="shared" si="1"/>
        <v>13.029851308452322</v>
      </c>
      <c r="L18" s="122" t="str">
        <f>Rydberg!L18</f>
        <v>mF</v>
      </c>
      <c r="M18" s="119"/>
      <c r="N18" s="120">
        <f t="shared" si="2"/>
        <v>23.806906740561544</v>
      </c>
      <c r="O18" s="76"/>
      <c r="P18" s="121">
        <f t="shared" si="3"/>
        <v>0.99999999999999245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719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tr">
        <f>Rydberg!L19</f>
        <v>Wb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719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333"/>
      <c r="J20" s="8">
        <v>0</v>
      </c>
      <c r="K20" s="58">
        <f t="shared" si="1"/>
        <v>11.678991023732532</v>
      </c>
      <c r="L20" s="122" t="str">
        <f>Rydberg!L20</f>
        <v>T</v>
      </c>
      <c r="M20" s="119"/>
      <c r="N20" s="120">
        <f t="shared" si="2"/>
        <v>-13.480532044227107</v>
      </c>
      <c r="O20" s="76"/>
      <c r="P20" s="121">
        <f t="shared" si="3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719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14</v>
      </c>
      <c r="F21" s="29">
        <f t="shared" si="0"/>
        <v>11.710646341642224</v>
      </c>
      <c r="G21" s="29"/>
      <c r="H21" s="29"/>
      <c r="I21" s="336"/>
      <c r="J21" s="30">
        <v>0</v>
      </c>
      <c r="K21" s="59">
        <f t="shared" si="1"/>
        <v>11.710646341642224</v>
      </c>
      <c r="L21" s="123" t="str">
        <f>Rydberg!L21</f>
        <v>H</v>
      </c>
      <c r="M21" s="119"/>
      <c r="N21" s="120">
        <f t="shared" si="2"/>
        <v>-13.495378248479144</v>
      </c>
      <c r="O21" s="76"/>
      <c r="P21" s="121">
        <f t="shared" si="3"/>
        <v>1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719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f>-E4</f>
        <v>-14</v>
      </c>
      <c r="F22" s="29">
        <f t="shared" si="0"/>
        <v>2.5599992455921017</v>
      </c>
      <c r="G22" s="21"/>
      <c r="H22" s="21"/>
      <c r="I22" s="333"/>
      <c r="J22" s="8">
        <v>0</v>
      </c>
      <c r="K22" s="58">
        <f t="shared" si="1"/>
        <v>2.5599992455921017</v>
      </c>
      <c r="L22" s="122" t="s">
        <v>711</v>
      </c>
      <c r="M22" s="23"/>
      <c r="N22" s="82">
        <f t="shared" si="2"/>
        <v>-5.1557642460412021</v>
      </c>
      <c r="O22" s="24"/>
      <c r="P22" s="83">
        <f t="shared" si="3"/>
        <v>1.0000000000000002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>
      <c r="A23" s="719"/>
      <c r="B23" s="2" t="str">
        <f>Rydberg!B23</f>
        <v>Luminous flux</v>
      </c>
      <c r="C23" s="2" t="str">
        <f>Rydberg!C23</f>
        <v>W_sen</v>
      </c>
      <c r="D23" s="21">
        <f>D9*683/R23</f>
        <v>0.80324451321797607</v>
      </c>
      <c r="E23" s="8">
        <f>E9</f>
        <v>2</v>
      </c>
      <c r="F23" s="21">
        <f t="shared" si="0"/>
        <v>115.66720990338855</v>
      </c>
      <c r="G23" s="21"/>
      <c r="H23" s="21"/>
      <c r="I23" s="333"/>
      <c r="J23" s="8">
        <v>0</v>
      </c>
      <c r="K23" s="58">
        <f t="shared" si="1"/>
        <v>115.66720990338855</v>
      </c>
      <c r="L23" s="122" t="s">
        <v>696</v>
      </c>
      <c r="M23" s="23"/>
      <c r="N23" s="82">
        <f t="shared" si="2"/>
        <v>-26.056804644377205</v>
      </c>
      <c r="O23" s="24"/>
      <c r="P23" s="83">
        <f t="shared" si="3"/>
        <v>1.0000000000000151</v>
      </c>
      <c r="Q23" s="24"/>
      <c r="R23" s="297">
        <f>1/K58</f>
        <v>0.96873201750401561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719"/>
      <c r="B24" s="6" t="str">
        <f>Rydberg!B24</f>
        <v>Luminous intensity</v>
      </c>
      <c r="C24" s="2" t="str">
        <f>Rydberg!C24</f>
        <v>W_sen/sr</v>
      </c>
      <c r="D24" s="21">
        <f>D23</f>
        <v>0.80324451321797607</v>
      </c>
      <c r="E24" s="8">
        <f>E9</f>
        <v>2</v>
      </c>
      <c r="F24" s="21">
        <f t="shared" si="0"/>
        <v>115.66720990338855</v>
      </c>
      <c r="G24" s="21"/>
      <c r="H24" s="21"/>
      <c r="I24" s="333"/>
      <c r="J24" s="8">
        <v>0</v>
      </c>
      <c r="K24" s="58">
        <f t="shared" si="1"/>
        <v>115.66720990338855</v>
      </c>
      <c r="L24" s="122" t="s">
        <v>699</v>
      </c>
      <c r="M24" s="23"/>
      <c r="N24" s="82">
        <f t="shared" si="2"/>
        <v>-26.056804644377205</v>
      </c>
      <c r="O24" s="24"/>
      <c r="P24" s="83">
        <f t="shared" si="3"/>
        <v>1.0000000000000151</v>
      </c>
      <c r="Q24" s="24"/>
      <c r="R24" s="731" t="s">
        <v>1809</v>
      </c>
      <c r="S24" s="732"/>
      <c r="T24" s="732"/>
      <c r="U24" s="732"/>
      <c r="V24" s="732"/>
      <c r="W24" s="733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719"/>
      <c r="B25" s="299"/>
      <c r="C25" s="2" t="str">
        <f>Rydberg!C25</f>
        <v>W_sen/Ω_2</v>
      </c>
      <c r="D25" s="21">
        <f>D23/(4*PI())</f>
        <v>6.3920167395042082E-2</v>
      </c>
      <c r="E25" s="8">
        <f>E9</f>
        <v>2</v>
      </c>
      <c r="F25" s="21">
        <f t="shared" si="0"/>
        <v>9.204504104886059</v>
      </c>
      <c r="G25" s="21"/>
      <c r="H25" s="21"/>
      <c r="I25" s="333"/>
      <c r="J25" s="8">
        <v>0</v>
      </c>
      <c r="K25" s="58">
        <f t="shared" si="1"/>
        <v>9.204504104886059</v>
      </c>
      <c r="L25" s="122" t="s">
        <v>699</v>
      </c>
      <c r="M25" s="23"/>
      <c r="N25" s="82">
        <f t="shared" si="2"/>
        <v>-12.174605021489763</v>
      </c>
      <c r="O25" s="24"/>
      <c r="P25" s="83">
        <f t="shared" si="3"/>
        <v>1.000000000000002</v>
      </c>
      <c r="Q25" s="24"/>
      <c r="R25" s="734"/>
      <c r="S25" s="735"/>
      <c r="T25" s="735"/>
      <c r="U25" s="735"/>
      <c r="V25" s="735"/>
      <c r="W25" s="73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719"/>
      <c r="B26" s="2" t="str">
        <f>Rydberg!B26</f>
        <v>Illuminance and luminous emittance</v>
      </c>
      <c r="C26" s="2" t="str">
        <f>Rydberg!C26</f>
        <v>W_sen/m^2</v>
      </c>
      <c r="D26" s="21">
        <f>D23/D3/D3</f>
        <v>96551922526131.156</v>
      </c>
      <c r="E26" s="8">
        <f>E9-2*E3</f>
        <v>-10</v>
      </c>
      <c r="F26" s="21">
        <f t="shared" si="0"/>
        <v>1559.3674526718037</v>
      </c>
      <c r="G26" s="21"/>
      <c r="H26" s="21"/>
      <c r="I26" s="333"/>
      <c r="J26" s="8">
        <v>3</v>
      </c>
      <c r="K26" s="58">
        <f t="shared" si="1"/>
        <v>1.5593674526718038</v>
      </c>
      <c r="L26" s="122" t="s">
        <v>700</v>
      </c>
      <c r="M26" s="23"/>
      <c r="N26" s="82">
        <f t="shared" si="2"/>
        <v>-40.324554420445558</v>
      </c>
      <c r="O26" s="24"/>
      <c r="P26" s="83">
        <f t="shared" si="3"/>
        <v>1.0000000000000226</v>
      </c>
      <c r="Q26" s="24"/>
      <c r="R26" s="737"/>
      <c r="S26" s="738"/>
      <c r="T26" s="738"/>
      <c r="U26" s="738"/>
      <c r="V26" s="738"/>
      <c r="W26" s="739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719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f>E7-E4</f>
        <v>10</v>
      </c>
      <c r="F27" s="21">
        <f t="shared" si="0"/>
        <v>337.93940344499509</v>
      </c>
      <c r="G27" s="21"/>
      <c r="H27" s="21"/>
      <c r="I27" s="333"/>
      <c r="J27" s="8">
        <v>0</v>
      </c>
      <c r="K27" s="58">
        <f t="shared" si="1"/>
        <v>337.93940344499509</v>
      </c>
      <c r="L27" s="122" t="s">
        <v>703</v>
      </c>
      <c r="M27" s="23"/>
      <c r="N27" s="82">
        <f t="shared" si="2"/>
        <v>-31.937345764563023</v>
      </c>
      <c r="O27" s="24"/>
      <c r="P27" s="83">
        <f t="shared" si="3"/>
        <v>1.0000000000000129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719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f>-E4</f>
        <v>-14</v>
      </c>
      <c r="F28" s="21">
        <f t="shared" si="0"/>
        <v>2.5599992455921017</v>
      </c>
      <c r="G28" s="21"/>
      <c r="H28" s="21"/>
      <c r="I28" s="333"/>
      <c r="J28" s="8">
        <v>0</v>
      </c>
      <c r="K28" s="58">
        <f t="shared" si="1"/>
        <v>2.5599992455921017</v>
      </c>
      <c r="L28" s="122" t="s">
        <v>705</v>
      </c>
      <c r="M28" s="23"/>
      <c r="N28" s="82">
        <f t="shared" si="2"/>
        <v>-5.1557642460412021</v>
      </c>
      <c r="O28" s="24"/>
      <c r="P28" s="83">
        <f t="shared" si="3"/>
        <v>1.0000000000000002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719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707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720"/>
      <c r="B30" s="4" t="str">
        <f>Rydberg!B30</f>
        <v>Equivalent dose</v>
      </c>
      <c r="C30" s="4" t="str">
        <f>Rydberg!C30</f>
        <v>J_sen/g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337"/>
      <c r="J30" s="33">
        <v>0</v>
      </c>
      <c r="K30" s="60">
        <f t="shared" si="1"/>
        <v>0.48611773879952869</v>
      </c>
      <c r="L30" s="128" t="s">
        <v>708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>
      <c r="A31" s="718" t="s">
        <v>27</v>
      </c>
      <c r="B31" s="373" t="s">
        <v>42</v>
      </c>
      <c r="C31" s="18" t="str">
        <f>Rydberg!C31</f>
        <v>Unit Symbol</v>
      </c>
      <c r="D31" s="373" t="s">
        <v>43</v>
      </c>
      <c r="E31" s="18" t="s">
        <v>54</v>
      </c>
      <c r="F31" s="373" t="s">
        <v>47</v>
      </c>
      <c r="G31" s="373" t="s">
        <v>92</v>
      </c>
      <c r="H31" s="18" t="str">
        <f>Rydberg!H$1</f>
        <v>difference</v>
      </c>
      <c r="I31" s="332"/>
      <c r="J31" s="713" t="str">
        <f>Rydberg!J31</f>
        <v>0123456789XE</v>
      </c>
      <c r="K31" s="714">
        <f>Rydberg!K31</f>
        <v>0</v>
      </c>
      <c r="L31" s="374" t="str">
        <f>Rydberg!L31</f>
        <v>Prefix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719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centy</v>
      </c>
      <c r="M32" s="40" t="str">
        <f t="shared" ref="M32:M71" si="12">IF($E32&gt;=M$31,MID($J$31,IF($E32&gt;M$31,INT(K32),ROUND(K32,0))+1,1),"")</f>
        <v>1</v>
      </c>
      <c r="N32" s="24">
        <f>(K32-INT(K32))*12</f>
        <v>0.60982523473920036</v>
      </c>
      <c r="O32" s="41" t="str">
        <f t="shared" ref="O32:O71" si="13">IF($E32&gt;=O$31,MID($J$31,IF($E32&gt;O$31,INT(N32),ROUND(N32,0))+1,1),"")</f>
        <v>0</v>
      </c>
      <c r="P32" s="24">
        <f>(N32-INT(N32))*12</f>
        <v>7.3179028168704043</v>
      </c>
      <c r="Q32" s="41" t="str">
        <f t="shared" ref="Q32:Q71" si="14">IF($E32&gt;=Q$31,MID($J$31,IF($E32&gt;Q$31,INT(P32),ROUND(P32,0))+1,1),"")</f>
        <v>7</v>
      </c>
      <c r="R32" s="24">
        <f>(P32-INT(P32))*12</f>
        <v>3.814833802444852</v>
      </c>
      <c r="S32" s="41" t="str">
        <f t="shared" ref="S32:S71" si="15">IF($E32&gt;=S$31,MID($J$31,IF($E32&gt;S$31,INT(R32),ROUND(R32,0))+1,1),"")</f>
        <v>3</v>
      </c>
      <c r="T32" s="24">
        <f>(R32-INT(R32))*12</f>
        <v>9.7780056293382245</v>
      </c>
      <c r="U32" s="41" t="str">
        <f t="shared" ref="U32:U71" si="16">IF($E32&gt;=U$31,MID($J$31,IF($E32&gt;U$31,INT(T32),ROUND(T32,0))+1,1),"")</f>
        <v>9</v>
      </c>
      <c r="V32" s="24">
        <f>(T32-INT(T32))*12</f>
        <v>9.3360675520586938</v>
      </c>
      <c r="W32" s="41" t="str">
        <f t="shared" ref="W32:W71" si="17">IF($E32&gt;=W$31,MID($J$31,IF($E32&gt;W$31,INT(V32),ROUND(V32,0))+1,1),"")</f>
        <v>9</v>
      </c>
      <c r="X32" s="24">
        <f>(V32-INT(V32))*12</f>
        <v>4.0328106247043252</v>
      </c>
      <c r="Y32" s="41" t="str">
        <f t="shared" ref="Y32:Y71" si="18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1" si="19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1" si="20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1" si="21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1" si="22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1" si="23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1" si="24">IF($E32&gt;=AK$31,MID($J$31,IF($E32&gt;AK$31,INT(AJ32),ROUND(AJ32,0))+1,1),"")</f>
        <v/>
      </c>
    </row>
    <row r="33" spans="1:37" ht="15" customHeight="1">
      <c r="A33" s="719"/>
      <c r="B33" s="371" t="str">
        <f>Rydberg!B33</f>
        <v>Avogadro constant</v>
      </c>
      <c r="C33" s="371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1" si="25">M33&amp;";"&amp;O33&amp;Q33&amp;S33&amp;U33&amp;W33&amp;Y33&amp;AA33&amp;AC33&amp;AE33&amp;AG33&amp;AI33&amp;AK33</f>
        <v>1;0000000</v>
      </c>
      <c r="H33" s="330">
        <f t="shared" ref="H33:H50" si="26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tri-cosmic</v>
      </c>
      <c r="M33" s="40" t="str">
        <f t="shared" si="12"/>
        <v>1</v>
      </c>
      <c r="N33" s="24">
        <f t="shared" ref="N33:N71" si="27">(K33-INT(K33))*12</f>
        <v>1.2003731342247193E-11</v>
      </c>
      <c r="O33" s="41" t="str">
        <f t="shared" si="13"/>
        <v>0</v>
      </c>
      <c r="P33" s="24">
        <f t="shared" ref="P33:P71" si="28">(N33-INT(N33))*12</f>
        <v>1.4404477610696631E-10</v>
      </c>
      <c r="Q33" s="41" t="str">
        <f t="shared" si="14"/>
        <v>0</v>
      </c>
      <c r="R33" s="24">
        <f t="shared" ref="R33:R71" si="29">(P33-INT(P33))*12</f>
        <v>1.7285373132835957E-9</v>
      </c>
      <c r="S33" s="41" t="str">
        <f t="shared" si="15"/>
        <v>0</v>
      </c>
      <c r="T33" s="24">
        <f t="shared" ref="T33:T71" si="30">(R33-INT(R33))*12</f>
        <v>2.0742447759403149E-8</v>
      </c>
      <c r="U33" s="41" t="str">
        <f t="shared" si="16"/>
        <v>0</v>
      </c>
      <c r="V33" s="24">
        <f t="shared" ref="V33:V71" si="31">(T33-INT(T33))*12</f>
        <v>2.4890937311283778E-7</v>
      </c>
      <c r="W33" s="41" t="str">
        <f t="shared" si="17"/>
        <v>0</v>
      </c>
      <c r="X33" s="24">
        <f t="shared" ref="X33:X71" si="32">(V33-INT(V33))*12</f>
        <v>2.9869124773540534E-6</v>
      </c>
      <c r="Y33" s="41" t="str">
        <f t="shared" si="18"/>
        <v>0</v>
      </c>
      <c r="Z33" s="24">
        <f t="shared" ref="Z33:Z71" si="33">(X33-INT(X33))*12</f>
        <v>3.5842949728248641E-5</v>
      </c>
      <c r="AA33" s="41" t="str">
        <f t="shared" si="19"/>
        <v>0</v>
      </c>
      <c r="AB33" s="24">
        <f t="shared" ref="AB33:AB71" si="34">(Z33-INT(Z33))*12</f>
        <v>4.3011539673898369E-4</v>
      </c>
      <c r="AC33" s="41" t="str">
        <f t="shared" si="20"/>
        <v/>
      </c>
      <c r="AD33" s="24">
        <f t="shared" ref="AD33:AD71" si="35">(AB33-INT(AB33))*12</f>
        <v>5.1613847608678043E-3</v>
      </c>
      <c r="AE33" s="41" t="str">
        <f t="shared" si="21"/>
        <v/>
      </c>
      <c r="AF33" s="24">
        <f t="shared" ref="AF33:AF71" si="36">(AD33-INT(AD33))*12</f>
        <v>6.1936617130413651E-2</v>
      </c>
      <c r="AG33" s="41" t="str">
        <f t="shared" si="22"/>
        <v/>
      </c>
      <c r="AH33" s="24">
        <f t="shared" ref="AH33:AH71" si="37">(AF33-INT(AF33))*12</f>
        <v>0.74323940556496382</v>
      </c>
      <c r="AI33" s="41" t="str">
        <f t="shared" si="23"/>
        <v/>
      </c>
      <c r="AJ33" s="24">
        <f t="shared" ref="AJ33:AJ71" si="38">(AH33-INT(AH33))*12</f>
        <v>8.9188728667795658</v>
      </c>
      <c r="AK33" s="41" t="str">
        <f t="shared" si="24"/>
        <v/>
      </c>
    </row>
    <row r="34" spans="1:37" ht="15" customHeight="1">
      <c r="A34" s="719"/>
      <c r="B34" s="371" t="str">
        <f>Rydberg!B34</f>
        <v>Rydberg constant</v>
      </c>
      <c r="C34" s="371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2988720</v>
      </c>
      <c r="G34" s="42" t="str">
        <f t="shared" si="25"/>
        <v>1;001700000000</v>
      </c>
      <c r="H34" s="330">
        <f t="shared" si="26"/>
        <v>9.1628086419759391E-4</v>
      </c>
      <c r="I34" s="333"/>
      <c r="J34" s="38">
        <v>6</v>
      </c>
      <c r="K34" s="61">
        <f>F34/POWER(12,J34)</f>
        <v>1.0009162808641976</v>
      </c>
      <c r="L34" s="39" t="str">
        <f>INDEX(powers!$H$2:$H$75,33+J34)</f>
        <v>cosmic centy</v>
      </c>
      <c r="M34" s="40" t="str">
        <f t="shared" si="12"/>
        <v>1</v>
      </c>
      <c r="N34" s="24">
        <f t="shared" si="27"/>
        <v>1.0995370370371127E-2</v>
      </c>
      <c r="O34" s="41" t="str">
        <f t="shared" si="13"/>
        <v>0</v>
      </c>
      <c r="P34" s="24">
        <f t="shared" si="28"/>
        <v>0.13194444444445352</v>
      </c>
      <c r="Q34" s="41" t="str">
        <f t="shared" si="14"/>
        <v>0</v>
      </c>
      <c r="R34" s="24">
        <f t="shared" si="29"/>
        <v>1.5833333333334423</v>
      </c>
      <c r="S34" s="41" t="str">
        <f t="shared" si="15"/>
        <v>1</v>
      </c>
      <c r="T34" s="24">
        <f t="shared" si="30"/>
        <v>7.0000000000013074</v>
      </c>
      <c r="U34" s="41" t="str">
        <f t="shared" si="16"/>
        <v>7</v>
      </c>
      <c r="V34" s="24">
        <f t="shared" si="31"/>
        <v>1.5688783605583012E-11</v>
      </c>
      <c r="W34" s="41" t="str">
        <f t="shared" si="17"/>
        <v>0</v>
      </c>
      <c r="X34" s="24">
        <f t="shared" si="32"/>
        <v>1.8826540326699615E-10</v>
      </c>
      <c r="Y34" s="41" t="str">
        <f t="shared" si="18"/>
        <v>0</v>
      </c>
      <c r="Z34" s="24">
        <f t="shared" si="33"/>
        <v>2.2591848392039537E-9</v>
      </c>
      <c r="AA34" s="41" t="str">
        <f t="shared" si="19"/>
        <v>0</v>
      </c>
      <c r="AB34" s="24">
        <f t="shared" si="34"/>
        <v>2.7110218070447445E-8</v>
      </c>
      <c r="AC34" s="41" t="str">
        <f t="shared" si="20"/>
        <v>0</v>
      </c>
      <c r="AD34" s="24">
        <f t="shared" si="35"/>
        <v>3.2532261684536934E-7</v>
      </c>
      <c r="AE34" s="41" t="str">
        <f t="shared" si="21"/>
        <v>0</v>
      </c>
      <c r="AF34" s="24">
        <f t="shared" si="36"/>
        <v>3.9038714021444321E-6</v>
      </c>
      <c r="AG34" s="41" t="str">
        <f t="shared" si="22"/>
        <v>0</v>
      </c>
      <c r="AH34" s="24">
        <f t="shared" si="37"/>
        <v>4.6846456825733185E-5</v>
      </c>
      <c r="AI34" s="41" t="str">
        <f t="shared" si="23"/>
        <v>0</v>
      </c>
      <c r="AJ34" s="24">
        <f t="shared" si="38"/>
        <v>5.6215748190879822E-4</v>
      </c>
      <c r="AK34" s="41" t="str">
        <f t="shared" si="24"/>
        <v>0</v>
      </c>
    </row>
    <row r="35" spans="1:37" ht="15" customHeight="1">
      <c r="A35" s="719"/>
      <c r="B35" s="371" t="str">
        <f>Rydberg!B35</f>
        <v>Speed of light in vacuum</v>
      </c>
      <c r="C35" s="371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429981695.99999994</v>
      </c>
      <c r="G35" s="37" t="str">
        <f t="shared" si="25"/>
        <v>1;000000000000</v>
      </c>
      <c r="H35" s="330">
        <f t="shared" si="26"/>
        <v>9.9920072216264089E-15</v>
      </c>
      <c r="I35" s="333"/>
      <c r="J35" s="38">
        <v>8</v>
      </c>
      <c r="K35" s="61">
        <f>F35/POWER(12,J35)+0.00000000000001</f>
        <v>1.00000000000001</v>
      </c>
      <c r="L35" s="39" t="str">
        <f>INDEX(powers!$H$2:$H$75,33+J35)</f>
        <v>cosmic</v>
      </c>
      <c r="M35" s="40" t="str">
        <f t="shared" si="12"/>
        <v>1</v>
      </c>
      <c r="N35" s="24">
        <f t="shared" si="27"/>
        <v>1.1990408665951691E-13</v>
      </c>
      <c r="O35" s="41" t="str">
        <f t="shared" si="13"/>
        <v>0</v>
      </c>
      <c r="P35" s="24">
        <f t="shared" si="28"/>
        <v>1.4388490399142029E-12</v>
      </c>
      <c r="Q35" s="41" t="str">
        <f t="shared" si="14"/>
        <v>0</v>
      </c>
      <c r="R35" s="24">
        <f t="shared" si="29"/>
        <v>1.7266188478970435E-11</v>
      </c>
      <c r="S35" s="41" t="str">
        <f t="shared" si="15"/>
        <v>0</v>
      </c>
      <c r="T35" s="24">
        <f t="shared" si="30"/>
        <v>2.0719426174764521E-10</v>
      </c>
      <c r="U35" s="41" t="str">
        <f t="shared" si="16"/>
        <v>0</v>
      </c>
      <c r="V35" s="24">
        <f t="shared" si="31"/>
        <v>2.4863311409717426E-9</v>
      </c>
      <c r="W35" s="41" t="str">
        <f t="shared" si="17"/>
        <v>0</v>
      </c>
      <c r="X35" s="24">
        <f t="shared" si="32"/>
        <v>2.9835973691660911E-8</v>
      </c>
      <c r="Y35" s="41" t="str">
        <f t="shared" si="18"/>
        <v>0</v>
      </c>
      <c r="Z35" s="24">
        <f t="shared" si="33"/>
        <v>3.5803168429993093E-7</v>
      </c>
      <c r="AA35" s="41" t="str">
        <f t="shared" si="19"/>
        <v>0</v>
      </c>
      <c r="AB35" s="24">
        <f t="shared" si="34"/>
        <v>4.2963802115991712E-6</v>
      </c>
      <c r="AC35" s="41" t="str">
        <f t="shared" si="20"/>
        <v>0</v>
      </c>
      <c r="AD35" s="24">
        <f t="shared" si="35"/>
        <v>5.1556562539190054E-5</v>
      </c>
      <c r="AE35" s="41" t="str">
        <f t="shared" si="21"/>
        <v>0</v>
      </c>
      <c r="AF35" s="24">
        <f t="shared" si="36"/>
        <v>6.1867875047028065E-4</v>
      </c>
      <c r="AG35" s="41" t="str">
        <f t="shared" si="22"/>
        <v>0</v>
      </c>
      <c r="AH35" s="24">
        <f t="shared" si="37"/>
        <v>7.4241450056433678E-3</v>
      </c>
      <c r="AI35" s="41" t="str">
        <f t="shared" si="23"/>
        <v>0</v>
      </c>
      <c r="AJ35" s="24">
        <f t="shared" si="38"/>
        <v>8.9089740067720413E-2</v>
      </c>
      <c r="AK35" s="41" t="str">
        <f t="shared" si="24"/>
        <v>0</v>
      </c>
    </row>
    <row r="36" spans="1:37" ht="15" customHeight="1">
      <c r="A36" s="719"/>
      <c r="B36" s="371" t="str">
        <f>Rydberg!B36</f>
        <v>Quantum of action</v>
      </c>
      <c r="C36" s="371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25"/>
        <v>1;0000000</v>
      </c>
      <c r="H36" s="330">
        <f t="shared" si="26"/>
        <v>1.000088900582341E-12</v>
      </c>
      <c r="I36" s="333"/>
      <c r="J36" s="38">
        <v>-30</v>
      </c>
      <c r="K36" s="61">
        <f>F36/POWER(12,J36)+0.000000000001</f>
        <v>1.0000000000010001</v>
      </c>
      <c r="L36" s="39" t="str">
        <f>INDEX(powers!$H$2:$H$75,33+J36)</f>
        <v>tetra-atomic hecty</v>
      </c>
      <c r="M36" s="40" t="str">
        <f t="shared" si="12"/>
        <v>1</v>
      </c>
      <c r="N36" s="24">
        <f t="shared" si="27"/>
        <v>1.2001066806988092E-11</v>
      </c>
      <c r="O36" s="41" t="str">
        <f t="shared" si="13"/>
        <v>0</v>
      </c>
      <c r="P36" s="24">
        <f t="shared" si="28"/>
        <v>1.4401280168385711E-10</v>
      </c>
      <c r="Q36" s="41" t="str">
        <f t="shared" si="14"/>
        <v>0</v>
      </c>
      <c r="R36" s="24">
        <f t="shared" si="29"/>
        <v>1.7281536202062853E-9</v>
      </c>
      <c r="S36" s="41" t="str">
        <f t="shared" si="15"/>
        <v>0</v>
      </c>
      <c r="T36" s="24">
        <f t="shared" si="30"/>
        <v>2.0737843442475423E-8</v>
      </c>
      <c r="U36" s="41" t="str">
        <f t="shared" si="16"/>
        <v>0</v>
      </c>
      <c r="V36" s="24">
        <f t="shared" si="31"/>
        <v>2.4885412130970508E-7</v>
      </c>
      <c r="W36" s="41" t="str">
        <f t="shared" si="17"/>
        <v>0</v>
      </c>
      <c r="X36" s="24">
        <f t="shared" si="32"/>
        <v>2.9862494557164609E-6</v>
      </c>
      <c r="Y36" s="41" t="str">
        <f t="shared" si="18"/>
        <v>0</v>
      </c>
      <c r="Z36" s="24">
        <f t="shared" si="33"/>
        <v>3.5834993468597531E-5</v>
      </c>
      <c r="AA36" s="41" t="str">
        <f t="shared" si="19"/>
        <v>0</v>
      </c>
      <c r="AB36" s="24">
        <f t="shared" si="34"/>
        <v>4.3001992162317038E-4</v>
      </c>
      <c r="AC36" s="41" t="str">
        <f t="shared" si="20"/>
        <v/>
      </c>
      <c r="AD36" s="24">
        <f t="shared" si="35"/>
        <v>5.1602390594780445E-3</v>
      </c>
      <c r="AE36" s="41" t="str">
        <f t="shared" si="21"/>
        <v/>
      </c>
      <c r="AF36" s="24">
        <f t="shared" si="36"/>
        <v>6.1922868713736534E-2</v>
      </c>
      <c r="AG36" s="41" t="str">
        <f t="shared" si="22"/>
        <v/>
      </c>
      <c r="AH36" s="24">
        <f t="shared" si="37"/>
        <v>0.74307442456483841</v>
      </c>
      <c r="AI36" s="41" t="str">
        <f t="shared" si="23"/>
        <v/>
      </c>
      <c r="AJ36" s="24">
        <f t="shared" si="38"/>
        <v>8.9168930947780609</v>
      </c>
      <c r="AK36" s="41" t="str">
        <f t="shared" si="24"/>
        <v/>
      </c>
    </row>
    <row r="37" spans="1:37" ht="15" customHeight="1">
      <c r="A37" s="719"/>
      <c r="B37" s="371" t="str">
        <f>Rydberg!B37</f>
        <v>Boltzmann constant</v>
      </c>
      <c r="C37" s="371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25"/>
        <v>1;000000</v>
      </c>
      <c r="H37" s="330">
        <f t="shared" si="26"/>
        <v>0</v>
      </c>
      <c r="I37" s="333"/>
      <c r="J37" s="135">
        <v>-24</v>
      </c>
      <c r="K37" s="61">
        <f t="shared" ref="K37:K71" si="39">F37/POWER(12,J37)</f>
        <v>1</v>
      </c>
      <c r="L37" s="138" t="str">
        <f>INDEX(powers!$H$2:$H$75,33+J37)</f>
        <v>tri-atomic</v>
      </c>
      <c r="M37" s="40" t="str">
        <f t="shared" si="12"/>
        <v>1</v>
      </c>
      <c r="N37" s="24">
        <f t="shared" si="27"/>
        <v>0</v>
      </c>
      <c r="O37" s="41" t="str">
        <f t="shared" si="13"/>
        <v>0</v>
      </c>
      <c r="P37" s="24">
        <f t="shared" si="28"/>
        <v>0</v>
      </c>
      <c r="Q37" s="41" t="str">
        <f t="shared" si="14"/>
        <v>0</v>
      </c>
      <c r="R37" s="24">
        <f t="shared" si="29"/>
        <v>0</v>
      </c>
      <c r="S37" s="41" t="str">
        <f t="shared" si="15"/>
        <v>0</v>
      </c>
      <c r="T37" s="24">
        <f t="shared" si="30"/>
        <v>0</v>
      </c>
      <c r="U37" s="41" t="str">
        <f t="shared" si="16"/>
        <v>0</v>
      </c>
      <c r="V37" s="24">
        <f t="shared" si="31"/>
        <v>0</v>
      </c>
      <c r="W37" s="41" t="str">
        <f t="shared" si="17"/>
        <v>0</v>
      </c>
      <c r="X37" s="24">
        <f t="shared" si="32"/>
        <v>0</v>
      </c>
      <c r="Y37" s="41" t="str">
        <f t="shared" si="18"/>
        <v>0</v>
      </c>
      <c r="Z37" s="24">
        <f t="shared" si="33"/>
        <v>0</v>
      </c>
      <c r="AA37" s="41" t="str">
        <f t="shared" si="19"/>
        <v/>
      </c>
      <c r="AB37" s="24">
        <f t="shared" si="34"/>
        <v>0</v>
      </c>
      <c r="AC37" s="41" t="str">
        <f t="shared" si="20"/>
        <v/>
      </c>
      <c r="AD37" s="24">
        <f t="shared" si="35"/>
        <v>0</v>
      </c>
      <c r="AE37" s="41" t="str">
        <f t="shared" si="21"/>
        <v/>
      </c>
      <c r="AF37" s="24">
        <f t="shared" si="36"/>
        <v>0</v>
      </c>
      <c r="AG37" s="41" t="str">
        <f t="shared" si="22"/>
        <v/>
      </c>
      <c r="AH37" s="24">
        <f t="shared" si="37"/>
        <v>0</v>
      </c>
      <c r="AI37" s="41" t="str">
        <f t="shared" si="23"/>
        <v/>
      </c>
      <c r="AJ37" s="24">
        <f t="shared" si="38"/>
        <v>0</v>
      </c>
      <c r="AK37" s="41" t="str">
        <f t="shared" si="24"/>
        <v/>
      </c>
    </row>
    <row r="38" spans="1:37" ht="15" customHeight="1">
      <c r="A38" s="719"/>
      <c r="B38" s="371" t="str">
        <f>Rydberg!B38</f>
        <v>Gas constant</v>
      </c>
      <c r="C38" s="371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25"/>
        <v>1;000000</v>
      </c>
      <c r="H38" s="330">
        <f t="shared" si="26"/>
        <v>0</v>
      </c>
      <c r="I38" s="333"/>
      <c r="J38" s="135">
        <v>0</v>
      </c>
      <c r="K38" s="61">
        <f t="shared" si="39"/>
        <v>1.0000000000000002</v>
      </c>
      <c r="L38" s="138" t="str">
        <f>INDEX(powers!$H$2:$H$75,33+J38)</f>
        <v xml:space="preserve"> </v>
      </c>
      <c r="M38" s="40" t="str">
        <f t="shared" si="12"/>
        <v>1</v>
      </c>
      <c r="N38" s="24">
        <f t="shared" si="27"/>
        <v>2.6645352591003757E-15</v>
      </c>
      <c r="O38" s="41" t="str">
        <f t="shared" si="13"/>
        <v>0</v>
      </c>
      <c r="P38" s="24">
        <f t="shared" si="28"/>
        <v>3.1974423109204508E-14</v>
      </c>
      <c r="Q38" s="41" t="str">
        <f t="shared" si="14"/>
        <v>0</v>
      </c>
      <c r="R38" s="24">
        <f t="shared" si="29"/>
        <v>3.836930773104541E-13</v>
      </c>
      <c r="S38" s="41" t="str">
        <f t="shared" si="15"/>
        <v>0</v>
      </c>
      <c r="T38" s="24">
        <f t="shared" si="30"/>
        <v>4.6043169277254492E-12</v>
      </c>
      <c r="U38" s="41" t="str">
        <f t="shared" si="16"/>
        <v>0</v>
      </c>
      <c r="V38" s="24">
        <f t="shared" si="31"/>
        <v>5.525180313270539E-11</v>
      </c>
      <c r="W38" s="41" t="str">
        <f t="shared" si="17"/>
        <v>0</v>
      </c>
      <c r="X38" s="24">
        <f t="shared" si="32"/>
        <v>6.6302163759246469E-10</v>
      </c>
      <c r="Y38" s="41" t="str">
        <f t="shared" si="18"/>
        <v>0</v>
      </c>
      <c r="Z38" s="24">
        <f t="shared" si="33"/>
        <v>7.9562596511095762E-9</v>
      </c>
      <c r="AA38" s="41" t="str">
        <f t="shared" si="19"/>
        <v/>
      </c>
      <c r="AB38" s="24">
        <f t="shared" si="34"/>
        <v>9.5475115813314915E-8</v>
      </c>
      <c r="AC38" s="41" t="str">
        <f t="shared" si="20"/>
        <v/>
      </c>
      <c r="AD38" s="24">
        <f t="shared" si="35"/>
        <v>1.145701389759779E-6</v>
      </c>
      <c r="AE38" s="41" t="str">
        <f t="shared" si="21"/>
        <v/>
      </c>
      <c r="AF38" s="24">
        <f t="shared" si="36"/>
        <v>1.3748416677117348E-5</v>
      </c>
      <c r="AG38" s="41" t="str">
        <f t="shared" si="22"/>
        <v/>
      </c>
      <c r="AH38" s="24">
        <f t="shared" si="37"/>
        <v>1.6498100012540817E-4</v>
      </c>
      <c r="AI38" s="41" t="str">
        <f t="shared" si="23"/>
        <v/>
      </c>
      <c r="AJ38" s="24">
        <f t="shared" si="38"/>
        <v>1.9797720015048981E-3</v>
      </c>
      <c r="AK38" s="41" t="str">
        <f t="shared" si="24"/>
        <v/>
      </c>
    </row>
    <row r="39" spans="1:37" ht="15" customHeight="1">
      <c r="A39" s="719"/>
      <c r="B39" s="371" t="str">
        <f>Rydberg!B39</f>
        <v>Unified atomic mass unit</v>
      </c>
      <c r="C39" s="371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1.2596131533014461E-26</v>
      </c>
      <c r="G39" s="37" t="str">
        <f t="shared" si="25"/>
        <v>1;0024073</v>
      </c>
      <c r="H39" s="330">
        <f t="shared" si="26"/>
        <v>1.3527438338638564E-3</v>
      </c>
      <c r="I39" s="333"/>
      <c r="J39" s="38">
        <v>-24</v>
      </c>
      <c r="K39" s="61">
        <f t="shared" si="39"/>
        <v>1.0013527438338639</v>
      </c>
      <c r="L39" s="39" t="str">
        <f>INDEX(powers!$H$2:$H$75,33+J39)</f>
        <v>tri-atomic</v>
      </c>
      <c r="M39" s="40" t="str">
        <f t="shared" si="12"/>
        <v>1</v>
      </c>
      <c r="N39" s="24">
        <f t="shared" si="27"/>
        <v>1.6232926006366277E-2</v>
      </c>
      <c r="O39" s="41" t="str">
        <f t="shared" si="13"/>
        <v>0</v>
      </c>
      <c r="P39" s="24">
        <f t="shared" si="28"/>
        <v>0.19479511207639533</v>
      </c>
      <c r="Q39" s="41" t="str">
        <f t="shared" si="14"/>
        <v>0</v>
      </c>
      <c r="R39" s="24">
        <f t="shared" si="29"/>
        <v>2.3375413449167439</v>
      </c>
      <c r="S39" s="41" t="str">
        <f t="shared" si="15"/>
        <v>2</v>
      </c>
      <c r="T39" s="24">
        <f t="shared" si="30"/>
        <v>4.0504961390009271</v>
      </c>
      <c r="U39" s="41" t="str">
        <f t="shared" si="16"/>
        <v>4</v>
      </c>
      <c r="V39" s="24">
        <f t="shared" si="31"/>
        <v>0.60595366801112505</v>
      </c>
      <c r="W39" s="41" t="str">
        <f t="shared" si="17"/>
        <v>0</v>
      </c>
      <c r="X39" s="24">
        <f t="shared" si="32"/>
        <v>7.2714440161335006</v>
      </c>
      <c r="Y39" s="41" t="str">
        <f t="shared" si="18"/>
        <v>7</v>
      </c>
      <c r="Z39" s="24">
        <f t="shared" si="33"/>
        <v>3.2573281936020066</v>
      </c>
      <c r="AA39" s="41" t="str">
        <f t="shared" si="19"/>
        <v>3</v>
      </c>
      <c r="AB39" s="24">
        <f t="shared" si="34"/>
        <v>3.0879383232240798</v>
      </c>
      <c r="AC39" s="41" t="str">
        <f t="shared" si="20"/>
        <v/>
      </c>
      <c r="AD39" s="24">
        <f t="shared" si="35"/>
        <v>1.0552598786889575</v>
      </c>
      <c r="AE39" s="41" t="str">
        <f t="shared" si="21"/>
        <v/>
      </c>
      <c r="AF39" s="24">
        <f t="shared" si="36"/>
        <v>0.66311854426749051</v>
      </c>
      <c r="AG39" s="41" t="str">
        <f t="shared" si="22"/>
        <v/>
      </c>
      <c r="AH39" s="24">
        <f t="shared" si="37"/>
        <v>7.9574225312098861</v>
      </c>
      <c r="AI39" s="41" t="str">
        <f t="shared" si="23"/>
        <v/>
      </c>
      <c r="AJ39" s="24">
        <f t="shared" si="38"/>
        <v>11.489070374518633</v>
      </c>
      <c r="AK39" s="41" t="str">
        <f t="shared" si="24"/>
        <v/>
      </c>
    </row>
    <row r="40" spans="1:37" ht="15" customHeight="1">
      <c r="A40" s="719"/>
      <c r="B40" s="371" t="str">
        <f>Rydberg!B40</f>
        <v>Bohr Radius</v>
      </c>
      <c r="C40" s="371" t="str">
        <f>Rydberg!C40</f>
        <v>m</v>
      </c>
      <c r="D40" s="21">
        <f>Rydberg!D40</f>
        <v>5.2917721067E-11</v>
      </c>
      <c r="E40" s="8">
        <v>9</v>
      </c>
      <c r="F40" s="21">
        <f>D40/F$3</f>
        <v>1.9429885242058094E-10</v>
      </c>
      <c r="G40" s="37" t="str">
        <f t="shared" si="25"/>
        <v>1;00447X740</v>
      </c>
      <c r="H40" s="330">
        <f t="shared" si="26"/>
        <v>2.5394011358612634E-3</v>
      </c>
      <c r="I40" s="333"/>
      <c r="J40" s="38">
        <v>-9</v>
      </c>
      <c r="K40" s="61">
        <f t="shared" si="39"/>
        <v>1.0025394011358613</v>
      </c>
      <c r="L40" s="39" t="str">
        <f>INDEX(powers!$H$2:$H$75,33+J40)</f>
        <v>atomic dour</v>
      </c>
      <c r="M40" s="40" t="str">
        <f t="shared" si="12"/>
        <v>1</v>
      </c>
      <c r="N40" s="24">
        <f t="shared" si="27"/>
        <v>3.047281363033516E-2</v>
      </c>
      <c r="O40" s="41" t="str">
        <f t="shared" si="13"/>
        <v>0</v>
      </c>
      <c r="P40" s="24">
        <f t="shared" si="28"/>
        <v>0.36567376356402193</v>
      </c>
      <c r="Q40" s="41" t="str">
        <f t="shared" si="14"/>
        <v>0</v>
      </c>
      <c r="R40" s="24">
        <f t="shared" si="29"/>
        <v>4.3880851627682631</v>
      </c>
      <c r="S40" s="41" t="str">
        <f t="shared" si="15"/>
        <v>4</v>
      </c>
      <c r="T40" s="24">
        <f t="shared" si="30"/>
        <v>4.6570219532191572</v>
      </c>
      <c r="U40" s="41" t="str">
        <f t="shared" si="16"/>
        <v>4</v>
      </c>
      <c r="V40" s="24">
        <f t="shared" si="31"/>
        <v>7.8842634386298869</v>
      </c>
      <c r="W40" s="41" t="str">
        <f t="shared" si="17"/>
        <v>7</v>
      </c>
      <c r="X40" s="24">
        <f t="shared" si="32"/>
        <v>10.611161263558643</v>
      </c>
      <c r="Y40" s="41" t="str">
        <f t="shared" si="18"/>
        <v>X</v>
      </c>
      <c r="Z40" s="24">
        <f t="shared" si="33"/>
        <v>7.3339351627037104</v>
      </c>
      <c r="AA40" s="41" t="str">
        <f t="shared" si="19"/>
        <v>7</v>
      </c>
      <c r="AB40" s="24">
        <f t="shared" si="34"/>
        <v>4.0072219524445245</v>
      </c>
      <c r="AC40" s="41" t="str">
        <f t="shared" si="20"/>
        <v>4</v>
      </c>
      <c r="AD40" s="24">
        <f t="shared" si="35"/>
        <v>8.6663429334294051E-2</v>
      </c>
      <c r="AE40" s="41" t="str">
        <f t="shared" si="21"/>
        <v>0</v>
      </c>
      <c r="AF40" s="24">
        <f t="shared" si="36"/>
        <v>1.0399611520115286</v>
      </c>
      <c r="AG40" s="41" t="str">
        <f t="shared" si="22"/>
        <v/>
      </c>
      <c r="AH40" s="24">
        <f t="shared" si="37"/>
        <v>0.47953382413834333</v>
      </c>
      <c r="AI40" s="41" t="str">
        <f t="shared" si="23"/>
        <v/>
      </c>
      <c r="AJ40" s="24">
        <f t="shared" si="38"/>
        <v>5.75440588966012</v>
      </c>
      <c r="AK40" s="41" t="str">
        <f t="shared" si="24"/>
        <v/>
      </c>
    </row>
    <row r="41" spans="1:37" ht="15" customHeight="1">
      <c r="A41" s="719"/>
      <c r="B41" s="371" t="str">
        <f>Rydberg!B41</f>
        <v>Elementary electric charge</v>
      </c>
      <c r="C41" s="371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25"/>
        <v>1;0374439E2</v>
      </c>
      <c r="H41" s="629">
        <f t="shared" si="26"/>
        <v>2.5094517379544046E-2</v>
      </c>
      <c r="I41" s="333"/>
      <c r="J41" s="38">
        <v>-16</v>
      </c>
      <c r="K41" s="61">
        <f t="shared" si="39"/>
        <v>1.025094517379544</v>
      </c>
      <c r="L41" s="39" t="str">
        <f>INDEX(powers!$H$2:$H$75,33+J41)</f>
        <v>di-atomic</v>
      </c>
      <c r="M41" s="40" t="str">
        <f t="shared" si="12"/>
        <v>1</v>
      </c>
      <c r="N41" s="24">
        <f t="shared" si="27"/>
        <v>0.30113420855452855</v>
      </c>
      <c r="O41" s="41" t="str">
        <f t="shared" si="13"/>
        <v>0</v>
      </c>
      <c r="P41" s="24">
        <f t="shared" si="28"/>
        <v>3.6136105026543426</v>
      </c>
      <c r="Q41" s="41" t="str">
        <f t="shared" si="14"/>
        <v>3</v>
      </c>
      <c r="R41" s="24">
        <f t="shared" si="29"/>
        <v>7.363326031852111</v>
      </c>
      <c r="S41" s="41" t="str">
        <f t="shared" si="15"/>
        <v>7</v>
      </c>
      <c r="T41" s="24">
        <f t="shared" si="30"/>
        <v>4.3599123822253318</v>
      </c>
      <c r="U41" s="41" t="str">
        <f t="shared" si="16"/>
        <v>4</v>
      </c>
      <c r="V41" s="24">
        <f t="shared" si="31"/>
        <v>4.3189485867039821</v>
      </c>
      <c r="W41" s="41" t="str">
        <f t="shared" si="17"/>
        <v>4</v>
      </c>
      <c r="X41" s="24">
        <f t="shared" si="32"/>
        <v>3.8273830404477849</v>
      </c>
      <c r="Y41" s="41" t="str">
        <f t="shared" si="18"/>
        <v>3</v>
      </c>
      <c r="Z41" s="24">
        <f t="shared" si="33"/>
        <v>9.9285964853734185</v>
      </c>
      <c r="AA41" s="41" t="str">
        <f t="shared" si="19"/>
        <v>9</v>
      </c>
      <c r="AB41" s="24">
        <f t="shared" si="34"/>
        <v>11.143157824481023</v>
      </c>
      <c r="AC41" s="41" t="str">
        <f t="shared" si="20"/>
        <v>E</v>
      </c>
      <c r="AD41" s="24">
        <f t="shared" si="35"/>
        <v>1.7178938937722705</v>
      </c>
      <c r="AE41" s="41" t="str">
        <f t="shared" si="21"/>
        <v>2</v>
      </c>
      <c r="AF41" s="24">
        <f t="shared" si="36"/>
        <v>8.6147267252672464</v>
      </c>
      <c r="AG41" s="41" t="str">
        <f t="shared" si="22"/>
        <v/>
      </c>
      <c r="AH41" s="24">
        <f t="shared" si="37"/>
        <v>7.3767207032069564</v>
      </c>
      <c r="AI41" s="41" t="str">
        <f t="shared" si="23"/>
        <v/>
      </c>
      <c r="AJ41" s="24">
        <f t="shared" si="38"/>
        <v>4.5206484384834766</v>
      </c>
      <c r="AK41" s="41" t="str">
        <f t="shared" si="24"/>
        <v/>
      </c>
    </row>
    <row r="42" spans="1:37" ht="15" customHeight="1">
      <c r="A42" s="719"/>
      <c r="B42" s="371" t="str">
        <f>Rydberg!B42</f>
        <v>Electron mass</v>
      </c>
      <c r="C42" s="371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6.9099846942737057E-30</v>
      </c>
      <c r="G42" s="37" t="str">
        <f t="shared" si="25"/>
        <v>0;E48324X</v>
      </c>
      <c r="H42" s="330">
        <f t="shared" si="26"/>
        <v>-5.0771588460924999E-2</v>
      </c>
      <c r="I42" s="333"/>
      <c r="J42" s="38">
        <v>-27</v>
      </c>
      <c r="K42" s="61">
        <f t="shared" si="39"/>
        <v>0.949228411539075</v>
      </c>
      <c r="L42" s="39" t="str">
        <f>INDEX(powers!$H$2:$H$75,33+J42)</f>
        <v>tri-atomic milly</v>
      </c>
      <c r="M42" s="40" t="str">
        <f t="shared" si="12"/>
        <v>0</v>
      </c>
      <c r="N42" s="24">
        <f t="shared" si="27"/>
        <v>11.3907409384689</v>
      </c>
      <c r="O42" s="41" t="str">
        <f t="shared" si="13"/>
        <v>E</v>
      </c>
      <c r="P42" s="24">
        <f t="shared" si="28"/>
        <v>4.6888912616268001</v>
      </c>
      <c r="Q42" s="41" t="str">
        <f t="shared" si="14"/>
        <v>4</v>
      </c>
      <c r="R42" s="24">
        <f t="shared" si="29"/>
        <v>8.2666951395216017</v>
      </c>
      <c r="S42" s="41" t="str">
        <f t="shared" si="15"/>
        <v>8</v>
      </c>
      <c r="T42" s="24">
        <f t="shared" si="30"/>
        <v>3.2003416742592208</v>
      </c>
      <c r="U42" s="41" t="str">
        <f t="shared" si="16"/>
        <v>3</v>
      </c>
      <c r="V42" s="24">
        <f t="shared" si="31"/>
        <v>2.4041000911106494</v>
      </c>
      <c r="W42" s="41" t="str">
        <f t="shared" si="17"/>
        <v>2</v>
      </c>
      <c r="X42" s="24">
        <f t="shared" si="32"/>
        <v>4.8492010933277925</v>
      </c>
      <c r="Y42" s="41" t="str">
        <f t="shared" si="18"/>
        <v>4</v>
      </c>
      <c r="Z42" s="24">
        <f t="shared" si="33"/>
        <v>10.19041311993351</v>
      </c>
      <c r="AA42" s="41" t="str">
        <f t="shared" si="19"/>
        <v>X</v>
      </c>
      <c r="AB42" s="24">
        <f t="shared" si="34"/>
        <v>2.2849574392021168</v>
      </c>
      <c r="AC42" s="41" t="str">
        <f t="shared" si="20"/>
        <v/>
      </c>
      <c r="AD42" s="24">
        <f t="shared" si="35"/>
        <v>3.4194892704254016</v>
      </c>
      <c r="AE42" s="41" t="str">
        <f t="shared" si="21"/>
        <v/>
      </c>
      <c r="AF42" s="24">
        <f t="shared" si="36"/>
        <v>5.0338712451048195</v>
      </c>
      <c r="AG42" s="41" t="str">
        <f t="shared" si="22"/>
        <v/>
      </c>
      <c r="AH42" s="24">
        <f t="shared" si="37"/>
        <v>0.40645494125783443</v>
      </c>
      <c r="AI42" s="41" t="str">
        <f t="shared" si="23"/>
        <v/>
      </c>
      <c r="AJ42" s="24">
        <f t="shared" si="38"/>
        <v>4.8774592950940132</v>
      </c>
      <c r="AK42" s="41" t="str">
        <f t="shared" si="24"/>
        <v/>
      </c>
    </row>
    <row r="43" spans="1:37" ht="15" customHeight="1">
      <c r="A43" s="719"/>
      <c r="B43" s="573" t="str">
        <f>Rydberg!B43</f>
        <v>Proton mass</v>
      </c>
      <c r="C43" s="57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1.2687786866917966E-26</v>
      </c>
      <c r="G43" s="37" t="str">
        <f t="shared" ref="G43" si="40">M43&amp;";"&amp;O43&amp;Q43&amp;S43&amp;U43&amp;W43&amp;Y43&amp;AA43&amp;AC43&amp;AE43&amp;AG43&amp;AI43&amp;AK43</f>
        <v>1;012E181</v>
      </c>
      <c r="H43" s="330">
        <f t="shared" ref="H43" si="41">K43*POWER(12,I43)/ROUND(K43*POWER(12,I43),0)-1</f>
        <v>8.639053908566563E-3</v>
      </c>
      <c r="I43" s="333"/>
      <c r="J43" s="38">
        <v>-24</v>
      </c>
      <c r="K43" s="61">
        <f t="shared" ref="K43" si="42">F43/POWER(12,J43)</f>
        <v>1.0086390539085666</v>
      </c>
      <c r="L43" s="39" t="str">
        <f>INDEX(powers!$H$2:$H$75,33+J43)</f>
        <v>tri-atomic</v>
      </c>
      <c r="M43" s="40" t="str">
        <f t="shared" ref="M43" si="43">IF($E43&gt;=M$31,MID($J$31,IF($E43&gt;M$31,INT(K43),ROUND(K43,0))+1,1),"")</f>
        <v>1</v>
      </c>
      <c r="N43" s="24">
        <f t="shared" ref="N43" si="44">(K43-INT(K43))*12</f>
        <v>0.10366864690279876</v>
      </c>
      <c r="O43" s="41" t="str">
        <f t="shared" ref="O43" si="45">IF($E43&gt;=O$31,MID($J$31,IF($E43&gt;O$31,INT(N43),ROUND(N43,0))+1,1),"")</f>
        <v>0</v>
      </c>
      <c r="P43" s="24">
        <f t="shared" ref="P43" si="46">(N43-INT(N43))*12</f>
        <v>1.2440237628335851</v>
      </c>
      <c r="Q43" s="41" t="str">
        <f t="shared" ref="Q43" si="47">IF($E43&gt;=Q$31,MID($J$31,IF($E43&gt;Q$31,INT(P43),ROUND(P43,0))+1,1),"")</f>
        <v>1</v>
      </c>
      <c r="R43" s="24">
        <f t="shared" ref="R43" si="48">(P43-INT(P43))*12</f>
        <v>2.9282851540030208</v>
      </c>
      <c r="S43" s="41" t="str">
        <f t="shared" ref="S43" si="49">IF($E43&gt;=S$31,MID($J$31,IF($E43&gt;S$31,INT(R43),ROUND(R43,0))+1,1),"")</f>
        <v>2</v>
      </c>
      <c r="T43" s="24">
        <f t="shared" ref="T43" si="50">(R43-INT(R43))*12</f>
        <v>11.13942184803625</v>
      </c>
      <c r="U43" s="41" t="str">
        <f t="shared" ref="U43" si="51">IF($E43&gt;=U$31,MID($J$31,IF($E43&gt;U$31,INT(T43),ROUND(T43,0))+1,1),"")</f>
        <v>E</v>
      </c>
      <c r="V43" s="24">
        <f t="shared" ref="V43" si="52">(T43-INT(T43))*12</f>
        <v>1.6730621764349962</v>
      </c>
      <c r="W43" s="41" t="str">
        <f t="shared" ref="W43" si="53">IF($E43&gt;=W$31,MID($J$31,IF($E43&gt;W$31,INT(V43),ROUND(V43,0))+1,1),"")</f>
        <v>1</v>
      </c>
      <c r="X43" s="24">
        <f t="shared" ref="X43" si="54">(V43-INT(V43))*12</f>
        <v>8.0767461172199546</v>
      </c>
      <c r="Y43" s="41" t="str">
        <f t="shared" ref="Y43" si="55">IF($E43&gt;=Y$31,MID($J$31,IF($E43&gt;Y$31,INT(X43),ROUND(X43,0))+1,1),"")</f>
        <v>8</v>
      </c>
      <c r="Z43" s="24">
        <f t="shared" ref="Z43" si="56">(X43-INT(X43))*12</f>
        <v>0.92095340663945535</v>
      </c>
      <c r="AA43" s="41" t="str">
        <f t="shared" ref="AA43" si="57">IF($E43&gt;=AA$31,MID($J$31,IF($E43&gt;AA$31,INT(Z43),ROUND(Z43,0))+1,1),"")</f>
        <v>1</v>
      </c>
      <c r="AB43" s="24">
        <f t="shared" ref="AB43" si="58">(Z43-INT(Z43))*12</f>
        <v>11.051440879673464</v>
      </c>
      <c r="AC43" s="41" t="str">
        <f t="shared" ref="AC43" si="59">IF($E43&gt;=AC$31,MID($J$31,IF($E43&gt;AC$31,INT(AB43),ROUND(AB43,0))+1,1),"")</f>
        <v/>
      </c>
      <c r="AD43" s="24">
        <f t="shared" ref="AD43" si="60">(AB43-INT(AB43))*12</f>
        <v>0.61729055608157068</v>
      </c>
      <c r="AE43" s="41" t="str">
        <f t="shared" ref="AE43" si="61">IF($E43&gt;=AE$31,MID($J$31,IF($E43&gt;AE$31,INT(AD43),ROUND(AD43,0))+1,1),"")</f>
        <v/>
      </c>
      <c r="AF43" s="24">
        <f t="shared" ref="AF43" si="62">(AD43-INT(AD43))*12</f>
        <v>7.4074866729788482</v>
      </c>
      <c r="AG43" s="41" t="str">
        <f t="shared" ref="AG43" si="63">IF($E43&gt;=AG$31,MID($J$31,IF($E43&gt;AG$31,INT(AF43),ROUND(AF43,0))+1,1),"")</f>
        <v/>
      </c>
      <c r="AH43" s="24">
        <f t="shared" ref="AH43" si="64">(AF43-INT(AF43))*12</f>
        <v>4.8898400757461786</v>
      </c>
      <c r="AI43" s="41" t="str">
        <f t="shared" ref="AI43" si="65">IF($E43&gt;=AI$31,MID($J$31,IF($E43&gt;AI$31,INT(AH43),ROUND(AH43,0))+1,1),"")</f>
        <v/>
      </c>
      <c r="AJ43" s="24">
        <f t="shared" ref="AJ43" si="66">(AH43-INT(AH43))*12</f>
        <v>10.678080908954144</v>
      </c>
      <c r="AK43" s="41" t="str">
        <f t="shared" ref="AK43" si="67">IF($E43&gt;=AK$31,MID($J$31,IF($E43&gt;AK$31,INT(AJ43),ROUND(AJ43,0))+1,1),"")</f>
        <v/>
      </c>
    </row>
    <row r="44" spans="1:37" ht="15" customHeight="1">
      <c r="A44" s="719"/>
      <c r="B44" s="371" t="str">
        <f>Rydberg!B44</f>
        <v>Newtonian constant of gravitation</v>
      </c>
      <c r="C44" s="371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6.6455502347968708E-11</v>
      </c>
      <c r="G44" s="37" t="str">
        <f t="shared" si="25"/>
        <v>4;1463</v>
      </c>
      <c r="H44" s="330">
        <f t="shared" si="26"/>
        <v>2.868738589201647E-2</v>
      </c>
      <c r="I44" s="333"/>
      <c r="J44" s="38">
        <v>-10</v>
      </c>
      <c r="K44" s="61">
        <f t="shared" si="39"/>
        <v>4.1147495435680659</v>
      </c>
      <c r="L44" s="39" t="str">
        <f>INDEX(powers!$H$2:$H$75,33+J44)</f>
        <v>atomic centy</v>
      </c>
      <c r="M44" s="40" t="str">
        <f t="shared" si="12"/>
        <v>4</v>
      </c>
      <c r="N44" s="24">
        <f t="shared" si="27"/>
        <v>1.3769945228167906</v>
      </c>
      <c r="O44" s="41" t="str">
        <f t="shared" si="13"/>
        <v>1</v>
      </c>
      <c r="P44" s="24">
        <f t="shared" si="28"/>
        <v>4.5239342738014869</v>
      </c>
      <c r="Q44" s="41" t="str">
        <f t="shared" si="14"/>
        <v>4</v>
      </c>
      <c r="R44" s="24">
        <f t="shared" si="29"/>
        <v>6.2872112856178433</v>
      </c>
      <c r="S44" s="41" t="str">
        <f t="shared" si="15"/>
        <v>6</v>
      </c>
      <c r="T44" s="24">
        <f t="shared" si="30"/>
        <v>3.4465354274141191</v>
      </c>
      <c r="U44" s="41" t="str">
        <f t="shared" si="16"/>
        <v>3</v>
      </c>
      <c r="V44" s="24">
        <f t="shared" si="31"/>
        <v>5.3584251289694294</v>
      </c>
      <c r="W44" s="41" t="str">
        <f t="shared" si="17"/>
        <v/>
      </c>
      <c r="X44" s="24">
        <f t="shared" si="32"/>
        <v>4.3011015476331522</v>
      </c>
      <c r="Y44" s="41" t="str">
        <f t="shared" si="18"/>
        <v/>
      </c>
      <c r="Z44" s="24">
        <f t="shared" si="33"/>
        <v>3.6132185715978267</v>
      </c>
      <c r="AA44" s="41" t="str">
        <f t="shared" si="19"/>
        <v/>
      </c>
      <c r="AB44" s="24">
        <f t="shared" si="34"/>
        <v>7.35862285917392</v>
      </c>
      <c r="AC44" s="41" t="str">
        <f t="shared" si="20"/>
        <v/>
      </c>
      <c r="AD44" s="24">
        <f t="shared" si="35"/>
        <v>4.3034743100870401</v>
      </c>
      <c r="AE44" s="41" t="str">
        <f t="shared" si="21"/>
        <v/>
      </c>
      <c r="AF44" s="24">
        <f t="shared" si="36"/>
        <v>3.6416917210444808</v>
      </c>
      <c r="AG44" s="41" t="str">
        <f t="shared" si="22"/>
        <v/>
      </c>
      <c r="AH44" s="24">
        <f t="shared" si="37"/>
        <v>7.7003006525337696</v>
      </c>
      <c r="AI44" s="41" t="str">
        <f t="shared" si="23"/>
        <v/>
      </c>
      <c r="AJ44" s="24">
        <f t="shared" si="38"/>
        <v>8.4036078304052353</v>
      </c>
      <c r="AK44" s="41" t="str">
        <f t="shared" si="24"/>
        <v/>
      </c>
    </row>
    <row r="45" spans="1:37" ht="15" customHeight="1">
      <c r="A45" s="719"/>
      <c r="B45" s="371" t="str">
        <f>Rydberg!B45</f>
        <v>Planck force</v>
      </c>
      <c r="C45" s="371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5.1436206152178244E+44</v>
      </c>
      <c r="G45" s="37" t="str">
        <f t="shared" si="25"/>
        <v>2;XEE5</v>
      </c>
      <c r="H45" s="331">
        <f t="shared" si="26"/>
        <v>-1.1272357586811221E-4</v>
      </c>
      <c r="I45" s="339">
        <v>1</v>
      </c>
      <c r="J45" s="38">
        <v>41</v>
      </c>
      <c r="K45" s="61">
        <f t="shared" si="39"/>
        <v>2.9163378895703844</v>
      </c>
      <c r="L45" s="39" t="str">
        <f>INDEX(powers!$H$2:$H$75,33+J45)</f>
        <v>penta-cosmic dirac</v>
      </c>
      <c r="M45" s="40" t="str">
        <f t="shared" si="12"/>
        <v>2</v>
      </c>
      <c r="N45" s="24">
        <f t="shared" si="27"/>
        <v>10.996054674844613</v>
      </c>
      <c r="O45" s="41" t="str">
        <f t="shared" si="13"/>
        <v>X</v>
      </c>
      <c r="P45" s="24">
        <f t="shared" si="28"/>
        <v>11.952656098135357</v>
      </c>
      <c r="Q45" s="41" t="str">
        <f t="shared" si="14"/>
        <v>E</v>
      </c>
      <c r="R45" s="24">
        <f t="shared" si="29"/>
        <v>11.431873177624283</v>
      </c>
      <c r="S45" s="41" t="str">
        <f t="shared" si="15"/>
        <v>E</v>
      </c>
      <c r="T45" s="24">
        <f t="shared" si="30"/>
        <v>5.1824781314913935</v>
      </c>
      <c r="U45" s="41" t="str">
        <f t="shared" si="16"/>
        <v>5</v>
      </c>
      <c r="V45" s="24">
        <f t="shared" si="31"/>
        <v>2.1897375778967216</v>
      </c>
      <c r="W45" s="41" t="str">
        <f t="shared" si="17"/>
        <v/>
      </c>
      <c r="X45" s="24">
        <f t="shared" si="32"/>
        <v>2.2768509347606596</v>
      </c>
      <c r="Y45" s="41" t="str">
        <f t="shared" si="18"/>
        <v/>
      </c>
      <c r="Z45" s="24">
        <f t="shared" si="33"/>
        <v>3.322211217127915</v>
      </c>
      <c r="AA45" s="41" t="str">
        <f t="shared" si="19"/>
        <v/>
      </c>
      <c r="AB45" s="24">
        <f t="shared" si="34"/>
        <v>3.8665346055349801</v>
      </c>
      <c r="AC45" s="41" t="str">
        <f t="shared" si="20"/>
        <v/>
      </c>
      <c r="AD45" s="24">
        <f t="shared" si="35"/>
        <v>10.398415266419761</v>
      </c>
      <c r="AE45" s="41" t="str">
        <f t="shared" si="21"/>
        <v/>
      </c>
      <c r="AF45" s="24">
        <f t="shared" si="36"/>
        <v>4.7809831970371306</v>
      </c>
      <c r="AG45" s="41" t="str">
        <f t="shared" si="22"/>
        <v/>
      </c>
      <c r="AH45" s="24">
        <f t="shared" si="37"/>
        <v>9.3717983644455671</v>
      </c>
      <c r="AI45" s="41" t="str">
        <f t="shared" si="23"/>
        <v/>
      </c>
      <c r="AJ45" s="24">
        <f t="shared" si="38"/>
        <v>4.4615803733468056</v>
      </c>
      <c r="AK45" s="41" t="str">
        <f t="shared" si="24"/>
        <v/>
      </c>
    </row>
    <row r="46" spans="1:37" ht="15" customHeight="1">
      <c r="A46" s="719"/>
      <c r="B46" s="371" t="str">
        <f>Rydberg!B46</f>
        <v>Gravitic meter</v>
      </c>
      <c r="C46" s="371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3.5107980746726897E-34</v>
      </c>
      <c r="G46" s="37" t="str">
        <f t="shared" si="25"/>
        <v>1;0001</v>
      </c>
      <c r="H46" s="330">
        <f t="shared" si="26"/>
        <v>5.6366553358389027E-5</v>
      </c>
      <c r="I46" s="333"/>
      <c r="J46" s="38">
        <v>-31</v>
      </c>
      <c r="K46" s="61">
        <f t="shared" si="39"/>
        <v>1.0000563665533584</v>
      </c>
      <c r="L46" s="39" t="str">
        <f>INDEX(powers!$H$2:$H$75,33+J46)</f>
        <v>tetra-atomic dirac</v>
      </c>
      <c r="M46" s="40" t="str">
        <f t="shared" si="12"/>
        <v>1</v>
      </c>
      <c r="N46" s="24">
        <f t="shared" si="27"/>
        <v>6.7639864030066832E-4</v>
      </c>
      <c r="O46" s="41" t="str">
        <f t="shared" si="13"/>
        <v>0</v>
      </c>
      <c r="P46" s="24">
        <f t="shared" si="28"/>
        <v>8.1167836836080198E-3</v>
      </c>
      <c r="Q46" s="41" t="str">
        <f t="shared" si="14"/>
        <v>0</v>
      </c>
      <c r="R46" s="24">
        <f t="shared" si="29"/>
        <v>9.7401404203296238E-2</v>
      </c>
      <c r="S46" s="41" t="str">
        <f t="shared" si="15"/>
        <v>0</v>
      </c>
      <c r="T46" s="24">
        <f t="shared" si="30"/>
        <v>1.1688168504395549</v>
      </c>
      <c r="U46" s="41" t="str">
        <f t="shared" si="16"/>
        <v>1</v>
      </c>
      <c r="V46" s="24">
        <f t="shared" si="31"/>
        <v>2.0258022052746583</v>
      </c>
      <c r="W46" s="41" t="str">
        <f t="shared" si="17"/>
        <v/>
      </c>
      <c r="X46" s="24">
        <f t="shared" si="32"/>
        <v>0.30962646329589916</v>
      </c>
      <c r="Y46" s="41" t="str">
        <f t="shared" si="18"/>
        <v/>
      </c>
      <c r="Z46" s="24">
        <f t="shared" si="33"/>
        <v>3.7155175595507899</v>
      </c>
      <c r="AA46" s="41" t="str">
        <f t="shared" si="19"/>
        <v/>
      </c>
      <c r="AB46" s="24">
        <f t="shared" si="34"/>
        <v>8.5862107146094786</v>
      </c>
      <c r="AC46" s="41" t="str">
        <f t="shared" si="20"/>
        <v/>
      </c>
      <c r="AD46" s="24">
        <f t="shared" si="35"/>
        <v>7.0345285753137432</v>
      </c>
      <c r="AE46" s="41" t="str">
        <f t="shared" si="21"/>
        <v/>
      </c>
      <c r="AF46" s="24">
        <f t="shared" si="36"/>
        <v>0.41434290376491845</v>
      </c>
      <c r="AG46" s="41" t="str">
        <f t="shared" si="22"/>
        <v/>
      </c>
      <c r="AH46" s="24">
        <f t="shared" si="37"/>
        <v>4.9721148451790214</v>
      </c>
      <c r="AI46" s="41" t="str">
        <f t="shared" si="23"/>
        <v/>
      </c>
      <c r="AJ46" s="24">
        <f t="shared" si="38"/>
        <v>11.665378142148256</v>
      </c>
      <c r="AK46" s="41" t="str">
        <f t="shared" si="24"/>
        <v/>
      </c>
    </row>
    <row r="47" spans="1:37" ht="15" customHeight="1">
      <c r="A47" s="719"/>
      <c r="B47" s="371" t="str">
        <f>Rydberg!B47</f>
        <v>Planck length</v>
      </c>
      <c r="C47" s="371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5.9343318606046155E-35</v>
      </c>
      <c r="G47" s="37" t="str">
        <f t="shared" si="25"/>
        <v>2;0413</v>
      </c>
      <c r="H47" s="330">
        <f t="shared" si="26"/>
        <v>1.4242271793094119E-2</v>
      </c>
      <c r="I47" s="333"/>
      <c r="J47" s="38">
        <v>-32</v>
      </c>
      <c r="K47" s="61">
        <f t="shared" si="39"/>
        <v>2.0284845435861882</v>
      </c>
      <c r="L47" s="39" t="str">
        <f>INDEX(powers!$H$2:$H$75,33+J47)</f>
        <v>tetra-atomic</v>
      </c>
      <c r="M47" s="40" t="str">
        <f t="shared" si="12"/>
        <v>2</v>
      </c>
      <c r="N47" s="24">
        <f t="shared" si="27"/>
        <v>0.34181452303425885</v>
      </c>
      <c r="O47" s="41" t="str">
        <f t="shared" si="13"/>
        <v>0</v>
      </c>
      <c r="P47" s="24">
        <f t="shared" si="28"/>
        <v>4.1017742764111063</v>
      </c>
      <c r="Q47" s="41" t="str">
        <f t="shared" si="14"/>
        <v>4</v>
      </c>
      <c r="R47" s="24">
        <f t="shared" si="29"/>
        <v>1.2212913169332751</v>
      </c>
      <c r="S47" s="41" t="str">
        <f t="shared" si="15"/>
        <v>1</v>
      </c>
      <c r="T47" s="24">
        <f t="shared" si="30"/>
        <v>2.655495803199301</v>
      </c>
      <c r="U47" s="41" t="str">
        <f t="shared" si="16"/>
        <v>3</v>
      </c>
      <c r="V47" s="24">
        <f t="shared" si="31"/>
        <v>7.8659496383916121</v>
      </c>
      <c r="W47" s="41" t="str">
        <f t="shared" si="17"/>
        <v/>
      </c>
      <c r="X47" s="24">
        <f t="shared" si="32"/>
        <v>10.391395660699345</v>
      </c>
      <c r="Y47" s="41" t="str">
        <f t="shared" si="18"/>
        <v/>
      </c>
      <c r="Z47" s="24">
        <f t="shared" si="33"/>
        <v>4.6967479283921421</v>
      </c>
      <c r="AA47" s="41" t="str">
        <f t="shared" si="19"/>
        <v/>
      </c>
      <c r="AB47" s="24">
        <f t="shared" si="34"/>
        <v>8.3609751407057047</v>
      </c>
      <c r="AC47" s="41" t="str">
        <f t="shared" si="20"/>
        <v/>
      </c>
      <c r="AD47" s="24">
        <f t="shared" si="35"/>
        <v>4.3317016884684563</v>
      </c>
      <c r="AE47" s="41" t="str">
        <f t="shared" si="21"/>
        <v/>
      </c>
      <c r="AF47" s="24">
        <f t="shared" si="36"/>
        <v>3.9804202616214752</v>
      </c>
      <c r="AG47" s="41" t="str">
        <f t="shared" si="22"/>
        <v/>
      </c>
      <c r="AH47" s="24">
        <f t="shared" si="37"/>
        <v>11.765043139457703</v>
      </c>
      <c r="AI47" s="41" t="str">
        <f t="shared" si="23"/>
        <v/>
      </c>
      <c r="AJ47" s="24">
        <f t="shared" si="38"/>
        <v>9.1805176734924316</v>
      </c>
      <c r="AK47" s="41" t="str">
        <f t="shared" si="24"/>
        <v/>
      </c>
    </row>
    <row r="48" spans="1:37" ht="15" customHeight="1">
      <c r="A48" s="719"/>
      <c r="B48" s="371" t="str">
        <f>Rydberg!B48</f>
        <v>Adjusted Planck length</v>
      </c>
      <c r="C48" s="371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6.9468698856467466E-34</v>
      </c>
      <c r="G48" s="37" t="str">
        <f t="shared" si="25"/>
        <v>1;E8E5</v>
      </c>
      <c r="H48" s="330">
        <f t="shared" si="26"/>
        <v>-1.0586580459128192E-2</v>
      </c>
      <c r="I48" s="333"/>
      <c r="J48" s="38">
        <v>-31</v>
      </c>
      <c r="K48" s="61">
        <f t="shared" si="39"/>
        <v>1.9788268390817436</v>
      </c>
      <c r="L48" s="39" t="str">
        <f>INDEX(powers!$H$2:$H$75,33+J48)</f>
        <v>tetra-atomic dirac</v>
      </c>
      <c r="M48" s="40" t="str">
        <f t="shared" si="12"/>
        <v>1</v>
      </c>
      <c r="N48" s="24">
        <f t="shared" si="27"/>
        <v>11.745922068980924</v>
      </c>
      <c r="O48" s="41" t="str">
        <f t="shared" si="13"/>
        <v>E</v>
      </c>
      <c r="P48" s="24">
        <f t="shared" si="28"/>
        <v>8.9510648277710914</v>
      </c>
      <c r="Q48" s="41" t="str">
        <f t="shared" si="14"/>
        <v>8</v>
      </c>
      <c r="R48" s="24">
        <f t="shared" si="29"/>
        <v>11.412777933253096</v>
      </c>
      <c r="S48" s="41" t="str">
        <f t="shared" si="15"/>
        <v>E</v>
      </c>
      <c r="T48" s="24">
        <f t="shared" si="30"/>
        <v>4.9533351990371557</v>
      </c>
      <c r="U48" s="41" t="str">
        <f t="shared" si="16"/>
        <v>5</v>
      </c>
      <c r="V48" s="24">
        <f t="shared" si="31"/>
        <v>11.440022388445868</v>
      </c>
      <c r="W48" s="41" t="str">
        <f t="shared" si="17"/>
        <v/>
      </c>
      <c r="X48" s="24">
        <f t="shared" si="32"/>
        <v>5.2802686613504193</v>
      </c>
      <c r="Y48" s="41" t="str">
        <f t="shared" si="18"/>
        <v/>
      </c>
      <c r="Z48" s="24">
        <f t="shared" si="33"/>
        <v>3.3632239362050314</v>
      </c>
      <c r="AA48" s="41" t="str">
        <f t="shared" si="19"/>
        <v/>
      </c>
      <c r="AB48" s="24">
        <f t="shared" si="34"/>
        <v>4.3586872344603762</v>
      </c>
      <c r="AC48" s="41" t="str">
        <f t="shared" si="20"/>
        <v/>
      </c>
      <c r="AD48" s="24">
        <f t="shared" si="35"/>
        <v>4.3042468135245144</v>
      </c>
      <c r="AE48" s="41" t="str">
        <f t="shared" si="21"/>
        <v/>
      </c>
      <c r="AF48" s="24">
        <f t="shared" si="36"/>
        <v>3.6509617622941732</v>
      </c>
      <c r="AG48" s="41" t="str">
        <f t="shared" si="22"/>
        <v/>
      </c>
      <c r="AH48" s="24">
        <f t="shared" si="37"/>
        <v>7.8115411475300789</v>
      </c>
      <c r="AI48" s="41" t="str">
        <f t="shared" si="23"/>
        <v/>
      </c>
      <c r="AJ48" s="24">
        <f t="shared" si="38"/>
        <v>9.7384937703609467</v>
      </c>
      <c r="AK48" s="41" t="str">
        <f t="shared" si="24"/>
        <v/>
      </c>
    </row>
    <row r="49" spans="1:37" ht="15" customHeight="1">
      <c r="A49" s="719"/>
      <c r="B49" s="371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25"/>
        <v>1;E82E28</v>
      </c>
      <c r="H49" s="330">
        <f t="shared" si="26"/>
        <v>-1.3039559891063979E-2</v>
      </c>
      <c r="I49" s="333"/>
      <c r="J49" s="135">
        <v>-23</v>
      </c>
      <c r="K49" s="61">
        <f t="shared" si="39"/>
        <v>1.973920880217872</v>
      </c>
      <c r="L49" s="138" t="str">
        <f>INDEX(powers!$H$2:$H$75,33+J49)</f>
        <v>tri-atomic dirac</v>
      </c>
      <c r="M49" s="40" t="str">
        <f t="shared" si="12"/>
        <v>1</v>
      </c>
      <c r="N49" s="24">
        <f t="shared" si="27"/>
        <v>11.687050562614465</v>
      </c>
      <c r="O49" s="41" t="str">
        <f t="shared" si="13"/>
        <v>E</v>
      </c>
      <c r="P49" s="24">
        <f t="shared" si="28"/>
        <v>8.2446067513735741</v>
      </c>
      <c r="Q49" s="41" t="str">
        <f t="shared" si="14"/>
        <v>8</v>
      </c>
      <c r="R49" s="24">
        <f t="shared" si="29"/>
        <v>2.9352810164828895</v>
      </c>
      <c r="S49" s="41" t="str">
        <f t="shared" si="15"/>
        <v>2</v>
      </c>
      <c r="T49" s="24">
        <f t="shared" si="30"/>
        <v>11.223372197794674</v>
      </c>
      <c r="U49" s="41" t="str">
        <f t="shared" si="16"/>
        <v>E</v>
      </c>
      <c r="V49" s="24">
        <f t="shared" si="31"/>
        <v>2.6804663735360919</v>
      </c>
      <c r="W49" s="41" t="str">
        <f t="shared" si="17"/>
        <v>2</v>
      </c>
      <c r="X49" s="24">
        <f t="shared" si="32"/>
        <v>8.1655964824331022</v>
      </c>
      <c r="Y49" s="41" t="str">
        <f t="shared" si="18"/>
        <v>8</v>
      </c>
      <c r="Z49" s="24">
        <f t="shared" si="33"/>
        <v>1.9871577891972265</v>
      </c>
      <c r="AA49" s="41" t="str">
        <f t="shared" si="19"/>
        <v/>
      </c>
      <c r="AB49" s="24">
        <f t="shared" si="34"/>
        <v>11.845893470366718</v>
      </c>
      <c r="AC49" s="41" t="str">
        <f t="shared" si="20"/>
        <v/>
      </c>
      <c r="AD49" s="24">
        <f t="shared" si="35"/>
        <v>10.150721644400619</v>
      </c>
      <c r="AE49" s="41" t="str">
        <f t="shared" si="21"/>
        <v/>
      </c>
      <c r="AF49" s="24">
        <f t="shared" si="36"/>
        <v>1.8086597328074276</v>
      </c>
      <c r="AG49" s="41" t="str">
        <f t="shared" si="22"/>
        <v/>
      </c>
      <c r="AH49" s="24">
        <f t="shared" si="37"/>
        <v>9.7039167936891317</v>
      </c>
      <c r="AI49" s="41" t="str">
        <f t="shared" si="23"/>
        <v/>
      </c>
      <c r="AJ49" s="24">
        <f t="shared" si="38"/>
        <v>8.4470015242695808</v>
      </c>
      <c r="AK49" s="41" t="str">
        <f t="shared" si="24"/>
        <v/>
      </c>
    </row>
    <row r="50" spans="1:37" ht="15" customHeight="1">
      <c r="A50" s="719"/>
      <c r="B50" s="371" t="str">
        <f>Rydberg!B50</f>
        <v>Black-body radiation at the ice point</v>
      </c>
      <c r="C50" s="371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142.71990844460942</v>
      </c>
      <c r="G50" s="37" t="str">
        <f t="shared" si="25"/>
        <v>0;EX8780</v>
      </c>
      <c r="H50" s="330">
        <f t="shared" si="26"/>
        <v>-8.8895246902124248E-3</v>
      </c>
      <c r="I50" s="333"/>
      <c r="J50" s="38">
        <v>2</v>
      </c>
      <c r="K50" s="61">
        <f t="shared" si="39"/>
        <v>0.99111047530978758</v>
      </c>
      <c r="L50" s="39" t="str">
        <f>INDEX(powers!$H$2:$H$75,33+J50)</f>
        <v>hecty</v>
      </c>
      <c r="M50" s="40" t="str">
        <f t="shared" si="12"/>
        <v>0</v>
      </c>
      <c r="N50" s="24">
        <f t="shared" si="27"/>
        <v>11.893325703717451</v>
      </c>
      <c r="O50" s="41" t="str">
        <f t="shared" si="13"/>
        <v>E</v>
      </c>
      <c r="P50" s="24">
        <f t="shared" si="28"/>
        <v>10.719908444609416</v>
      </c>
      <c r="Q50" s="41" t="str">
        <f t="shared" si="14"/>
        <v>X</v>
      </c>
      <c r="R50" s="24">
        <f t="shared" si="29"/>
        <v>8.638901335312994</v>
      </c>
      <c r="S50" s="41" t="str">
        <f t="shared" si="15"/>
        <v>8</v>
      </c>
      <c r="T50" s="24">
        <f t="shared" si="30"/>
        <v>7.6668160237559277</v>
      </c>
      <c r="U50" s="41" t="str">
        <f t="shared" si="16"/>
        <v>7</v>
      </c>
      <c r="V50" s="24">
        <f t="shared" si="31"/>
        <v>8.0017922850711329</v>
      </c>
      <c r="W50" s="41" t="str">
        <f t="shared" si="17"/>
        <v>8</v>
      </c>
      <c r="X50" s="24">
        <f t="shared" si="32"/>
        <v>2.1507420853595249E-2</v>
      </c>
      <c r="Y50" s="41" t="str">
        <f t="shared" si="18"/>
        <v>0</v>
      </c>
      <c r="Z50" s="24">
        <f t="shared" si="33"/>
        <v>0.25808905024314299</v>
      </c>
      <c r="AA50" s="41" t="str">
        <f t="shared" si="19"/>
        <v/>
      </c>
      <c r="AB50" s="24">
        <f t="shared" si="34"/>
        <v>3.0970686029177159</v>
      </c>
      <c r="AC50" s="41" t="str">
        <f t="shared" si="20"/>
        <v/>
      </c>
      <c r="AD50" s="24">
        <f t="shared" si="35"/>
        <v>1.1648232350125909</v>
      </c>
      <c r="AE50" s="41" t="str">
        <f t="shared" si="21"/>
        <v/>
      </c>
      <c r="AF50" s="24">
        <f t="shared" si="36"/>
        <v>1.9778788201510906</v>
      </c>
      <c r="AG50" s="41" t="str">
        <f t="shared" si="22"/>
        <v/>
      </c>
      <c r="AH50" s="24">
        <f t="shared" si="37"/>
        <v>11.734545841813087</v>
      </c>
      <c r="AI50" s="41" t="str">
        <f t="shared" si="23"/>
        <v/>
      </c>
      <c r="AJ50" s="24">
        <f t="shared" si="38"/>
        <v>8.8145501017570496</v>
      </c>
      <c r="AK50" s="41" t="str">
        <f t="shared" si="24"/>
        <v/>
      </c>
    </row>
    <row r="51" spans="1:37" ht="15" customHeight="1">
      <c r="A51" s="719"/>
      <c r="B51" s="371" t="str">
        <f>Rydberg!B51</f>
        <v>Temperature of the triple point of water</v>
      </c>
      <c r="C51" s="371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4678393.7236986831</v>
      </c>
      <c r="G51" s="37" t="str">
        <f t="shared" si="25"/>
        <v>1;6974X2</v>
      </c>
      <c r="H51" s="330"/>
      <c r="I51" s="333"/>
      <c r="J51" s="135">
        <v>6</v>
      </c>
      <c r="K51" s="61">
        <f t="shared" si="39"/>
        <v>1.5667845921808969</v>
      </c>
      <c r="L51" s="138" t="str">
        <f>INDEX(powers!$H$2:$H$75,33+J51)</f>
        <v>cosmic centy</v>
      </c>
      <c r="M51" s="40" t="str">
        <f t="shared" si="12"/>
        <v>1</v>
      </c>
      <c r="N51" s="24">
        <f t="shared" si="27"/>
        <v>6.8014151061707633</v>
      </c>
      <c r="O51" s="41" t="str">
        <f t="shared" si="13"/>
        <v>6</v>
      </c>
      <c r="P51" s="24">
        <f t="shared" si="28"/>
        <v>9.6169812740491594</v>
      </c>
      <c r="Q51" s="41" t="str">
        <f t="shared" si="14"/>
        <v>9</v>
      </c>
      <c r="R51" s="24">
        <f t="shared" si="29"/>
        <v>7.4037752885899124</v>
      </c>
      <c r="S51" s="41" t="str">
        <f t="shared" si="15"/>
        <v>7</v>
      </c>
      <c r="T51" s="24">
        <f t="shared" si="30"/>
        <v>4.8453034630789489</v>
      </c>
      <c r="U51" s="41" t="str">
        <f t="shared" si="16"/>
        <v>4</v>
      </c>
      <c r="V51" s="24">
        <f t="shared" si="31"/>
        <v>10.143641556947387</v>
      </c>
      <c r="W51" s="41" t="str">
        <f t="shared" si="17"/>
        <v>X</v>
      </c>
      <c r="X51" s="24">
        <f t="shared" si="32"/>
        <v>1.7236986833686387</v>
      </c>
      <c r="Y51" s="41" t="str">
        <f t="shared" si="18"/>
        <v>2</v>
      </c>
      <c r="Z51" s="24">
        <f t="shared" si="33"/>
        <v>8.6843842004236649</v>
      </c>
      <c r="AA51" s="41" t="str">
        <f t="shared" si="19"/>
        <v/>
      </c>
      <c r="AB51" s="24">
        <f t="shared" si="34"/>
        <v>8.2126104050839785</v>
      </c>
      <c r="AC51" s="41" t="str">
        <f t="shared" si="20"/>
        <v/>
      </c>
      <c r="AD51" s="24">
        <f t="shared" si="35"/>
        <v>2.5513248610077426</v>
      </c>
      <c r="AE51" s="41" t="str">
        <f t="shared" si="21"/>
        <v/>
      </c>
      <c r="AF51" s="24">
        <f t="shared" si="36"/>
        <v>6.615898332092911</v>
      </c>
      <c r="AG51" s="41" t="str">
        <f t="shared" si="22"/>
        <v/>
      </c>
      <c r="AH51" s="24">
        <f t="shared" si="37"/>
        <v>7.3907799851149321</v>
      </c>
      <c r="AI51" s="41" t="str">
        <f t="shared" si="23"/>
        <v/>
      </c>
      <c r="AJ51" s="24">
        <f t="shared" si="38"/>
        <v>4.6893598213791847</v>
      </c>
      <c r="AK51" s="41" t="str">
        <f t="shared" si="24"/>
        <v/>
      </c>
    </row>
    <row r="52" spans="1:37" ht="15" customHeight="1">
      <c r="A52" s="719"/>
      <c r="B52" s="371" t="str">
        <f>Rydberg!B52</f>
        <v>Molar volume of an ideal gas</v>
      </c>
      <c r="C52" s="371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146.46199160365049</v>
      </c>
      <c r="G52" s="37" t="str">
        <f t="shared" si="25"/>
        <v>1;025664</v>
      </c>
      <c r="H52" s="330">
        <f>K52*POWER(12,I52)/ROUND(K52*POWER(12,I52),0)-1</f>
        <v>1.7097163914239433E-2</v>
      </c>
      <c r="I52" s="333"/>
      <c r="J52" s="38">
        <v>2</v>
      </c>
      <c r="K52" s="61">
        <f t="shared" si="39"/>
        <v>1.0170971639142394</v>
      </c>
      <c r="L52" s="39" t="str">
        <f>INDEX(powers!$H$2:$H$75,33+J52)</f>
        <v>hecty</v>
      </c>
      <c r="M52" s="40" t="str">
        <f t="shared" si="12"/>
        <v>1</v>
      </c>
      <c r="N52" s="24">
        <f t="shared" si="27"/>
        <v>0.20516596697087319</v>
      </c>
      <c r="O52" s="41" t="str">
        <f t="shared" si="13"/>
        <v>0</v>
      </c>
      <c r="P52" s="24">
        <f t="shared" si="28"/>
        <v>2.4619916036504783</v>
      </c>
      <c r="Q52" s="41" t="str">
        <f t="shared" si="14"/>
        <v>2</v>
      </c>
      <c r="R52" s="24">
        <f t="shared" si="29"/>
        <v>5.5438992438057397</v>
      </c>
      <c r="S52" s="41" t="str">
        <f t="shared" si="15"/>
        <v>5</v>
      </c>
      <c r="T52" s="24">
        <f t="shared" si="30"/>
        <v>6.5267909256688768</v>
      </c>
      <c r="U52" s="41" t="str">
        <f t="shared" si="16"/>
        <v>6</v>
      </c>
      <c r="V52" s="24">
        <f t="shared" si="31"/>
        <v>6.321491108026521</v>
      </c>
      <c r="W52" s="41" t="str">
        <f t="shared" si="17"/>
        <v>6</v>
      </c>
      <c r="X52" s="24">
        <f t="shared" si="32"/>
        <v>3.8578932963182524</v>
      </c>
      <c r="Y52" s="41" t="str">
        <f t="shared" si="18"/>
        <v>4</v>
      </c>
      <c r="Z52" s="24">
        <f t="shared" si="33"/>
        <v>10.294719555819029</v>
      </c>
      <c r="AA52" s="41" t="str">
        <f t="shared" si="19"/>
        <v/>
      </c>
      <c r="AB52" s="24">
        <f t="shared" si="34"/>
        <v>3.5366346698283451</v>
      </c>
      <c r="AC52" s="41" t="str">
        <f t="shared" si="20"/>
        <v/>
      </c>
      <c r="AD52" s="24">
        <f t="shared" si="35"/>
        <v>6.4396160379401408</v>
      </c>
      <c r="AE52" s="41" t="str">
        <f t="shared" si="21"/>
        <v/>
      </c>
      <c r="AF52" s="24">
        <f t="shared" si="36"/>
        <v>5.2753924552816898</v>
      </c>
      <c r="AG52" s="41" t="str">
        <f t="shared" si="22"/>
        <v/>
      </c>
      <c r="AH52" s="24">
        <f t="shared" si="37"/>
        <v>3.3047094633802772</v>
      </c>
      <c r="AI52" s="41" t="str">
        <f t="shared" si="23"/>
        <v/>
      </c>
      <c r="AJ52" s="24">
        <f t="shared" si="38"/>
        <v>3.6565135605633259</v>
      </c>
      <c r="AK52" s="41" t="str">
        <f t="shared" si="24"/>
        <v/>
      </c>
    </row>
    <row r="53" spans="1:37" ht="15" customHeight="1">
      <c r="A53" s="719"/>
      <c r="B53" s="67" t="str">
        <f>Rydberg!B53</f>
        <v>-log(Sqrt([H+][OH-])/(mol/m^3))</v>
      </c>
      <c r="C53" s="371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7.2401888623166943</v>
      </c>
      <c r="G53" s="37" t="str">
        <f t="shared" si="25"/>
        <v>7;2X71</v>
      </c>
      <c r="H53" s="330"/>
      <c r="I53" s="333"/>
      <c r="J53" s="38">
        <v>0</v>
      </c>
      <c r="K53" s="61">
        <f t="shared" si="39"/>
        <v>7.2401888623166943</v>
      </c>
      <c r="L53" s="39" t="str">
        <f>INDEX(powers!$H$2:$H$75,33+J53)</f>
        <v xml:space="preserve"> </v>
      </c>
      <c r="M53" s="40" t="str">
        <f t="shared" si="12"/>
        <v>7</v>
      </c>
      <c r="N53" s="24">
        <f t="shared" si="27"/>
        <v>2.8822663478003321</v>
      </c>
      <c r="O53" s="41" t="str">
        <f t="shared" si="13"/>
        <v>2</v>
      </c>
      <c r="P53" s="24">
        <f t="shared" si="28"/>
        <v>10.587196173603985</v>
      </c>
      <c r="Q53" s="41" t="str">
        <f t="shared" si="14"/>
        <v>X</v>
      </c>
      <c r="R53" s="24">
        <f t="shared" si="29"/>
        <v>7.0463540832478202</v>
      </c>
      <c r="S53" s="41" t="str">
        <f t="shared" si="15"/>
        <v>7</v>
      </c>
      <c r="T53" s="24">
        <f t="shared" si="30"/>
        <v>0.55624899897384239</v>
      </c>
      <c r="U53" s="41" t="str">
        <f t="shared" si="16"/>
        <v>1</v>
      </c>
      <c r="V53" s="24">
        <f t="shared" si="31"/>
        <v>6.6749879876861087</v>
      </c>
      <c r="W53" s="41" t="str">
        <f t="shared" si="17"/>
        <v/>
      </c>
      <c r="X53" s="24">
        <f t="shared" si="32"/>
        <v>8.0998558522333042</v>
      </c>
      <c r="Y53" s="41" t="str">
        <f t="shared" si="18"/>
        <v/>
      </c>
      <c r="Z53" s="24">
        <f t="shared" si="33"/>
        <v>1.1982702267996501</v>
      </c>
      <c r="AA53" s="41" t="str">
        <f t="shared" si="19"/>
        <v/>
      </c>
      <c r="AB53" s="24">
        <f t="shared" si="34"/>
        <v>2.3792427215958014</v>
      </c>
      <c r="AC53" s="41" t="str">
        <f t="shared" si="20"/>
        <v/>
      </c>
      <c r="AD53" s="24">
        <f t="shared" si="35"/>
        <v>4.550912659149617</v>
      </c>
      <c r="AE53" s="41" t="str">
        <f t="shared" si="21"/>
        <v/>
      </c>
      <c r="AF53" s="24">
        <f t="shared" si="36"/>
        <v>6.6109519097954035</v>
      </c>
      <c r="AG53" s="41" t="str">
        <f t="shared" si="22"/>
        <v/>
      </c>
      <c r="AH53" s="24">
        <f t="shared" si="37"/>
        <v>7.3314229175448418</v>
      </c>
      <c r="AI53" s="41" t="str">
        <f t="shared" si="23"/>
        <v/>
      </c>
      <c r="AJ53" s="24">
        <f t="shared" si="38"/>
        <v>3.9770750105381012</v>
      </c>
      <c r="AK53" s="41" t="str">
        <f t="shared" si="24"/>
        <v/>
      </c>
    </row>
    <row r="54" spans="1:37" ht="15" customHeight="1">
      <c r="A54" s="719"/>
      <c r="B54" s="371" t="str">
        <f>Rydberg!B54</f>
        <v>Maximum density of water</v>
      </c>
      <c r="C54" s="371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153.23875955129577</v>
      </c>
      <c r="G54" s="37" t="str">
        <f t="shared" si="25"/>
        <v>1;092X47</v>
      </c>
      <c r="H54" s="351">
        <f t="shared" ref="H54:H62" si="68">K54*POWER(12,I54)/ROUND(K54*POWER(12,I54),0)-1</f>
        <v>6.415805243955397E-2</v>
      </c>
      <c r="I54" s="352"/>
      <c r="J54" s="38">
        <v>2</v>
      </c>
      <c r="K54" s="61">
        <f t="shared" si="39"/>
        <v>1.064158052439554</v>
      </c>
      <c r="L54" s="39" t="str">
        <f>INDEX(powers!$H$2:$H$75,33+J54)</f>
        <v>hecty</v>
      </c>
      <c r="M54" s="40" t="str">
        <f t="shared" si="12"/>
        <v>1</v>
      </c>
      <c r="N54" s="24">
        <f t="shared" si="27"/>
        <v>0.76989662927464764</v>
      </c>
      <c r="O54" s="41" t="str">
        <f t="shared" si="13"/>
        <v>0</v>
      </c>
      <c r="P54" s="24">
        <f t="shared" si="28"/>
        <v>9.2387595512957716</v>
      </c>
      <c r="Q54" s="41" t="str">
        <f t="shared" si="14"/>
        <v>9</v>
      </c>
      <c r="R54" s="24">
        <f t="shared" si="29"/>
        <v>2.8651146155492597</v>
      </c>
      <c r="S54" s="41" t="str">
        <f t="shared" si="15"/>
        <v>2</v>
      </c>
      <c r="T54" s="24">
        <f t="shared" si="30"/>
        <v>10.381375386591117</v>
      </c>
      <c r="U54" s="41" t="str">
        <f t="shared" si="16"/>
        <v>X</v>
      </c>
      <c r="V54" s="24">
        <f t="shared" si="31"/>
        <v>4.5765046390934003</v>
      </c>
      <c r="W54" s="41" t="str">
        <f t="shared" si="17"/>
        <v>4</v>
      </c>
      <c r="X54" s="24">
        <f t="shared" si="32"/>
        <v>6.9180556691208039</v>
      </c>
      <c r="Y54" s="41" t="str">
        <f t="shared" si="18"/>
        <v>7</v>
      </c>
      <c r="Z54" s="24">
        <f t="shared" si="33"/>
        <v>11.016668029449647</v>
      </c>
      <c r="AA54" s="41" t="str">
        <f t="shared" si="19"/>
        <v/>
      </c>
      <c r="AB54" s="24">
        <f t="shared" si="34"/>
        <v>0.20001635339576751</v>
      </c>
      <c r="AC54" s="41" t="str">
        <f t="shared" si="20"/>
        <v/>
      </c>
      <c r="AD54" s="24">
        <f t="shared" si="35"/>
        <v>2.4001962407492101</v>
      </c>
      <c r="AE54" s="41" t="str">
        <f t="shared" si="21"/>
        <v/>
      </c>
      <c r="AF54" s="24">
        <f t="shared" si="36"/>
        <v>4.8023548889905214</v>
      </c>
      <c r="AG54" s="41" t="str">
        <f t="shared" si="22"/>
        <v/>
      </c>
      <c r="AH54" s="24">
        <f t="shared" si="37"/>
        <v>9.6282586678862572</v>
      </c>
      <c r="AI54" s="41" t="str">
        <f t="shared" si="23"/>
        <v/>
      </c>
      <c r="AJ54" s="24">
        <f t="shared" si="38"/>
        <v>7.5391040146350861</v>
      </c>
      <c r="AK54" s="41" t="str">
        <f t="shared" si="24"/>
        <v/>
      </c>
    </row>
    <row r="55" spans="1:37" ht="15" customHeight="1">
      <c r="A55" s="719"/>
      <c r="B55" s="371" t="str">
        <f>Rydberg!B55</f>
        <v>Density of ice at the ice point</v>
      </c>
      <c r="C55" s="371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140.49322856702784</v>
      </c>
      <c r="G55" s="37" t="str">
        <f t="shared" si="25"/>
        <v>0;E85E</v>
      </c>
      <c r="H55" s="629">
        <f t="shared" si="68"/>
        <v>-2.4352579395639951E-2</v>
      </c>
      <c r="I55" s="333"/>
      <c r="J55" s="38">
        <v>2</v>
      </c>
      <c r="K55" s="61">
        <f t="shared" si="39"/>
        <v>0.97564742060436005</v>
      </c>
      <c r="L55" s="39" t="str">
        <f>INDEX(powers!$H$2:$H$75,33+J55)</f>
        <v>hecty</v>
      </c>
      <c r="M55" s="40" t="str">
        <f t="shared" si="12"/>
        <v>0</v>
      </c>
      <c r="N55" s="24">
        <f t="shared" si="27"/>
        <v>11.70776904725232</v>
      </c>
      <c r="O55" s="41" t="str">
        <f t="shared" si="13"/>
        <v>E</v>
      </c>
      <c r="P55" s="24">
        <f t="shared" si="28"/>
        <v>8.4932285670278418</v>
      </c>
      <c r="Q55" s="41" t="str">
        <f t="shared" si="14"/>
        <v>8</v>
      </c>
      <c r="R55" s="24">
        <f t="shared" si="29"/>
        <v>5.9187428043341015</v>
      </c>
      <c r="S55" s="41" t="str">
        <f t="shared" si="15"/>
        <v>5</v>
      </c>
      <c r="T55" s="24">
        <f t="shared" si="30"/>
        <v>11.024913652009218</v>
      </c>
      <c r="U55" s="41" t="str">
        <f t="shared" si="16"/>
        <v>E</v>
      </c>
      <c r="V55" s="24">
        <f t="shared" si="31"/>
        <v>0.29896382411061495</v>
      </c>
      <c r="W55" s="41" t="str">
        <f t="shared" si="17"/>
        <v/>
      </c>
      <c r="X55" s="24">
        <f t="shared" si="32"/>
        <v>3.5875658893273794</v>
      </c>
      <c r="Y55" s="41" t="str">
        <f t="shared" si="18"/>
        <v/>
      </c>
      <c r="Z55" s="24">
        <f t="shared" si="33"/>
        <v>7.0507906719285529</v>
      </c>
      <c r="AA55" s="41" t="str">
        <f t="shared" si="19"/>
        <v/>
      </c>
      <c r="AB55" s="24">
        <f t="shared" si="34"/>
        <v>0.60948806314263493</v>
      </c>
      <c r="AC55" s="41" t="str">
        <f t="shared" si="20"/>
        <v/>
      </c>
      <c r="AD55" s="24">
        <f t="shared" si="35"/>
        <v>7.3138567577116191</v>
      </c>
      <c r="AE55" s="41" t="str">
        <f t="shared" si="21"/>
        <v/>
      </c>
      <c r="AF55" s="24">
        <f t="shared" si="36"/>
        <v>3.7662810925394297</v>
      </c>
      <c r="AG55" s="41" t="str">
        <f t="shared" si="22"/>
        <v/>
      </c>
      <c r="AH55" s="24">
        <f t="shared" si="37"/>
        <v>9.195373110473156</v>
      </c>
      <c r="AI55" s="41" t="str">
        <f t="shared" si="23"/>
        <v/>
      </c>
      <c r="AJ55" s="24">
        <f t="shared" si="38"/>
        <v>2.3444773256778717</v>
      </c>
      <c r="AK55" s="41" t="str">
        <f t="shared" si="24"/>
        <v/>
      </c>
    </row>
    <row r="56" spans="1:37" ht="15" customHeight="1">
      <c r="A56" s="719"/>
      <c r="B56" s="371" t="str">
        <f>Rydberg!B56</f>
        <v>Specific heat of water</v>
      </c>
      <c r="C56" s="371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0.50253989247369069</v>
      </c>
      <c r="G56" s="37" t="str">
        <f t="shared" si="25"/>
        <v>6;0448</v>
      </c>
      <c r="H56" s="351">
        <f t="shared" si="68"/>
        <v>5.0797849473813717E-3</v>
      </c>
      <c r="I56" s="352"/>
      <c r="J56" s="135">
        <v>-1</v>
      </c>
      <c r="K56" s="61">
        <f t="shared" si="39"/>
        <v>6.0304787096842887</v>
      </c>
      <c r="L56" s="138" t="str">
        <f>INDEX(powers!$H$2:$H$75,33+J56)</f>
        <v>dour</v>
      </c>
      <c r="M56" s="40" t="str">
        <f t="shared" si="12"/>
        <v>6</v>
      </c>
      <c r="N56" s="24">
        <f t="shared" si="27"/>
        <v>0.36574451621146409</v>
      </c>
      <c r="O56" s="41" t="str">
        <f t="shared" si="13"/>
        <v>0</v>
      </c>
      <c r="P56" s="24">
        <f t="shared" si="28"/>
        <v>4.3889341945375691</v>
      </c>
      <c r="Q56" s="41" t="str">
        <f t="shared" si="14"/>
        <v>4</v>
      </c>
      <c r="R56" s="24">
        <f t="shared" si="29"/>
        <v>4.6672103344508287</v>
      </c>
      <c r="S56" s="41" t="str">
        <f t="shared" si="15"/>
        <v>4</v>
      </c>
      <c r="T56" s="24">
        <f t="shared" si="30"/>
        <v>8.006524013409944</v>
      </c>
      <c r="U56" s="41" t="str">
        <f t="shared" si="16"/>
        <v>8</v>
      </c>
      <c r="V56" s="24">
        <f t="shared" si="31"/>
        <v>7.828816091932822E-2</v>
      </c>
      <c r="W56" s="41" t="str">
        <f t="shared" si="17"/>
        <v/>
      </c>
      <c r="X56" s="24">
        <f t="shared" si="32"/>
        <v>0.93945793103193864</v>
      </c>
      <c r="Y56" s="41" t="str">
        <f t="shared" si="18"/>
        <v/>
      </c>
      <c r="Z56" s="24">
        <f t="shared" si="33"/>
        <v>11.273495172383264</v>
      </c>
      <c r="AA56" s="41" t="str">
        <f t="shared" si="19"/>
        <v/>
      </c>
      <c r="AB56" s="24">
        <f t="shared" si="34"/>
        <v>3.2819420685991645</v>
      </c>
      <c r="AC56" s="41" t="str">
        <f t="shared" si="20"/>
        <v/>
      </c>
      <c r="AD56" s="24">
        <f t="shared" si="35"/>
        <v>3.3833048231899738</v>
      </c>
      <c r="AE56" s="41" t="str">
        <f t="shared" si="21"/>
        <v/>
      </c>
      <c r="AF56" s="24">
        <f t="shared" si="36"/>
        <v>4.599657878279686</v>
      </c>
      <c r="AG56" s="41" t="str">
        <f t="shared" si="22"/>
        <v/>
      </c>
      <c r="AH56" s="24">
        <f t="shared" si="37"/>
        <v>7.1958945393562317</v>
      </c>
      <c r="AI56" s="41" t="str">
        <f t="shared" si="23"/>
        <v/>
      </c>
      <c r="AJ56" s="24">
        <f t="shared" si="38"/>
        <v>2.3507344722747803</v>
      </c>
      <c r="AK56" s="41" t="str">
        <f t="shared" si="24"/>
        <v/>
      </c>
    </row>
    <row r="57" spans="1:37" ht="15" customHeight="1">
      <c r="A57" s="719"/>
      <c r="B57" s="371" t="str">
        <f>Rydberg!B57</f>
        <v>Surface tension of water at 25℃</v>
      </c>
      <c r="C57" s="371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8.3302862389094914E-2</v>
      </c>
      <c r="G57" s="37" t="str">
        <f t="shared" si="25"/>
        <v>0;EEE4</v>
      </c>
      <c r="H57" s="330">
        <f t="shared" si="68"/>
        <v>-3.6565133086097212E-4</v>
      </c>
      <c r="I57" s="333"/>
      <c r="J57" s="38">
        <v>-1</v>
      </c>
      <c r="K57" s="61">
        <f t="shared" si="39"/>
        <v>0.99963434866913903</v>
      </c>
      <c r="L57" s="39" t="str">
        <f>INDEX(powers!$H$2:$H$75,33+J57)</f>
        <v>dour</v>
      </c>
      <c r="M57" s="40" t="str">
        <f t="shared" si="12"/>
        <v>0</v>
      </c>
      <c r="N57" s="24">
        <f t="shared" si="27"/>
        <v>11.995612184029667</v>
      </c>
      <c r="O57" s="41" t="str">
        <f t="shared" si="13"/>
        <v>E</v>
      </c>
      <c r="P57" s="24">
        <f t="shared" si="28"/>
        <v>11.947346208356009</v>
      </c>
      <c r="Q57" s="41" t="str">
        <f t="shared" si="14"/>
        <v>E</v>
      </c>
      <c r="R57" s="24">
        <f t="shared" si="29"/>
        <v>11.368154500272112</v>
      </c>
      <c r="S57" s="41" t="str">
        <f t="shared" si="15"/>
        <v>E</v>
      </c>
      <c r="T57" s="24">
        <f t="shared" si="30"/>
        <v>4.4178540032653473</v>
      </c>
      <c r="U57" s="41" t="str">
        <f t="shared" si="16"/>
        <v>4</v>
      </c>
      <c r="V57" s="24">
        <f t="shared" si="31"/>
        <v>5.0142480391841673</v>
      </c>
      <c r="W57" s="41" t="str">
        <f t="shared" si="17"/>
        <v/>
      </c>
      <c r="X57" s="24">
        <f t="shared" si="32"/>
        <v>0.17097647021000739</v>
      </c>
      <c r="Y57" s="41" t="str">
        <f t="shared" si="18"/>
        <v/>
      </c>
      <c r="Z57" s="24">
        <f t="shared" si="33"/>
        <v>2.0517176425200887</v>
      </c>
      <c r="AA57" s="41" t="str">
        <f t="shared" si="19"/>
        <v/>
      </c>
      <c r="AB57" s="24">
        <f t="shared" si="34"/>
        <v>0.62061171024106443</v>
      </c>
      <c r="AC57" s="41" t="str">
        <f t="shared" si="20"/>
        <v/>
      </c>
      <c r="AD57" s="24">
        <f t="shared" si="35"/>
        <v>7.4473405228927732</v>
      </c>
      <c r="AE57" s="41" t="str">
        <f t="shared" si="21"/>
        <v/>
      </c>
      <c r="AF57" s="24">
        <f t="shared" si="36"/>
        <v>5.3680862747132778</v>
      </c>
      <c r="AG57" s="41" t="str">
        <f t="shared" si="22"/>
        <v/>
      </c>
      <c r="AH57" s="24">
        <f t="shared" si="37"/>
        <v>4.4170352965593338</v>
      </c>
      <c r="AI57" s="41" t="str">
        <f t="shared" si="23"/>
        <v/>
      </c>
      <c r="AJ57" s="24">
        <f t="shared" si="38"/>
        <v>5.0044235587120056</v>
      </c>
      <c r="AK57" s="41" t="str">
        <f t="shared" si="24"/>
        <v/>
      </c>
    </row>
    <row r="58" spans="1:37" ht="15" customHeight="1">
      <c r="A58" s="719"/>
      <c r="B58" s="5" t="str">
        <f>Rydberg!B58</f>
        <v>photon energy at 540THz</v>
      </c>
      <c r="C58" s="371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5.5833700089479267E-18</v>
      </c>
      <c r="G58" s="37" t="str">
        <f t="shared" si="25"/>
        <v>1;0479373</v>
      </c>
      <c r="H58" s="330">
        <f t="shared" si="68"/>
        <v>3.2277226241110402E-2</v>
      </c>
      <c r="I58" s="333"/>
      <c r="J58" s="38">
        <v>-16</v>
      </c>
      <c r="K58" s="61">
        <f t="shared" si="39"/>
        <v>1.0322772262411104</v>
      </c>
      <c r="L58" s="39" t="str">
        <f>INDEX(powers!$H$2:$H$75,33+J58)</f>
        <v>di-atomic</v>
      </c>
      <c r="M58" s="40" t="str">
        <f t="shared" si="12"/>
        <v>1</v>
      </c>
      <c r="N58" s="24">
        <f t="shared" si="27"/>
        <v>0.38732671489332482</v>
      </c>
      <c r="O58" s="41" t="str">
        <f t="shared" si="13"/>
        <v>0</v>
      </c>
      <c r="P58" s="24">
        <f t="shared" si="28"/>
        <v>4.6479205787198978</v>
      </c>
      <c r="Q58" s="41" t="str">
        <f t="shared" si="14"/>
        <v>4</v>
      </c>
      <c r="R58" s="24">
        <f t="shared" si="29"/>
        <v>7.775046944638774</v>
      </c>
      <c r="S58" s="41" t="str">
        <f t="shared" si="15"/>
        <v>7</v>
      </c>
      <c r="T58" s="24">
        <f t="shared" si="30"/>
        <v>9.3005633356652879</v>
      </c>
      <c r="U58" s="41" t="str">
        <f t="shared" si="16"/>
        <v>9</v>
      </c>
      <c r="V58" s="24">
        <f t="shared" si="31"/>
        <v>3.6067600279834551</v>
      </c>
      <c r="W58" s="41" t="str">
        <f t="shared" si="17"/>
        <v>3</v>
      </c>
      <c r="X58" s="24">
        <f t="shared" si="32"/>
        <v>7.2811203358014609</v>
      </c>
      <c r="Y58" s="41" t="str">
        <f t="shared" si="18"/>
        <v>7</v>
      </c>
      <c r="Z58" s="24">
        <f t="shared" si="33"/>
        <v>3.3734440296175308</v>
      </c>
      <c r="AA58" s="41" t="str">
        <f t="shared" si="19"/>
        <v>3</v>
      </c>
      <c r="AB58" s="24">
        <f t="shared" si="34"/>
        <v>4.4813283554103691</v>
      </c>
      <c r="AC58" s="41" t="str">
        <f t="shared" si="20"/>
        <v/>
      </c>
      <c r="AD58" s="24">
        <f t="shared" si="35"/>
        <v>5.7759402649244294</v>
      </c>
      <c r="AE58" s="41" t="str">
        <f t="shared" si="21"/>
        <v/>
      </c>
      <c r="AF58" s="24">
        <f t="shared" si="36"/>
        <v>9.3112831790931523</v>
      </c>
      <c r="AG58" s="41" t="str">
        <f t="shared" si="22"/>
        <v/>
      </c>
      <c r="AH58" s="24">
        <f t="shared" si="37"/>
        <v>3.7353981491178274</v>
      </c>
      <c r="AI58" s="41" t="str">
        <f t="shared" si="23"/>
        <v/>
      </c>
      <c r="AJ58" s="24">
        <f t="shared" si="38"/>
        <v>8.824777789413929</v>
      </c>
      <c r="AK58" s="41" t="str">
        <f t="shared" si="24"/>
        <v/>
      </c>
    </row>
    <row r="59" spans="1:37" ht="15" customHeight="1">
      <c r="A59" s="719"/>
      <c r="B59" s="237" t="str">
        <f>Rydberg!B59</f>
        <v>(according to the definition of candela)</v>
      </c>
      <c r="C59" s="371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1.0070068747220771</v>
      </c>
      <c r="G59" s="37" t="str">
        <f t="shared" si="25"/>
        <v>1;0101365</v>
      </c>
      <c r="H59" s="330">
        <f t="shared" si="68"/>
        <v>7.0068747220770611E-3</v>
      </c>
      <c r="I59" s="333"/>
      <c r="J59" s="38">
        <v>0</v>
      </c>
      <c r="K59" s="61">
        <f t="shared" si="39"/>
        <v>1.0070068747220771</v>
      </c>
      <c r="L59" s="293">
        <f>540/K59</f>
        <v>536.24261517483103</v>
      </c>
      <c r="M59" s="40" t="str">
        <f t="shared" si="12"/>
        <v>1</v>
      </c>
      <c r="N59" s="24">
        <f t="shared" si="27"/>
        <v>8.4082496664924733E-2</v>
      </c>
      <c r="O59" s="41" t="str">
        <f t="shared" si="13"/>
        <v>0</v>
      </c>
      <c r="P59" s="24">
        <f t="shared" si="28"/>
        <v>1.0089899599790968</v>
      </c>
      <c r="Q59" s="41" t="str">
        <f t="shared" si="14"/>
        <v>1</v>
      </c>
      <c r="R59" s="24">
        <f t="shared" si="29"/>
        <v>0.10787951974916155</v>
      </c>
      <c r="S59" s="41" t="str">
        <f t="shared" si="15"/>
        <v>0</v>
      </c>
      <c r="T59" s="24">
        <f t="shared" si="30"/>
        <v>1.2945542369899385</v>
      </c>
      <c r="U59" s="41" t="str">
        <f t="shared" si="16"/>
        <v>1</v>
      </c>
      <c r="V59" s="24">
        <f t="shared" si="31"/>
        <v>3.5346508438792625</v>
      </c>
      <c r="W59" s="41" t="str">
        <f t="shared" si="17"/>
        <v>3</v>
      </c>
      <c r="X59" s="24">
        <f t="shared" si="32"/>
        <v>6.4158101265511505</v>
      </c>
      <c r="Y59" s="41" t="str">
        <f t="shared" si="18"/>
        <v>6</v>
      </c>
      <c r="Z59" s="24">
        <f t="shared" si="33"/>
        <v>4.9897215186138055</v>
      </c>
      <c r="AA59" s="41" t="str">
        <f t="shared" si="19"/>
        <v>5</v>
      </c>
      <c r="AB59" s="24">
        <f t="shared" si="34"/>
        <v>11.876658223365666</v>
      </c>
      <c r="AC59" s="41" t="str">
        <f t="shared" si="20"/>
        <v/>
      </c>
      <c r="AD59" s="24">
        <f t="shared" si="35"/>
        <v>10.519898680387996</v>
      </c>
      <c r="AE59" s="41" t="str">
        <f t="shared" si="21"/>
        <v/>
      </c>
      <c r="AF59" s="24">
        <f t="shared" si="36"/>
        <v>6.2387841646559536</v>
      </c>
      <c r="AG59" s="41" t="str">
        <f t="shared" si="22"/>
        <v/>
      </c>
      <c r="AH59" s="24">
        <f t="shared" si="37"/>
        <v>2.8654099758714437</v>
      </c>
      <c r="AI59" s="41" t="str">
        <f t="shared" si="23"/>
        <v/>
      </c>
      <c r="AJ59" s="24">
        <f t="shared" si="38"/>
        <v>10.384919710457325</v>
      </c>
      <c r="AK59" s="41" t="str">
        <f t="shared" si="24"/>
        <v/>
      </c>
    </row>
    <row r="60" spans="1:37" ht="15" customHeight="1">
      <c r="A60" s="719"/>
      <c r="B60" s="315">
        <f>Rydberg!B60</f>
        <v>1.024</v>
      </c>
      <c r="C60" s="371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862.14177262659189</v>
      </c>
      <c r="G60" s="37" t="str">
        <f t="shared" si="25"/>
        <v>5;EX184</v>
      </c>
      <c r="H60" s="330">
        <f t="shared" si="68"/>
        <v>-2.1507261266298094E-3</v>
      </c>
      <c r="I60" s="333"/>
      <c r="J60" s="38">
        <v>2</v>
      </c>
      <c r="K60" s="61">
        <f t="shared" si="39"/>
        <v>5.9870956432402211</v>
      </c>
      <c r="L60" s="39" t="str">
        <f>INDEX(powers!$H$2:$H$75,33+J60)</f>
        <v>hecty</v>
      </c>
      <c r="M60" s="40" t="str">
        <f t="shared" si="12"/>
        <v>5</v>
      </c>
      <c r="N60" s="24">
        <f t="shared" si="27"/>
        <v>11.845147718882654</v>
      </c>
      <c r="O60" s="41" t="str">
        <f t="shared" si="13"/>
        <v>E</v>
      </c>
      <c r="P60" s="24">
        <f t="shared" si="28"/>
        <v>10.141772626591845</v>
      </c>
      <c r="Q60" s="41" t="str">
        <f t="shared" si="14"/>
        <v>X</v>
      </c>
      <c r="R60" s="24">
        <f t="shared" si="29"/>
        <v>1.7012715191021357</v>
      </c>
      <c r="S60" s="41" t="str">
        <f t="shared" si="15"/>
        <v>1</v>
      </c>
      <c r="T60" s="24">
        <f t="shared" si="30"/>
        <v>8.4152582292256284</v>
      </c>
      <c r="U60" s="41" t="str">
        <f t="shared" si="16"/>
        <v>8</v>
      </c>
      <c r="V60" s="24">
        <f t="shared" si="31"/>
        <v>4.9830987507075406</v>
      </c>
      <c r="W60" s="41" t="str">
        <f t="shared" si="17"/>
        <v>4</v>
      </c>
      <c r="X60" s="24">
        <f t="shared" si="32"/>
        <v>11.797185008490487</v>
      </c>
      <c r="Y60" s="41" t="str">
        <f t="shared" si="18"/>
        <v/>
      </c>
      <c r="Z60" s="24">
        <f t="shared" si="33"/>
        <v>9.5662201018858468</v>
      </c>
      <c r="AA60" s="41" t="str">
        <f t="shared" si="19"/>
        <v/>
      </c>
      <c r="AB60" s="24">
        <f t="shared" si="34"/>
        <v>6.7946412226301618</v>
      </c>
      <c r="AC60" s="41" t="str">
        <f t="shared" si="20"/>
        <v/>
      </c>
      <c r="AD60" s="24">
        <f t="shared" si="35"/>
        <v>9.5356946715619415</v>
      </c>
      <c r="AE60" s="41" t="str">
        <f t="shared" si="21"/>
        <v/>
      </c>
      <c r="AF60" s="24">
        <f t="shared" si="36"/>
        <v>6.4283360587432981</v>
      </c>
      <c r="AG60" s="41" t="str">
        <f t="shared" si="22"/>
        <v/>
      </c>
      <c r="AH60" s="24">
        <f t="shared" si="37"/>
        <v>5.1400327049195766</v>
      </c>
      <c r="AI60" s="41" t="str">
        <f t="shared" si="23"/>
        <v/>
      </c>
      <c r="AJ60" s="24">
        <f t="shared" si="38"/>
        <v>1.6803924590349197</v>
      </c>
      <c r="AK60" s="41" t="str">
        <f t="shared" si="24"/>
        <v/>
      </c>
    </row>
    <row r="61" spans="1:37" ht="15" customHeight="1">
      <c r="A61" s="719"/>
      <c r="B61" s="371" t="str">
        <f>Rydberg!B61</f>
        <v>Sea depth at standard atmosphere</v>
      </c>
      <c r="C61" s="371" t="str">
        <f>Rydberg!C61</f>
        <v>m</v>
      </c>
      <c r="D61" s="21">
        <f>D62/D60</f>
        <v>10.090394374791382</v>
      </c>
      <c r="E61" s="8">
        <v>6</v>
      </c>
      <c r="F61" s="21">
        <f>D61/F$3</f>
        <v>37.049064244674547</v>
      </c>
      <c r="G61" s="37" t="str">
        <f t="shared" si="25"/>
        <v>3;107095</v>
      </c>
      <c r="H61" s="331">
        <f t="shared" si="68"/>
        <v>1.3260606668796804E-3</v>
      </c>
      <c r="I61" s="339">
        <v>1</v>
      </c>
      <c r="J61" s="38">
        <v>1</v>
      </c>
      <c r="K61" s="61">
        <f t="shared" si="39"/>
        <v>3.0874220203895457</v>
      </c>
      <c r="L61" s="39" t="str">
        <f>INDEX(powers!$H$2:$H$75,33+J61)</f>
        <v>dirac</v>
      </c>
      <c r="M61" s="40" t="str">
        <f t="shared" si="12"/>
        <v>3</v>
      </c>
      <c r="N61" s="24">
        <f t="shared" si="27"/>
        <v>1.0490642446745486</v>
      </c>
      <c r="O61" s="41" t="str">
        <f t="shared" si="13"/>
        <v>1</v>
      </c>
      <c r="P61" s="24">
        <f t="shared" si="28"/>
        <v>0.58877093609458342</v>
      </c>
      <c r="Q61" s="41" t="str">
        <f t="shared" si="14"/>
        <v>0</v>
      </c>
      <c r="R61" s="24">
        <f t="shared" si="29"/>
        <v>7.065251233135001</v>
      </c>
      <c r="S61" s="41" t="str">
        <f t="shared" si="15"/>
        <v>7</v>
      </c>
      <c r="T61" s="24">
        <f t="shared" si="30"/>
        <v>0.78301479762001236</v>
      </c>
      <c r="U61" s="41" t="str">
        <f t="shared" si="16"/>
        <v>0</v>
      </c>
      <c r="V61" s="24">
        <f t="shared" si="31"/>
        <v>9.3961775714401483</v>
      </c>
      <c r="W61" s="41" t="str">
        <f t="shared" si="17"/>
        <v>9</v>
      </c>
      <c r="X61" s="24">
        <f t="shared" si="32"/>
        <v>4.7541308572817798</v>
      </c>
      <c r="Y61" s="41" t="str">
        <f t="shared" si="18"/>
        <v>5</v>
      </c>
      <c r="Z61" s="24">
        <f t="shared" si="33"/>
        <v>9.049570287381357</v>
      </c>
      <c r="AA61" s="41" t="str">
        <f t="shared" si="19"/>
        <v/>
      </c>
      <c r="AB61" s="24">
        <f t="shared" si="34"/>
        <v>0.59484344857628457</v>
      </c>
      <c r="AC61" s="41" t="str">
        <f t="shared" si="20"/>
        <v/>
      </c>
      <c r="AD61" s="24">
        <f t="shared" si="35"/>
        <v>7.1381213829154149</v>
      </c>
      <c r="AE61" s="41" t="str">
        <f t="shared" si="21"/>
        <v/>
      </c>
      <c r="AF61" s="24">
        <f t="shared" si="36"/>
        <v>1.6574565949849784</v>
      </c>
      <c r="AG61" s="41" t="str">
        <f t="shared" si="22"/>
        <v/>
      </c>
      <c r="AH61" s="24">
        <f t="shared" si="37"/>
        <v>7.8894791398197412</v>
      </c>
      <c r="AI61" s="41" t="str">
        <f t="shared" si="23"/>
        <v/>
      </c>
      <c r="AJ61" s="24">
        <f t="shared" si="38"/>
        <v>10.673749677836895</v>
      </c>
      <c r="AK61" s="41" t="str">
        <f t="shared" si="24"/>
        <v/>
      </c>
    </row>
    <row r="62" spans="1:37" ht="15" customHeight="1">
      <c r="A62" s="719"/>
      <c r="B62" s="371" t="str">
        <f>Rydberg!B62</f>
        <v>Standard atmosphere</v>
      </c>
      <c r="C62" s="371" t="str">
        <f>Rydberg!C62</f>
        <v>P</v>
      </c>
      <c r="D62" s="21">
        <f>Rydberg!D62</f>
        <v>101325</v>
      </c>
      <c r="E62" s="8">
        <v>6</v>
      </c>
      <c r="F62" s="21">
        <f>D62/F$11</f>
        <v>31941.545922060199</v>
      </c>
      <c r="G62" s="37" t="str">
        <f t="shared" si="25"/>
        <v>1;659967</v>
      </c>
      <c r="H62" s="331">
        <f t="shared" si="68"/>
        <v>-8.2751745307185764E-4</v>
      </c>
      <c r="I62" s="339">
        <v>2</v>
      </c>
      <c r="J62" s="38">
        <v>4</v>
      </c>
      <c r="K62" s="61">
        <f t="shared" si="39"/>
        <v>1.5403909105931808</v>
      </c>
      <c r="L62" s="39" t="str">
        <f>INDEX(powers!$H$2:$H$75,33+J62)</f>
        <v>super</v>
      </c>
      <c r="M62" s="40" t="str">
        <f t="shared" si="12"/>
        <v>1</v>
      </c>
      <c r="N62" s="24">
        <f t="shared" si="27"/>
        <v>6.4846909271181694</v>
      </c>
      <c r="O62" s="41" t="str">
        <f t="shared" si="13"/>
        <v>6</v>
      </c>
      <c r="P62" s="24">
        <f t="shared" si="28"/>
        <v>5.8162911254180329</v>
      </c>
      <c r="Q62" s="41" t="str">
        <f t="shared" si="14"/>
        <v>5</v>
      </c>
      <c r="R62" s="24">
        <f t="shared" si="29"/>
        <v>9.7954935050163954</v>
      </c>
      <c r="S62" s="41" t="str">
        <f t="shared" si="15"/>
        <v>9</v>
      </c>
      <c r="T62" s="24">
        <f t="shared" si="30"/>
        <v>9.5459220601967445</v>
      </c>
      <c r="U62" s="41" t="str">
        <f t="shared" si="16"/>
        <v>9</v>
      </c>
      <c r="V62" s="24">
        <f t="shared" si="31"/>
        <v>6.551064722360934</v>
      </c>
      <c r="W62" s="41" t="str">
        <f t="shared" si="17"/>
        <v>6</v>
      </c>
      <c r="X62" s="24">
        <f t="shared" si="32"/>
        <v>6.6127766683312075</v>
      </c>
      <c r="Y62" s="41" t="str">
        <f t="shared" si="18"/>
        <v>7</v>
      </c>
      <c r="Z62" s="24">
        <f t="shared" si="33"/>
        <v>7.3533200199744897</v>
      </c>
      <c r="AA62" s="41" t="str">
        <f t="shared" si="19"/>
        <v/>
      </c>
      <c r="AB62" s="24">
        <f t="shared" si="34"/>
        <v>4.2398402396938764</v>
      </c>
      <c r="AC62" s="41" t="str">
        <f t="shared" si="20"/>
        <v/>
      </c>
      <c r="AD62" s="24">
        <f t="shared" si="35"/>
        <v>2.8780828763265163</v>
      </c>
      <c r="AE62" s="41" t="str">
        <f t="shared" si="21"/>
        <v/>
      </c>
      <c r="AF62" s="24">
        <f t="shared" si="36"/>
        <v>10.536994515918195</v>
      </c>
      <c r="AG62" s="41" t="str">
        <f t="shared" si="22"/>
        <v/>
      </c>
      <c r="AH62" s="24">
        <f t="shared" si="37"/>
        <v>6.443934191018343</v>
      </c>
      <c r="AI62" s="41" t="str">
        <f t="shared" si="23"/>
        <v/>
      </c>
      <c r="AJ62" s="24">
        <f t="shared" si="38"/>
        <v>5.3272102922201157</v>
      </c>
      <c r="AK62" s="41" t="str">
        <f t="shared" si="24"/>
        <v/>
      </c>
    </row>
    <row r="63" spans="1:37" ht="15" customHeight="1">
      <c r="A63" s="719"/>
      <c r="B63" s="371" t="str">
        <f>Rydberg!B63</f>
        <v>Standard gravitational acceleration</v>
      </c>
      <c r="C63" s="371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5.4942713403316414</v>
      </c>
      <c r="G63" s="37" t="str">
        <f t="shared" si="25"/>
        <v>5;5E21264</v>
      </c>
      <c r="H63" s="353">
        <f>K63*POWER(12,I63)/ROUND(K63*POWER(12,I63)+1,0)-1</f>
        <v>-8.4288109944726464E-2</v>
      </c>
      <c r="I63" s="354">
        <v>0</v>
      </c>
      <c r="J63" s="38">
        <v>0</v>
      </c>
      <c r="K63" s="61">
        <f t="shared" si="39"/>
        <v>5.4942713403316414</v>
      </c>
      <c r="L63" s="39" t="str">
        <f>INDEX(powers!$H$2:$H$75,33+J63)</f>
        <v xml:space="preserve"> </v>
      </c>
      <c r="M63" s="40" t="str">
        <f t="shared" si="12"/>
        <v>5</v>
      </c>
      <c r="N63" s="24">
        <f t="shared" si="27"/>
        <v>5.9312560839796973</v>
      </c>
      <c r="O63" s="41" t="str">
        <f t="shared" si="13"/>
        <v>5</v>
      </c>
      <c r="P63" s="24">
        <f t="shared" si="28"/>
        <v>11.175073007756367</v>
      </c>
      <c r="Q63" s="41" t="str">
        <f t="shared" si="14"/>
        <v>E</v>
      </c>
      <c r="R63" s="24">
        <f t="shared" si="29"/>
        <v>2.1008760930764083</v>
      </c>
      <c r="S63" s="41" t="str">
        <f t="shared" si="15"/>
        <v>2</v>
      </c>
      <c r="T63" s="24">
        <f t="shared" si="30"/>
        <v>1.2105131169168999</v>
      </c>
      <c r="U63" s="41" t="str">
        <f t="shared" si="16"/>
        <v>1</v>
      </c>
      <c r="V63" s="24">
        <f t="shared" si="31"/>
        <v>2.5261574030027987</v>
      </c>
      <c r="W63" s="41" t="str">
        <f t="shared" si="17"/>
        <v>2</v>
      </c>
      <c r="X63" s="24">
        <f t="shared" si="32"/>
        <v>6.3138888360335841</v>
      </c>
      <c r="Y63" s="41" t="str">
        <f t="shared" si="18"/>
        <v>6</v>
      </c>
      <c r="Z63" s="24">
        <f t="shared" si="33"/>
        <v>3.766666032403009</v>
      </c>
      <c r="AA63" s="41" t="str">
        <f t="shared" si="19"/>
        <v>4</v>
      </c>
      <c r="AB63" s="24">
        <f t="shared" si="34"/>
        <v>9.1999923888361081</v>
      </c>
      <c r="AC63" s="41" t="str">
        <f t="shared" si="20"/>
        <v/>
      </c>
      <c r="AD63" s="24">
        <f t="shared" si="35"/>
        <v>2.3999086660332978</v>
      </c>
      <c r="AE63" s="41" t="str">
        <f t="shared" si="21"/>
        <v/>
      </c>
      <c r="AF63" s="24">
        <f t="shared" si="36"/>
        <v>4.7989039923995733</v>
      </c>
      <c r="AG63" s="41" t="str">
        <f t="shared" si="22"/>
        <v/>
      </c>
      <c r="AH63" s="24">
        <f t="shared" si="37"/>
        <v>9.5868479087948799</v>
      </c>
      <c r="AI63" s="41" t="str">
        <f t="shared" si="23"/>
        <v/>
      </c>
      <c r="AJ63" s="24">
        <f t="shared" si="38"/>
        <v>7.042174905538559</v>
      </c>
      <c r="AK63" s="41" t="str">
        <f t="shared" si="24"/>
        <v/>
      </c>
    </row>
    <row r="64" spans="1:37" ht="15" customHeight="1">
      <c r="A64" s="719"/>
      <c r="B64" s="371" t="str">
        <f>Rydberg!B64</f>
        <v>Gravitational radius of the Earth</v>
      </c>
      <c r="C64" s="371" t="str">
        <f>Rydberg!C64</f>
        <v>m</v>
      </c>
      <c r="D64" s="21">
        <f>Rydberg!D64</f>
        <v>4.4350280391176706E-3</v>
      </c>
      <c r="E64" s="8">
        <v>10</v>
      </c>
      <c r="F64" s="21">
        <f t="shared" ref="F64:F69" si="69">D64/F$3</f>
        <v>1.6284164190718337E-2</v>
      </c>
      <c r="G64" s="37" t="str">
        <f t="shared" si="25"/>
        <v>2;4180306534</v>
      </c>
      <c r="H64" s="330"/>
      <c r="I64" s="333"/>
      <c r="J64" s="38">
        <v>-2</v>
      </c>
      <c r="K64" s="61">
        <f t="shared" si="39"/>
        <v>2.3449196434634407</v>
      </c>
      <c r="L64" s="39" t="str">
        <f>INDEX(powers!$H$2:$H$75,33+J64)</f>
        <v>centy</v>
      </c>
      <c r="M64" s="40" t="str">
        <f t="shared" si="12"/>
        <v>2</v>
      </c>
      <c r="N64" s="24">
        <f t="shared" si="27"/>
        <v>4.1390357215612887</v>
      </c>
      <c r="O64" s="41" t="str">
        <f t="shared" si="13"/>
        <v>4</v>
      </c>
      <c r="P64" s="24">
        <f t="shared" si="28"/>
        <v>1.6684286587354649</v>
      </c>
      <c r="Q64" s="41" t="str">
        <f t="shared" si="14"/>
        <v>1</v>
      </c>
      <c r="R64" s="24">
        <f t="shared" si="29"/>
        <v>8.0211439048255784</v>
      </c>
      <c r="S64" s="41" t="str">
        <f t="shared" si="15"/>
        <v>8</v>
      </c>
      <c r="T64" s="24">
        <f t="shared" si="30"/>
        <v>0.2537268579069405</v>
      </c>
      <c r="U64" s="41" t="str">
        <f t="shared" si="16"/>
        <v>0</v>
      </c>
      <c r="V64" s="24">
        <f t="shared" si="31"/>
        <v>3.0447222948832859</v>
      </c>
      <c r="W64" s="41" t="str">
        <f t="shared" si="17"/>
        <v>3</v>
      </c>
      <c r="X64" s="24">
        <f t="shared" si="32"/>
        <v>0.53666753859943128</v>
      </c>
      <c r="Y64" s="41" t="str">
        <f t="shared" si="18"/>
        <v>0</v>
      </c>
      <c r="Z64" s="24">
        <f t="shared" si="33"/>
        <v>6.4400104631931754</v>
      </c>
      <c r="AA64" s="41" t="str">
        <f t="shared" si="19"/>
        <v>6</v>
      </c>
      <c r="AB64" s="24">
        <f t="shared" si="34"/>
        <v>5.2801255583181046</v>
      </c>
      <c r="AC64" s="41" t="str">
        <f t="shared" si="20"/>
        <v>5</v>
      </c>
      <c r="AD64" s="24">
        <f t="shared" si="35"/>
        <v>3.3615066998172551</v>
      </c>
      <c r="AE64" s="41" t="str">
        <f t="shared" si="21"/>
        <v>3</v>
      </c>
      <c r="AF64" s="24">
        <f t="shared" si="36"/>
        <v>4.3380803978070617</v>
      </c>
      <c r="AG64" s="41" t="str">
        <f t="shared" si="22"/>
        <v>4</v>
      </c>
      <c r="AH64" s="24">
        <f t="shared" si="37"/>
        <v>4.0569647736847401</v>
      </c>
      <c r="AI64" s="41" t="str">
        <f t="shared" si="23"/>
        <v/>
      </c>
      <c r="AJ64" s="24">
        <f t="shared" si="38"/>
        <v>0.6835772842168808</v>
      </c>
      <c r="AK64" s="41" t="str">
        <f t="shared" si="24"/>
        <v/>
      </c>
    </row>
    <row r="65" spans="1:37" ht="15" customHeight="1">
      <c r="A65" s="719"/>
      <c r="B65" s="371" t="str">
        <f>Rydberg!B65</f>
        <v>Equatorial radius of the Earth</v>
      </c>
      <c r="C65" s="371" t="str">
        <f>Rydberg!C65</f>
        <v>m</v>
      </c>
      <c r="D65" s="21">
        <f>Rydberg!D65</f>
        <v>6378140</v>
      </c>
      <c r="E65" s="8">
        <v>7</v>
      </c>
      <c r="F65" s="21">
        <f t="shared" si="69"/>
        <v>23418719.808601543</v>
      </c>
      <c r="G65" s="37" t="str">
        <f t="shared" si="25"/>
        <v>0;7X145E</v>
      </c>
      <c r="H65" s="330"/>
      <c r="I65" s="333"/>
      <c r="J65" s="38">
        <v>7</v>
      </c>
      <c r="K65" s="61">
        <f t="shared" si="39"/>
        <v>0.65357349002879073</v>
      </c>
      <c r="L65" s="39" t="str">
        <f>INDEX(powers!$H$2:$H$75,33+J65)</f>
        <v>cosmic dour</v>
      </c>
      <c r="M65" s="40" t="str">
        <f t="shared" si="12"/>
        <v>0</v>
      </c>
      <c r="N65" s="24">
        <f t="shared" si="27"/>
        <v>7.8428818803454892</v>
      </c>
      <c r="O65" s="41" t="str">
        <f t="shared" si="13"/>
        <v>7</v>
      </c>
      <c r="P65" s="24">
        <f t="shared" si="28"/>
        <v>10.11458256414587</v>
      </c>
      <c r="Q65" s="41" t="str">
        <f t="shared" si="14"/>
        <v>X</v>
      </c>
      <c r="R65" s="24">
        <f t="shared" si="29"/>
        <v>1.3749907697504398</v>
      </c>
      <c r="S65" s="41" t="str">
        <f t="shared" si="15"/>
        <v>1</v>
      </c>
      <c r="T65" s="24">
        <f t="shared" si="30"/>
        <v>4.4998892370052772</v>
      </c>
      <c r="U65" s="41" t="str">
        <f t="shared" si="16"/>
        <v>4</v>
      </c>
      <c r="V65" s="24">
        <f t="shared" si="31"/>
        <v>5.9986708440633265</v>
      </c>
      <c r="W65" s="41" t="str">
        <f t="shared" si="17"/>
        <v>5</v>
      </c>
      <c r="X65" s="24">
        <f t="shared" si="32"/>
        <v>11.984050128759918</v>
      </c>
      <c r="Y65" s="41" t="str">
        <f t="shared" si="18"/>
        <v>E</v>
      </c>
      <c r="Z65" s="24">
        <f t="shared" si="33"/>
        <v>11.808601545119018</v>
      </c>
      <c r="AA65" s="41" t="str">
        <f t="shared" si="19"/>
        <v/>
      </c>
      <c r="AB65" s="24">
        <f t="shared" si="34"/>
        <v>9.7032185414282139</v>
      </c>
      <c r="AC65" s="41" t="str">
        <f t="shared" si="20"/>
        <v/>
      </c>
      <c r="AD65" s="24">
        <f t="shared" si="35"/>
        <v>8.4386224971385673</v>
      </c>
      <c r="AE65" s="41" t="str">
        <f t="shared" si="21"/>
        <v/>
      </c>
      <c r="AF65" s="24">
        <f t="shared" si="36"/>
        <v>5.2634699656628072</v>
      </c>
      <c r="AG65" s="41" t="str">
        <f t="shared" si="22"/>
        <v/>
      </c>
      <c r="AH65" s="24">
        <f t="shared" si="37"/>
        <v>3.1616395879536867</v>
      </c>
      <c r="AI65" s="41" t="str">
        <f t="shared" si="23"/>
        <v/>
      </c>
      <c r="AJ65" s="24">
        <f t="shared" si="38"/>
        <v>1.9396750554442406</v>
      </c>
      <c r="AK65" s="41" t="str">
        <f t="shared" si="24"/>
        <v/>
      </c>
    </row>
    <row r="66" spans="1:37" ht="15" customHeight="1">
      <c r="A66" s="719"/>
      <c r="B66" s="371" t="str">
        <f>Rydberg!B66</f>
        <v>Meridian length of the Earth / 4</v>
      </c>
      <c r="C66" s="371" t="str">
        <f>Rydberg!C66</f>
        <v>m</v>
      </c>
      <c r="D66" s="21">
        <f>Rydberg!D66</f>
        <v>10001965</v>
      </c>
      <c r="E66" s="8">
        <v>7</v>
      </c>
      <c r="F66" s="21">
        <f t="shared" si="69"/>
        <v>36724376.678849846</v>
      </c>
      <c r="G66" s="37" t="str">
        <f t="shared" si="25"/>
        <v>1;0370649</v>
      </c>
      <c r="H66" s="629">
        <f t="shared" ref="H66" si="70">K66*POWER(12,I66)/ROUND(K66*POWER(12,I66),0)-1</f>
        <v>2.4909953716258038E-2</v>
      </c>
      <c r="I66" s="333"/>
      <c r="J66" s="38">
        <v>7</v>
      </c>
      <c r="K66" s="61">
        <f t="shared" si="39"/>
        <v>1.024909953716258</v>
      </c>
      <c r="L66" s="39" t="str">
        <f>INDEX(powers!$H$2:$H$75,33+J66)</f>
        <v>cosmic dour</v>
      </c>
      <c r="M66" s="40" t="str">
        <f t="shared" si="12"/>
        <v>1</v>
      </c>
      <c r="N66" s="24">
        <f t="shared" si="27"/>
        <v>0.29891944459509645</v>
      </c>
      <c r="O66" s="41" t="str">
        <f t="shared" si="13"/>
        <v>0</v>
      </c>
      <c r="P66" s="24">
        <f t="shared" si="28"/>
        <v>3.5870333351411574</v>
      </c>
      <c r="Q66" s="41" t="str">
        <f t="shared" si="14"/>
        <v>3</v>
      </c>
      <c r="R66" s="24">
        <f t="shared" si="29"/>
        <v>7.0444000216938889</v>
      </c>
      <c r="S66" s="41" t="str">
        <f t="shared" si="15"/>
        <v>7</v>
      </c>
      <c r="T66" s="24">
        <f t="shared" si="30"/>
        <v>0.53280026032666683</v>
      </c>
      <c r="U66" s="41" t="str">
        <f t="shared" si="16"/>
        <v>0</v>
      </c>
      <c r="V66" s="24">
        <f t="shared" si="31"/>
        <v>6.393603123920002</v>
      </c>
      <c r="W66" s="41" t="str">
        <f t="shared" si="17"/>
        <v>6</v>
      </c>
      <c r="X66" s="24">
        <f t="shared" si="32"/>
        <v>4.7232374870400236</v>
      </c>
      <c r="Y66" s="41" t="str">
        <f t="shared" si="18"/>
        <v>4</v>
      </c>
      <c r="Z66" s="24">
        <f t="shared" si="33"/>
        <v>8.6788498444802826</v>
      </c>
      <c r="AA66" s="41" t="str">
        <f t="shared" si="19"/>
        <v>9</v>
      </c>
      <c r="AB66" s="24">
        <f t="shared" si="34"/>
        <v>8.1461981337633915</v>
      </c>
      <c r="AC66" s="41" t="str">
        <f t="shared" si="20"/>
        <v/>
      </c>
      <c r="AD66" s="24">
        <f t="shared" si="35"/>
        <v>1.7543776051606983</v>
      </c>
      <c r="AE66" s="41" t="str">
        <f t="shared" si="21"/>
        <v/>
      </c>
      <c r="AF66" s="24">
        <f t="shared" si="36"/>
        <v>9.0525312619283795</v>
      </c>
      <c r="AG66" s="41" t="str">
        <f t="shared" si="22"/>
        <v/>
      </c>
      <c r="AH66" s="24">
        <f t="shared" si="37"/>
        <v>0.63037514314055443</v>
      </c>
      <c r="AI66" s="41" t="str">
        <f t="shared" si="23"/>
        <v/>
      </c>
      <c r="AJ66" s="24">
        <f t="shared" si="38"/>
        <v>7.5645017176866531</v>
      </c>
      <c r="AK66" s="41" t="str">
        <f t="shared" si="24"/>
        <v/>
      </c>
    </row>
    <row r="67" spans="1:37" ht="15" customHeight="1">
      <c r="A67" s="719"/>
      <c r="B67" s="672" t="str">
        <f>Rydberg!B67</f>
        <v>Gravitational radius of the Sun</v>
      </c>
      <c r="C67" s="672" t="str">
        <f>Rydberg!C66</f>
        <v>m</v>
      </c>
      <c r="D67" s="21">
        <f>Rydberg!D67</f>
        <v>1476.6250157971238</v>
      </c>
      <c r="E67" s="8">
        <v>8</v>
      </c>
      <c r="F67" s="21">
        <f t="shared" si="69"/>
        <v>5421.7479558812865</v>
      </c>
      <c r="G67" s="37" t="str">
        <f t="shared" ref="G67" si="71">M67&amp;";"&amp;O67&amp;Q67&amp;S67&amp;U67&amp;W67&amp;Y67&amp;AA67&amp;AC67&amp;AE67&amp;AG67&amp;AI67&amp;AK67</f>
        <v>3;1798E857</v>
      </c>
      <c r="H67" s="330"/>
      <c r="I67" s="333"/>
      <c r="J67" s="38">
        <v>3</v>
      </c>
      <c r="K67" s="61">
        <f t="shared" ref="K67" si="72">F67/POWER(12,J67)</f>
        <v>3.1375856226164851</v>
      </c>
      <c r="L67" s="39" t="str">
        <f>INDEX(powers!$H$2:$H$75,33+J67)</f>
        <v>kily</v>
      </c>
      <c r="M67" s="40" t="str">
        <f t="shared" ref="M67" si="73">IF($E67&gt;=M$31,MID($J$31,IF($E67&gt;M$31,INT(K67),ROUND(K67,0))+1,1),"")</f>
        <v>3</v>
      </c>
      <c r="N67" s="24">
        <f t="shared" ref="N67" si="74">(K67-INT(K67))*12</f>
        <v>1.6510274713978212</v>
      </c>
      <c r="O67" s="41" t="str">
        <f t="shared" ref="O67" si="75">IF($E67&gt;=O$31,MID($J$31,IF($E67&gt;O$31,INT(N67),ROUND(N67,0))+1,1),"")</f>
        <v>1</v>
      </c>
      <c r="P67" s="24">
        <f t="shared" ref="P67" si="76">(N67-INT(N67))*12</f>
        <v>7.8123296567738549</v>
      </c>
      <c r="Q67" s="41" t="str">
        <f t="shared" ref="Q67" si="77">IF($E67&gt;=Q$31,MID($J$31,IF($E67&gt;Q$31,INT(P67),ROUND(P67,0))+1,1),"")</f>
        <v>7</v>
      </c>
      <c r="R67" s="24">
        <f t="shared" ref="R67" si="78">(P67-INT(P67))*12</f>
        <v>9.7479558812862592</v>
      </c>
      <c r="S67" s="41" t="str">
        <f t="shared" ref="S67" si="79">IF($E67&gt;=S$31,MID($J$31,IF($E67&gt;S$31,INT(R67),ROUND(R67,0))+1,1),"")</f>
        <v>9</v>
      </c>
      <c r="T67" s="24">
        <f t="shared" ref="T67" si="80">(R67-INT(R67))*12</f>
        <v>8.9754705754351107</v>
      </c>
      <c r="U67" s="41" t="str">
        <f t="shared" ref="U67" si="81">IF($E67&gt;=U$31,MID($J$31,IF($E67&gt;U$31,INT(T67),ROUND(T67,0))+1,1),"")</f>
        <v>8</v>
      </c>
      <c r="V67" s="24">
        <f t="shared" ref="V67" si="82">(T67-INT(T67))*12</f>
        <v>11.705646905221329</v>
      </c>
      <c r="W67" s="41" t="str">
        <f t="shared" ref="W67" si="83">IF($E67&gt;=W$31,MID($J$31,IF($E67&gt;W$31,INT(V67),ROUND(V67,0))+1,1),"")</f>
        <v>E</v>
      </c>
      <c r="X67" s="24">
        <f t="shared" ref="X67" si="84">(V67-INT(V67))*12</f>
        <v>8.4677628626559454</v>
      </c>
      <c r="Y67" s="41" t="str">
        <f t="shared" ref="Y67" si="85">IF($E67&gt;=Y$31,MID($J$31,IF($E67&gt;Y$31,INT(X67),ROUND(X67,0))+1,1),"")</f>
        <v>8</v>
      </c>
      <c r="Z67" s="24">
        <f t="shared" ref="Z67" si="86">(X67-INT(X67))*12</f>
        <v>5.6131543518713443</v>
      </c>
      <c r="AA67" s="41" t="str">
        <f t="shared" ref="AA67" si="87">IF($E67&gt;=AA$31,MID($J$31,IF($E67&gt;AA$31,INT(Z67),ROUND(Z67,0))+1,1),"")</f>
        <v>5</v>
      </c>
      <c r="AB67" s="24">
        <f t="shared" ref="AB67" si="88">(Z67-INT(Z67))*12</f>
        <v>7.3578522224561311</v>
      </c>
      <c r="AC67" s="41" t="str">
        <f t="shared" ref="AC67" si="89">IF($E67&gt;=AC$31,MID($J$31,IF($E67&gt;AC$31,INT(AB67),ROUND(AB67,0))+1,1),"")</f>
        <v>7</v>
      </c>
      <c r="AD67" s="24">
        <f t="shared" ref="AD67" si="90">(AB67-INT(AB67))*12</f>
        <v>4.2942266694735736</v>
      </c>
      <c r="AE67" s="41" t="str">
        <f t="shared" ref="AE67" si="91">IF($E67&gt;=AE$31,MID($J$31,IF($E67&gt;AE$31,INT(AD67),ROUND(AD67,0))+1,1),"")</f>
        <v/>
      </c>
      <c r="AF67" s="24">
        <f t="shared" ref="AF67" si="92">(AD67-INT(AD67))*12</f>
        <v>3.5307200336828828</v>
      </c>
      <c r="AG67" s="41" t="str">
        <f t="shared" ref="AG67" si="93">IF($E67&gt;=AG$31,MID($J$31,IF($E67&gt;AG$31,INT(AF67),ROUND(AF67,0))+1,1),"")</f>
        <v/>
      </c>
      <c r="AH67" s="24">
        <f t="shared" ref="AH67" si="94">(AF67-INT(AF67))*12</f>
        <v>6.3686404041945934</v>
      </c>
      <c r="AI67" s="41" t="str">
        <f t="shared" ref="AI67" si="95">IF($E67&gt;=AI$31,MID($J$31,IF($E67&gt;AI$31,INT(AH67),ROUND(AH67,0))+1,1),"")</f>
        <v/>
      </c>
      <c r="AJ67" s="24">
        <f t="shared" ref="AJ67" si="96">(AH67-INT(AH67))*12</f>
        <v>4.4236848503351212</v>
      </c>
      <c r="AK67" s="41" t="str">
        <f t="shared" ref="AK67" si="97">IF($E67&gt;=AK$31,MID($J$31,IF($E67&gt;AK$31,INT(AJ67),ROUND(AJ67,0))+1,1),"")</f>
        <v/>
      </c>
    </row>
    <row r="68" spans="1:37" ht="15" customHeight="1">
      <c r="A68" s="719"/>
      <c r="B68" s="64" t="s">
        <v>1789</v>
      </c>
      <c r="C68" s="371" t="str">
        <f>Rydberg!C67</f>
        <v>m</v>
      </c>
      <c r="D68" s="21">
        <f>Rydberg!D67*4</f>
        <v>5906.500063188495</v>
      </c>
      <c r="E68" s="8">
        <v>8</v>
      </c>
      <c r="F68" s="21">
        <f t="shared" si="69"/>
        <v>21686.991823525146</v>
      </c>
      <c r="G68" s="37" t="str">
        <f t="shared" si="25"/>
        <v>1;0672EX9X</v>
      </c>
      <c r="H68" s="330"/>
      <c r="I68" s="333"/>
      <c r="J68" s="38">
        <v>4</v>
      </c>
      <c r="K68" s="61">
        <f t="shared" si="39"/>
        <v>1.045861874205495</v>
      </c>
      <c r="L68" s="39" t="str">
        <f>INDEX(powers!$H$2:$H$75,33+J68)</f>
        <v>super</v>
      </c>
      <c r="M68" s="40" t="str">
        <f t="shared" si="12"/>
        <v>1</v>
      </c>
      <c r="N68" s="24">
        <f t="shared" si="27"/>
        <v>0.55034249046594041</v>
      </c>
      <c r="O68" s="41" t="str">
        <f t="shared" si="13"/>
        <v>0</v>
      </c>
      <c r="P68" s="24">
        <f t="shared" si="28"/>
        <v>6.604109885591285</v>
      </c>
      <c r="Q68" s="41" t="str">
        <f t="shared" si="14"/>
        <v>6</v>
      </c>
      <c r="R68" s="24">
        <f t="shared" si="29"/>
        <v>7.2493186270954197</v>
      </c>
      <c r="S68" s="41" t="str">
        <f t="shared" si="15"/>
        <v>7</v>
      </c>
      <c r="T68" s="24">
        <f t="shared" si="30"/>
        <v>2.9918235251450369</v>
      </c>
      <c r="U68" s="41" t="str">
        <f t="shared" si="16"/>
        <v>2</v>
      </c>
      <c r="V68" s="24">
        <f t="shared" si="31"/>
        <v>11.901882301740443</v>
      </c>
      <c r="W68" s="41" t="str">
        <f t="shared" si="17"/>
        <v>E</v>
      </c>
      <c r="X68" s="24">
        <f t="shared" si="32"/>
        <v>10.822587620885315</v>
      </c>
      <c r="Y68" s="41" t="str">
        <f t="shared" si="18"/>
        <v>X</v>
      </c>
      <c r="Z68" s="24">
        <f t="shared" si="33"/>
        <v>9.8710514506237814</v>
      </c>
      <c r="AA68" s="41" t="str">
        <f t="shared" si="19"/>
        <v>9</v>
      </c>
      <c r="AB68" s="24">
        <f t="shared" si="34"/>
        <v>10.452617407485377</v>
      </c>
      <c r="AC68" s="41" t="str">
        <f t="shared" si="20"/>
        <v>X</v>
      </c>
      <c r="AD68" s="24">
        <f t="shared" si="35"/>
        <v>5.4314088898245245</v>
      </c>
      <c r="AE68" s="41" t="str">
        <f t="shared" si="21"/>
        <v/>
      </c>
      <c r="AF68" s="24">
        <f t="shared" si="36"/>
        <v>5.1769066778942943</v>
      </c>
      <c r="AG68" s="41" t="str">
        <f t="shared" si="22"/>
        <v/>
      </c>
      <c r="AH68" s="24">
        <f t="shared" si="37"/>
        <v>2.1228801347315311</v>
      </c>
      <c r="AI68" s="41" t="str">
        <f t="shared" si="23"/>
        <v/>
      </c>
      <c r="AJ68" s="24">
        <f t="shared" si="38"/>
        <v>1.4745616167783737</v>
      </c>
      <c r="AK68" s="41" t="str">
        <f t="shared" si="24"/>
        <v/>
      </c>
    </row>
    <row r="69" spans="1:37" ht="15" customHeight="1">
      <c r="A69" s="719"/>
      <c r="B69" s="5" t="str">
        <f>Rydberg!B68</f>
        <v>Astronomical unit</v>
      </c>
      <c r="C69" s="5" t="str">
        <f>Rydberg!C68</f>
        <v>m</v>
      </c>
      <c r="D69" s="21">
        <f>Rydberg!D68</f>
        <v>149597870000</v>
      </c>
      <c r="E69" s="30">
        <v>9</v>
      </c>
      <c r="F69" s="29">
        <f t="shared" si="69"/>
        <v>549280919122.75348</v>
      </c>
      <c r="G69" s="37" t="str">
        <f t="shared" si="25"/>
        <v>8;X55509X33</v>
      </c>
      <c r="H69" s="330"/>
      <c r="I69" s="336"/>
      <c r="J69" s="43">
        <v>10</v>
      </c>
      <c r="K69" s="62">
        <f t="shared" si="39"/>
        <v>8.8711935013190502</v>
      </c>
      <c r="L69" s="39" t="str">
        <f>INDEX(powers!$H$2:$H$75,33+J69)</f>
        <v>cosmic hecty</v>
      </c>
      <c r="M69" s="40" t="str">
        <f t="shared" si="12"/>
        <v>8</v>
      </c>
      <c r="N69" s="24">
        <f t="shared" si="27"/>
        <v>10.454322015828602</v>
      </c>
      <c r="O69" s="41" t="str">
        <f t="shared" si="13"/>
        <v>X</v>
      </c>
      <c r="P69" s="24">
        <f t="shared" si="28"/>
        <v>5.4518641899432225</v>
      </c>
      <c r="Q69" s="41" t="str">
        <f t="shared" si="14"/>
        <v>5</v>
      </c>
      <c r="R69" s="24">
        <f t="shared" si="29"/>
        <v>5.4223702793186703</v>
      </c>
      <c r="S69" s="41" t="str">
        <f t="shared" si="15"/>
        <v>5</v>
      </c>
      <c r="T69" s="24">
        <f t="shared" si="30"/>
        <v>5.0684433518240439</v>
      </c>
      <c r="U69" s="41" t="str">
        <f t="shared" si="16"/>
        <v>5</v>
      </c>
      <c r="V69" s="24">
        <f t="shared" si="31"/>
        <v>0.82132022188852716</v>
      </c>
      <c r="W69" s="41" t="str">
        <f t="shared" si="17"/>
        <v>0</v>
      </c>
      <c r="X69" s="24">
        <f t="shared" si="32"/>
        <v>9.8558426626623259</v>
      </c>
      <c r="Y69" s="41" t="str">
        <f t="shared" si="18"/>
        <v>9</v>
      </c>
      <c r="Z69" s="24">
        <f t="shared" si="33"/>
        <v>10.270111951947911</v>
      </c>
      <c r="AA69" s="41" t="str">
        <f t="shared" si="19"/>
        <v>X</v>
      </c>
      <c r="AB69" s="24">
        <f t="shared" si="34"/>
        <v>3.2413434233749285</v>
      </c>
      <c r="AC69" s="41" t="str">
        <f t="shared" si="20"/>
        <v>3</v>
      </c>
      <c r="AD69" s="24">
        <f t="shared" si="35"/>
        <v>2.8961210804991424</v>
      </c>
      <c r="AE69" s="41" t="str">
        <f t="shared" si="21"/>
        <v>3</v>
      </c>
      <c r="AF69" s="24">
        <f t="shared" si="36"/>
        <v>10.753452965989709</v>
      </c>
      <c r="AG69" s="41" t="str">
        <f t="shared" si="22"/>
        <v/>
      </c>
      <c r="AH69" s="24">
        <f t="shared" si="37"/>
        <v>9.0414355918765068</v>
      </c>
      <c r="AI69" s="41" t="str">
        <f t="shared" si="23"/>
        <v/>
      </c>
      <c r="AJ69" s="24">
        <f t="shared" si="38"/>
        <v>0.49722710251808167</v>
      </c>
      <c r="AK69" s="41" t="str">
        <f t="shared" si="24"/>
        <v/>
      </c>
    </row>
    <row r="70" spans="1:37" ht="15" customHeight="1">
      <c r="A70" s="719"/>
      <c r="B70" s="5" t="str">
        <f>Rydberg!B69</f>
        <v>Astronomical unit / c0</v>
      </c>
      <c r="C70" s="5" t="str">
        <f>Rydberg!C69</f>
        <v>s</v>
      </c>
      <c r="D70" s="29">
        <f>Rydberg!D69</f>
        <v>499.00478150120773</v>
      </c>
      <c r="E70" s="30">
        <v>9</v>
      </c>
      <c r="F70" s="29">
        <f>D70/F$4</f>
        <v>1277.4518641899433</v>
      </c>
      <c r="G70" s="37" t="str">
        <f t="shared" si="25"/>
        <v>8;X55509X33</v>
      </c>
      <c r="H70" s="330"/>
      <c r="I70" s="336"/>
      <c r="J70" s="43">
        <v>2</v>
      </c>
      <c r="K70" s="62">
        <f t="shared" si="39"/>
        <v>8.8711935013190502</v>
      </c>
      <c r="L70" s="39" t="str">
        <f>INDEX(powers!$H$2:$H$75,33+J70)</f>
        <v>hecty</v>
      </c>
      <c r="M70" s="40" t="str">
        <f t="shared" si="12"/>
        <v>8</v>
      </c>
      <c r="N70" s="24">
        <f t="shared" si="27"/>
        <v>10.454322015828602</v>
      </c>
      <c r="O70" s="41" t="str">
        <f t="shared" si="13"/>
        <v>X</v>
      </c>
      <c r="P70" s="24">
        <f t="shared" si="28"/>
        <v>5.4518641899432225</v>
      </c>
      <c r="Q70" s="41" t="str">
        <f t="shared" si="14"/>
        <v>5</v>
      </c>
      <c r="R70" s="24">
        <f t="shared" si="29"/>
        <v>5.4223702793186703</v>
      </c>
      <c r="S70" s="41" t="str">
        <f t="shared" si="15"/>
        <v>5</v>
      </c>
      <c r="T70" s="24">
        <f t="shared" si="30"/>
        <v>5.0684433518240439</v>
      </c>
      <c r="U70" s="41" t="str">
        <f t="shared" si="16"/>
        <v>5</v>
      </c>
      <c r="V70" s="24">
        <f t="shared" si="31"/>
        <v>0.82132022188852716</v>
      </c>
      <c r="W70" s="41" t="str">
        <f t="shared" si="17"/>
        <v>0</v>
      </c>
      <c r="X70" s="24">
        <f t="shared" si="32"/>
        <v>9.8558426626623259</v>
      </c>
      <c r="Y70" s="41" t="str">
        <f t="shared" si="18"/>
        <v>9</v>
      </c>
      <c r="Z70" s="24">
        <f t="shared" si="33"/>
        <v>10.270111951947911</v>
      </c>
      <c r="AA70" s="41" t="str">
        <f t="shared" si="19"/>
        <v>X</v>
      </c>
      <c r="AB70" s="24">
        <f t="shared" si="34"/>
        <v>3.2413434233749285</v>
      </c>
      <c r="AC70" s="41" t="str">
        <f t="shared" si="20"/>
        <v>3</v>
      </c>
      <c r="AD70" s="24">
        <f t="shared" si="35"/>
        <v>2.8961210804991424</v>
      </c>
      <c r="AE70" s="41" t="str">
        <f t="shared" si="21"/>
        <v>3</v>
      </c>
      <c r="AF70" s="24">
        <f t="shared" si="36"/>
        <v>10.753452965989709</v>
      </c>
      <c r="AG70" s="41" t="str">
        <f t="shared" si="22"/>
        <v/>
      </c>
      <c r="AH70" s="24">
        <f t="shared" si="37"/>
        <v>9.0414355918765068</v>
      </c>
      <c r="AI70" s="41" t="str">
        <f t="shared" si="23"/>
        <v/>
      </c>
      <c r="AJ70" s="24">
        <f t="shared" si="38"/>
        <v>0.49722710251808167</v>
      </c>
      <c r="AK70" s="41" t="str">
        <f t="shared" si="24"/>
        <v/>
      </c>
    </row>
    <row r="71" spans="1:37" ht="15" customHeight="1" thickBot="1">
      <c r="A71" s="720"/>
      <c r="B71" s="372" t="s">
        <v>117</v>
      </c>
      <c r="C71" s="372" t="str">
        <f>Rydberg!C70</f>
        <v>-</v>
      </c>
      <c r="D71" s="32">
        <f>Rydberg!D70</f>
        <v>9.9800956300241541</v>
      </c>
      <c r="E71" s="33">
        <v>9</v>
      </c>
      <c r="F71" s="32">
        <f>D71</f>
        <v>9.9800956300241541</v>
      </c>
      <c r="G71" s="376" t="str">
        <f t="shared" si="25"/>
        <v>9;E91731X53</v>
      </c>
      <c r="H71" s="377"/>
      <c r="I71" s="337"/>
      <c r="J71" s="48">
        <v>0</v>
      </c>
      <c r="K71" s="63">
        <f t="shared" si="39"/>
        <v>9.9800956300241541</v>
      </c>
      <c r="L71" s="49" t="str">
        <f>INDEX(powers!$H$2:$H$75,33+J71)</f>
        <v xml:space="preserve"> </v>
      </c>
      <c r="M71" s="40" t="str">
        <f t="shared" si="12"/>
        <v>9</v>
      </c>
      <c r="N71" s="24">
        <f t="shared" si="27"/>
        <v>11.761147560289849</v>
      </c>
      <c r="O71" s="41" t="str">
        <f t="shared" si="13"/>
        <v>E</v>
      </c>
      <c r="P71" s="24">
        <f t="shared" si="28"/>
        <v>9.1337707234781931</v>
      </c>
      <c r="Q71" s="41" t="str">
        <f t="shared" si="14"/>
        <v>9</v>
      </c>
      <c r="R71" s="24">
        <f t="shared" si="29"/>
        <v>1.6052486817383169</v>
      </c>
      <c r="S71" s="41" t="str">
        <f t="shared" si="15"/>
        <v>1</v>
      </c>
      <c r="T71" s="24">
        <f t="shared" si="30"/>
        <v>7.262984180859803</v>
      </c>
      <c r="U71" s="41" t="str">
        <f t="shared" si="16"/>
        <v>7</v>
      </c>
      <c r="V71" s="24">
        <f t="shared" si="31"/>
        <v>3.1558101703176362</v>
      </c>
      <c r="W71" s="41" t="str">
        <f t="shared" si="17"/>
        <v>3</v>
      </c>
      <c r="X71" s="24">
        <f t="shared" si="32"/>
        <v>1.8697220438116346</v>
      </c>
      <c r="Y71" s="41" t="str">
        <f t="shared" si="18"/>
        <v>1</v>
      </c>
      <c r="Z71" s="24">
        <f t="shared" si="33"/>
        <v>10.436664525739616</v>
      </c>
      <c r="AA71" s="41" t="str">
        <f t="shared" si="19"/>
        <v>X</v>
      </c>
      <c r="AB71" s="24">
        <f t="shared" si="34"/>
        <v>5.2399743088753894</v>
      </c>
      <c r="AC71" s="41" t="str">
        <f t="shared" si="20"/>
        <v>5</v>
      </c>
      <c r="AD71" s="24">
        <f t="shared" si="35"/>
        <v>2.8796917065046728</v>
      </c>
      <c r="AE71" s="41" t="str">
        <f t="shared" si="21"/>
        <v>3</v>
      </c>
      <c r="AF71" s="24">
        <f t="shared" si="36"/>
        <v>10.556300478056073</v>
      </c>
      <c r="AG71" s="41" t="str">
        <f t="shared" si="22"/>
        <v/>
      </c>
      <c r="AH71" s="24">
        <f t="shared" si="37"/>
        <v>6.6756057366728783</v>
      </c>
      <c r="AI71" s="41" t="str">
        <f t="shared" si="23"/>
        <v/>
      </c>
      <c r="AJ71" s="24">
        <f t="shared" si="38"/>
        <v>8.1072688400745392</v>
      </c>
      <c r="AK71" s="41" t="str">
        <f t="shared" si="24"/>
        <v/>
      </c>
    </row>
    <row r="72" spans="1:37" ht="12" customHeight="1">
      <c r="A72" s="715" t="s">
        <v>49</v>
      </c>
      <c r="B72" s="17" t="s">
        <v>42</v>
      </c>
      <c r="C72" s="17"/>
      <c r="D72" s="17"/>
      <c r="E72" s="18" t="s">
        <v>54</v>
      </c>
      <c r="F72" s="17" t="s">
        <v>43</v>
      </c>
      <c r="G72" s="17" t="s">
        <v>92</v>
      </c>
      <c r="H72" s="316"/>
      <c r="I72" s="332"/>
      <c r="J72" s="18" t="s">
        <v>44</v>
      </c>
      <c r="K72" s="56" t="s">
        <v>46</v>
      </c>
      <c r="L72" s="143" t="str">
        <f>Rydberg!L71</f>
        <v>Prefix</v>
      </c>
    </row>
    <row r="73" spans="1:37" ht="11.25" customHeight="1">
      <c r="A73" s="716"/>
      <c r="B73" s="8" t="s">
        <v>40</v>
      </c>
      <c r="C73" s="8"/>
      <c r="D73" s="21"/>
      <c r="E73" s="8">
        <v>9</v>
      </c>
      <c r="F73" s="21">
        <f>$D$32</f>
        <v>7.2973525663999998E-3</v>
      </c>
      <c r="G73" s="37" t="str">
        <f t="shared" ref="G73:G74" si="98">M73&amp;";"&amp;O73&amp;Q73&amp;S73&amp;U73&amp;W73&amp;Y73&amp;AA73&amp;AC73&amp;AE73&amp;AG73&amp;AI73&amp;AK73</f>
        <v>1;073994049</v>
      </c>
      <c r="H73" s="37"/>
      <c r="I73" s="340"/>
      <c r="J73" s="38">
        <v>-2</v>
      </c>
      <c r="K73" s="61">
        <f t="shared" ref="K73:K89" si="99">F73/POWER(12,J73)</f>
        <v>1.0508187695616</v>
      </c>
      <c r="L73" s="39" t="str">
        <f>INDEX(powers!$H$2:$H$75,33+J73)</f>
        <v>centy</v>
      </c>
      <c r="M73" s="40" t="str">
        <f t="shared" ref="M73:M89" si="100">IF($E73&gt;=M$31,MID($J$31,IF($E73&gt;M$31,INT(K73),ROUND(K73,0))+1,1),"")</f>
        <v>1</v>
      </c>
      <c r="N73" s="24">
        <f>(K73-INT(K73))*12</f>
        <v>0.60982523473920036</v>
      </c>
      <c r="O73" s="41" t="str">
        <f t="shared" ref="O73:O89" si="101">IF($E73&gt;=O$31,MID($J$31,IF($E73&gt;O$31,INT(N73),ROUND(N73,0))+1,1),"")</f>
        <v>0</v>
      </c>
      <c r="P73" s="24">
        <f>(N73-INT(N73))*12</f>
        <v>7.3179028168704043</v>
      </c>
      <c r="Q73" s="41" t="str">
        <f t="shared" ref="Q73:Q89" si="102">IF($E73&gt;=Q$31,MID($J$31,IF($E73&gt;Q$31,INT(P73),ROUND(P73,0))+1,1),"")</f>
        <v>7</v>
      </c>
      <c r="R73" s="24">
        <f>(P73-INT(P73))*12</f>
        <v>3.814833802444852</v>
      </c>
      <c r="S73" s="41" t="str">
        <f t="shared" ref="S73:S89" si="103">IF($E73&gt;=S$31,MID($J$31,IF($E73&gt;S$31,INT(R73),ROUND(R73,0))+1,1),"")</f>
        <v>3</v>
      </c>
      <c r="T73" s="24">
        <f>(R73-INT(R73))*12</f>
        <v>9.7780056293382245</v>
      </c>
      <c r="U73" s="41" t="str">
        <f t="shared" ref="U73:U89" si="104">IF($E73&gt;=U$31,MID($J$31,IF($E73&gt;U$31,INT(T73),ROUND(T73,0))+1,1),"")</f>
        <v>9</v>
      </c>
      <c r="V73" s="24">
        <f>(T73-INT(T73))*12</f>
        <v>9.3360675520586938</v>
      </c>
      <c r="W73" s="41" t="str">
        <f t="shared" ref="W73:W89" si="105">IF($E73&gt;=W$31,MID($J$31,IF($E73&gt;W$31,INT(V73),ROUND(V73,0))+1,1),"")</f>
        <v>9</v>
      </c>
      <c r="X73" s="24">
        <f>(V73-INT(V73))*12</f>
        <v>4.0328106247043252</v>
      </c>
      <c r="Y73" s="41" t="str">
        <f t="shared" ref="Y73:Y89" si="106">IF($E73&gt;=Y$31,MID($J$31,IF($E73&gt;Y$31,INT(X73),ROUND(X73,0))+1,1),"")</f>
        <v>4</v>
      </c>
      <c r="Z73" s="24">
        <f>(X73-INT(X73))*12</f>
        <v>0.39372749645190197</v>
      </c>
      <c r="AA73" s="41" t="str">
        <f t="shared" ref="AA73:AA89" si="107">IF($E73&gt;=AA$31,MID($J$31,IF($E73&gt;AA$31,INT(Z73),ROUND(Z73,0))+1,1),"")</f>
        <v>0</v>
      </c>
      <c r="AB73" s="24">
        <f>(Z73-INT(Z73))*12</f>
        <v>4.7247299574228236</v>
      </c>
      <c r="AC73" s="41" t="str">
        <f t="shared" ref="AC73:AC89" si="108">IF($E73&gt;=AC$31,MID($J$31,IF($E73&gt;AC$31,INT(AB73),ROUND(AB73,0))+1,1),"")</f>
        <v>4</v>
      </c>
      <c r="AD73" s="24">
        <f>(AB73-INT(AB73))*12</f>
        <v>8.6967594890738837</v>
      </c>
      <c r="AE73" s="41" t="str">
        <f t="shared" ref="AE73:AE89" si="109">IF($E73&gt;=AE$31,MID($J$31,IF($E73&gt;AE$31,INT(AD73),ROUND(AD73,0))+1,1),"")</f>
        <v>9</v>
      </c>
      <c r="AF73" s="24">
        <f>(AD73-INT(AD73))*12</f>
        <v>8.3611138688866049</v>
      </c>
      <c r="AG73" s="41" t="str">
        <f t="shared" ref="AG73:AG89" si="110">IF($E73&gt;=AG$31,MID($J$31,IF($E73&gt;AG$31,INT(AF73),ROUND(AF73,0))+1,1),"")</f>
        <v/>
      </c>
      <c r="AH73" s="24">
        <f>(AF73-INT(AF73))*12</f>
        <v>4.3333664266392589</v>
      </c>
      <c r="AI73" s="41" t="str">
        <f t="shared" ref="AI73:AI89" si="111">IF($E73&gt;=AI$31,MID($J$31,IF($E73&gt;AI$31,INT(AH73),ROUND(AH73,0))+1,1),"")</f>
        <v/>
      </c>
      <c r="AJ73" s="24">
        <f>(AH73-INT(AH73))*12</f>
        <v>4.0003971196711063</v>
      </c>
      <c r="AK73" s="41" t="str">
        <f t="shared" ref="AK73:AK89" si="112">IF($E73&gt;=AK$31,MID($J$31,IF($E73&gt;AK$31,INT(AJ73),ROUND(AJ73,0))+1,1),"")</f>
        <v/>
      </c>
    </row>
    <row r="74" spans="1:37" ht="13.5" customHeight="1">
      <c r="A74" s="716"/>
      <c r="B74" s="30" t="s">
        <v>34</v>
      </c>
      <c r="C74" s="30"/>
      <c r="D74" s="29"/>
      <c r="E74" s="8">
        <v>9</v>
      </c>
      <c r="F74" s="21">
        <f>1/$D$32</f>
        <v>137.03599913815452</v>
      </c>
      <c r="G74" s="37" t="str">
        <f t="shared" si="98"/>
        <v>0;E5052258X</v>
      </c>
      <c r="H74" s="37"/>
      <c r="I74" s="340"/>
      <c r="J74" s="38">
        <v>2</v>
      </c>
      <c r="K74" s="61">
        <f t="shared" si="99"/>
        <v>0.9516388829038509</v>
      </c>
      <c r="L74" s="39" t="str">
        <f>INDEX(powers!$H$2:$H$75,33+J74)</f>
        <v>hecty</v>
      </c>
      <c r="M74" s="40" t="str">
        <f t="shared" si="100"/>
        <v>0</v>
      </c>
      <c r="N74" s="24">
        <f t="shared" ref="N74:N89" si="113">(K74-INT(K74))*12</f>
        <v>11.419666594846211</v>
      </c>
      <c r="O74" s="41" t="str">
        <f t="shared" si="101"/>
        <v>E</v>
      </c>
      <c r="P74" s="24">
        <f t="shared" ref="P74:P89" si="114">(N74-INT(N74))*12</f>
        <v>5.0359991381545299</v>
      </c>
      <c r="Q74" s="41" t="str">
        <f t="shared" si="102"/>
        <v>5</v>
      </c>
      <c r="R74" s="24">
        <f t="shared" ref="R74:R89" si="115">(P74-INT(P74))*12</f>
        <v>0.43198965785435917</v>
      </c>
      <c r="S74" s="41" t="str">
        <f t="shared" si="103"/>
        <v>0</v>
      </c>
      <c r="T74" s="24">
        <f t="shared" ref="T74:T89" si="116">(R74-INT(R74))*12</f>
        <v>5.18387589425231</v>
      </c>
      <c r="U74" s="41" t="str">
        <f t="shared" si="104"/>
        <v>5</v>
      </c>
      <c r="V74" s="24">
        <f t="shared" ref="V74:V89" si="117">(T74-INT(T74))*12</f>
        <v>2.2065107310277199</v>
      </c>
      <c r="W74" s="41" t="str">
        <f t="shared" si="105"/>
        <v>2</v>
      </c>
      <c r="X74" s="24">
        <f t="shared" ref="X74:X89" si="118">(V74-INT(V74))*12</f>
        <v>2.4781287723326386</v>
      </c>
      <c r="Y74" s="41" t="str">
        <f t="shared" si="106"/>
        <v>2</v>
      </c>
      <c r="Z74" s="24">
        <f t="shared" ref="Z74:Z89" si="119">(X74-INT(X74))*12</f>
        <v>5.7375452679916634</v>
      </c>
      <c r="AA74" s="41" t="str">
        <f t="shared" si="107"/>
        <v>5</v>
      </c>
      <c r="AB74" s="24">
        <f t="shared" ref="AB74:AB89" si="120">(Z74-INT(Z74))*12</f>
        <v>8.8505432158999611</v>
      </c>
      <c r="AC74" s="41" t="str">
        <f t="shared" si="108"/>
        <v>8</v>
      </c>
      <c r="AD74" s="24">
        <f t="shared" ref="AD74:AD89" si="121">(AB74-INT(AB74))*12</f>
        <v>10.206518590799533</v>
      </c>
      <c r="AE74" s="41" t="str">
        <f t="shared" si="109"/>
        <v>X</v>
      </c>
      <c r="AF74" s="24">
        <f t="shared" ref="AF74:AF89" si="122">(AD74-INT(AD74))*12</f>
        <v>2.478223089594394</v>
      </c>
      <c r="AG74" s="41" t="str">
        <f t="shared" si="110"/>
        <v/>
      </c>
      <c r="AH74" s="24">
        <f t="shared" ref="AH74:AH89" si="123">(AF74-INT(AF74))*12</f>
        <v>5.7386770751327276</v>
      </c>
      <c r="AI74" s="41" t="str">
        <f t="shared" si="111"/>
        <v/>
      </c>
      <c r="AJ74" s="24">
        <f t="shared" ref="AJ74:AJ89" si="124">(AH74-INT(AH74))*12</f>
        <v>8.8641249015927315</v>
      </c>
      <c r="AK74" s="41" t="str">
        <f t="shared" si="112"/>
        <v/>
      </c>
    </row>
    <row r="75" spans="1:37" ht="13.5" customHeight="1">
      <c r="A75" s="716"/>
      <c r="B75" s="45"/>
      <c r="C75" s="45"/>
      <c r="D75" s="46"/>
      <c r="E75" s="8">
        <v>9</v>
      </c>
      <c r="F75" s="21">
        <f>1/$D$32</f>
        <v>137.03599913815452</v>
      </c>
      <c r="G75" s="37" t="str">
        <f>"B5;"&amp;O75&amp;Q75&amp;S75&amp;U75&amp;W75&amp;Y75&amp;AA75&amp;AC75&amp;AE75&amp;AG75&amp;AI75&amp;AK75</f>
        <v>B5;052258X26</v>
      </c>
      <c r="H75" s="37"/>
      <c r="I75" s="340"/>
      <c r="J75" s="38">
        <v>0</v>
      </c>
      <c r="K75" s="61">
        <f t="shared" si="99"/>
        <v>137.03599913815452</v>
      </c>
      <c r="L75" s="39" t="str">
        <f>INDEX(powers!$H$2:$H$75,33+J75)</f>
        <v xml:space="preserve"> </v>
      </c>
      <c r="M75" s="40" t="str">
        <f t="shared" si="100"/>
        <v/>
      </c>
      <c r="N75" s="24">
        <f t="shared" si="113"/>
        <v>0.4319896578542739</v>
      </c>
      <c r="O75" s="41" t="str">
        <f t="shared" si="101"/>
        <v>0</v>
      </c>
      <c r="P75" s="24">
        <f t="shared" si="114"/>
        <v>5.1838758942512868</v>
      </c>
      <c r="Q75" s="41" t="str">
        <f t="shared" si="102"/>
        <v>5</v>
      </c>
      <c r="R75" s="24">
        <f t="shared" si="115"/>
        <v>2.2065107310154417</v>
      </c>
      <c r="S75" s="41" t="str">
        <f t="shared" si="103"/>
        <v>2</v>
      </c>
      <c r="T75" s="24">
        <f t="shared" si="116"/>
        <v>2.4781287721853005</v>
      </c>
      <c r="U75" s="41" t="str">
        <f t="shared" si="104"/>
        <v>2</v>
      </c>
      <c r="V75" s="24">
        <f t="shared" si="117"/>
        <v>5.7375452662236057</v>
      </c>
      <c r="W75" s="41" t="str">
        <f t="shared" si="105"/>
        <v>5</v>
      </c>
      <c r="X75" s="24">
        <f t="shared" si="118"/>
        <v>8.8505431946832687</v>
      </c>
      <c r="Y75" s="41" t="str">
        <f t="shared" si="106"/>
        <v>8</v>
      </c>
      <c r="Z75" s="24">
        <f t="shared" si="119"/>
        <v>10.206518336199224</v>
      </c>
      <c r="AA75" s="41" t="str">
        <f t="shared" si="107"/>
        <v>X</v>
      </c>
      <c r="AB75" s="24">
        <f t="shared" si="120"/>
        <v>2.4782200343906879</v>
      </c>
      <c r="AC75" s="41" t="str">
        <f t="shared" si="108"/>
        <v>2</v>
      </c>
      <c r="AD75" s="24">
        <f t="shared" si="121"/>
        <v>5.7386404126882553</v>
      </c>
      <c r="AE75" s="41" t="str">
        <f t="shared" si="109"/>
        <v>6</v>
      </c>
      <c r="AF75" s="24">
        <f t="shared" si="122"/>
        <v>8.8636849522590637</v>
      </c>
      <c r="AG75" s="41" t="str">
        <f t="shared" si="110"/>
        <v/>
      </c>
      <c r="AH75" s="24">
        <f t="shared" si="123"/>
        <v>10.364219427108765</v>
      </c>
      <c r="AI75" s="41" t="str">
        <f t="shared" si="111"/>
        <v/>
      </c>
      <c r="AJ75" s="24">
        <f t="shared" si="124"/>
        <v>4.3706331253051758</v>
      </c>
      <c r="AK75" s="41" t="str">
        <f t="shared" si="112"/>
        <v/>
      </c>
    </row>
    <row r="76" spans="1:37" ht="13.5" customHeight="1">
      <c r="A76" s="716"/>
      <c r="B76" s="8" t="s">
        <v>39</v>
      </c>
      <c r="C76" s="8"/>
      <c r="D76" s="21"/>
      <c r="E76" s="8">
        <v>9</v>
      </c>
      <c r="F76" s="21">
        <f t="shared" ref="F76" si="125">SQRT($D$32)</f>
        <v>8.542454311496199E-2</v>
      </c>
      <c r="G76" s="37" t="str">
        <f t="shared" ref="G76:G79" si="126">M76&amp;";"&amp;O76&amp;Q76&amp;S76&amp;U76&amp;W76&amp;Y76&amp;AA76&amp;AC76&amp;AE76&amp;AG76&amp;AI76&amp;AK76</f>
        <v>1;0374439E2</v>
      </c>
      <c r="H76" s="37"/>
      <c r="I76" s="340"/>
      <c r="J76" s="38">
        <v>-1</v>
      </c>
      <c r="K76" s="61">
        <f t="shared" si="99"/>
        <v>1.025094517379544</v>
      </c>
      <c r="L76" s="39" t="str">
        <f>INDEX(powers!$H$2:$H$75,33+J76)</f>
        <v>dour</v>
      </c>
      <c r="M76" s="40" t="str">
        <f t="shared" si="100"/>
        <v>1</v>
      </c>
      <c r="N76" s="24">
        <f t="shared" si="113"/>
        <v>0.30113420855452855</v>
      </c>
      <c r="O76" s="41" t="str">
        <f t="shared" si="101"/>
        <v>0</v>
      </c>
      <c r="P76" s="24">
        <f t="shared" si="114"/>
        <v>3.6136105026543426</v>
      </c>
      <c r="Q76" s="41" t="str">
        <f t="shared" si="102"/>
        <v>3</v>
      </c>
      <c r="R76" s="24">
        <f t="shared" si="115"/>
        <v>7.363326031852111</v>
      </c>
      <c r="S76" s="41" t="str">
        <f t="shared" si="103"/>
        <v>7</v>
      </c>
      <c r="T76" s="24">
        <f t="shared" si="116"/>
        <v>4.3599123822253318</v>
      </c>
      <c r="U76" s="41" t="str">
        <f t="shared" si="104"/>
        <v>4</v>
      </c>
      <c r="V76" s="24">
        <f t="shared" si="117"/>
        <v>4.3189485867039821</v>
      </c>
      <c r="W76" s="41" t="str">
        <f t="shared" si="105"/>
        <v>4</v>
      </c>
      <c r="X76" s="24">
        <f t="shared" si="118"/>
        <v>3.8273830404477849</v>
      </c>
      <c r="Y76" s="41" t="str">
        <f t="shared" si="106"/>
        <v>3</v>
      </c>
      <c r="Z76" s="24">
        <f t="shared" si="119"/>
        <v>9.9285964853734185</v>
      </c>
      <c r="AA76" s="41" t="str">
        <f t="shared" si="107"/>
        <v>9</v>
      </c>
      <c r="AB76" s="24">
        <f t="shared" si="120"/>
        <v>11.143157824481023</v>
      </c>
      <c r="AC76" s="41" t="str">
        <f t="shared" si="108"/>
        <v>E</v>
      </c>
      <c r="AD76" s="24">
        <f t="shared" si="121"/>
        <v>1.7178938937722705</v>
      </c>
      <c r="AE76" s="41" t="str">
        <f t="shared" si="109"/>
        <v>2</v>
      </c>
      <c r="AF76" s="24">
        <f t="shared" si="122"/>
        <v>8.6147267252672464</v>
      </c>
      <c r="AG76" s="41" t="str">
        <f t="shared" si="110"/>
        <v/>
      </c>
      <c r="AH76" s="24">
        <f t="shared" si="123"/>
        <v>7.3767207032069564</v>
      </c>
      <c r="AI76" s="41" t="str">
        <f t="shared" si="111"/>
        <v/>
      </c>
      <c r="AJ76" s="24">
        <f t="shared" si="124"/>
        <v>4.5206484384834766</v>
      </c>
      <c r="AK76" s="41" t="str">
        <f t="shared" si="112"/>
        <v/>
      </c>
    </row>
    <row r="77" spans="1:37" ht="13.5" customHeight="1">
      <c r="A77" s="716"/>
      <c r="B77" s="8" t="s">
        <v>35</v>
      </c>
      <c r="C77" s="8"/>
      <c r="D77" s="21"/>
      <c r="E77" s="8">
        <v>9</v>
      </c>
      <c r="F77" s="21">
        <f>1/SQRT($D$32)</f>
        <v>11.706237616679173</v>
      </c>
      <c r="G77" s="37" t="str">
        <f t="shared" si="126"/>
        <v>0;E85846628</v>
      </c>
      <c r="H77" s="37"/>
      <c r="I77" s="340"/>
      <c r="J77" s="38">
        <v>1</v>
      </c>
      <c r="K77" s="61">
        <f t="shared" si="99"/>
        <v>0.97551980138993111</v>
      </c>
      <c r="L77" s="39" t="str">
        <f>INDEX(powers!$H$2:$H$75,33+J77)</f>
        <v>dirac</v>
      </c>
      <c r="M77" s="40" t="str">
        <f t="shared" si="100"/>
        <v>0</v>
      </c>
      <c r="N77" s="24">
        <f t="shared" si="113"/>
        <v>11.706237616679173</v>
      </c>
      <c r="O77" s="41" t="str">
        <f t="shared" si="101"/>
        <v>E</v>
      </c>
      <c r="P77" s="24">
        <f t="shared" si="114"/>
        <v>8.4748514001500794</v>
      </c>
      <c r="Q77" s="41" t="str">
        <f t="shared" si="102"/>
        <v>8</v>
      </c>
      <c r="R77" s="24">
        <f t="shared" si="115"/>
        <v>5.6982168018009531</v>
      </c>
      <c r="S77" s="41" t="str">
        <f t="shared" si="103"/>
        <v>5</v>
      </c>
      <c r="T77" s="24">
        <f t="shared" si="116"/>
        <v>8.3786016216114376</v>
      </c>
      <c r="U77" s="41" t="str">
        <f t="shared" si="104"/>
        <v>8</v>
      </c>
      <c r="V77" s="24">
        <f t="shared" si="117"/>
        <v>4.5432194593372515</v>
      </c>
      <c r="W77" s="41" t="str">
        <f t="shared" si="105"/>
        <v>4</v>
      </c>
      <c r="X77" s="24">
        <f t="shared" si="118"/>
        <v>6.5186335120470176</v>
      </c>
      <c r="Y77" s="41" t="str">
        <f t="shared" si="106"/>
        <v>6</v>
      </c>
      <c r="Z77" s="24">
        <f t="shared" si="119"/>
        <v>6.2236021445642109</v>
      </c>
      <c r="AA77" s="41" t="str">
        <f t="shared" si="107"/>
        <v>6</v>
      </c>
      <c r="AB77" s="24">
        <f t="shared" si="120"/>
        <v>2.6832257347705308</v>
      </c>
      <c r="AC77" s="41" t="str">
        <f t="shared" si="108"/>
        <v>2</v>
      </c>
      <c r="AD77" s="24">
        <f t="shared" si="121"/>
        <v>8.19870881724637</v>
      </c>
      <c r="AE77" s="41" t="str">
        <f t="shared" si="109"/>
        <v>8</v>
      </c>
      <c r="AF77" s="24">
        <f t="shared" si="122"/>
        <v>2.3845058069564402</v>
      </c>
      <c r="AG77" s="41" t="str">
        <f t="shared" si="110"/>
        <v/>
      </c>
      <c r="AH77" s="24">
        <f t="shared" si="123"/>
        <v>4.6140696834772825</v>
      </c>
      <c r="AI77" s="41" t="str">
        <f t="shared" si="111"/>
        <v/>
      </c>
      <c r="AJ77" s="24">
        <f t="shared" si="124"/>
        <v>7.3688362017273903</v>
      </c>
      <c r="AK77" s="41" t="str">
        <f t="shared" si="112"/>
        <v/>
      </c>
    </row>
    <row r="78" spans="1:37" ht="13.5" customHeight="1">
      <c r="A78" s="716"/>
      <c r="B78" s="8" t="s">
        <v>36</v>
      </c>
      <c r="C78" s="8"/>
      <c r="D78" s="21"/>
      <c r="E78" s="8">
        <v>12</v>
      </c>
      <c r="F78" s="21">
        <f>4*PI()</f>
        <v>12.566370614359172</v>
      </c>
      <c r="G78" s="37" t="str">
        <f t="shared" si="126"/>
        <v>1;0696831713E1</v>
      </c>
      <c r="H78" s="37"/>
      <c r="I78" s="340"/>
      <c r="J78" s="38">
        <v>1</v>
      </c>
      <c r="K78" s="61">
        <f t="shared" si="99"/>
        <v>1.0471975511965976</v>
      </c>
      <c r="L78" s="39" t="str">
        <f>INDEX(powers!$H$2:$H$75,33+J78)</f>
        <v>dirac</v>
      </c>
      <c r="M78" s="40" t="str">
        <f t="shared" si="100"/>
        <v>1</v>
      </c>
      <c r="N78" s="24">
        <f t="shared" si="113"/>
        <v>0.56637061435917158</v>
      </c>
      <c r="O78" s="41" t="str">
        <f t="shared" si="101"/>
        <v>0</v>
      </c>
      <c r="P78" s="24">
        <f t="shared" si="114"/>
        <v>6.7964473723100589</v>
      </c>
      <c r="Q78" s="41" t="str">
        <f t="shared" si="102"/>
        <v>6</v>
      </c>
      <c r="R78" s="24">
        <f t="shared" si="115"/>
        <v>9.5573684677207069</v>
      </c>
      <c r="S78" s="41" t="str">
        <f t="shared" si="103"/>
        <v>9</v>
      </c>
      <c r="T78" s="24">
        <f t="shared" si="116"/>
        <v>6.688421612648483</v>
      </c>
      <c r="U78" s="41" t="str">
        <f t="shared" si="104"/>
        <v>6</v>
      </c>
      <c r="V78" s="24">
        <f t="shared" si="117"/>
        <v>8.2610593517817961</v>
      </c>
      <c r="W78" s="41" t="str">
        <f t="shared" si="105"/>
        <v>8</v>
      </c>
      <c r="X78" s="24">
        <f t="shared" si="118"/>
        <v>3.1327122213815528</v>
      </c>
      <c r="Y78" s="41" t="str">
        <f t="shared" si="106"/>
        <v>3</v>
      </c>
      <c r="Z78" s="24">
        <f t="shared" si="119"/>
        <v>1.5925466565786337</v>
      </c>
      <c r="AA78" s="41" t="str">
        <f t="shared" si="107"/>
        <v>1</v>
      </c>
      <c r="AB78" s="24">
        <f t="shared" si="120"/>
        <v>7.1105598789436044</v>
      </c>
      <c r="AC78" s="41" t="str">
        <f t="shared" si="108"/>
        <v>7</v>
      </c>
      <c r="AD78" s="24">
        <f t="shared" si="121"/>
        <v>1.326718547323253</v>
      </c>
      <c r="AE78" s="41" t="str">
        <f t="shared" si="109"/>
        <v>1</v>
      </c>
      <c r="AF78" s="24">
        <f t="shared" si="122"/>
        <v>3.9206225678790361</v>
      </c>
      <c r="AG78" s="41" t="str">
        <f t="shared" si="110"/>
        <v>3</v>
      </c>
      <c r="AH78" s="24">
        <f t="shared" si="123"/>
        <v>11.047470814548433</v>
      </c>
      <c r="AI78" s="41" t="str">
        <f t="shared" si="111"/>
        <v>E</v>
      </c>
      <c r="AJ78" s="24">
        <f t="shared" si="124"/>
        <v>0.56964977458119392</v>
      </c>
      <c r="AK78" s="41" t="str">
        <f t="shared" si="112"/>
        <v>1</v>
      </c>
    </row>
    <row r="79" spans="1:37" ht="13.5" customHeight="1">
      <c r="A79" s="716"/>
      <c r="B79" s="30" t="s">
        <v>37</v>
      </c>
      <c r="C79" s="30"/>
      <c r="D79" s="29"/>
      <c r="E79" s="8">
        <v>12</v>
      </c>
      <c r="F79" s="21">
        <f>1/(4*PI())</f>
        <v>7.9577471545947673E-2</v>
      </c>
      <c r="G79" s="37" t="str">
        <f t="shared" si="126"/>
        <v>0;E5615082189E</v>
      </c>
      <c r="H79" s="37"/>
      <c r="I79" s="340"/>
      <c r="J79" s="38">
        <v>-1</v>
      </c>
      <c r="K79" s="61">
        <f t="shared" si="99"/>
        <v>0.95492965855137213</v>
      </c>
      <c r="L79" s="39" t="str">
        <f>INDEX(powers!$H$2:$H$75,33+J79)</f>
        <v>dour</v>
      </c>
      <c r="M79" s="40" t="str">
        <f t="shared" si="100"/>
        <v>0</v>
      </c>
      <c r="N79" s="24">
        <f t="shared" si="113"/>
        <v>11.459155902616466</v>
      </c>
      <c r="O79" s="41" t="str">
        <f t="shared" si="101"/>
        <v>E</v>
      </c>
      <c r="P79" s="24">
        <f t="shared" si="114"/>
        <v>5.5098708313975919</v>
      </c>
      <c r="Q79" s="41" t="str">
        <f t="shared" si="102"/>
        <v>5</v>
      </c>
      <c r="R79" s="24">
        <f t="shared" si="115"/>
        <v>6.1184499767711031</v>
      </c>
      <c r="S79" s="41" t="str">
        <f t="shared" si="103"/>
        <v>6</v>
      </c>
      <c r="T79" s="24">
        <f t="shared" si="116"/>
        <v>1.4213997212532377</v>
      </c>
      <c r="U79" s="41" t="str">
        <f t="shared" si="104"/>
        <v>1</v>
      </c>
      <c r="V79" s="24">
        <f t="shared" si="117"/>
        <v>5.0567966550388519</v>
      </c>
      <c r="W79" s="41" t="str">
        <f t="shared" si="105"/>
        <v>5</v>
      </c>
      <c r="X79" s="24">
        <f t="shared" si="118"/>
        <v>0.68155986046622274</v>
      </c>
      <c r="Y79" s="41" t="str">
        <f t="shared" si="106"/>
        <v>0</v>
      </c>
      <c r="Z79" s="24">
        <f t="shared" si="119"/>
        <v>8.1787183255946729</v>
      </c>
      <c r="AA79" s="41" t="str">
        <f t="shared" si="107"/>
        <v>8</v>
      </c>
      <c r="AB79" s="24">
        <f t="shared" si="120"/>
        <v>2.1446199071360752</v>
      </c>
      <c r="AC79" s="41" t="str">
        <f t="shared" si="108"/>
        <v>2</v>
      </c>
      <c r="AD79" s="24">
        <f t="shared" si="121"/>
        <v>1.7354388856329024</v>
      </c>
      <c r="AE79" s="41" t="str">
        <f t="shared" si="109"/>
        <v>1</v>
      </c>
      <c r="AF79" s="24">
        <f t="shared" si="122"/>
        <v>8.8252666275948286</v>
      </c>
      <c r="AG79" s="41" t="str">
        <f t="shared" si="110"/>
        <v>8</v>
      </c>
      <c r="AH79" s="24">
        <f t="shared" si="123"/>
        <v>9.9031995311379433</v>
      </c>
      <c r="AI79" s="41" t="str">
        <f t="shared" si="111"/>
        <v>9</v>
      </c>
      <c r="AJ79" s="24">
        <f t="shared" si="124"/>
        <v>10.838394373655319</v>
      </c>
      <c r="AK79" s="41" t="str">
        <f t="shared" si="112"/>
        <v>E</v>
      </c>
    </row>
    <row r="80" spans="1:37" ht="13.5" customHeight="1">
      <c r="A80" s="716"/>
      <c r="B80" s="45"/>
      <c r="C80" s="45"/>
      <c r="D80" s="46"/>
      <c r="E80" s="8">
        <v>9</v>
      </c>
      <c r="F80" s="21">
        <f>1/(4*PI())</f>
        <v>7.9577471545947673E-2</v>
      </c>
      <c r="G80" s="37" t="str">
        <f>"B5:"&amp;O80&amp;Q80&amp;S80&amp;U80&amp;W80&amp;Y80&amp;AA80&amp;AC80&amp;AE80&amp;AG80&amp;AI80&amp;AK80</f>
        <v>B5:61508218X</v>
      </c>
      <c r="H80" s="37"/>
      <c r="I80" s="340"/>
      <c r="J80" s="38">
        <v>-3</v>
      </c>
      <c r="K80" s="61">
        <f t="shared" si="99"/>
        <v>137.50987083139759</v>
      </c>
      <c r="L80" s="39" t="str">
        <f>INDEX(powers!$H$2:$H$75,33+J80)</f>
        <v>milly</v>
      </c>
      <c r="M80" s="40" t="str">
        <f t="shared" si="100"/>
        <v/>
      </c>
      <c r="N80" s="24">
        <f t="shared" si="113"/>
        <v>6.1184499767711031</v>
      </c>
      <c r="O80" s="41" t="str">
        <f t="shared" si="101"/>
        <v>6</v>
      </c>
      <c r="P80" s="24">
        <f t="shared" si="114"/>
        <v>1.4213997212532377</v>
      </c>
      <c r="Q80" s="41" t="str">
        <f t="shared" si="102"/>
        <v>1</v>
      </c>
      <c r="R80" s="24">
        <f t="shared" si="115"/>
        <v>5.0567966550388519</v>
      </c>
      <c r="S80" s="41" t="str">
        <f t="shared" si="103"/>
        <v>5</v>
      </c>
      <c r="T80" s="24">
        <f t="shared" si="116"/>
        <v>0.68155986046622274</v>
      </c>
      <c r="U80" s="41" t="str">
        <f t="shared" si="104"/>
        <v>0</v>
      </c>
      <c r="V80" s="24">
        <f t="shared" si="117"/>
        <v>8.1787183255946729</v>
      </c>
      <c r="W80" s="41" t="str">
        <f t="shared" si="105"/>
        <v>8</v>
      </c>
      <c r="X80" s="24">
        <f t="shared" si="118"/>
        <v>2.1446199071360752</v>
      </c>
      <c r="Y80" s="41" t="str">
        <f t="shared" si="106"/>
        <v>2</v>
      </c>
      <c r="Z80" s="24">
        <f t="shared" si="119"/>
        <v>1.7354388856329024</v>
      </c>
      <c r="AA80" s="41" t="str">
        <f t="shared" si="107"/>
        <v>1</v>
      </c>
      <c r="AB80" s="24">
        <f t="shared" si="120"/>
        <v>8.8252666275948286</v>
      </c>
      <c r="AC80" s="41" t="str">
        <f t="shared" si="108"/>
        <v>8</v>
      </c>
      <c r="AD80" s="24">
        <f t="shared" si="121"/>
        <v>9.9031995311379433</v>
      </c>
      <c r="AE80" s="41" t="str">
        <f t="shared" si="109"/>
        <v>X</v>
      </c>
      <c r="AF80" s="24">
        <f t="shared" si="122"/>
        <v>10.838394373655319</v>
      </c>
      <c r="AG80" s="41" t="str">
        <f t="shared" si="110"/>
        <v/>
      </c>
      <c r="AH80" s="24">
        <f t="shared" si="123"/>
        <v>10.060732483863831</v>
      </c>
      <c r="AI80" s="41" t="str">
        <f t="shared" si="111"/>
        <v/>
      </c>
      <c r="AJ80" s="24">
        <f t="shared" si="124"/>
        <v>0.7287898063659668</v>
      </c>
      <c r="AK80" s="41" t="str">
        <f t="shared" si="112"/>
        <v/>
      </c>
    </row>
    <row r="81" spans="1:37" ht="13.5" customHeight="1">
      <c r="A81" s="716"/>
      <c r="B81" s="8" t="s">
        <v>32</v>
      </c>
      <c r="C81" s="8"/>
      <c r="D81" s="21"/>
      <c r="E81" s="8">
        <v>9</v>
      </c>
      <c r="F81" s="21">
        <f>4*PI()/$D$32</f>
        <v>1722.0451526790537</v>
      </c>
      <c r="G81" s="37" t="str">
        <f t="shared" ref="G81:G89" si="127">M81&amp;";"&amp;O81&amp;Q81&amp;S81&amp;U81&amp;W81&amp;Y81&amp;AA81&amp;AC81&amp;AE81&amp;AG81&amp;AI81&amp;AK81</f>
        <v>0;EE6066035</v>
      </c>
      <c r="H81" s="37"/>
      <c r="I81" s="340"/>
      <c r="J81" s="38">
        <v>3</v>
      </c>
      <c r="K81" s="61">
        <f t="shared" si="99"/>
        <v>0.99655390780037834</v>
      </c>
      <c r="L81" s="39" t="str">
        <f>INDEX(powers!$H$2:$H$75,33+J81)</f>
        <v>kily</v>
      </c>
      <c r="M81" s="40" t="str">
        <f t="shared" si="100"/>
        <v>0</v>
      </c>
      <c r="N81" s="24">
        <f t="shared" si="113"/>
        <v>11.95864689360454</v>
      </c>
      <c r="O81" s="41" t="str">
        <f t="shared" si="101"/>
        <v>E</v>
      </c>
      <c r="P81" s="24">
        <f t="shared" si="114"/>
        <v>11.503762723254475</v>
      </c>
      <c r="Q81" s="41" t="str">
        <f t="shared" si="102"/>
        <v>E</v>
      </c>
      <c r="R81" s="24">
        <f t="shared" si="115"/>
        <v>6.0451526790537002</v>
      </c>
      <c r="S81" s="41" t="str">
        <f t="shared" si="103"/>
        <v>6</v>
      </c>
      <c r="T81" s="24">
        <f t="shared" si="116"/>
        <v>0.54183214864440288</v>
      </c>
      <c r="U81" s="41" t="str">
        <f t="shared" si="104"/>
        <v>0</v>
      </c>
      <c r="V81" s="24">
        <f t="shared" si="117"/>
        <v>6.5019857837328345</v>
      </c>
      <c r="W81" s="41" t="str">
        <f t="shared" si="105"/>
        <v>6</v>
      </c>
      <c r="X81" s="24">
        <f t="shared" si="118"/>
        <v>6.0238294047940144</v>
      </c>
      <c r="Y81" s="41" t="str">
        <f t="shared" si="106"/>
        <v>6</v>
      </c>
      <c r="Z81" s="24">
        <f t="shared" si="119"/>
        <v>0.2859528575281729</v>
      </c>
      <c r="AA81" s="41" t="str">
        <f t="shared" si="107"/>
        <v>0</v>
      </c>
      <c r="AB81" s="24">
        <f t="shared" si="120"/>
        <v>3.4314342903380748</v>
      </c>
      <c r="AC81" s="41" t="str">
        <f t="shared" si="108"/>
        <v>3</v>
      </c>
      <c r="AD81" s="24">
        <f t="shared" si="121"/>
        <v>5.1772114840568975</v>
      </c>
      <c r="AE81" s="41" t="str">
        <f t="shared" si="109"/>
        <v>5</v>
      </c>
      <c r="AF81" s="24">
        <f t="shared" si="122"/>
        <v>2.1265378086827695</v>
      </c>
      <c r="AG81" s="41" t="str">
        <f t="shared" si="110"/>
        <v/>
      </c>
      <c r="AH81" s="24">
        <f t="shared" si="123"/>
        <v>1.5184537041932344</v>
      </c>
      <c r="AI81" s="41" t="str">
        <f t="shared" si="111"/>
        <v/>
      </c>
      <c r="AJ81" s="24">
        <f t="shared" si="124"/>
        <v>6.2214444503188133</v>
      </c>
      <c r="AK81" s="41" t="str">
        <f t="shared" si="112"/>
        <v/>
      </c>
    </row>
    <row r="82" spans="1:37" ht="13.5" customHeight="1">
      <c r="A82" s="716"/>
      <c r="B82" s="8" t="s">
        <v>38</v>
      </c>
      <c r="C82" s="8"/>
      <c r="D82" s="21"/>
      <c r="E82" s="8">
        <v>9</v>
      </c>
      <c r="F82" s="21">
        <f>$D$32/(4*PI())</f>
        <v>5.8070486621344421E-4</v>
      </c>
      <c r="G82" s="37" t="str">
        <f t="shared" si="127"/>
        <v>1;005E85686</v>
      </c>
      <c r="H82" s="37"/>
      <c r="I82" s="340"/>
      <c r="J82" s="38">
        <v>-3</v>
      </c>
      <c r="K82" s="61">
        <f t="shared" si="99"/>
        <v>1.0034580088168317</v>
      </c>
      <c r="L82" s="39" t="str">
        <f>INDEX(powers!$H$2:$H$75,33+J82)</f>
        <v>milly</v>
      </c>
      <c r="M82" s="40" t="str">
        <f t="shared" si="100"/>
        <v>1</v>
      </c>
      <c r="N82" s="24">
        <f t="shared" si="113"/>
        <v>4.1496105801980043E-2</v>
      </c>
      <c r="O82" s="41" t="str">
        <f t="shared" si="101"/>
        <v>0</v>
      </c>
      <c r="P82" s="24">
        <f t="shared" si="114"/>
        <v>0.49795326962376052</v>
      </c>
      <c r="Q82" s="41" t="str">
        <f t="shared" si="102"/>
        <v>0</v>
      </c>
      <c r="R82" s="24">
        <f t="shared" si="115"/>
        <v>5.9754392354851262</v>
      </c>
      <c r="S82" s="41" t="str">
        <f t="shared" si="103"/>
        <v>5</v>
      </c>
      <c r="T82" s="24">
        <f t="shared" si="116"/>
        <v>11.705270825821515</v>
      </c>
      <c r="U82" s="41" t="str">
        <f t="shared" si="104"/>
        <v>E</v>
      </c>
      <c r="V82" s="24">
        <f t="shared" si="117"/>
        <v>8.4632499098581775</v>
      </c>
      <c r="W82" s="41" t="str">
        <f t="shared" si="105"/>
        <v>8</v>
      </c>
      <c r="X82" s="24">
        <f t="shared" si="118"/>
        <v>5.5589989182981299</v>
      </c>
      <c r="Y82" s="41" t="str">
        <f t="shared" si="106"/>
        <v>5</v>
      </c>
      <c r="Z82" s="24">
        <f t="shared" si="119"/>
        <v>6.7079870195775584</v>
      </c>
      <c r="AA82" s="41" t="str">
        <f t="shared" si="107"/>
        <v>6</v>
      </c>
      <c r="AB82" s="24">
        <f t="shared" si="120"/>
        <v>8.4958442349307006</v>
      </c>
      <c r="AC82" s="41" t="str">
        <f t="shared" si="108"/>
        <v>8</v>
      </c>
      <c r="AD82" s="24">
        <f t="shared" si="121"/>
        <v>5.9501308191684075</v>
      </c>
      <c r="AE82" s="41" t="str">
        <f t="shared" si="109"/>
        <v>6</v>
      </c>
      <c r="AF82" s="24">
        <f t="shared" si="122"/>
        <v>11.40156983002089</v>
      </c>
      <c r="AG82" s="41" t="str">
        <f t="shared" si="110"/>
        <v/>
      </c>
      <c r="AH82" s="24">
        <f t="shared" si="123"/>
        <v>4.8188379602506757</v>
      </c>
      <c r="AI82" s="41" t="str">
        <f t="shared" si="111"/>
        <v/>
      </c>
      <c r="AJ82" s="24">
        <f t="shared" si="124"/>
        <v>9.8260555230081081</v>
      </c>
      <c r="AK82" s="41" t="str">
        <f t="shared" si="112"/>
        <v/>
      </c>
    </row>
    <row r="83" spans="1:37" ht="13.5" customHeight="1">
      <c r="A83" s="716"/>
      <c r="B83" s="8" t="s">
        <v>33</v>
      </c>
      <c r="C83" s="8"/>
      <c r="D83" s="21"/>
      <c r="E83" s="8">
        <v>9</v>
      </c>
      <c r="F83" s="21">
        <f>4*PI()/($D$32*$D$32)</f>
        <v>235982.17805838998</v>
      </c>
      <c r="G83" s="37" t="str">
        <f t="shared" si="127"/>
        <v>0;E46922178</v>
      </c>
      <c r="H83" s="37"/>
      <c r="I83" s="340"/>
      <c r="J83" s="38">
        <v>5</v>
      </c>
      <c r="K83" s="61">
        <f t="shared" si="99"/>
        <v>0.94835944757261925</v>
      </c>
      <c r="L83" s="39" t="str">
        <f>INDEX(powers!$H$2:$H$75,33+J83)</f>
        <v>cosmic milly</v>
      </c>
      <c r="M83" s="40" t="str">
        <f t="shared" si="100"/>
        <v>0</v>
      </c>
      <c r="N83" s="24">
        <f t="shared" si="113"/>
        <v>11.380313370871431</v>
      </c>
      <c r="O83" s="41" t="str">
        <f t="shared" si="101"/>
        <v>E</v>
      </c>
      <c r="P83" s="24">
        <f t="shared" si="114"/>
        <v>4.5637604504571669</v>
      </c>
      <c r="Q83" s="41" t="str">
        <f t="shared" si="102"/>
        <v>4</v>
      </c>
      <c r="R83" s="24">
        <f t="shared" si="115"/>
        <v>6.7651254054860033</v>
      </c>
      <c r="S83" s="41" t="str">
        <f t="shared" si="103"/>
        <v>6</v>
      </c>
      <c r="T83" s="24">
        <f t="shared" si="116"/>
        <v>9.1815048658320393</v>
      </c>
      <c r="U83" s="41" t="str">
        <f t="shared" si="104"/>
        <v>9</v>
      </c>
      <c r="V83" s="24">
        <f t="shared" si="117"/>
        <v>2.1780583899844714</v>
      </c>
      <c r="W83" s="41" t="str">
        <f t="shared" si="105"/>
        <v>2</v>
      </c>
      <c r="X83" s="24">
        <f t="shared" si="118"/>
        <v>2.1367006798136572</v>
      </c>
      <c r="Y83" s="41" t="str">
        <f t="shared" si="106"/>
        <v>2</v>
      </c>
      <c r="Z83" s="24">
        <f t="shared" si="119"/>
        <v>1.6404081577638863</v>
      </c>
      <c r="AA83" s="41" t="str">
        <f t="shared" si="107"/>
        <v>1</v>
      </c>
      <c r="AB83" s="24">
        <f t="shared" si="120"/>
        <v>7.6848978931666352</v>
      </c>
      <c r="AC83" s="41" t="str">
        <f t="shared" si="108"/>
        <v>7</v>
      </c>
      <c r="AD83" s="24">
        <f t="shared" si="121"/>
        <v>8.2187747179996222</v>
      </c>
      <c r="AE83" s="41" t="str">
        <f t="shared" si="109"/>
        <v>8</v>
      </c>
      <c r="AF83" s="24">
        <f t="shared" si="122"/>
        <v>2.6252966159954667</v>
      </c>
      <c r="AG83" s="41" t="str">
        <f t="shared" si="110"/>
        <v/>
      </c>
      <c r="AH83" s="24">
        <f t="shared" si="123"/>
        <v>7.5035593919456005</v>
      </c>
      <c r="AI83" s="41" t="str">
        <f t="shared" si="111"/>
        <v/>
      </c>
      <c r="AJ83" s="24">
        <f t="shared" si="124"/>
        <v>6.0427127033472061</v>
      </c>
      <c r="AK83" s="41" t="str">
        <f t="shared" si="112"/>
        <v/>
      </c>
    </row>
    <row r="84" spans="1:37" ht="14.25" customHeight="1">
      <c r="A84" s="716"/>
      <c r="B84" s="30" t="s">
        <v>41</v>
      </c>
      <c r="C84" s="30"/>
      <c r="D84" s="29"/>
      <c r="E84" s="30">
        <v>9</v>
      </c>
      <c r="F84" s="29">
        <f>($D$32*$D$32)/(4*PI())</f>
        <v>4.2376081457836453E-6</v>
      </c>
      <c r="G84" s="112" t="str">
        <f t="shared" si="127"/>
        <v>1;07X1163X8</v>
      </c>
      <c r="H84" s="112"/>
      <c r="I84" s="341"/>
      <c r="J84" s="43">
        <v>-5</v>
      </c>
      <c r="K84" s="62">
        <f t="shared" si="99"/>
        <v>1.054452510131636</v>
      </c>
      <c r="L84" s="44" t="str">
        <f>INDEX(powers!$H$2:$H$75,33+J84)</f>
        <v>atomic kily</v>
      </c>
      <c r="M84" s="40" t="str">
        <f t="shared" si="100"/>
        <v>1</v>
      </c>
      <c r="N84" s="24">
        <f t="shared" si="113"/>
        <v>0.65343012157963187</v>
      </c>
      <c r="O84" s="41" t="str">
        <f t="shared" si="101"/>
        <v>0</v>
      </c>
      <c r="P84" s="24">
        <f t="shared" si="114"/>
        <v>7.8411614589555825</v>
      </c>
      <c r="Q84" s="41" t="str">
        <f t="shared" si="102"/>
        <v>7</v>
      </c>
      <c r="R84" s="24">
        <f t="shared" si="115"/>
        <v>10.09393750746699</v>
      </c>
      <c r="S84" s="41" t="str">
        <f t="shared" si="103"/>
        <v>X</v>
      </c>
      <c r="T84" s="24">
        <f t="shared" si="116"/>
        <v>1.1272500896038764</v>
      </c>
      <c r="U84" s="41" t="str">
        <f t="shared" si="104"/>
        <v>1</v>
      </c>
      <c r="V84" s="24">
        <f t="shared" si="117"/>
        <v>1.5270010752465168</v>
      </c>
      <c r="W84" s="41" t="str">
        <f t="shared" si="105"/>
        <v>1</v>
      </c>
      <c r="X84" s="24">
        <f t="shared" si="118"/>
        <v>6.3240129029582022</v>
      </c>
      <c r="Y84" s="41" t="str">
        <f t="shared" si="106"/>
        <v>6</v>
      </c>
      <c r="Z84" s="24">
        <f t="shared" si="119"/>
        <v>3.8881548354984261</v>
      </c>
      <c r="AA84" s="41" t="str">
        <f t="shared" si="107"/>
        <v>3</v>
      </c>
      <c r="AB84" s="24">
        <f t="shared" si="120"/>
        <v>10.657858025981113</v>
      </c>
      <c r="AC84" s="41" t="str">
        <f t="shared" si="108"/>
        <v>X</v>
      </c>
      <c r="AD84" s="24">
        <f t="shared" si="121"/>
        <v>7.8942963117733598</v>
      </c>
      <c r="AE84" s="41" t="str">
        <f t="shared" si="109"/>
        <v>8</v>
      </c>
      <c r="AF84" s="24">
        <f t="shared" si="122"/>
        <v>10.731555741280317</v>
      </c>
      <c r="AG84" s="41" t="str">
        <f t="shared" si="110"/>
        <v/>
      </c>
      <c r="AH84" s="24">
        <f t="shared" si="123"/>
        <v>8.7786688953638077</v>
      </c>
      <c r="AI84" s="41" t="str">
        <f t="shared" si="111"/>
        <v/>
      </c>
      <c r="AJ84" s="24">
        <f t="shared" si="124"/>
        <v>9.3440267443656921</v>
      </c>
      <c r="AK84" s="41" t="str">
        <f t="shared" si="112"/>
        <v/>
      </c>
    </row>
    <row r="85" spans="1:37" ht="14.25" customHeight="1">
      <c r="A85" s="716"/>
      <c r="B85" s="30" t="s">
        <v>1432</v>
      </c>
      <c r="C85" s="30"/>
      <c r="D85" s="29"/>
      <c r="E85" s="30">
        <v>11</v>
      </c>
      <c r="F85" s="29">
        <v>1836.15267245</v>
      </c>
      <c r="G85" s="112" t="str">
        <f t="shared" si="127"/>
        <v>1;09019E9995E</v>
      </c>
      <c r="H85" s="112"/>
      <c r="I85" s="341"/>
      <c r="J85" s="43">
        <v>3</v>
      </c>
      <c r="K85" s="62">
        <f t="shared" si="99"/>
        <v>1.0625883521122685</v>
      </c>
      <c r="L85" s="44" t="str">
        <f>INDEX(powers!$H$2:$H$75,33+J85)</f>
        <v>kily</v>
      </c>
      <c r="M85" s="40" t="str">
        <f t="shared" si="100"/>
        <v>1</v>
      </c>
      <c r="N85" s="24">
        <f t="shared" si="113"/>
        <v>0.7510602253472225</v>
      </c>
      <c r="O85" s="41" t="str">
        <f t="shared" si="101"/>
        <v>0</v>
      </c>
      <c r="P85" s="24">
        <f t="shared" si="114"/>
        <v>9.01272270416667</v>
      </c>
      <c r="Q85" s="41" t="str">
        <f t="shared" si="102"/>
        <v>9</v>
      </c>
      <c r="R85" s="24">
        <f t="shared" si="115"/>
        <v>0.15267245000003982</v>
      </c>
      <c r="S85" s="41" t="str">
        <f t="shared" si="103"/>
        <v>0</v>
      </c>
      <c r="T85" s="24">
        <f t="shared" si="116"/>
        <v>1.8320694000004778</v>
      </c>
      <c r="U85" s="41" t="str">
        <f t="shared" si="104"/>
        <v>1</v>
      </c>
      <c r="V85" s="24">
        <f t="shared" si="117"/>
        <v>9.9848328000057336</v>
      </c>
      <c r="W85" s="41" t="str">
        <f t="shared" si="105"/>
        <v>9</v>
      </c>
      <c r="X85" s="24">
        <f t="shared" si="118"/>
        <v>11.817993600068803</v>
      </c>
      <c r="Y85" s="41" t="str">
        <f t="shared" si="106"/>
        <v>E</v>
      </c>
      <c r="Z85" s="24">
        <f t="shared" si="119"/>
        <v>9.8159232008256367</v>
      </c>
      <c r="AA85" s="41" t="str">
        <f t="shared" si="107"/>
        <v>9</v>
      </c>
      <c r="AB85" s="24">
        <f t="shared" si="120"/>
        <v>9.7910784099076409</v>
      </c>
      <c r="AC85" s="41" t="str">
        <f t="shared" si="108"/>
        <v>9</v>
      </c>
      <c r="AD85" s="24">
        <f t="shared" si="121"/>
        <v>9.4929409188916907</v>
      </c>
      <c r="AE85" s="41" t="str">
        <f t="shared" si="109"/>
        <v>9</v>
      </c>
      <c r="AF85" s="24">
        <f t="shared" si="122"/>
        <v>5.9152910267002881</v>
      </c>
      <c r="AG85" s="41" t="str">
        <f t="shared" si="110"/>
        <v>5</v>
      </c>
      <c r="AH85" s="24">
        <f t="shared" si="123"/>
        <v>10.983492320403457</v>
      </c>
      <c r="AI85" s="41" t="str">
        <f t="shared" si="111"/>
        <v>E</v>
      </c>
      <c r="AJ85" s="24">
        <f t="shared" si="124"/>
        <v>11.80190784484148</v>
      </c>
      <c r="AK85" s="41" t="str">
        <f t="shared" si="112"/>
        <v/>
      </c>
    </row>
    <row r="86" spans="1:37" ht="14.25" customHeight="1">
      <c r="A86" s="716"/>
      <c r="B86" s="30" t="s">
        <v>1433</v>
      </c>
      <c r="C86" s="30"/>
      <c r="D86" s="29"/>
      <c r="E86" s="30">
        <v>11</v>
      </c>
      <c r="F86" s="29">
        <f>POWER(F85,9)*POWER(F73,-11)</f>
        <v>7.5920748046678716E+52</v>
      </c>
      <c r="G86" s="112" t="str">
        <f t="shared" si="127"/>
        <v>1;001XXX0E449</v>
      </c>
      <c r="H86" s="112"/>
      <c r="I86" s="341"/>
      <c r="J86" s="43">
        <v>49</v>
      </c>
      <c r="K86" s="62">
        <f t="shared" si="99"/>
        <v>1.0011045199619639</v>
      </c>
      <c r="L86" s="44" t="str">
        <f>Rydberg!L85</f>
        <v>sexty-cosmic dirac</v>
      </c>
      <c r="M86" s="40" t="str">
        <f t="shared" si="100"/>
        <v>1</v>
      </c>
      <c r="N86" s="24">
        <f t="shared" si="113"/>
        <v>1.3254239543567081E-2</v>
      </c>
      <c r="O86" s="41" t="str">
        <f t="shared" si="101"/>
        <v>0</v>
      </c>
      <c r="P86" s="24">
        <f t="shared" si="114"/>
        <v>0.15905087452280497</v>
      </c>
      <c r="Q86" s="41" t="str">
        <f t="shared" si="102"/>
        <v>0</v>
      </c>
      <c r="R86" s="24">
        <f t="shared" si="115"/>
        <v>1.9086104942736597</v>
      </c>
      <c r="S86" s="41" t="str">
        <f t="shared" si="103"/>
        <v>1</v>
      </c>
      <c r="T86" s="24">
        <f t="shared" si="116"/>
        <v>10.903325931283916</v>
      </c>
      <c r="U86" s="41" t="str">
        <f t="shared" si="104"/>
        <v>X</v>
      </c>
      <c r="V86" s="24">
        <f t="shared" si="117"/>
        <v>10.839911175406996</v>
      </c>
      <c r="W86" s="41" t="str">
        <f t="shared" si="105"/>
        <v>X</v>
      </c>
      <c r="X86" s="24">
        <f t="shared" si="118"/>
        <v>10.078934104883956</v>
      </c>
      <c r="Y86" s="41" t="str">
        <f t="shared" si="106"/>
        <v>X</v>
      </c>
      <c r="Z86" s="24">
        <f t="shared" si="119"/>
        <v>0.94720925860747229</v>
      </c>
      <c r="AA86" s="41" t="str">
        <f t="shared" si="107"/>
        <v>0</v>
      </c>
      <c r="AB86" s="24">
        <f t="shared" si="120"/>
        <v>11.366511103289668</v>
      </c>
      <c r="AC86" s="41" t="str">
        <f t="shared" si="108"/>
        <v>E</v>
      </c>
      <c r="AD86" s="24">
        <f t="shared" si="121"/>
        <v>4.3981332394760102</v>
      </c>
      <c r="AE86" s="41" t="str">
        <f t="shared" si="109"/>
        <v>4</v>
      </c>
      <c r="AF86" s="24">
        <f t="shared" si="122"/>
        <v>4.7775988737121224</v>
      </c>
      <c r="AG86" s="41" t="str">
        <f t="shared" si="110"/>
        <v>4</v>
      </c>
      <c r="AH86" s="24">
        <f t="shared" si="123"/>
        <v>9.3311864845454693</v>
      </c>
      <c r="AI86" s="41" t="str">
        <f t="shared" si="111"/>
        <v>9</v>
      </c>
      <c r="AJ86" s="24">
        <f t="shared" si="124"/>
        <v>3.9742378145456314</v>
      </c>
      <c r="AK86" s="41" t="str">
        <f t="shared" si="112"/>
        <v/>
      </c>
    </row>
    <row r="87" spans="1:37" ht="14.25" customHeight="1">
      <c r="A87" s="716"/>
      <c r="B87" s="30" t="s">
        <v>372</v>
      </c>
      <c r="C87" s="30"/>
      <c r="D87" s="29"/>
      <c r="E87" s="30">
        <v>12</v>
      </c>
      <c r="F87" s="29">
        <f>POWER(2,43)</f>
        <v>8796093022208</v>
      </c>
      <c r="G87" s="112" t="str">
        <f t="shared" si="127"/>
        <v>0;EX08X990X0X8</v>
      </c>
      <c r="H87" s="112"/>
      <c r="I87" s="341"/>
      <c r="J87" s="43">
        <v>12</v>
      </c>
      <c r="K87" s="62">
        <f t="shared" si="99"/>
        <v>0.98654036854514426</v>
      </c>
      <c r="L87" s="44" t="str">
        <f>INDEX(powers!$H$2:$H$75,33+J87)</f>
        <v>cosmic super</v>
      </c>
      <c r="M87" s="40" t="str">
        <f t="shared" si="100"/>
        <v>0</v>
      </c>
      <c r="N87" s="24">
        <f t="shared" si="113"/>
        <v>11.838484422541731</v>
      </c>
      <c r="O87" s="41" t="str">
        <f t="shared" si="101"/>
        <v>E</v>
      </c>
      <c r="P87" s="24">
        <f t="shared" si="114"/>
        <v>10.061813070500769</v>
      </c>
      <c r="Q87" s="41" t="str">
        <f t="shared" si="102"/>
        <v>X</v>
      </c>
      <c r="R87" s="24">
        <f t="shared" si="115"/>
        <v>0.74175684600922409</v>
      </c>
      <c r="S87" s="41" t="str">
        <f t="shared" si="103"/>
        <v>0</v>
      </c>
      <c r="T87" s="24">
        <f t="shared" si="116"/>
        <v>8.9010821521106891</v>
      </c>
      <c r="U87" s="41" t="str">
        <f t="shared" si="104"/>
        <v>8</v>
      </c>
      <c r="V87" s="24">
        <f t="shared" si="117"/>
        <v>10.812985825328269</v>
      </c>
      <c r="W87" s="41" t="str">
        <f t="shared" si="105"/>
        <v>X</v>
      </c>
      <c r="X87" s="24">
        <f t="shared" si="118"/>
        <v>9.7558299039392296</v>
      </c>
      <c r="Y87" s="41" t="str">
        <f t="shared" si="106"/>
        <v>9</v>
      </c>
      <c r="Z87" s="24">
        <f t="shared" si="119"/>
        <v>9.0699588472707546</v>
      </c>
      <c r="AA87" s="41" t="str">
        <f t="shared" si="107"/>
        <v>9</v>
      </c>
      <c r="AB87" s="24">
        <f t="shared" si="120"/>
        <v>0.83950616724905558</v>
      </c>
      <c r="AC87" s="41" t="str">
        <f t="shared" si="108"/>
        <v>0</v>
      </c>
      <c r="AD87" s="24">
        <f t="shared" si="121"/>
        <v>10.074074006988667</v>
      </c>
      <c r="AE87" s="41" t="str">
        <f t="shared" si="109"/>
        <v>X</v>
      </c>
      <c r="AF87" s="24">
        <f t="shared" si="122"/>
        <v>0.88888808386400342</v>
      </c>
      <c r="AG87" s="41" t="str">
        <f t="shared" si="110"/>
        <v>0</v>
      </c>
      <c r="AH87" s="24">
        <f t="shared" si="123"/>
        <v>10.666657006368041</v>
      </c>
      <c r="AI87" s="41" t="str">
        <f t="shared" si="111"/>
        <v>X</v>
      </c>
      <c r="AJ87" s="24">
        <f t="shared" si="124"/>
        <v>7.9998840764164925</v>
      </c>
      <c r="AK87" s="41" t="str">
        <f t="shared" si="112"/>
        <v>8</v>
      </c>
    </row>
    <row r="88" spans="1:37" ht="14.25" customHeight="1">
      <c r="A88" s="716"/>
      <c r="B88" s="30" t="s">
        <v>682</v>
      </c>
      <c r="C88" s="30"/>
      <c r="D88" s="29"/>
      <c r="E88" s="30">
        <v>12</v>
      </c>
      <c r="F88" s="29">
        <f>POWER(12,16)/POWER(2,48)</f>
        <v>656.84083557128906</v>
      </c>
      <c r="G88" s="112" t="str">
        <f t="shared" si="127"/>
        <v>4;68X10E696900</v>
      </c>
      <c r="H88" s="112"/>
      <c r="I88" s="341"/>
      <c r="J88" s="43">
        <v>2</v>
      </c>
      <c r="K88" s="62">
        <f t="shared" si="99"/>
        <v>4.5613946914672852</v>
      </c>
      <c r="L88" s="44" t="str">
        <f>INDEX(powers!$H$2:$H$75,33+J88)</f>
        <v>hecty</v>
      </c>
      <c r="M88" s="40" t="str">
        <f t="shared" si="100"/>
        <v>4</v>
      </c>
      <c r="N88" s="24">
        <f t="shared" si="113"/>
        <v>6.7367362976074219</v>
      </c>
      <c r="O88" s="41" t="str">
        <f t="shared" si="101"/>
        <v>6</v>
      </c>
      <c r="P88" s="24">
        <f t="shared" si="114"/>
        <v>8.8408355712890625</v>
      </c>
      <c r="Q88" s="41" t="str">
        <f t="shared" si="102"/>
        <v>8</v>
      </c>
      <c r="R88" s="24">
        <f t="shared" si="115"/>
        <v>10.09002685546875</v>
      </c>
      <c r="S88" s="41" t="str">
        <f t="shared" si="103"/>
        <v>X</v>
      </c>
      <c r="T88" s="24">
        <f t="shared" si="116"/>
        <v>1.080322265625</v>
      </c>
      <c r="U88" s="41" t="str">
        <f t="shared" si="104"/>
        <v>1</v>
      </c>
      <c r="V88" s="24">
        <f t="shared" si="117"/>
        <v>0.9638671875</v>
      </c>
      <c r="W88" s="41" t="str">
        <f t="shared" si="105"/>
        <v>0</v>
      </c>
      <c r="X88" s="24">
        <f t="shared" si="118"/>
        <v>11.56640625</v>
      </c>
      <c r="Y88" s="41" t="str">
        <f t="shared" si="106"/>
        <v>E</v>
      </c>
      <c r="Z88" s="24">
        <f t="shared" si="119"/>
        <v>6.796875</v>
      </c>
      <c r="AA88" s="41" t="str">
        <f t="shared" si="107"/>
        <v>6</v>
      </c>
      <c r="AB88" s="24">
        <f t="shared" si="120"/>
        <v>9.5625</v>
      </c>
      <c r="AC88" s="41" t="str">
        <f t="shared" si="108"/>
        <v>9</v>
      </c>
      <c r="AD88" s="24">
        <f t="shared" si="121"/>
        <v>6.75</v>
      </c>
      <c r="AE88" s="41" t="str">
        <f t="shared" si="109"/>
        <v>6</v>
      </c>
      <c r="AF88" s="24">
        <f t="shared" si="122"/>
        <v>9</v>
      </c>
      <c r="AG88" s="41" t="str">
        <f t="shared" si="110"/>
        <v>9</v>
      </c>
      <c r="AH88" s="24">
        <f t="shared" si="123"/>
        <v>0</v>
      </c>
      <c r="AI88" s="41" t="str">
        <f t="shared" si="111"/>
        <v>0</v>
      </c>
      <c r="AJ88" s="24">
        <f t="shared" si="124"/>
        <v>0</v>
      </c>
      <c r="AK88" s="41" t="str">
        <f t="shared" si="112"/>
        <v>0</v>
      </c>
    </row>
    <row r="89" spans="1:37" ht="14.25" customHeight="1" thickBot="1">
      <c r="A89" s="717"/>
      <c r="B89" s="33" t="s">
        <v>373</v>
      </c>
      <c r="C89" s="33"/>
      <c r="D89" s="32"/>
      <c r="E89" s="33">
        <v>12</v>
      </c>
      <c r="F89" s="32">
        <f>POWER(2,-17)*(2*PI())</f>
        <v>4.7936899621426287E-5</v>
      </c>
      <c r="G89" s="47" t="str">
        <f t="shared" si="127"/>
        <v>0;EE17EX582521</v>
      </c>
      <c r="H89" s="47"/>
      <c r="I89" s="342"/>
      <c r="J89" s="48">
        <v>-4</v>
      </c>
      <c r="K89" s="63">
        <f t="shared" si="99"/>
        <v>0.99401955054989555</v>
      </c>
      <c r="L89" s="49" t="str">
        <f>INDEX(powers!$H$2:$H$75,33+J89)</f>
        <v>sub</v>
      </c>
      <c r="M89" s="40" t="str">
        <f t="shared" si="100"/>
        <v>0</v>
      </c>
      <c r="N89" s="24">
        <f t="shared" si="113"/>
        <v>11.928234606598746</v>
      </c>
      <c r="O89" s="41" t="str">
        <f t="shared" si="101"/>
        <v>E</v>
      </c>
      <c r="P89" s="24">
        <f t="shared" si="114"/>
        <v>11.138815279184954</v>
      </c>
      <c r="Q89" s="41" t="str">
        <f t="shared" si="102"/>
        <v>E</v>
      </c>
      <c r="R89" s="24">
        <f t="shared" si="115"/>
        <v>1.6657833502194421</v>
      </c>
      <c r="S89" s="41" t="str">
        <f t="shared" si="103"/>
        <v>1</v>
      </c>
      <c r="T89" s="24">
        <f t="shared" si="116"/>
        <v>7.9894002026333055</v>
      </c>
      <c r="U89" s="41" t="str">
        <f t="shared" si="104"/>
        <v>7</v>
      </c>
      <c r="V89" s="24">
        <f t="shared" si="117"/>
        <v>11.872802431599666</v>
      </c>
      <c r="W89" s="41" t="str">
        <f t="shared" si="105"/>
        <v>E</v>
      </c>
      <c r="X89" s="24">
        <f t="shared" si="118"/>
        <v>10.473629179195996</v>
      </c>
      <c r="Y89" s="41" t="str">
        <f t="shared" si="106"/>
        <v>X</v>
      </c>
      <c r="Z89" s="24">
        <f t="shared" si="119"/>
        <v>5.6835501503519481</v>
      </c>
      <c r="AA89" s="41" t="str">
        <f t="shared" si="107"/>
        <v>5</v>
      </c>
      <c r="AB89" s="24">
        <f t="shared" si="120"/>
        <v>8.2026018042233773</v>
      </c>
      <c r="AC89" s="41" t="str">
        <f t="shared" si="108"/>
        <v>8</v>
      </c>
      <c r="AD89" s="24">
        <f t="shared" si="121"/>
        <v>2.4312216506805271</v>
      </c>
      <c r="AE89" s="41" t="str">
        <f t="shared" si="109"/>
        <v>2</v>
      </c>
      <c r="AF89" s="24">
        <f t="shared" si="122"/>
        <v>5.1746598081663251</v>
      </c>
      <c r="AG89" s="41" t="str">
        <f t="shared" si="110"/>
        <v>5</v>
      </c>
      <c r="AH89" s="24">
        <f t="shared" si="123"/>
        <v>2.0959176979959011</v>
      </c>
      <c r="AI89" s="41" t="str">
        <f t="shared" si="111"/>
        <v>2</v>
      </c>
      <c r="AJ89" s="24">
        <f t="shared" si="124"/>
        <v>1.1510123759508133</v>
      </c>
      <c r="AK89" s="41" t="str">
        <f t="shared" si="112"/>
        <v>1</v>
      </c>
    </row>
    <row r="90" spans="1:37">
      <c r="K90" s="79"/>
      <c r="L90" s="79"/>
      <c r="M90" s="79"/>
    </row>
    <row r="91" spans="1:37" ht="15" customHeight="1">
      <c r="B91" s="259" t="s">
        <v>269</v>
      </c>
      <c r="C91" s="259" t="str">
        <f>Rydberg!C34</f>
        <v>Ω_1/m</v>
      </c>
      <c r="D91" s="21">
        <f>Rydberg!D34*D92</f>
        <v>10967758.340625035</v>
      </c>
      <c r="E91" s="8">
        <v>12</v>
      </c>
      <c r="F91" s="21">
        <f>D91/(1/F$3)</f>
        <v>2987093.1782095339</v>
      </c>
      <c r="G91" s="142" t="str">
        <f t="shared" ref="G91" si="128">M91&amp;";"&amp;O91&amp;Q91&amp;S91&amp;U91&amp;W91&amp;Y91&amp;AA91&amp;AC91&amp;AE91&amp;AG91&amp;AI91&amp;AK91</f>
        <v>1;000785217E43</v>
      </c>
      <c r="H91" s="142"/>
      <c r="I91" s="344"/>
      <c r="J91" s="38">
        <v>6</v>
      </c>
      <c r="K91" s="61">
        <f>F91/POWER(12,J91)</f>
        <v>1.0003714615381509</v>
      </c>
      <c r="L91" s="39" t="str">
        <f>INDEX(powers!$H$2:$H$75,33+J91)</f>
        <v>cosmic centy</v>
      </c>
      <c r="M91" s="40" t="str">
        <f t="shared" ref="M91" si="129">IF($E91&gt;=M$31,MID($J$31,IF($E91&gt;M$31,INT(K91),ROUND(K91,0))+1,1),"")</f>
        <v>1</v>
      </c>
      <c r="N91" s="24">
        <f t="shared" ref="N91" si="130">(K91-INT(K91))*12</f>
        <v>4.457538457811161E-3</v>
      </c>
      <c r="O91" s="41" t="str">
        <f t="shared" ref="O91" si="131">IF($E91&gt;=O$31,MID($J$31,IF($E91&gt;O$31,INT(N91),ROUND(N91,0))+1,1),"")</f>
        <v>0</v>
      </c>
      <c r="P91" s="24">
        <f t="shared" ref="P91" si="132">(N91-INT(N91))*12</f>
        <v>5.3490461493733932E-2</v>
      </c>
      <c r="Q91" s="41" t="str">
        <f t="shared" ref="Q91" si="133">IF($E91&gt;=Q$31,MID($J$31,IF($E91&gt;Q$31,INT(P91),ROUND(P91,0))+1,1),"")</f>
        <v>0</v>
      </c>
      <c r="R91" s="24">
        <f t="shared" ref="R91" si="134">(P91-INT(P91))*12</f>
        <v>0.64188553792480718</v>
      </c>
      <c r="S91" s="41" t="str">
        <f t="shared" ref="S91" si="135">IF($E91&gt;=S$31,MID($J$31,IF($E91&gt;S$31,INT(R91),ROUND(R91,0))+1,1),"")</f>
        <v>0</v>
      </c>
      <c r="T91" s="24">
        <f t="shared" ref="T91" si="136">(R91-INT(R91))*12</f>
        <v>7.7026264550976862</v>
      </c>
      <c r="U91" s="41" t="str">
        <f t="shared" ref="U91" si="137">IF($E91&gt;=U$31,MID($J$31,IF($E91&gt;U$31,INT(T91),ROUND(T91,0))+1,1),"")</f>
        <v>7</v>
      </c>
      <c r="V91" s="24">
        <f t="shared" ref="V91" si="138">(T91-INT(T91))*12</f>
        <v>8.4315174611722341</v>
      </c>
      <c r="W91" s="41" t="str">
        <f t="shared" ref="W91" si="139">IF($E91&gt;=W$31,MID($J$31,IF($E91&gt;W$31,INT(V91),ROUND(V91,0))+1,1),"")</f>
        <v>8</v>
      </c>
      <c r="X91" s="24">
        <f t="shared" ref="X91" si="140">(V91-INT(V91))*12</f>
        <v>5.1782095340668093</v>
      </c>
      <c r="Y91" s="41" t="str">
        <f t="shared" ref="Y91" si="141">IF($E91&gt;=Y$31,MID($J$31,IF($E91&gt;Y$31,INT(X91),ROUND(X91,0))+1,1),"")</f>
        <v>5</v>
      </c>
      <c r="Z91" s="24">
        <f t="shared" ref="Z91" si="142">(X91-INT(X91))*12</f>
        <v>2.1385144088017114</v>
      </c>
      <c r="AA91" s="41" t="str">
        <f t="shared" ref="AA91" si="143">IF($E91&gt;=AA$31,MID($J$31,IF($E91&gt;AA$31,INT(Z91),ROUND(Z91,0))+1,1),"")</f>
        <v>2</v>
      </c>
      <c r="AB91" s="24">
        <f t="shared" ref="AB91" si="144">(Z91-INT(Z91))*12</f>
        <v>1.6621729056205368</v>
      </c>
      <c r="AC91" s="41" t="str">
        <f t="shared" ref="AC91" si="145">IF($E91&gt;=AC$31,MID($J$31,IF($E91&gt;AC$31,INT(AB91),ROUND(AB91,0))+1,1),"")</f>
        <v>1</v>
      </c>
      <c r="AD91" s="24">
        <f t="shared" ref="AD91" si="146">(AB91-INT(AB91))*12</f>
        <v>7.9460748674464412</v>
      </c>
      <c r="AE91" s="41" t="str">
        <f t="shared" ref="AE91" si="147">IF($E91&gt;=AE$31,MID($J$31,IF($E91&gt;AE$31,INT(AD91),ROUND(AD91,0))+1,1),"")</f>
        <v>7</v>
      </c>
      <c r="AF91" s="24">
        <f t="shared" ref="AF91" si="148">(AD91-INT(AD91))*12</f>
        <v>11.352898409357294</v>
      </c>
      <c r="AG91" s="41" t="str">
        <f t="shared" ref="AG91" si="149">IF($E91&gt;=AG$31,MID($J$31,IF($E91&gt;AG$31,INT(AF91),ROUND(AF91,0))+1,1),"")</f>
        <v>E</v>
      </c>
      <c r="AH91" s="24">
        <f t="shared" ref="AH91" si="150">(AF91-INT(AF91))*12</f>
        <v>4.2347809122875333</v>
      </c>
      <c r="AI91" s="41" t="str">
        <f t="shared" ref="AI91" si="151">IF($E91&gt;=AI$31,MID($J$31,IF($E91&gt;AI$31,INT(AH91),ROUND(AH91,0))+1,1),"")</f>
        <v>4</v>
      </c>
      <c r="AJ91" s="24">
        <f t="shared" ref="AJ91" si="152">(AH91-INT(AH91))*12</f>
        <v>2.8173709474503994</v>
      </c>
      <c r="AK91" s="41" t="str">
        <f t="shared" ref="AK91" si="153">IF($E91&gt;=AK$31,MID($J$31,IF($E91&gt;AK$31,INT(AJ91),ROUND(AJ91,0))+1,1),"")</f>
        <v>3</v>
      </c>
    </row>
    <row r="92" spans="1:37">
      <c r="B92" s="141" t="s">
        <v>270</v>
      </c>
      <c r="D92" s="14">
        <f>1/(1+0.00054461702177)</f>
        <v>0.99945567942448077</v>
      </c>
    </row>
    <row r="93" spans="1:37">
      <c r="B93" s="529" t="s">
        <v>1295</v>
      </c>
      <c r="C93" s="301"/>
      <c r="D93" s="21">
        <f>R23</f>
        <v>0.96873201750401561</v>
      </c>
      <c r="E93" s="8">
        <v>7</v>
      </c>
      <c r="F93" s="21">
        <f>D93</f>
        <v>0.96873201750401561</v>
      </c>
      <c r="G93" s="142" t="str">
        <f t="shared" ref="G93:G94" si="154">M93&amp;";"&amp;O93&amp;Q93&amp;S93&amp;U93&amp;W93&amp;Y93&amp;AA93&amp;AC93&amp;AE93&amp;AG93&amp;AI93&amp;AK93</f>
        <v>0;E75E764</v>
      </c>
      <c r="H93" s="142"/>
      <c r="I93" s="344"/>
      <c r="J93" s="38">
        <v>0</v>
      </c>
      <c r="K93" s="61">
        <f>F93/POWER(12,J93)</f>
        <v>0.96873201750401561</v>
      </c>
      <c r="L93" s="39" t="str">
        <f>INDEX(powers!$H$2:$H$75,33+J93)</f>
        <v xml:space="preserve"> </v>
      </c>
      <c r="M93" s="40" t="str">
        <f t="shared" ref="M93" si="155">IF($E93&gt;=M$31,MID($J$31,IF($E93&gt;M$31,INT(K93),ROUND(K93,0))+1,1),"")</f>
        <v>0</v>
      </c>
      <c r="N93" s="24">
        <f t="shared" ref="N93:N94" si="156">(K93-INT(K93))*12</f>
        <v>11.624784210048187</v>
      </c>
      <c r="O93" s="41" t="str">
        <f t="shared" ref="O93" si="157">IF($E93&gt;=O$31,MID($J$31,IF($E93&gt;O$31,INT(N93),ROUND(N93,0))+1,1),"")</f>
        <v>E</v>
      </c>
      <c r="P93" s="24">
        <f t="shared" ref="P93:P94" si="158">(N93-INT(N93))*12</f>
        <v>7.4974105205782422</v>
      </c>
      <c r="Q93" s="41" t="str">
        <f t="shared" ref="Q93" si="159">IF($E93&gt;=Q$31,MID($J$31,IF($E93&gt;Q$31,INT(P93),ROUND(P93,0))+1,1),"")</f>
        <v>7</v>
      </c>
      <c r="R93" s="24">
        <f t="shared" ref="R93:R94" si="160">(P93-INT(P93))*12</f>
        <v>5.9689262469389064</v>
      </c>
      <c r="S93" s="41" t="str">
        <f t="shared" ref="S93" si="161">IF($E93&gt;=S$31,MID($J$31,IF($E93&gt;S$31,INT(R93),ROUND(R93,0))+1,1),"")</f>
        <v>5</v>
      </c>
      <c r="T93" s="24">
        <f t="shared" ref="T93:T94" si="162">(R93-INT(R93))*12</f>
        <v>11.627114963266877</v>
      </c>
      <c r="U93" s="41" t="str">
        <f t="shared" ref="U93" si="163">IF($E93&gt;=U$31,MID($J$31,IF($E93&gt;U$31,INT(T93),ROUND(T93,0))+1,1),"")</f>
        <v>E</v>
      </c>
      <c r="V93" s="24">
        <f t="shared" ref="V93:V94" si="164">(T93-INT(T93))*12</f>
        <v>7.5253795592025199</v>
      </c>
      <c r="W93" s="41" t="str">
        <f t="shared" ref="W93" si="165">IF($E93&gt;=W$31,MID($J$31,IF($E93&gt;W$31,INT(V93),ROUND(V93,0))+1,1),"")</f>
        <v>7</v>
      </c>
      <c r="X93" s="24">
        <f t="shared" ref="X93:X94" si="166">(V93-INT(V93))*12</f>
        <v>6.3045547104302386</v>
      </c>
      <c r="Y93" s="41" t="str">
        <f t="shared" ref="Y93" si="167">IF($E93&gt;=Y$31,MID($J$31,IF($E93&gt;Y$31,INT(X93),ROUND(X93,0))+1,1),"")</f>
        <v>6</v>
      </c>
      <c r="Z93" s="24">
        <f t="shared" ref="Z93:Z94" si="168">(X93-INT(X93))*12</f>
        <v>3.6546565251628635</v>
      </c>
      <c r="AA93" s="41" t="str">
        <f t="shared" ref="AA93" si="169">IF($E93&gt;=AA$31,MID($J$31,IF($E93&gt;AA$31,INT(Z93),ROUND(Z93,0))+1,1),"")</f>
        <v>4</v>
      </c>
      <c r="AB93" s="24">
        <f t="shared" ref="AB93:AB94" si="170">(Z93-INT(Z93))*12</f>
        <v>7.8558783019543625</v>
      </c>
      <c r="AC93" s="41" t="str">
        <f t="shared" ref="AC93" si="171">IF($E93&gt;=AC$31,MID($J$31,IF($E93&gt;AC$31,INT(AB93),ROUND(AB93,0))+1,1),"")</f>
        <v/>
      </c>
      <c r="AD93" s="24">
        <f t="shared" ref="AD93:AD94" si="172">(AB93-INT(AB93))*12</f>
        <v>10.27053962345235</v>
      </c>
      <c r="AE93" s="41" t="str">
        <f t="shared" ref="AE93" si="173">IF($E93&gt;=AE$31,MID($J$31,IF($E93&gt;AE$31,INT(AD93),ROUND(AD93,0))+1,1),"")</f>
        <v/>
      </c>
      <c r="AF93" s="24">
        <f t="shared" ref="AF93:AF94" si="174">(AD93-INT(AD93))*12</f>
        <v>3.246475481428206</v>
      </c>
      <c r="AG93" s="41" t="str">
        <f t="shared" ref="AG93" si="175">IF($E93&gt;=AG$31,MID($J$31,IF($E93&gt;AG$31,INT(AF93),ROUND(AF93,0))+1,1),"")</f>
        <v/>
      </c>
      <c r="AH93" s="24">
        <f t="shared" ref="AH93:AH94" si="176">(AF93-INT(AF93))*12</f>
        <v>2.9577057771384716</v>
      </c>
      <c r="AI93" s="41" t="str">
        <f t="shared" ref="AI93" si="177">IF($E93&gt;=AI$31,MID($J$31,IF($E93&gt;AI$31,INT(AH93),ROUND(AH93,0))+1,1),"")</f>
        <v/>
      </c>
      <c r="AJ93" s="24">
        <f t="shared" ref="AJ93:AJ94" si="178">(AH93-INT(AH93))*12</f>
        <v>11.492469325661659</v>
      </c>
      <c r="AK93" s="41" t="str">
        <f t="shared" ref="AK93" si="179">IF($E93&gt;=AK$31,MID($J$31,IF($E93&gt;AK$31,INT(AJ93),ROUND(AJ93,0))+1,1),"")</f>
        <v/>
      </c>
    </row>
    <row r="94" spans="1:37">
      <c r="B94" s="529" t="s">
        <v>769</v>
      </c>
      <c r="C94" s="350"/>
      <c r="D94" s="21">
        <v>540000000000000</v>
      </c>
      <c r="E94" s="8">
        <v>7</v>
      </c>
      <c r="F94" s="21">
        <f>D94/F22</f>
        <v>210937562161313.66</v>
      </c>
      <c r="G94" s="142" t="str">
        <f t="shared" si="154"/>
        <v>1;E7X9143</v>
      </c>
      <c r="H94" s="142"/>
      <c r="I94" s="344"/>
      <c r="J94" s="38">
        <v>13</v>
      </c>
      <c r="K94" s="61">
        <f>F94/POWER(12,J94)</f>
        <v>1.9715042783695618</v>
      </c>
      <c r="L94" s="39" t="str">
        <f>INDEX(powers!$H$2:$H$75,33+J94)</f>
        <v>di-cosmic milly</v>
      </c>
      <c r="M94" s="40" t="str">
        <f>IF($E94&gt;=M$31,MID($J$31,IF($E94&gt;M$31,INT(K94),ROUND(K94,0))+1,1),"")</f>
        <v>1</v>
      </c>
      <c r="N94" s="24">
        <f t="shared" si="156"/>
        <v>11.658051340434742</v>
      </c>
      <c r="O94" s="41" t="str">
        <f>IF($E94&gt;=O$31,MID($J$31,IF($E94&gt;O$31,INT(N94),ROUND(N94,0))+1,1),"")</f>
        <v>E</v>
      </c>
      <c r="P94" s="24">
        <f t="shared" si="158"/>
        <v>7.8966160852169054</v>
      </c>
      <c r="Q94" s="41" t="str">
        <f>IF($E94&gt;=Q$31,MID($J$31,IF($E94&gt;Q$31,INT(P94),ROUND(P94,0))+1,1),"")</f>
        <v>7</v>
      </c>
      <c r="R94" s="24">
        <f t="shared" si="160"/>
        <v>10.759393022602865</v>
      </c>
      <c r="S94" s="41" t="str">
        <f>IF($E94&gt;=S$31,MID($J$31,IF($E94&gt;S$31,INT(R94),ROUND(R94,0))+1,1),"")</f>
        <v>X</v>
      </c>
      <c r="T94" s="24">
        <f t="shared" si="162"/>
        <v>9.1127162712343761</v>
      </c>
      <c r="U94" s="41" t="str">
        <f>IF($E94&gt;=U$31,MID($J$31,IF($E94&gt;U$31,INT(T94),ROUND(T94,0))+1,1),"")</f>
        <v>9</v>
      </c>
      <c r="V94" s="24">
        <f t="shared" si="164"/>
        <v>1.3525952548125133</v>
      </c>
      <c r="W94" s="41" t="str">
        <f>IF($E94&gt;=W$31,MID($J$31,IF($E94&gt;W$31,INT(V94),ROUND(V94,0))+1,1),"")</f>
        <v>1</v>
      </c>
      <c r="X94" s="24">
        <f t="shared" si="166"/>
        <v>4.2311430577501596</v>
      </c>
      <c r="Y94" s="41" t="str">
        <f>IF($E94&gt;=Y$31,MID($J$31,IF($E94&gt;Y$31,INT(X94),ROUND(X94,0))+1,1),"")</f>
        <v>4</v>
      </c>
      <c r="Z94" s="24">
        <f t="shared" si="168"/>
        <v>2.7737166930019157</v>
      </c>
      <c r="AA94" s="41" t="str">
        <f>IF($E94&gt;=AA$31,MID($J$31,IF($E94&gt;AA$31,INT(Z94),ROUND(Z94,0))+1,1),"")</f>
        <v>3</v>
      </c>
      <c r="AB94" s="24">
        <f t="shared" si="170"/>
        <v>9.2846003160229884</v>
      </c>
      <c r="AC94" s="41" t="str">
        <f>IF($E94&gt;=AC$31,MID($J$31,IF($E94&gt;AC$31,INT(AB94),ROUND(AB94,0))+1,1),"")</f>
        <v/>
      </c>
      <c r="AD94" s="24">
        <f t="shared" si="172"/>
        <v>3.4152037922758609</v>
      </c>
      <c r="AE94" s="41" t="str">
        <f>IF($E94&gt;=AE$31,MID($J$31,IF($E94&gt;AE$31,INT(AD94),ROUND(AD94,0))+1,1),"")</f>
        <v/>
      </c>
      <c r="AF94" s="24">
        <f t="shared" si="174"/>
        <v>4.9824455073103309</v>
      </c>
      <c r="AG94" s="41" t="str">
        <f>IF($E94&gt;=AG$31,MID($J$31,IF($E94&gt;AG$31,INT(AF94),ROUND(AF94,0))+1,1),"")</f>
        <v/>
      </c>
      <c r="AH94" s="24">
        <f t="shared" si="176"/>
        <v>11.78934608772397</v>
      </c>
      <c r="AI94" s="41" t="str">
        <f>IF($E94&gt;=AI$31,MID($J$31,IF($E94&gt;AI$31,INT(AH94),ROUND(AH94,0))+1,1),"")</f>
        <v/>
      </c>
      <c r="AJ94" s="24">
        <f t="shared" si="178"/>
        <v>9.472153052687645</v>
      </c>
      <c r="AK94" s="41" t="str">
        <f>IF($E94&gt;=AK$31,MID($J$31,IF($E94&gt;AK$31,INT(AJ94),ROUND(AJ94,0))+1,1),"")</f>
        <v/>
      </c>
    </row>
    <row r="95" spans="1:37">
      <c r="B95" s="14" t="s">
        <v>1887</v>
      </c>
      <c r="D95" s="204">
        <f>F22*F95</f>
        <v>547805050107810.25</v>
      </c>
      <c r="F95" s="204">
        <f>G95*POWER(12,J95)</f>
        <v>213986410758144</v>
      </c>
      <c r="G95" s="222">
        <v>2</v>
      </c>
      <c r="J95" s="14">
        <v>13</v>
      </c>
      <c r="K95" s="79"/>
      <c r="L95" s="79"/>
      <c r="M95" s="79"/>
    </row>
    <row r="96" spans="1:37">
      <c r="D96" s="204"/>
      <c r="F96" s="204"/>
      <c r="G96" s="222"/>
      <c r="K96" s="79"/>
      <c r="L96" s="79"/>
      <c r="M96" s="79"/>
    </row>
    <row r="97" spans="1:37">
      <c r="B97" s="14" t="s">
        <v>1144</v>
      </c>
    </row>
    <row r="98" spans="1:37">
      <c r="B98" s="111" t="s">
        <v>1173</v>
      </c>
      <c r="C98" s="30"/>
      <c r="D98" s="30">
        <f>solar_luminosity!C9</f>
        <v>2.5750450803308646E-6</v>
      </c>
      <c r="E98" s="30">
        <v>6</v>
      </c>
      <c r="F98" s="29">
        <f>D98/F$26</f>
        <v>1.6513395068742839E-9</v>
      </c>
      <c r="G98" s="112" t="str">
        <f t="shared" ref="G98:G99" si="180">M98&amp;";"&amp;O98&amp;Q98&amp;S98&amp;U98&amp;W98&amp;Y98&amp;AA98&amp;AC98&amp;AE98&amp;AG98&amp;AI98&amp;AK98</f>
        <v>8;62E613</v>
      </c>
      <c r="H98" s="112"/>
      <c r="I98" s="341"/>
      <c r="J98" s="43">
        <v>-9</v>
      </c>
      <c r="K98" s="113">
        <f>F98/POWER(12,J98)+0.00000000000001</f>
        <v>8.5205491420513102</v>
      </c>
      <c r="L98" s="44" t="str">
        <f>INDEX(powers!$H$2:$H$75,33+J98)</f>
        <v>atomic dour</v>
      </c>
      <c r="M98" s="101" t="str">
        <f t="shared" ref="M98:M99" si="181">IF($E98&gt;=M$31,MID($J$31,IF($E98&gt;M$31,INT(K98),ROUND(K98,0))+1,1),"")</f>
        <v>8</v>
      </c>
      <c r="N98" s="8">
        <f>(K98-INT(K98))*12</f>
        <v>6.2465897046157224</v>
      </c>
      <c r="O98" s="100" t="str">
        <f t="shared" ref="O98:O99" si="182">IF($E98&gt;=O$31,MID($J$31,IF($E98&gt;O$31,INT(N98),ROUND(N98,0))+1,1),"")</f>
        <v>6</v>
      </c>
      <c r="P98" s="8">
        <f>(N98-INT(N98))*12</f>
        <v>2.9590764553886686</v>
      </c>
      <c r="Q98" s="100" t="str">
        <f t="shared" ref="Q98:Q99" si="183">IF($E98&gt;=Q$31,MID($J$31,IF($E98&gt;Q$31,INT(P98),ROUND(P98,0))+1,1),"")</f>
        <v>2</v>
      </c>
      <c r="R98" s="8">
        <f>(P98-INT(P98))*12</f>
        <v>11.508917464664023</v>
      </c>
      <c r="S98" s="100" t="str">
        <f t="shared" ref="S98:S99" si="184">IF($E98&gt;=S$31,MID($J$31,IF($E98&gt;S$31,INT(R98),ROUND(R98,0))+1,1),"")</f>
        <v>E</v>
      </c>
      <c r="T98" s="8">
        <f>(R98-INT(R98))*12</f>
        <v>6.1070095759682772</v>
      </c>
      <c r="U98" s="100" t="str">
        <f t="shared" ref="U98:U99" si="185">IF($E98&gt;=U$31,MID($J$31,IF($E98&gt;U$31,INT(T98),ROUND(T98,0))+1,1),"")</f>
        <v>6</v>
      </c>
      <c r="V98" s="8">
        <f>(T98-INT(T98))*12</f>
        <v>1.2841149116193264</v>
      </c>
      <c r="W98" s="100" t="str">
        <f t="shared" ref="W98:W99" si="186">IF($E98&gt;=W$31,MID($J$31,IF($E98&gt;W$31,INT(V98),ROUND(V98,0))+1,1),"")</f>
        <v>1</v>
      </c>
      <c r="X98" s="8">
        <f>(V98-INT(V98))*12</f>
        <v>3.4093789394319174</v>
      </c>
      <c r="Y98" s="100" t="str">
        <f t="shared" ref="Y98:Y99" si="187">IF($E98&gt;=Y$31,MID($J$31,IF($E98&gt;Y$31,INT(X98),ROUND(X98,0))+1,1),"")</f>
        <v>3</v>
      </c>
      <c r="Z98" s="8">
        <f>(X98-INT(X98))*12</f>
        <v>4.9125472731830087</v>
      </c>
      <c r="AA98" s="100" t="str">
        <f t="shared" ref="AA98:AA99" si="188">IF($E98&gt;=AA$31,MID($J$31,IF($E98&gt;AA$31,INT(Z98),ROUND(Z98,0))+1,1),"")</f>
        <v/>
      </c>
      <c r="AB98" s="8">
        <f>(Z98-INT(Z98))*12</f>
        <v>10.950567278196104</v>
      </c>
      <c r="AC98" s="100" t="str">
        <f t="shared" ref="AC98:AC99" si="189">IF($E98&gt;=AC$31,MID($J$31,IF($E98&gt;AC$31,INT(AB98),ROUND(AB98,0))+1,1),"")</f>
        <v/>
      </c>
      <c r="AD98" s="8">
        <f>(AB98-INT(AB98))*12</f>
        <v>11.406807338353246</v>
      </c>
      <c r="AE98" s="100" t="str">
        <f t="shared" ref="AE98:AE99" si="190">IF($E98&gt;=AE$31,MID($J$31,IF($E98&gt;AE$31,INT(AD98),ROUND(AD98,0))+1,1),"")</f>
        <v/>
      </c>
      <c r="AF98" s="8">
        <f>(AD98-INT(AD98))*12</f>
        <v>4.8816880602389574</v>
      </c>
      <c r="AG98" s="100" t="str">
        <f t="shared" ref="AG98:AG99" si="191">IF($E98&gt;=AG$31,MID($J$31,IF($E98&gt;AG$31,INT(AF98),ROUND(AF98,0))+1,1),"")</f>
        <v/>
      </c>
      <c r="AH98" s="8">
        <f>(AF98-INT(AF98))*12</f>
        <v>10.580256722867489</v>
      </c>
      <c r="AI98" s="100" t="str">
        <f t="shared" ref="AI98:AI99" si="192">IF($E98&gt;=AI$31,MID($J$31,IF($E98&gt;AI$31,INT(AH98),ROUND(AH98,0))+1,1),"")</f>
        <v/>
      </c>
      <c r="AJ98" s="8">
        <f>(AH98-INT(AH98))*12</f>
        <v>6.9630806744098663</v>
      </c>
      <c r="AK98" s="100" t="str">
        <f t="shared" ref="AK98:AK99" si="193">IF($E98&gt;=AK$31,MID($J$31,IF($E98&gt;AK$31,INT(AJ98),ROUND(AJ98,0))+1,1),"")</f>
        <v/>
      </c>
    </row>
    <row r="99" spans="1:37">
      <c r="B99" s="111" t="s">
        <v>1174</v>
      </c>
      <c r="C99" s="30"/>
      <c r="D99" s="30">
        <f>solar_luminosity!C14</f>
        <v>7.8136058826780172E-9</v>
      </c>
      <c r="E99" s="30">
        <v>6</v>
      </c>
      <c r="F99" s="29">
        <f>D99/F$26</f>
        <v>5.0107534752570781E-12</v>
      </c>
      <c r="G99" s="112" t="str">
        <f t="shared" si="180"/>
        <v>3;881495</v>
      </c>
      <c r="H99" s="112"/>
      <c r="I99" s="341"/>
      <c r="J99" s="43">
        <v>-11</v>
      </c>
      <c r="K99" s="113">
        <f>F99/POWER(12,J99)+0.00000000000001</f>
        <v>3.7230317755700058</v>
      </c>
      <c r="L99" s="44" t="str">
        <f>INDEX(powers!$H$2:$H$75,33+J99)</f>
        <v>atomic milly</v>
      </c>
      <c r="M99" s="101" t="str">
        <f t="shared" si="181"/>
        <v>3</v>
      </c>
      <c r="N99" s="8">
        <f>(K99-INT(K99))*12</f>
        <v>8.676381306840069</v>
      </c>
      <c r="O99" s="100" t="str">
        <f t="shared" si="182"/>
        <v>8</v>
      </c>
      <c r="P99" s="8">
        <f>(N99-INT(N99))*12</f>
        <v>8.1165756820808284</v>
      </c>
      <c r="Q99" s="100" t="str">
        <f t="shared" si="183"/>
        <v>8</v>
      </c>
      <c r="R99" s="8">
        <f>(P99-INT(P99))*12</f>
        <v>1.3989081849699403</v>
      </c>
      <c r="S99" s="100" t="str">
        <f t="shared" si="184"/>
        <v>1</v>
      </c>
      <c r="T99" s="8">
        <f>(R99-INT(R99))*12</f>
        <v>4.7868982196392835</v>
      </c>
      <c r="U99" s="100" t="str">
        <f t="shared" si="185"/>
        <v>4</v>
      </c>
      <c r="V99" s="8">
        <f>(T99-INT(T99))*12</f>
        <v>9.4427786356714023</v>
      </c>
      <c r="W99" s="100" t="str">
        <f t="shared" si="186"/>
        <v>9</v>
      </c>
      <c r="X99" s="8">
        <f>(V99-INT(V99))*12</f>
        <v>5.3133436280568276</v>
      </c>
      <c r="Y99" s="100" t="str">
        <f t="shared" si="187"/>
        <v>5</v>
      </c>
      <c r="Z99" s="8">
        <f>(X99-INT(X99))*12</f>
        <v>3.760123536681931</v>
      </c>
      <c r="AA99" s="100" t="str">
        <f t="shared" si="188"/>
        <v/>
      </c>
      <c r="AB99" s="8">
        <f>(Z99-INT(Z99))*12</f>
        <v>9.121482440183172</v>
      </c>
      <c r="AC99" s="100" t="str">
        <f t="shared" si="189"/>
        <v/>
      </c>
      <c r="AD99" s="8">
        <f>(AB99-INT(AB99))*12</f>
        <v>1.457789282198064</v>
      </c>
      <c r="AE99" s="100" t="str">
        <f t="shared" si="190"/>
        <v/>
      </c>
      <c r="AF99" s="8">
        <f>(AD99-INT(AD99))*12</f>
        <v>5.4934713863767684</v>
      </c>
      <c r="AG99" s="100" t="str">
        <f t="shared" si="191"/>
        <v/>
      </c>
      <c r="AH99" s="8">
        <f>(AF99-INT(AF99))*12</f>
        <v>5.9216566365212202</v>
      </c>
      <c r="AI99" s="100" t="str">
        <f t="shared" si="192"/>
        <v/>
      </c>
      <c r="AJ99" s="8">
        <f>(AH99-INT(AH99))*12</f>
        <v>11.059879638254642</v>
      </c>
      <c r="AK99" s="100" t="str">
        <f t="shared" si="193"/>
        <v/>
      </c>
    </row>
    <row r="100" spans="1:37">
      <c r="A100" s="470"/>
      <c r="B100" s="111" t="s">
        <v>1175</v>
      </c>
      <c r="C100" s="8"/>
      <c r="D100" s="8">
        <f>solar_luminosity!C12</f>
        <v>1.0251439109782231E-8</v>
      </c>
      <c r="E100" s="8">
        <v>6</v>
      </c>
      <c r="F100" s="21">
        <f>D100/F$26</f>
        <v>6.5741009870492833E-12</v>
      </c>
      <c r="G100" s="37" t="str">
        <f t="shared" ref="G100" si="194">M100&amp;";"&amp;O100&amp;Q100&amp;S100&amp;U100&amp;W100&amp;Y100&amp;AA100&amp;AC100&amp;AE100&amp;AG100&amp;AI100&amp;AK100</f>
        <v>4;X74739</v>
      </c>
      <c r="H100" s="37"/>
      <c r="I100" s="340"/>
      <c r="J100" s="38">
        <v>-11</v>
      </c>
      <c r="K100" s="132">
        <f>F100/POWER(12,J100)+0.00000000000001</f>
        <v>4.8846120631258705</v>
      </c>
      <c r="L100" s="39" t="str">
        <f>INDEX(powers!$H$2:$H$75,33+J100)</f>
        <v>atomic milly</v>
      </c>
      <c r="M100" s="101" t="str">
        <f t="shared" ref="M100" si="195">IF($E100&gt;=M$31,MID($J$31,IF($E100&gt;M$31,INT(K100),ROUND(K100,0))+1,1),"")</f>
        <v>4</v>
      </c>
      <c r="N100" s="8">
        <f>(K100-INT(K100))*12</f>
        <v>10.615344757510446</v>
      </c>
      <c r="O100" s="100" t="str">
        <f t="shared" ref="O100" si="196">IF($E100&gt;=O$31,MID($J$31,IF($E100&gt;O$31,INT(N100),ROUND(N100,0))+1,1),"")</f>
        <v>X</v>
      </c>
      <c r="P100" s="8">
        <f>(N100-INT(N100))*12</f>
        <v>7.3841370901253498</v>
      </c>
      <c r="Q100" s="100" t="str">
        <f t="shared" ref="Q100" si="197">IF($E100&gt;=Q$31,MID($J$31,IF($E100&gt;Q$31,INT(P100),ROUND(P100,0))+1,1),"")</f>
        <v>7</v>
      </c>
      <c r="R100" s="8">
        <f>(P100-INT(P100))*12</f>
        <v>4.6096450815041976</v>
      </c>
      <c r="S100" s="100" t="str">
        <f t="shared" ref="S100" si="198">IF($E100&gt;=S$31,MID($J$31,IF($E100&gt;S$31,INT(R100),ROUND(R100,0))+1,1),"")</f>
        <v>4</v>
      </c>
      <c r="T100" s="8">
        <f>(R100-INT(R100))*12</f>
        <v>7.3157409780503713</v>
      </c>
      <c r="U100" s="100" t="str">
        <f t="shared" ref="U100" si="199">IF($E100&gt;=U$31,MID($J$31,IF($E100&gt;U$31,INT(T100),ROUND(T100,0))+1,1),"")</f>
        <v>7</v>
      </c>
      <c r="V100" s="8">
        <f>(T100-INT(T100))*12</f>
        <v>3.7888917366044552</v>
      </c>
      <c r="W100" s="100" t="str">
        <f t="shared" ref="W100" si="200">IF($E100&gt;=W$31,MID($J$31,IF($E100&gt;W$31,INT(V100),ROUND(V100,0))+1,1),"")</f>
        <v>3</v>
      </c>
      <c r="X100" s="8">
        <f>(V100-INT(V100))*12</f>
        <v>9.4667008392534626</v>
      </c>
      <c r="Y100" s="100" t="str">
        <f t="shared" ref="Y100" si="201">IF($E100&gt;=Y$31,MID($J$31,IF($E100&gt;Y$31,INT(X100),ROUND(X100,0))+1,1),"")</f>
        <v>9</v>
      </c>
      <c r="Z100" s="8">
        <f>(X100-INT(X100))*12</f>
        <v>5.6004100710415514</v>
      </c>
      <c r="AA100" s="100" t="str">
        <f t="shared" ref="AA100" si="202">IF($E100&gt;=AA$31,MID($J$31,IF($E100&gt;AA$31,INT(Z100),ROUND(Z100,0))+1,1),"")</f>
        <v/>
      </c>
      <c r="AB100" s="8">
        <f>(Z100-INT(Z100))*12</f>
        <v>7.204920852498617</v>
      </c>
      <c r="AC100" s="100" t="str">
        <f t="shared" ref="AC100" si="203">IF($E100&gt;=AC$31,MID($J$31,IF($E100&gt;AC$31,INT(AB100),ROUND(AB100,0))+1,1),"")</f>
        <v/>
      </c>
      <c r="AD100" s="8">
        <f>(AB100-INT(AB100))*12</f>
        <v>2.4590502299834043</v>
      </c>
      <c r="AE100" s="100" t="str">
        <f t="shared" ref="AE100" si="204">IF($E100&gt;=AE$31,MID($J$31,IF($E100&gt;AE$31,INT(AD100),ROUND(AD100,0))+1,1),"")</f>
        <v/>
      </c>
      <c r="AF100" s="8">
        <f>(AD100-INT(AD100))*12</f>
        <v>5.5086027598008513</v>
      </c>
      <c r="AG100" s="100" t="str">
        <f t="shared" ref="AG100" si="205">IF($E100&gt;=AG$31,MID($J$31,IF($E100&gt;AG$31,INT(AF100),ROUND(AF100,0))+1,1),"")</f>
        <v/>
      </c>
      <c r="AH100" s="8">
        <f>(AF100-INT(AF100))*12</f>
        <v>6.1032331176102161</v>
      </c>
      <c r="AI100" s="100" t="str">
        <f t="shared" ref="AI100" si="206">IF($E100&gt;=AI$31,MID($J$31,IF($E100&gt;AI$31,INT(AH100),ROUND(AH100,0))+1,1),"")</f>
        <v/>
      </c>
      <c r="AJ100" s="8">
        <f>(AH100-INT(AH100))*12</f>
        <v>1.2387974113225937</v>
      </c>
      <c r="AK100" s="100" t="str">
        <f t="shared" ref="AK100" si="207">IF($E100&gt;=AK$31,MID($J$31,IF($E100&gt;AK$31,INT(AJ100),ROUND(AJ100,0))+1,1),"")</f>
        <v/>
      </c>
    </row>
    <row r="101" spans="1:37" ht="12.75" thickBot="1">
      <c r="B101" s="109" t="s">
        <v>1176</v>
      </c>
      <c r="C101" s="463"/>
      <c r="D101" s="463">
        <f>solar_luminosity!C11</f>
        <v>2.5750450803308634E-8</v>
      </c>
      <c r="E101" s="463">
        <v>6</v>
      </c>
      <c r="F101" s="464">
        <f>D101/F$26</f>
        <v>1.651339506874283E-11</v>
      </c>
      <c r="G101" s="465" t="str">
        <f t="shared" ref="G101" si="208">M101&amp;";"&amp;O101&amp;Q101&amp;S101&amp;U101&amp;W101&amp;Y101&amp;AA101&amp;AC101&amp;AE101&amp;AG101&amp;AI101&amp;AK101</f>
        <v>1;0329X3</v>
      </c>
      <c r="H101" s="465"/>
      <c r="I101" s="466"/>
      <c r="J101" s="467">
        <v>-10</v>
      </c>
      <c r="K101" s="468">
        <f>F101/POWER(12,J101)+0.00000000000001</f>
        <v>1.0224658970461653</v>
      </c>
      <c r="L101" s="469" t="str">
        <f>INDEX(powers!$H$2:$H$75,33+J101)</f>
        <v>atomic centy</v>
      </c>
      <c r="M101" s="101" t="str">
        <f t="shared" ref="M101" si="209">IF($E101&gt;=M$31,MID($J$31,IF($E101&gt;M$31,INT(K101),ROUND(K101,0))+1,1),"")</f>
        <v>1</v>
      </c>
      <c r="N101" s="8">
        <f>(K101-INT(K101))*12</f>
        <v>0.26959076455398368</v>
      </c>
      <c r="O101" s="100" t="str">
        <f t="shared" ref="O101" si="210">IF($E101&gt;=O$31,MID($J$31,IF($E101&gt;O$31,INT(N101),ROUND(N101,0))+1,1),"")</f>
        <v>0</v>
      </c>
      <c r="P101" s="8">
        <f>(N101-INT(N101))*12</f>
        <v>3.2350891746478041</v>
      </c>
      <c r="Q101" s="100" t="str">
        <f t="shared" ref="Q101" si="211">IF($E101&gt;=Q$31,MID($J$31,IF($E101&gt;Q$31,INT(P101),ROUND(P101,0))+1,1),"")</f>
        <v>3</v>
      </c>
      <c r="R101" s="8">
        <f>(P101-INT(P101))*12</f>
        <v>2.8210700957736492</v>
      </c>
      <c r="S101" s="100" t="str">
        <f t="shared" ref="S101" si="212">IF($E101&gt;=S$31,MID($J$31,IF($E101&gt;S$31,INT(R101),ROUND(R101,0))+1,1),"")</f>
        <v>2</v>
      </c>
      <c r="T101" s="8">
        <f>(R101-INT(R101))*12</f>
        <v>9.8528411492837904</v>
      </c>
      <c r="U101" s="100" t="str">
        <f t="shared" ref="U101" si="213">IF($E101&gt;=U$31,MID($J$31,IF($E101&gt;U$31,INT(T101),ROUND(T101,0))+1,1),"")</f>
        <v>9</v>
      </c>
      <c r="V101" s="8">
        <f>(T101-INT(T101))*12</f>
        <v>10.234093791405485</v>
      </c>
      <c r="W101" s="100" t="str">
        <f t="shared" ref="W101" si="214">IF($E101&gt;=W$31,MID($J$31,IF($E101&gt;W$31,INT(V101),ROUND(V101,0))+1,1),"")</f>
        <v>X</v>
      </c>
      <c r="X101" s="8">
        <f>(V101-INT(V101))*12</f>
        <v>2.8091254968658177</v>
      </c>
      <c r="Y101" s="100" t="str">
        <f t="shared" ref="Y101" si="215">IF($E101&gt;=Y$31,MID($J$31,IF($E101&gt;Y$31,INT(X101),ROUND(X101,0))+1,1),"")</f>
        <v>3</v>
      </c>
      <c r="Z101" s="8">
        <f>(X101-INT(X101))*12</f>
        <v>9.7095059623898123</v>
      </c>
      <c r="AA101" s="100" t="str">
        <f t="shared" ref="AA101" si="216">IF($E101&gt;=AA$31,MID($J$31,IF($E101&gt;AA$31,INT(Z101),ROUND(Z101,0))+1,1),"")</f>
        <v/>
      </c>
      <c r="AB101" s="8">
        <f>(Z101-INT(Z101))*12</f>
        <v>8.5140715486777481</v>
      </c>
      <c r="AC101" s="100" t="str">
        <f t="shared" ref="AC101" si="217">IF($E101&gt;=AC$31,MID($J$31,IF($E101&gt;AC$31,INT(AB101),ROUND(AB101,0))+1,1),"")</f>
        <v/>
      </c>
      <c r="AD101" s="8">
        <f>(AB101-INT(AB101))*12</f>
        <v>6.1688585841329768</v>
      </c>
      <c r="AE101" s="100" t="str">
        <f t="shared" ref="AE101" si="218">IF($E101&gt;=AE$31,MID($J$31,IF($E101&gt;AE$31,INT(AD101),ROUND(AD101,0))+1,1),"")</f>
        <v/>
      </c>
      <c r="AF101" s="8">
        <f>(AD101-INT(AD101))*12</f>
        <v>2.026303009595722</v>
      </c>
      <c r="AG101" s="100" t="str">
        <f t="shared" ref="AG101" si="219">IF($E101&gt;=AG$31,MID($J$31,IF($E101&gt;AG$31,INT(AF101),ROUND(AF101,0))+1,1),"")</f>
        <v/>
      </c>
      <c r="AH101" s="8">
        <f>(AF101-INT(AF101))*12</f>
        <v>0.31563611514866352</v>
      </c>
      <c r="AI101" s="100" t="str">
        <f t="shared" ref="AI101" si="220">IF($E101&gt;=AI$31,MID($J$31,IF($E101&gt;AI$31,INT(AH101),ROUND(AH101,0))+1,1),"")</f>
        <v/>
      </c>
      <c r="AJ101" s="8">
        <f>(AH101-INT(AH101))*12</f>
        <v>3.7876333817839622</v>
      </c>
      <c r="AK101" s="100" t="str">
        <f t="shared" ref="AK101" si="221">IF($E101&gt;=AK$31,MID($J$31,IF($E101&gt;AK$31,INT(AJ101),ROUND(AJ101,0))+1,1),"")</f>
        <v/>
      </c>
    </row>
    <row r="102" spans="1:37">
      <c r="B102" s="247"/>
      <c r="C102" s="247"/>
      <c r="D102" s="247"/>
      <c r="E102" s="247"/>
      <c r="F102" s="266"/>
      <c r="G102" s="249"/>
      <c r="H102" s="249"/>
      <c r="I102" s="348"/>
      <c r="J102" s="250"/>
      <c r="K102" s="251"/>
      <c r="L102" s="251"/>
      <c r="M102" s="252"/>
      <c r="N102" s="247"/>
      <c r="O102" s="252"/>
      <c r="P102" s="247"/>
      <c r="Q102" s="252"/>
      <c r="R102" s="247"/>
      <c r="S102" s="252"/>
      <c r="T102" s="247"/>
      <c r="U102" s="252"/>
      <c r="V102" s="247"/>
      <c r="W102" s="252"/>
      <c r="X102" s="247"/>
      <c r="Y102" s="252"/>
      <c r="Z102" s="247"/>
      <c r="AA102" s="252"/>
      <c r="AB102" s="247"/>
      <c r="AC102" s="252"/>
      <c r="AD102" s="247"/>
      <c r="AE102" s="252"/>
      <c r="AF102" s="247"/>
      <c r="AG102" s="252"/>
      <c r="AH102" s="247"/>
      <c r="AI102" s="252"/>
      <c r="AJ102" s="247"/>
      <c r="AK102" s="252"/>
    </row>
    <row r="103" spans="1:37" ht="12.75" thickBot="1">
      <c r="B103" s="14" t="s">
        <v>1530</v>
      </c>
      <c r="K103" s="79"/>
      <c r="L103" s="79"/>
      <c r="M103" s="79"/>
    </row>
    <row r="104" spans="1:37" ht="12.75" thickBot="1">
      <c r="B104" s="68" t="s">
        <v>1531</v>
      </c>
      <c r="C104" s="69"/>
      <c r="D104" s="70">
        <f>D64*D35*D35/POWER(D66*2/PI(),2)</f>
        <v>9.8312076424550749</v>
      </c>
      <c r="E104" s="69">
        <v>7</v>
      </c>
      <c r="F104" s="70">
        <f>D104/(F3/F4/F4)</f>
        <v>5.5080299991118604</v>
      </c>
      <c r="G104" s="71" t="str">
        <f t="shared" ref="G104" si="222">M104&amp;";"&amp;O104&amp;Q104&amp;S104&amp;U104&amp;W104&amp;Y104&amp;AA104&amp;AC104&amp;AE104&amp;AG104&amp;AI104&amp;AK104</f>
        <v>5;611X615</v>
      </c>
      <c r="H104" s="71"/>
      <c r="I104" s="355"/>
      <c r="J104" s="72">
        <v>0</v>
      </c>
      <c r="K104" s="73">
        <f>F104/POWER(12,J104)+0.00000000000001</f>
        <v>5.5080299991118702</v>
      </c>
      <c r="L104" s="74" t="str">
        <f>INDEX(powers!$H$2:$H$75,33+J104)</f>
        <v xml:space="preserve"> </v>
      </c>
      <c r="M104" s="75" t="str">
        <f t="shared" ref="M104" si="223">IF($E104&gt;=M$31,MID($J$31,IF($E104&gt;M$31,INT(K104),ROUND(K104,0))+1,1),"")</f>
        <v>5</v>
      </c>
      <c r="N104" s="76">
        <f>(K104-INT(K104))*12</f>
        <v>6.0963599893424423</v>
      </c>
      <c r="O104" s="77" t="str">
        <f t="shared" ref="O104" si="224">IF($E104&gt;=O$31,MID($J$31,IF($E104&gt;O$31,INT(N104),ROUND(N104,0))+1,1),"")</f>
        <v>6</v>
      </c>
      <c r="P104" s="76">
        <f>(N104-INT(N104))*12</f>
        <v>1.1563198721093073</v>
      </c>
      <c r="Q104" s="77" t="str">
        <f t="shared" ref="Q104" si="225">IF($E104&gt;=Q$31,MID($J$31,IF($E104&gt;Q$31,INT(P104),ROUND(P104,0))+1,1),"")</f>
        <v>1</v>
      </c>
      <c r="R104" s="76">
        <f>(P104-INT(P104))*12</f>
        <v>1.8758384653116877</v>
      </c>
      <c r="S104" s="77" t="str">
        <f t="shared" ref="S104" si="226">IF($E104&gt;=S$31,MID($J$31,IF($E104&gt;S$31,INT(R104),ROUND(R104,0))+1,1),"")</f>
        <v>1</v>
      </c>
      <c r="T104" s="76">
        <f>(R104-INT(R104))*12</f>
        <v>10.510061583740253</v>
      </c>
      <c r="U104" s="77" t="str">
        <f t="shared" ref="U104" si="227">IF($E104&gt;=U$31,MID($J$31,IF($E104&gt;U$31,INT(T104),ROUND(T104,0))+1,1),"")</f>
        <v>X</v>
      </c>
      <c r="V104" s="76">
        <f>(T104-INT(T104))*12</f>
        <v>6.1207390048830348</v>
      </c>
      <c r="W104" s="77" t="str">
        <f t="shared" ref="W104" si="228">IF($E104&gt;=W$31,MID($J$31,IF($E104&gt;W$31,INT(V104),ROUND(V104,0))+1,1),"")</f>
        <v>6</v>
      </c>
      <c r="X104" s="76">
        <f>(V104-INT(V104))*12</f>
        <v>1.4488680585964175</v>
      </c>
      <c r="Y104" s="77" t="str">
        <f t="shared" ref="Y104" si="229">IF($E104&gt;=Y$31,MID($J$31,IF($E104&gt;Y$31,INT(X104),ROUND(X104,0))+1,1),"")</f>
        <v>1</v>
      </c>
      <c r="Z104" s="76">
        <f>(X104-INT(X104))*12</f>
        <v>5.3864167031570105</v>
      </c>
      <c r="AA104" s="77" t="str">
        <f t="shared" ref="AA104" si="230">IF($E104&gt;=AA$31,MID($J$31,IF($E104&gt;AA$31,INT(Z104),ROUND(Z104,0))+1,1),"")</f>
        <v>5</v>
      </c>
      <c r="AB104" s="76">
        <f>(Z104-INT(Z104))*12</f>
        <v>4.6370004378841259</v>
      </c>
      <c r="AC104" s="77" t="str">
        <f t="shared" ref="AC104" si="231">IF($E104&gt;=AC$31,MID($J$31,IF($E104&gt;AC$31,INT(AB104),ROUND(AB104,0))+1,1),"")</f>
        <v/>
      </c>
      <c r="AD104" s="76">
        <f>(AB104-INT(AB104))*12</f>
        <v>7.6440052546095103</v>
      </c>
      <c r="AE104" s="77" t="str">
        <f t="shared" ref="AE104" si="232">IF($E104&gt;=AE$31,MID($J$31,IF($E104&gt;AE$31,INT(AD104),ROUND(AD104,0))+1,1),"")</f>
        <v/>
      </c>
      <c r="AF104" s="76">
        <f>(AD104-INT(AD104))*12</f>
        <v>7.7280630553141236</v>
      </c>
      <c r="AG104" s="77" t="str">
        <f t="shared" ref="AG104" si="233">IF($E104&gt;=AG$31,MID($J$31,IF($E104&gt;AG$31,INT(AF104),ROUND(AF104,0))+1,1),"")</f>
        <v/>
      </c>
      <c r="AH104" s="76">
        <f>(AF104-INT(AF104))*12</f>
        <v>8.7367566637694836</v>
      </c>
      <c r="AI104" s="77" t="str">
        <f t="shared" ref="AI104" si="234">IF($E104&gt;=AI$31,MID($J$31,IF($E104&gt;AI$31,INT(AH104),ROUND(AH104,0))+1,1),"")</f>
        <v/>
      </c>
      <c r="AJ104" s="76">
        <f>(AH104-INT(AH104))*12</f>
        <v>8.8410799652338028</v>
      </c>
      <c r="AK104" s="78" t="str">
        <f t="shared" ref="AK104" si="235">IF($E104&gt;=AK$31,MID($J$31,IF($E104&gt;AK$31,INT(AJ104),ROUND(AJ104,0))+1,1),"")</f>
        <v/>
      </c>
    </row>
    <row r="105" spans="1:37">
      <c r="B105" s="247"/>
      <c r="C105" s="247"/>
      <c r="D105" s="247"/>
      <c r="E105" s="247"/>
      <c r="F105" s="266"/>
      <c r="G105" s="249"/>
      <c r="H105" s="249"/>
      <c r="I105" s="348"/>
      <c r="J105" s="250"/>
      <c r="K105" s="251"/>
      <c r="L105" s="251"/>
      <c r="M105" s="252"/>
      <c r="N105" s="247"/>
      <c r="O105" s="252"/>
      <c r="P105" s="247"/>
      <c r="Q105" s="252"/>
      <c r="R105" s="247"/>
      <c r="S105" s="252"/>
      <c r="T105" s="247"/>
      <c r="U105" s="252"/>
      <c r="V105" s="247"/>
      <c r="W105" s="252"/>
      <c r="X105" s="247"/>
      <c r="Y105" s="252"/>
      <c r="Z105" s="247"/>
      <c r="AA105" s="252"/>
      <c r="AB105" s="247"/>
      <c r="AC105" s="252"/>
      <c r="AD105" s="247"/>
      <c r="AE105" s="252"/>
      <c r="AF105" s="247"/>
      <c r="AG105" s="252"/>
      <c r="AH105" s="247"/>
      <c r="AI105" s="252"/>
      <c r="AJ105" s="247"/>
      <c r="AK105" s="252"/>
    </row>
    <row r="106" spans="1:37" ht="12.75" thickBot="1">
      <c r="B106" s="14" t="s">
        <v>1146</v>
      </c>
      <c r="K106" s="79"/>
      <c r="L106" s="79"/>
      <c r="M106" s="79"/>
    </row>
    <row r="107" spans="1:37">
      <c r="B107" s="102" t="s">
        <v>115</v>
      </c>
      <c r="C107" s="103"/>
      <c r="D107" s="104"/>
      <c r="E107" s="103">
        <v>9</v>
      </c>
      <c r="F107" s="104">
        <f>Clock!F96</f>
        <v>1.0020361796982167</v>
      </c>
      <c r="G107" s="105" t="str">
        <f t="shared" ref="G107" si="236">M107&amp;";"&amp;O107&amp;Q107&amp;S107&amp;U107&amp;W107&amp;Y107&amp;AA107&amp;AC107&amp;AE107&amp;AG107&amp;AI107&amp;AK107</f>
        <v>1;003628000</v>
      </c>
      <c r="H107" s="105"/>
      <c r="I107" s="345"/>
      <c r="J107" s="106">
        <v>0</v>
      </c>
      <c r="K107" s="107">
        <f>F107/POWER(12,J107)+0.00000000000001</f>
        <v>1.0020361796982267</v>
      </c>
      <c r="L107" s="108" t="str">
        <f>INDEX(powers!$H$2:$H$75,33+J107)</f>
        <v xml:space="preserve"> </v>
      </c>
      <c r="M107" s="75" t="str">
        <f t="shared" ref="M107" si="237">IF($E107&gt;=M$31,MID($J$31,IF($E107&gt;M$31,INT(K107),ROUND(K107,0))+1,1),"")</f>
        <v>1</v>
      </c>
      <c r="N107" s="76">
        <f>(K107-INT(K107))*12</f>
        <v>2.443415637872004E-2</v>
      </c>
      <c r="O107" s="77" t="str">
        <f t="shared" ref="O107" si="238">IF($E107&gt;=O$31,MID($J$31,IF($E107&gt;O$31,INT(N107),ROUND(N107,0))+1,1),"")</f>
        <v>0</v>
      </c>
      <c r="P107" s="76">
        <f>(N107-INT(N107))*12</f>
        <v>0.29320987654464048</v>
      </c>
      <c r="Q107" s="77" t="str">
        <f t="shared" ref="Q107" si="239">IF($E107&gt;=Q$31,MID($J$31,IF($E107&gt;Q$31,INT(P107),ROUND(P107,0))+1,1),"")</f>
        <v>0</v>
      </c>
      <c r="R107" s="76">
        <f>(P107-INT(P107))*12</f>
        <v>3.5185185185356858</v>
      </c>
      <c r="S107" s="77" t="str">
        <f t="shared" ref="S107" si="240">IF($E107&gt;=S$31,MID($J$31,IF($E107&gt;S$31,INT(R107),ROUND(R107,0))+1,1),"")</f>
        <v>3</v>
      </c>
      <c r="T107" s="76">
        <f>(R107-INT(R107))*12</f>
        <v>6.2222222224282291</v>
      </c>
      <c r="U107" s="77" t="str">
        <f t="shared" ref="U107" si="241">IF($E107&gt;=U$31,MID($J$31,IF($E107&gt;U$31,INT(T107),ROUND(T107,0))+1,1),"")</f>
        <v>6</v>
      </c>
      <c r="V107" s="76">
        <f>(T107-INT(T107))*12</f>
        <v>2.6666666691387491</v>
      </c>
      <c r="W107" s="77" t="str">
        <f t="shared" ref="W107" si="242">IF($E107&gt;=W$31,MID($J$31,IF($E107&gt;W$31,INT(V107),ROUND(V107,0))+1,1),"")</f>
        <v>2</v>
      </c>
      <c r="X107" s="76">
        <f>(V107-INT(V107))*12</f>
        <v>8.0000000296649887</v>
      </c>
      <c r="Y107" s="77" t="str">
        <f t="shared" ref="Y107" si="243">IF($E107&gt;=Y$31,MID($J$31,IF($E107&gt;Y$31,INT(X107),ROUND(X107,0))+1,1),"")</f>
        <v>8</v>
      </c>
      <c r="Z107" s="76">
        <f>(X107-INT(X107))*12</f>
        <v>3.559798642527312E-7</v>
      </c>
      <c r="AA107" s="77" t="str">
        <f t="shared" ref="AA107" si="244">IF($E107&gt;=AA$31,MID($J$31,IF($E107&gt;AA$31,INT(Z107),ROUND(Z107,0))+1,1),"")</f>
        <v>0</v>
      </c>
      <c r="AB107" s="76">
        <f>(Z107-INT(Z107))*12</f>
        <v>4.2717583710327744E-6</v>
      </c>
      <c r="AC107" s="77" t="str">
        <f t="shared" ref="AC107" si="245">IF($E107&gt;=AC$31,MID($J$31,IF($E107&gt;AC$31,INT(AB107),ROUND(AB107,0))+1,1),"")</f>
        <v>0</v>
      </c>
      <c r="AD107" s="76">
        <f>(AB107-INT(AB107))*12</f>
        <v>5.1261100452393293E-5</v>
      </c>
      <c r="AE107" s="77" t="str">
        <f t="shared" ref="AE107" si="246">IF($E107&gt;=AE$31,MID($J$31,IF($E107&gt;AE$31,INT(AD107),ROUND(AD107,0))+1,1),"")</f>
        <v>0</v>
      </c>
      <c r="AF107" s="76">
        <f>(AD107-INT(AD107))*12</f>
        <v>6.1513320542871952E-4</v>
      </c>
      <c r="AG107" s="77" t="str">
        <f t="shared" ref="AG107" si="247">IF($E107&gt;=AG$31,MID($J$31,IF($E107&gt;AG$31,INT(AF107),ROUND(AF107,0))+1,1),"")</f>
        <v/>
      </c>
      <c r="AH107" s="76">
        <f>(AF107-INT(AF107))*12</f>
        <v>7.3815984651446342E-3</v>
      </c>
      <c r="AI107" s="77" t="str">
        <f t="shared" ref="AI107" si="248">IF($E107&gt;=AI$31,MID($J$31,IF($E107&gt;AI$31,INT(AH107),ROUND(AH107,0))+1,1),"")</f>
        <v/>
      </c>
      <c r="AJ107" s="76">
        <f>(AH107-INT(AH107))*12</f>
        <v>8.8579181581735611E-2</v>
      </c>
      <c r="AK107" s="78" t="str">
        <f t="shared" ref="AK107" si="249">IF($E107&gt;=AK$31,MID($J$31,IF($E107&gt;AK$31,INT(AJ107),ROUND(AJ107,0))+1,1),"")</f>
        <v/>
      </c>
    </row>
    <row r="108" spans="1:37">
      <c r="B108" s="111" t="s">
        <v>204</v>
      </c>
      <c r="C108" s="30"/>
      <c r="D108" s="30"/>
      <c r="E108" s="30">
        <v>12</v>
      </c>
      <c r="F108" s="29">
        <f>F4/Clock!F4</f>
        <v>1.0000002946906721</v>
      </c>
      <c r="G108" s="112" t="str">
        <f t="shared" ref="G108" si="250">M108&amp;";"&amp;O108&amp;Q108&amp;S108&amp;U108&amp;W108&amp;Y108&amp;AA108&amp;AC108&amp;AE108&amp;AG108&amp;AI108&amp;AK108</f>
        <v>1;000000X68658</v>
      </c>
      <c r="H108" s="112"/>
      <c r="I108" s="341"/>
      <c r="J108" s="43">
        <v>0</v>
      </c>
      <c r="K108" s="113">
        <f>F108/POWER(12,J108)+0.00000000000001</f>
        <v>1.0000002946906821</v>
      </c>
      <c r="L108" s="44" t="str">
        <f>INDEX(powers!$H$2:$H$75,33+J108)</f>
        <v xml:space="preserve"> </v>
      </c>
      <c r="M108" s="101" t="str">
        <f t="shared" ref="M108" si="251">IF($E108&gt;=M$31,MID($J$31,IF($E108&gt;M$31,INT(K108),ROUND(K108,0))+1,1),"")</f>
        <v>1</v>
      </c>
      <c r="N108" s="8">
        <f>(K108-INT(K108))*12</f>
        <v>3.5362881849465566E-6</v>
      </c>
      <c r="O108" s="100" t="str">
        <f t="shared" ref="O108" si="252">IF($E108&gt;=O$31,MID($J$31,IF($E108&gt;O$31,INT(N108),ROUND(N108,0))+1,1),"")</f>
        <v>0</v>
      </c>
      <c r="P108" s="8">
        <f>(N108-INT(N108))*12</f>
        <v>4.2435458219358679E-5</v>
      </c>
      <c r="Q108" s="100" t="str">
        <f t="shared" ref="Q108" si="253">IF($E108&gt;=Q$31,MID($J$31,IF($E108&gt;Q$31,INT(P108),ROUND(P108,0))+1,1),"")</f>
        <v>0</v>
      </c>
      <c r="R108" s="8">
        <f>(P108-INT(P108))*12</f>
        <v>5.0922549863230415E-4</v>
      </c>
      <c r="S108" s="100" t="str">
        <f t="shared" ref="S108" si="254">IF($E108&gt;=S$31,MID($J$31,IF($E108&gt;S$31,INT(R108),ROUND(R108,0))+1,1),"")</f>
        <v>0</v>
      </c>
      <c r="T108" s="8">
        <f>(R108-INT(R108))*12</f>
        <v>6.1107059835876498E-3</v>
      </c>
      <c r="U108" s="100" t="str">
        <f t="shared" ref="U108" si="255">IF($E108&gt;=U$31,MID($J$31,IF($E108&gt;U$31,INT(T108),ROUND(T108,0))+1,1),"")</f>
        <v>0</v>
      </c>
      <c r="V108" s="8">
        <f>(T108-INT(T108))*12</f>
        <v>7.3328471803051798E-2</v>
      </c>
      <c r="W108" s="100" t="str">
        <f t="shared" ref="W108" si="256">IF($E108&gt;=W$31,MID($J$31,IF($E108&gt;W$31,INT(V108),ROUND(V108,0))+1,1),"")</f>
        <v>0</v>
      </c>
      <c r="X108" s="8">
        <f>(V108-INT(V108))*12</f>
        <v>0.87994166163662157</v>
      </c>
      <c r="Y108" s="100" t="str">
        <f t="shared" ref="Y108" si="257">IF($E108&gt;=Y$31,MID($J$31,IF($E108&gt;Y$31,INT(X108),ROUND(X108,0))+1,1),"")</f>
        <v>0</v>
      </c>
      <c r="Z108" s="8">
        <f>(X108-INT(X108))*12</f>
        <v>10.559299939639459</v>
      </c>
      <c r="AA108" s="100" t="str">
        <f t="shared" ref="AA108" si="258">IF($E108&gt;=AA$31,MID($J$31,IF($E108&gt;AA$31,INT(Z108),ROUND(Z108,0))+1,1),"")</f>
        <v>X</v>
      </c>
      <c r="AB108" s="8">
        <f>(Z108-INT(Z108))*12</f>
        <v>6.7115992756735068</v>
      </c>
      <c r="AC108" s="100" t="str">
        <f t="shared" ref="AC108" si="259">IF($E108&gt;=AC$31,MID($J$31,IF($E108&gt;AC$31,INT(AB108),ROUND(AB108,0))+1,1),"")</f>
        <v>6</v>
      </c>
      <c r="AD108" s="8">
        <f>(AB108-INT(AB108))*12</f>
        <v>8.5391913080820814</v>
      </c>
      <c r="AE108" s="100" t="str">
        <f t="shared" ref="AE108" si="260">IF($E108&gt;=AE$31,MID($J$31,IF($E108&gt;AE$31,INT(AD108),ROUND(AD108,0))+1,1),"")</f>
        <v>8</v>
      </c>
      <c r="AF108" s="8">
        <f>(AD108-INT(AD108))*12</f>
        <v>6.4702956969849765</v>
      </c>
      <c r="AG108" s="100" t="str">
        <f t="shared" ref="AG108" si="261">IF($E108&gt;=AG$31,MID($J$31,IF($E108&gt;AG$31,INT(AF108),ROUND(AF108,0))+1,1),"")</f>
        <v>6</v>
      </c>
      <c r="AH108" s="8">
        <f>(AF108-INT(AF108))*12</f>
        <v>5.6435483638197184</v>
      </c>
      <c r="AI108" s="100" t="str">
        <f t="shared" ref="AI108" si="262">IF($E108&gt;=AI$31,MID($J$31,IF($E108&gt;AI$31,INT(AH108),ROUND(AH108,0))+1,1),"")</f>
        <v>5</v>
      </c>
      <c r="AJ108" s="8">
        <f>(AH108-INT(AH108))*12</f>
        <v>7.7225803658366203</v>
      </c>
      <c r="AK108" s="100" t="str">
        <f t="shared" ref="AK108" si="263">IF($E108&gt;=AK$31,MID($J$31,IF($E108&gt;AK$31,INT(AJ108),ROUND(AJ108,0))+1,1),"")</f>
        <v>8</v>
      </c>
    </row>
    <row r="109" spans="1:37" ht="12.75" thickBot="1">
      <c r="B109" s="109" t="s">
        <v>205</v>
      </c>
      <c r="C109" s="33"/>
      <c r="D109" s="33"/>
      <c r="E109" s="33">
        <v>12</v>
      </c>
      <c r="F109" s="32">
        <f>F5/Clock!F5</f>
        <v>0.99999970530941484</v>
      </c>
      <c r="G109" s="47" t="str">
        <f t="shared" ref="G109" si="264">M109&amp;";"&amp;O109&amp;Q109&amp;S109&amp;U109&amp;W109&amp;Y109&amp;AA109&amp;AC109&amp;AE109&amp;AG109&amp;AI109&amp;AK109</f>
        <v>0;EEEEEE153565</v>
      </c>
      <c r="H109" s="47"/>
      <c r="I109" s="342"/>
      <c r="J109" s="48">
        <v>0</v>
      </c>
      <c r="K109" s="110">
        <f>F109/POWER(12,J109)+0.00000000000001</f>
        <v>0.99999970530942484</v>
      </c>
      <c r="L109" s="49" t="str">
        <f>INDEX(powers!$H$2:$H$75,33+J109)</f>
        <v xml:space="preserve"> </v>
      </c>
      <c r="M109" s="101" t="str">
        <f t="shared" ref="M109" si="265">IF($E109&gt;=M$31,MID($J$31,IF($E109&gt;M$31,INT(K109),ROUND(K109,0))+1,1),"")</f>
        <v>0</v>
      </c>
      <c r="N109" s="8">
        <f>(K109-INT(K109))*12</f>
        <v>11.999996463713098</v>
      </c>
      <c r="O109" s="100" t="str">
        <f t="shared" ref="O109" si="266">IF($E109&gt;=O$31,MID($J$31,IF($E109&gt;O$31,INT(N109),ROUND(N109,0))+1,1),"")</f>
        <v>E</v>
      </c>
      <c r="P109" s="8">
        <f>(N109-INT(N109))*12</f>
        <v>11.999957564557171</v>
      </c>
      <c r="Q109" s="100" t="str">
        <f t="shared" ref="Q109" si="267">IF($E109&gt;=Q$31,MID($J$31,IF($E109&gt;Q$31,INT(P109),ROUND(P109,0))+1,1),"")</f>
        <v>E</v>
      </c>
      <c r="R109" s="8">
        <f>(P109-INT(P109))*12</f>
        <v>11.999490774686052</v>
      </c>
      <c r="S109" s="100" t="str">
        <f t="shared" ref="S109" si="268">IF($E109&gt;=S$31,MID($J$31,IF($E109&gt;S$31,INT(R109),ROUND(R109,0))+1,1),"")</f>
        <v>E</v>
      </c>
      <c r="T109" s="8">
        <f>(R109-INT(R109))*12</f>
        <v>11.993889296232624</v>
      </c>
      <c r="U109" s="100" t="str">
        <f t="shared" ref="U109" si="269">IF($E109&gt;=U$31,MID($J$31,IF($E109&gt;U$31,INT(T109),ROUND(T109,0))+1,1),"")</f>
        <v>E</v>
      </c>
      <c r="V109" s="8">
        <f>(T109-INT(T109))*12</f>
        <v>11.926671554791483</v>
      </c>
      <c r="W109" s="100" t="str">
        <f t="shared" ref="W109" si="270">IF($E109&gt;=W$31,MID($J$31,IF($E109&gt;W$31,INT(V109),ROUND(V109,0))+1,1),"")</f>
        <v>E</v>
      </c>
      <c r="X109" s="8">
        <f>(V109-INT(V109))*12</f>
        <v>11.120058657497793</v>
      </c>
      <c r="Y109" s="100" t="str">
        <f t="shared" ref="Y109" si="271">IF($E109&gt;=Y$31,MID($J$31,IF($E109&gt;Y$31,INT(X109),ROUND(X109,0))+1,1),"")</f>
        <v>E</v>
      </c>
      <c r="Z109" s="8">
        <f>(X109-INT(X109))*12</f>
        <v>1.4407038899735198</v>
      </c>
      <c r="AA109" s="100" t="str">
        <f t="shared" ref="AA109" si="272">IF($E109&gt;=AA$31,MID($J$31,IF($E109&gt;AA$31,INT(Z109),ROUND(Z109,0))+1,1),"")</f>
        <v>1</v>
      </c>
      <c r="AB109" s="8">
        <f>(Z109-INT(Z109))*12</f>
        <v>5.288446679682238</v>
      </c>
      <c r="AC109" s="100" t="str">
        <f t="shared" ref="AC109" si="273">IF($E109&gt;=AC$31,MID($J$31,IF($E109&gt;AC$31,INT(AB109),ROUND(AB109,0))+1,1),"")</f>
        <v>5</v>
      </c>
      <c r="AD109" s="8">
        <f>(AB109-INT(AB109))*12</f>
        <v>3.4613601561868563</v>
      </c>
      <c r="AE109" s="100" t="str">
        <f t="shared" ref="AE109" si="274">IF($E109&gt;=AE$31,MID($J$31,IF($E109&gt;AE$31,INT(AD109),ROUND(AD109,0))+1,1),"")</f>
        <v>3</v>
      </c>
      <c r="AF109" s="8">
        <f>(AD109-INT(AD109))*12</f>
        <v>5.536321874242276</v>
      </c>
      <c r="AG109" s="100" t="str">
        <f t="shared" ref="AG109" si="275">IF($E109&gt;=AG$31,MID($J$31,IF($E109&gt;AG$31,INT(AF109),ROUND(AF109,0))+1,1),"")</f>
        <v>5</v>
      </c>
      <c r="AH109" s="8">
        <f>(AF109-INT(AF109))*12</f>
        <v>6.4358624909073114</v>
      </c>
      <c r="AI109" s="100" t="str">
        <f t="shared" ref="AI109" si="276">IF($E109&gt;=AI$31,MID($J$31,IF($E109&gt;AI$31,INT(AH109),ROUND(AH109,0))+1,1),"")</f>
        <v>6</v>
      </c>
      <c r="AJ109" s="8">
        <f>(AH109-INT(AH109))*12</f>
        <v>5.2303498908877373</v>
      </c>
      <c r="AK109" s="100" t="str">
        <f t="shared" ref="AK109" si="277">IF($E109&gt;=AK$31,MID($J$31,IF($E109&gt;AK$31,INT(AJ109),ROUND(AJ109,0))+1,1),"")</f>
        <v>5</v>
      </c>
    </row>
    <row r="110" spans="1:37">
      <c r="B110" s="247"/>
      <c r="C110" s="247"/>
      <c r="D110" s="247"/>
      <c r="E110" s="247"/>
      <c r="F110" s="266"/>
      <c r="G110" s="249"/>
      <c r="H110" s="249"/>
      <c r="I110" s="348"/>
      <c r="J110" s="250"/>
      <c r="K110" s="251"/>
      <c r="L110" s="251"/>
      <c r="M110" s="252"/>
      <c r="N110" s="247"/>
      <c r="O110" s="252"/>
      <c r="P110" s="247"/>
      <c r="Q110" s="252"/>
      <c r="R110" s="247"/>
      <c r="S110" s="252"/>
      <c r="T110" s="247"/>
      <c r="U110" s="252"/>
      <c r="V110" s="247"/>
      <c r="W110" s="252"/>
      <c r="X110" s="247"/>
      <c r="Y110" s="252"/>
      <c r="Z110" s="247"/>
      <c r="AA110" s="252"/>
      <c r="AB110" s="247"/>
      <c r="AC110" s="252"/>
      <c r="AD110" s="247"/>
      <c r="AE110" s="252"/>
      <c r="AF110" s="247"/>
      <c r="AG110" s="252"/>
      <c r="AH110" s="247"/>
      <c r="AI110" s="252"/>
      <c r="AJ110" s="247"/>
      <c r="AK110" s="252"/>
    </row>
    <row r="111" spans="1:37" ht="12.75" thickBot="1">
      <c r="B111" s="247" t="s">
        <v>1661</v>
      </c>
      <c r="C111" s="656">
        <v>1.0249999999999999</v>
      </c>
      <c r="D111" s="247"/>
      <c r="E111" s="247"/>
      <c r="F111" s="266"/>
      <c r="G111" s="249"/>
      <c r="H111" s="249"/>
      <c r="I111" s="348"/>
      <c r="J111" s="250"/>
      <c r="K111" s="251"/>
      <c r="L111" s="251"/>
      <c r="M111" s="252"/>
      <c r="N111" s="247"/>
      <c r="O111" s="252"/>
      <c r="P111" s="247"/>
      <c r="Q111" s="252"/>
      <c r="R111" s="247"/>
      <c r="S111" s="252"/>
      <c r="T111" s="247"/>
      <c r="U111" s="252"/>
      <c r="V111" s="247"/>
      <c r="W111" s="252"/>
      <c r="X111" s="247"/>
      <c r="Y111" s="252"/>
      <c r="Z111" s="247"/>
      <c r="AA111" s="252"/>
      <c r="AB111" s="247"/>
      <c r="AC111" s="252"/>
      <c r="AD111" s="247"/>
      <c r="AE111" s="252"/>
      <c r="AF111" s="247"/>
      <c r="AG111" s="252"/>
      <c r="AH111" s="247"/>
      <c r="AI111" s="252"/>
      <c r="AJ111" s="247"/>
      <c r="AK111" s="252"/>
    </row>
    <row r="112" spans="1:37" ht="13.5">
      <c r="B112" s="262" t="s">
        <v>1660</v>
      </c>
      <c r="C112" s="152"/>
      <c r="D112" s="151">
        <f>POWER(10,7)</f>
        <v>10000000</v>
      </c>
      <c r="E112" s="152">
        <v>9</v>
      </c>
      <c r="F112" s="151">
        <f>D112/F3/C$111</f>
        <v>35821621.225916758</v>
      </c>
      <c r="G112" s="155" t="str">
        <f t="shared" ref="G112" si="278">M112&amp;";"&amp;O112&amp;Q112&amp;S112&amp;U112&amp;W112&amp;Y112&amp;AA112&amp;AC112&amp;AE112&amp;AG112&amp;AI112&amp;AK112</f>
        <v>0;EEE613129</v>
      </c>
      <c r="H112" s="155"/>
      <c r="I112" s="657"/>
      <c r="J112" s="156">
        <v>7</v>
      </c>
      <c r="K112" s="205">
        <f>F112/POWER(12,J112)+0.00000000000001</f>
        <v>0.9997157058308952</v>
      </c>
      <c r="L112" s="157" t="str">
        <f>INDEX(powers!$H$2:$H$75,33+J112)</f>
        <v>cosmic dour</v>
      </c>
      <c r="M112" s="75" t="str">
        <f t="shared" ref="M112" si="279">IF($E112&gt;=M$31,MID($J$31,IF($E112&gt;M$31,INT(K112),ROUND(K112,0))+1,1),"")</f>
        <v>0</v>
      </c>
      <c r="N112" s="76">
        <f>(K112-INT(K112))*12</f>
        <v>11.996588469970742</v>
      </c>
      <c r="O112" s="77" t="str">
        <f t="shared" ref="O112" si="280">IF($E112&gt;=O$31,MID($J$31,IF($E112&gt;O$31,INT(N112),ROUND(N112,0))+1,1),"")</f>
        <v>E</v>
      </c>
      <c r="P112" s="76">
        <f>(N112-INT(N112))*12</f>
        <v>11.959061639648908</v>
      </c>
      <c r="Q112" s="77" t="str">
        <f t="shared" ref="Q112" si="281">IF($E112&gt;=Q$31,MID($J$31,IF($E112&gt;Q$31,INT(P112),ROUND(P112,0))+1,1),"")</f>
        <v>E</v>
      </c>
      <c r="R112" s="76">
        <f>(P112-INT(P112))*12</f>
        <v>11.508739675786899</v>
      </c>
      <c r="S112" s="77" t="str">
        <f t="shared" ref="S112" si="282">IF($E112&gt;=S$31,MID($J$31,IF($E112&gt;S$31,INT(R112),ROUND(R112,0))+1,1),"")</f>
        <v>E</v>
      </c>
      <c r="T112" s="76">
        <f>(R112-INT(R112))*12</f>
        <v>6.1048761094427846</v>
      </c>
      <c r="U112" s="77" t="str">
        <f t="shared" ref="U112" si="283">IF($E112&gt;=U$31,MID($J$31,IF($E112&gt;U$31,INT(T112),ROUND(T112,0))+1,1),"")</f>
        <v>6</v>
      </c>
      <c r="V112" s="76">
        <f>(T112-INT(T112))*12</f>
        <v>1.258513313313415</v>
      </c>
      <c r="W112" s="77" t="str">
        <f t="shared" ref="W112" si="284">IF($E112&gt;=W$31,MID($J$31,IF($E112&gt;W$31,INT(V112),ROUND(V112,0))+1,1),"")</f>
        <v>1</v>
      </c>
      <c r="X112" s="76">
        <f>(V112-INT(V112))*12</f>
        <v>3.1021597597609798</v>
      </c>
      <c r="Y112" s="77" t="str">
        <f t="shared" ref="Y112" si="285">IF($E112&gt;=Y$31,MID($J$31,IF($E112&gt;Y$31,INT(X112),ROUND(X112,0))+1,1),"")</f>
        <v>3</v>
      </c>
      <c r="Z112" s="76">
        <f>(X112-INT(X112))*12</f>
        <v>1.2259171171317575</v>
      </c>
      <c r="AA112" s="77" t="str">
        <f t="shared" ref="AA112" si="286">IF($E112&gt;=AA$31,MID($J$31,IF($E112&gt;AA$31,INT(Z112),ROUND(Z112,0))+1,1),"")</f>
        <v>1</v>
      </c>
      <c r="AB112" s="76">
        <f>(Z112-INT(Z112))*12</f>
        <v>2.7110054055810906</v>
      </c>
      <c r="AC112" s="77" t="str">
        <f t="shared" ref="AC112" si="287">IF($E112&gt;=AC$31,MID($J$31,IF($E112&gt;AC$31,INT(AB112),ROUND(AB112,0))+1,1),"")</f>
        <v>2</v>
      </c>
      <c r="AD112" s="76">
        <f>(AB112-INT(AB112))*12</f>
        <v>8.5320648669730872</v>
      </c>
      <c r="AE112" s="77" t="str">
        <f t="shared" ref="AE112" si="288">IF($E112&gt;=AE$31,MID($J$31,IF($E112&gt;AE$31,INT(AD112),ROUND(AD112,0))+1,1),"")</f>
        <v>9</v>
      </c>
      <c r="AF112" s="76">
        <f>(AD112-INT(AD112))*12</f>
        <v>6.3847784036770463</v>
      </c>
      <c r="AG112" s="77" t="str">
        <f t="shared" ref="AG112" si="289">IF($E112&gt;=AG$31,MID($J$31,IF($E112&gt;AG$31,INT(AF112),ROUND(AF112,0))+1,1),"")</f>
        <v/>
      </c>
      <c r="AH112" s="76">
        <f>(AF112-INT(AF112))*12</f>
        <v>4.6173408441245556</v>
      </c>
      <c r="AI112" s="77" t="str">
        <f t="shared" ref="AI112" si="290">IF($E112&gt;=AI$31,MID($J$31,IF($E112&gt;AI$31,INT(AH112),ROUND(AH112,0))+1,1),"")</f>
        <v/>
      </c>
      <c r="AJ112" s="76">
        <f>(AH112-INT(AH112))*12</f>
        <v>7.4080901294946671</v>
      </c>
      <c r="AK112" s="78" t="str">
        <f t="shared" ref="AK112" si="291">IF($E112&gt;=AK$31,MID($J$31,IF($E112&gt;AK$31,INT(AJ112),ROUND(AJ112,0))+1,1),"")</f>
        <v/>
      </c>
    </row>
    <row r="113" spans="2:39" ht="13.5">
      <c r="B113" s="95" t="s">
        <v>1662</v>
      </c>
      <c r="C113" s="8"/>
      <c r="D113" s="21">
        <f>POWER(10,5)</f>
        <v>100000</v>
      </c>
      <c r="E113" s="8">
        <v>9</v>
      </c>
      <c r="F113" s="21">
        <f>D113/F4/C$111</f>
        <v>249756.02396020506</v>
      </c>
      <c r="G113" s="37" t="str">
        <f t="shared" ref="G113" si="292">M113&amp;";"&amp;O113&amp;Q113&amp;S113&amp;U113&amp;W113&amp;Y113&amp;AA113&amp;AC113&amp;AE113&amp;AG113&amp;AI113&amp;AK113</f>
        <v>1;006500355</v>
      </c>
      <c r="H113" s="37"/>
      <c r="I113" s="340"/>
      <c r="J113" s="38">
        <v>5</v>
      </c>
      <c r="K113" s="132">
        <f>F113/POWER(12,J113)+0.00000000000001</f>
        <v>1.0037134450561325</v>
      </c>
      <c r="L113" s="39" t="str">
        <f>INDEX(powers!$H$2:$H$75,33+J113)</f>
        <v>cosmic milly</v>
      </c>
      <c r="M113" s="75" t="str">
        <f t="shared" ref="M113" si="293">IF($E113&gt;=M$31,MID($J$31,IF($E113&gt;M$31,INT(K113),ROUND(K113,0))+1,1),"")</f>
        <v>1</v>
      </c>
      <c r="N113" s="76">
        <f>(K113-INT(K113))*12</f>
        <v>4.4561340673589633E-2</v>
      </c>
      <c r="O113" s="77" t="str">
        <f t="shared" ref="O113" si="294">IF($E113&gt;=O$31,MID($J$31,IF($E113&gt;O$31,INT(N113),ROUND(N113,0))+1,1),"")</f>
        <v>0</v>
      </c>
      <c r="P113" s="76">
        <f>(N113-INT(N113))*12</f>
        <v>0.5347360880830756</v>
      </c>
      <c r="Q113" s="77" t="str">
        <f t="shared" ref="Q113" si="295">IF($E113&gt;=Q$31,MID($J$31,IF($E113&gt;Q$31,INT(P113),ROUND(P113,0))+1,1),"")</f>
        <v>0</v>
      </c>
      <c r="R113" s="76">
        <f>(P113-INT(P113))*12</f>
        <v>6.4168330569969072</v>
      </c>
      <c r="S113" s="77" t="str">
        <f t="shared" ref="S113" si="296">IF($E113&gt;=S$31,MID($J$31,IF($E113&gt;S$31,INT(R113),ROUND(R113,0))+1,1),"")</f>
        <v>6</v>
      </c>
      <c r="T113" s="76">
        <f>(R113-INT(R113))*12</f>
        <v>5.0019966839628864</v>
      </c>
      <c r="U113" s="77" t="str">
        <f t="shared" ref="U113" si="297">IF($E113&gt;=U$31,MID($J$31,IF($E113&gt;U$31,INT(T113),ROUND(T113,0))+1,1),"")</f>
        <v>5</v>
      </c>
      <c r="V113" s="76">
        <f>(T113-INT(T113))*12</f>
        <v>2.3960207554637236E-2</v>
      </c>
      <c r="W113" s="77" t="str">
        <f t="shared" ref="W113" si="298">IF($E113&gt;=W$31,MID($J$31,IF($E113&gt;W$31,INT(V113),ROUND(V113,0))+1,1),"")</f>
        <v>0</v>
      </c>
      <c r="X113" s="76">
        <f>(V113-INT(V113))*12</f>
        <v>0.28752249065564683</v>
      </c>
      <c r="Y113" s="77" t="str">
        <f t="shared" ref="Y113" si="299">IF($E113&gt;=Y$31,MID($J$31,IF($E113&gt;Y$31,INT(X113),ROUND(X113,0))+1,1),"")</f>
        <v>0</v>
      </c>
      <c r="Z113" s="76">
        <f>(X113-INT(X113))*12</f>
        <v>3.450269887867762</v>
      </c>
      <c r="AA113" s="77" t="str">
        <f t="shared" ref="AA113" si="300">IF($E113&gt;=AA$31,MID($J$31,IF($E113&gt;AA$31,INT(Z113),ROUND(Z113,0))+1,1),"")</f>
        <v>3</v>
      </c>
      <c r="AB113" s="76">
        <f>(Z113-INT(Z113))*12</f>
        <v>5.4032386544131441</v>
      </c>
      <c r="AC113" s="77" t="str">
        <f t="shared" ref="AC113" si="301">IF($E113&gt;=AC$31,MID($J$31,IF($E113&gt;AC$31,INT(AB113),ROUND(AB113,0))+1,1),"")</f>
        <v>5</v>
      </c>
      <c r="AD113" s="76">
        <f>(AB113-INT(AB113))*12</f>
        <v>4.8388638529577293</v>
      </c>
      <c r="AE113" s="77" t="str">
        <f t="shared" ref="AE113" si="302">IF($E113&gt;=AE$31,MID($J$31,IF($E113&gt;AE$31,INT(AD113),ROUND(AD113,0))+1,1),"")</f>
        <v>5</v>
      </c>
      <c r="AF113" s="76">
        <f>(AD113-INT(AD113))*12</f>
        <v>10.066366235492751</v>
      </c>
      <c r="AG113" s="77" t="str">
        <f t="shared" ref="AG113" si="303">IF($E113&gt;=AG$31,MID($J$31,IF($E113&gt;AG$31,INT(AF113),ROUND(AF113,0))+1,1),"")</f>
        <v/>
      </c>
      <c r="AH113" s="76">
        <f>(AF113-INT(AF113))*12</f>
        <v>0.79639482591301203</v>
      </c>
      <c r="AI113" s="77" t="str">
        <f t="shared" ref="AI113" si="304">IF($E113&gt;=AI$31,MID($J$31,IF($E113&gt;AI$31,INT(AH113),ROUND(AH113,0))+1,1),"")</f>
        <v/>
      </c>
      <c r="AJ113" s="76">
        <f>(AH113-INT(AH113))*12</f>
        <v>9.5567379109561443</v>
      </c>
      <c r="AK113" s="78" t="str">
        <f t="shared" ref="AK113" si="305">IF($E113&gt;=AK$31,MID($J$31,IF($E113&gt;AK$31,INT(AJ113),ROUND(AJ113,0))+1,1),"")</f>
        <v/>
      </c>
    </row>
    <row r="114" spans="2:39">
      <c r="B114" s="95" t="s">
        <v>1663</v>
      </c>
      <c r="C114" s="8"/>
      <c r="D114" s="21">
        <f>D41</f>
        <v>1.6021766207155676E-19</v>
      </c>
      <c r="E114" s="8">
        <v>9</v>
      </c>
      <c r="F114" s="21">
        <f>D114/F12/C$111</f>
        <v>5.4092880489375909E-18</v>
      </c>
      <c r="G114" s="37" t="str">
        <f t="shared" ref="G114" si="306">M114&amp;";"&amp;O114&amp;Q114&amp;S114&amp;U114&amp;W114&amp;Y114&amp;AA114&amp;AC114&amp;AE114&amp;AG114&amp;AI114&amp;AK114</f>
        <v>1;0001XE416</v>
      </c>
      <c r="H114" s="37"/>
      <c r="I114" s="340"/>
      <c r="J114" s="38">
        <v>-16</v>
      </c>
      <c r="K114" s="132">
        <f>F114/POWER(12,J114)+0.00000000000001</f>
        <v>1.0000922120776141</v>
      </c>
      <c r="L114" s="39" t="str">
        <f>INDEX(powers!$H$2:$H$75,33+J114)</f>
        <v>di-atomic</v>
      </c>
      <c r="M114" s="75" t="str">
        <f t="shared" ref="M114" si="307">IF($E114&gt;=M$31,MID($J$31,IF($E114&gt;M$31,INT(K114),ROUND(K114,0))+1,1),"")</f>
        <v>1</v>
      </c>
      <c r="N114" s="76">
        <f>(K114-INT(K114))*12</f>
        <v>1.1065449313694131E-3</v>
      </c>
      <c r="O114" s="77" t="str">
        <f t="shared" ref="O114" si="308">IF($E114&gt;=O$31,MID($J$31,IF($E114&gt;O$31,INT(N114),ROUND(N114,0))+1,1),"")</f>
        <v>0</v>
      </c>
      <c r="P114" s="76">
        <f>(N114-INT(N114))*12</f>
        <v>1.3278539176432957E-2</v>
      </c>
      <c r="Q114" s="77" t="str">
        <f t="shared" ref="Q114" si="309">IF($E114&gt;=Q$31,MID($J$31,IF($E114&gt;Q$31,INT(P114),ROUND(P114,0))+1,1),"")</f>
        <v>0</v>
      </c>
      <c r="R114" s="76">
        <f>(P114-INT(P114))*12</f>
        <v>0.15934247011719549</v>
      </c>
      <c r="S114" s="77" t="str">
        <f t="shared" ref="S114" si="310">IF($E114&gt;=S$31,MID($J$31,IF($E114&gt;S$31,INT(R114),ROUND(R114,0))+1,1),"")</f>
        <v>0</v>
      </c>
      <c r="T114" s="76">
        <f>(R114-INT(R114))*12</f>
        <v>1.9121096414063459</v>
      </c>
      <c r="U114" s="77" t="str">
        <f t="shared" ref="U114" si="311">IF($E114&gt;=U$31,MID($J$31,IF($E114&gt;U$31,INT(T114),ROUND(T114,0))+1,1),"")</f>
        <v>1</v>
      </c>
      <c r="V114" s="76">
        <f>(T114-INT(T114))*12</f>
        <v>10.94531569687615</v>
      </c>
      <c r="W114" s="77" t="str">
        <f t="shared" ref="W114" si="312">IF($E114&gt;=W$31,MID($J$31,IF($E114&gt;W$31,INT(V114),ROUND(V114,0))+1,1),"")</f>
        <v>X</v>
      </c>
      <c r="X114" s="76">
        <f>(V114-INT(V114))*12</f>
        <v>11.343788362513806</v>
      </c>
      <c r="Y114" s="77" t="str">
        <f t="shared" ref="Y114" si="313">IF($E114&gt;=Y$31,MID($J$31,IF($E114&gt;Y$31,INT(X114),ROUND(X114,0))+1,1),"")</f>
        <v>E</v>
      </c>
      <c r="Z114" s="76">
        <f>(X114-INT(X114))*12</f>
        <v>4.1254603501656675</v>
      </c>
      <c r="AA114" s="77" t="str">
        <f t="shared" ref="AA114" si="314">IF($E114&gt;=AA$31,MID($J$31,IF($E114&gt;AA$31,INT(Z114),ROUND(Z114,0))+1,1),"")</f>
        <v>4</v>
      </c>
      <c r="AB114" s="76">
        <f>(Z114-INT(Z114))*12</f>
        <v>1.5055242019880097</v>
      </c>
      <c r="AC114" s="77" t="str">
        <f t="shared" ref="AC114" si="315">IF($E114&gt;=AC$31,MID($J$31,IF($E114&gt;AC$31,INT(AB114),ROUND(AB114,0))+1,1),"")</f>
        <v>1</v>
      </c>
      <c r="AD114" s="76">
        <f>(AB114-INT(AB114))*12</f>
        <v>6.0662904238561168</v>
      </c>
      <c r="AE114" s="77" t="str">
        <f t="shared" ref="AE114" si="316">IF($E114&gt;=AE$31,MID($J$31,IF($E114&gt;AE$31,INT(AD114),ROUND(AD114,0))+1,1),"")</f>
        <v>6</v>
      </c>
      <c r="AF114" s="76">
        <f>(AD114-INT(AD114))*12</f>
        <v>0.79548508627340198</v>
      </c>
      <c r="AG114" s="77" t="str">
        <f t="shared" ref="AG114" si="317">IF($E114&gt;=AG$31,MID($J$31,IF($E114&gt;AG$31,INT(AF114),ROUND(AF114,0))+1,1),"")</f>
        <v/>
      </c>
      <c r="AH114" s="76">
        <f>(AF114-INT(AF114))*12</f>
        <v>9.5458210352808237</v>
      </c>
      <c r="AI114" s="77" t="str">
        <f t="shared" ref="AI114" si="318">IF($E114&gt;=AI$31,MID($J$31,IF($E114&gt;AI$31,INT(AH114),ROUND(AH114,0))+1,1),"")</f>
        <v/>
      </c>
      <c r="AJ114" s="76">
        <f>(AH114-INT(AH114))*12</f>
        <v>6.5498524233698845</v>
      </c>
      <c r="AK114" s="78" t="str">
        <f t="shared" ref="AK114" si="319">IF($E114&gt;=AK$31,MID($J$31,IF($E114&gt;AK$31,INT(AJ114),ROUND(AJ114,0))+1,1),"")</f>
        <v/>
      </c>
    </row>
    <row r="115" spans="2:39" ht="12.75" thickBot="1">
      <c r="B115" s="658" t="s">
        <v>1664</v>
      </c>
      <c r="C115" s="33"/>
      <c r="D115" s="32">
        <f>D55</f>
        <v>916.8</v>
      </c>
      <c r="E115" s="33">
        <v>9</v>
      </c>
      <c r="F115" s="32">
        <f>D115/(F8/POWER(F3,3)/C$111)</f>
        <v>144.00555928120352</v>
      </c>
      <c r="G115" s="47" t="str">
        <f t="shared" ref="G115" si="320">M115&amp;";"&amp;O115&amp;Q115&amp;S115&amp;U115&amp;W115&amp;Y115&amp;AA115&amp;AC115&amp;AE115&amp;AG115&amp;AI115&amp;AK115</f>
        <v>1;00009733E</v>
      </c>
      <c r="H115" s="47"/>
      <c r="I115" s="342"/>
      <c r="J115" s="48">
        <v>2</v>
      </c>
      <c r="K115" s="110">
        <f>F115/POWER(12,J115)+0.00000000000001</f>
        <v>1.0000386061194788</v>
      </c>
      <c r="L115" s="49" t="str">
        <f>INDEX(powers!$H$2:$H$75,33+J115)</f>
        <v>hecty</v>
      </c>
      <c r="M115" s="75" t="str">
        <f t="shared" ref="M115" si="321">IF($E115&gt;=M$31,MID($J$31,IF($E115&gt;M$31,INT(K115),ROUND(K115,0))+1,1),"")</f>
        <v>1</v>
      </c>
      <c r="N115" s="76">
        <f>(K115-INT(K115))*12</f>
        <v>4.6327343374574781E-4</v>
      </c>
      <c r="O115" s="77" t="str">
        <f t="shared" ref="O115" si="322">IF($E115&gt;=O$31,MID($J$31,IF($E115&gt;O$31,INT(N115),ROUND(N115,0))+1,1),"")</f>
        <v>0</v>
      </c>
      <c r="P115" s="76">
        <f>(N115-INT(N115))*12</f>
        <v>5.5592812049489737E-3</v>
      </c>
      <c r="Q115" s="77" t="str">
        <f t="shared" ref="Q115" si="323">IF($E115&gt;=Q$31,MID($J$31,IF($E115&gt;Q$31,INT(P115),ROUND(P115,0))+1,1),"")</f>
        <v>0</v>
      </c>
      <c r="R115" s="76">
        <f>(P115-INT(P115))*12</f>
        <v>6.6711374459387685E-2</v>
      </c>
      <c r="S115" s="77" t="str">
        <f t="shared" ref="S115" si="324">IF($E115&gt;=S$31,MID($J$31,IF($E115&gt;S$31,INT(R115),ROUND(R115,0))+1,1),"")</f>
        <v>0</v>
      </c>
      <c r="T115" s="76">
        <f>(R115-INT(R115))*12</f>
        <v>0.80053649351265221</v>
      </c>
      <c r="U115" s="77" t="str">
        <f t="shared" ref="U115" si="325">IF($E115&gt;=U$31,MID($J$31,IF($E115&gt;U$31,INT(T115),ROUND(T115,0))+1,1),"")</f>
        <v>0</v>
      </c>
      <c r="V115" s="76">
        <f>(T115-INT(T115))*12</f>
        <v>9.6064379221518266</v>
      </c>
      <c r="W115" s="77" t="str">
        <f t="shared" ref="W115" si="326">IF($E115&gt;=W$31,MID($J$31,IF($E115&gt;W$31,INT(V115),ROUND(V115,0))+1,1),"")</f>
        <v>9</v>
      </c>
      <c r="X115" s="76">
        <f>(V115-INT(V115))*12</f>
        <v>7.2772550658219188</v>
      </c>
      <c r="Y115" s="77" t="str">
        <f t="shared" ref="Y115" si="327">IF($E115&gt;=Y$31,MID($J$31,IF($E115&gt;Y$31,INT(X115),ROUND(X115,0))+1,1),"")</f>
        <v>7</v>
      </c>
      <c r="Z115" s="76">
        <f>(X115-INT(X115))*12</f>
        <v>3.327060789863026</v>
      </c>
      <c r="AA115" s="77" t="str">
        <f t="shared" ref="AA115" si="328">IF($E115&gt;=AA$31,MID($J$31,IF($E115&gt;AA$31,INT(Z115),ROUND(Z115,0))+1,1),"")</f>
        <v>3</v>
      </c>
      <c r="AB115" s="76">
        <f>(Z115-INT(Z115))*12</f>
        <v>3.924729478356312</v>
      </c>
      <c r="AC115" s="77" t="str">
        <f t="shared" ref="AC115" si="329">IF($E115&gt;=AC$31,MID($J$31,IF($E115&gt;AC$31,INT(AB115),ROUND(AB115,0))+1,1),"")</f>
        <v>3</v>
      </c>
      <c r="AD115" s="76">
        <f>(AB115-INT(AB115))*12</f>
        <v>11.096753740275744</v>
      </c>
      <c r="AE115" s="77" t="str">
        <f t="shared" ref="AE115" si="330">IF($E115&gt;=AE$31,MID($J$31,IF($E115&gt;AE$31,INT(AD115),ROUND(AD115,0))+1,1),"")</f>
        <v>E</v>
      </c>
      <c r="AF115" s="76">
        <f>(AD115-INT(AD115))*12</f>
        <v>1.1610448833089322</v>
      </c>
      <c r="AG115" s="77" t="str">
        <f t="shared" ref="AG115" si="331">IF($E115&gt;=AG$31,MID($J$31,IF($E115&gt;AG$31,INT(AF115),ROUND(AF115,0))+1,1),"")</f>
        <v/>
      </c>
      <c r="AH115" s="76">
        <f>(AF115-INT(AF115))*12</f>
        <v>1.9325385997071862</v>
      </c>
      <c r="AI115" s="77" t="str">
        <f t="shared" ref="AI115" si="332">IF($E115&gt;=AI$31,MID($J$31,IF($E115&gt;AI$31,INT(AH115),ROUND(AH115,0))+1,1),"")</f>
        <v/>
      </c>
      <c r="AJ115" s="76">
        <f>(AH115-INT(AH115))*12</f>
        <v>11.190463196486235</v>
      </c>
      <c r="AK115" s="78" t="str">
        <f t="shared" ref="AK115" si="333">IF($E115&gt;=AK$31,MID($J$31,IF($E115&gt;AK$31,INT(AJ115),ROUND(AJ115,0))+1,1),"")</f>
        <v/>
      </c>
    </row>
    <row r="116" spans="2:39">
      <c r="B116" s="247"/>
      <c r="C116" s="247"/>
      <c r="D116" s="247"/>
      <c r="E116" s="247"/>
      <c r="F116" s="266"/>
      <c r="G116" s="249"/>
      <c r="H116" s="249"/>
      <c r="I116" s="348"/>
      <c r="J116" s="250"/>
      <c r="K116" s="251"/>
      <c r="L116" s="251"/>
      <c r="M116" s="252"/>
      <c r="N116" s="247"/>
      <c r="O116" s="252"/>
      <c r="P116" s="247"/>
      <c r="Q116" s="252"/>
      <c r="R116" s="247"/>
      <c r="S116" s="252"/>
      <c r="T116" s="247"/>
      <c r="U116" s="252"/>
      <c r="V116" s="247"/>
      <c r="W116" s="252"/>
      <c r="X116" s="247"/>
      <c r="Y116" s="252"/>
      <c r="Z116" s="247"/>
      <c r="AA116" s="252"/>
      <c r="AB116" s="247"/>
      <c r="AC116" s="252"/>
      <c r="AD116" s="247"/>
      <c r="AE116" s="252"/>
      <c r="AF116" s="247"/>
      <c r="AG116" s="252"/>
      <c r="AH116" s="247"/>
      <c r="AI116" s="252"/>
      <c r="AJ116" s="247"/>
      <c r="AK116" s="252"/>
    </row>
    <row r="117" spans="2:39" ht="12.75" thickBot="1">
      <c r="B117" s="14" t="s">
        <v>1145</v>
      </c>
      <c r="C117" s="54" t="s">
        <v>664</v>
      </c>
      <c r="D117" s="253">
        <f>AM118</f>
        <v>-74.360439333280311</v>
      </c>
      <c r="F117" s="245"/>
      <c r="G117" s="204"/>
      <c r="H117" s="204"/>
    </row>
    <row r="118" spans="2:39">
      <c r="B118" s="102" t="s">
        <v>652</v>
      </c>
      <c r="C118" s="255" t="s">
        <v>632</v>
      </c>
      <c r="D118" s="257">
        <v>-273.14999999999998</v>
      </c>
      <c r="E118" s="103">
        <v>9</v>
      </c>
      <c r="F118" s="238">
        <f t="shared" ref="F118:F140" si="334">(D118-D$117)/F$6/20736</f>
        <v>-164.19058641975303</v>
      </c>
      <c r="G118" s="254" t="str">
        <f>"-"&amp;M118&amp;";"&amp;O118&amp;Q118&amp;S118&amp;U118&amp;W118&amp;Y118&amp;AA118&amp;AC118&amp;AE118&amp;AG118&amp;AI118&amp;AK118</f>
        <v>-1;182354000</v>
      </c>
      <c r="H118" s="254"/>
      <c r="I118" s="346"/>
      <c r="J118" s="239">
        <v>2</v>
      </c>
      <c r="K118" s="240">
        <f>-F118/POWER(12,J118)+0.00000000000001</f>
        <v>1.1402124056927394</v>
      </c>
      <c r="L118" s="108" t="str">
        <f>INDEX(powers!$H$2:$H$75,33+J118)</f>
        <v>hecty</v>
      </c>
      <c r="M118" s="101" t="str">
        <f t="shared" ref="M118:M140" si="335">IF($E118&gt;=M$31,MID($J$31,IF($E118&gt;M$31,INT(K118),ROUND(K118,0))+1,1),"")</f>
        <v>1</v>
      </c>
      <c r="N118" s="8">
        <f t="shared" ref="N118:N140" si="336">(K118-INT(K118))*12</f>
        <v>1.6825488683128729</v>
      </c>
      <c r="O118" s="100" t="str">
        <f t="shared" ref="O118:O140" si="337">IF($E118&gt;=O$31,MID($J$31,IF($E118&gt;O$31,INT(N118),ROUND(N118,0))+1,1),"")</f>
        <v>1</v>
      </c>
      <c r="P118" s="8">
        <f t="shared" ref="P118:P140" si="338">(N118-INT(N118))*12</f>
        <v>8.1905864197544744</v>
      </c>
      <c r="Q118" s="100" t="str">
        <f t="shared" ref="Q118:Q140" si="339">IF($E118&gt;=Q$31,MID($J$31,IF($E118&gt;Q$31,INT(P118),ROUND(P118,0))+1,1),"")</f>
        <v>8</v>
      </c>
      <c r="R118" s="8">
        <f t="shared" ref="R118:R140" si="340">(P118-INT(P118))*12</f>
        <v>2.2870370370536932</v>
      </c>
      <c r="S118" s="100" t="str">
        <f t="shared" ref="S118:S140" si="341">IF($E118&gt;=S$31,MID($J$31,IF($E118&gt;S$31,INT(R118),ROUND(R118,0))+1,1),"")</f>
        <v>2</v>
      </c>
      <c r="T118" s="8">
        <f t="shared" ref="T118:T140" si="342">(R118-INT(R118))*12</f>
        <v>3.4444444446443185</v>
      </c>
      <c r="U118" s="100" t="str">
        <f t="shared" ref="U118:U140" si="343">IF($E118&gt;=U$31,MID($J$31,IF($E118&gt;U$31,INT(T118),ROUND(T118,0))+1,1),"")</f>
        <v>3</v>
      </c>
      <c r="V118" s="8">
        <f t="shared" ref="V118:V140" si="344">(T118-INT(T118))*12</f>
        <v>5.3333333357318224</v>
      </c>
      <c r="W118" s="100" t="str">
        <f t="shared" ref="W118:W140" si="345">IF($E118&gt;=W$31,MID($J$31,IF($E118&gt;W$31,INT(V118),ROUND(V118,0))+1,1),"")</f>
        <v>5</v>
      </c>
      <c r="X118" s="8">
        <f t="shared" ref="X118:X140" si="346">(V118-INT(V118))*12</f>
        <v>4.0000000287818693</v>
      </c>
      <c r="Y118" s="100" t="str">
        <f t="shared" ref="Y118:Y140" si="347">IF($E118&gt;=Y$31,MID($J$31,IF($E118&gt;Y$31,INT(X118),ROUND(X118,0))+1,1),"")</f>
        <v>4</v>
      </c>
      <c r="Z118" s="8">
        <f t="shared" ref="Z118:Z140" si="348">(X118-INT(X118))*12</f>
        <v>3.4538243198767304E-7</v>
      </c>
      <c r="AA118" s="100" t="str">
        <f t="shared" ref="AA118:AA140" si="349">IF($E118&gt;=AA$31,MID($J$31,IF($E118&gt;AA$31,INT(Z118),ROUND(Z118,0))+1,1),"")</f>
        <v>0</v>
      </c>
      <c r="AB118" s="8">
        <f t="shared" ref="AB118:AB140" si="350">(Z118-INT(Z118))*12</f>
        <v>4.1445891838520765E-6</v>
      </c>
      <c r="AC118" s="100" t="str">
        <f t="shared" ref="AC118:AC140" si="351">IF($E118&gt;=AC$31,MID($J$31,IF($E118&gt;AC$31,INT(AB118),ROUND(AB118,0))+1,1),"")</f>
        <v>0</v>
      </c>
      <c r="AD118" s="8">
        <f t="shared" ref="AD118:AD140" si="352">(AB118-INT(AB118))*12</f>
        <v>4.9735070206224918E-5</v>
      </c>
      <c r="AE118" s="100" t="str">
        <f t="shared" ref="AE118:AE140" si="353">IF($E118&gt;=AE$31,MID($J$31,IF($E118&gt;AE$31,INT(AD118),ROUND(AD118,0))+1,1),"")</f>
        <v>0</v>
      </c>
      <c r="AF118" s="8">
        <f t="shared" ref="AF118:AF140" si="354">(AD118-INT(AD118))*12</f>
        <v>5.9682084247469902E-4</v>
      </c>
      <c r="AG118" s="100" t="str">
        <f t="shared" ref="AG118:AG140" si="355">IF($E118&gt;=AG$31,MID($J$31,IF($E118&gt;AG$31,INT(AF118),ROUND(AF118,0))+1,1),"")</f>
        <v/>
      </c>
      <c r="AH118" s="8">
        <f t="shared" ref="AH118:AH140" si="356">(AF118-INT(AF118))*12</f>
        <v>7.1618501096963882E-3</v>
      </c>
      <c r="AI118" s="100" t="str">
        <f t="shared" ref="AI118:AI140" si="357">IF($E118&gt;=AI$31,MID($J$31,IF($E118&gt;AI$31,INT(AH118),ROUND(AH118,0))+1,1),"")</f>
        <v/>
      </c>
      <c r="AJ118" s="8">
        <f t="shared" ref="AJ118:AJ140" si="358">(AH118-INT(AH118))*12</f>
        <v>8.5942201316356659E-2</v>
      </c>
      <c r="AK118" s="100" t="str">
        <f t="shared" ref="AK118:AK140" si="359">IF($E118&gt;=AK$31,MID($J$31,IF($E118&gt;AK$31,INT(AJ118),ROUND(AJ118,0))+1,1),"")</f>
        <v/>
      </c>
      <c r="AL118" s="253">
        <f>-(144*1+1*12+8+2/12+3/144+5/1728+4/20736)</f>
        <v>-164.19058641975306</v>
      </c>
      <c r="AM118" s="253">
        <f>-AL118*F$6*20736+D118</f>
        <v>-74.360439333280311</v>
      </c>
    </row>
    <row r="119" spans="2:39">
      <c r="B119" s="130" t="s">
        <v>650</v>
      </c>
      <c r="C119" s="10" t="s">
        <v>651</v>
      </c>
      <c r="D119" s="210">
        <v>-89.4</v>
      </c>
      <c r="E119" s="8">
        <v>9</v>
      </c>
      <c r="F119" s="241">
        <f t="shared" si="334"/>
        <v>-12.421951520402779</v>
      </c>
      <c r="G119" s="242" t="str">
        <f>"-"&amp;M119&amp;";"&amp;O119&amp;Q119&amp;S119&amp;U119&amp;W119&amp;Y119&amp;AA119&amp;AC119&amp;AE119&amp;AG119&amp;AI119&amp;AK119</f>
        <v>-1;05091705X</v>
      </c>
      <c r="H119" s="242"/>
      <c r="I119" s="347"/>
      <c r="J119" s="243">
        <v>1</v>
      </c>
      <c r="K119" s="244">
        <f>-F119/POWER(12,J119)+0.00000000000001</f>
        <v>1.0351626267002416</v>
      </c>
      <c r="L119" s="39" t="str">
        <f>INDEX(powers!$H$2:$H$75,33+J119)</f>
        <v>dirac</v>
      </c>
      <c r="M119" s="101" t="str">
        <f t="shared" si="335"/>
        <v>1</v>
      </c>
      <c r="N119" s="8">
        <f t="shared" si="336"/>
        <v>0.4219515204028994</v>
      </c>
      <c r="O119" s="100" t="str">
        <f t="shared" si="337"/>
        <v>0</v>
      </c>
      <c r="P119" s="8">
        <f t="shared" si="338"/>
        <v>5.0634182448347929</v>
      </c>
      <c r="Q119" s="100" t="str">
        <f t="shared" si="339"/>
        <v>5</v>
      </c>
      <c r="R119" s="8">
        <f t="shared" si="340"/>
        <v>0.7610189380175143</v>
      </c>
      <c r="S119" s="100" t="str">
        <f t="shared" si="341"/>
        <v>0</v>
      </c>
      <c r="T119" s="8">
        <f t="shared" si="342"/>
        <v>9.1322272562101716</v>
      </c>
      <c r="U119" s="100" t="str">
        <f t="shared" si="343"/>
        <v>9</v>
      </c>
      <c r="V119" s="8">
        <f t="shared" si="344"/>
        <v>1.5867270745220594</v>
      </c>
      <c r="W119" s="100" t="str">
        <f t="shared" si="345"/>
        <v>1</v>
      </c>
      <c r="X119" s="8">
        <f t="shared" si="346"/>
        <v>7.0407248942647129</v>
      </c>
      <c r="Y119" s="100" t="str">
        <f t="shared" si="347"/>
        <v>7</v>
      </c>
      <c r="Z119" s="8">
        <f t="shared" si="348"/>
        <v>0.48869873117655516</v>
      </c>
      <c r="AA119" s="100" t="str">
        <f t="shared" si="349"/>
        <v>0</v>
      </c>
      <c r="AB119" s="8">
        <f t="shared" si="350"/>
        <v>5.8643847741186619</v>
      </c>
      <c r="AC119" s="100" t="str">
        <f t="shared" si="351"/>
        <v>5</v>
      </c>
      <c r="AD119" s="8">
        <f t="shared" si="352"/>
        <v>10.372617289423943</v>
      </c>
      <c r="AE119" s="100" t="str">
        <f t="shared" si="353"/>
        <v>X</v>
      </c>
      <c r="AF119" s="8">
        <f t="shared" si="354"/>
        <v>4.4714074730873108</v>
      </c>
      <c r="AG119" s="100" t="str">
        <f t="shared" si="355"/>
        <v/>
      </c>
      <c r="AH119" s="8">
        <f t="shared" si="356"/>
        <v>5.6568896770477295</v>
      </c>
      <c r="AI119" s="100" t="str">
        <f t="shared" si="357"/>
        <v/>
      </c>
      <c r="AJ119" s="8">
        <f t="shared" si="358"/>
        <v>7.8826761245727539</v>
      </c>
      <c r="AK119" s="100" t="str">
        <f t="shared" si="359"/>
        <v/>
      </c>
    </row>
    <row r="120" spans="2:39">
      <c r="B120" s="130"/>
      <c r="C120" s="9" t="s">
        <v>633</v>
      </c>
      <c r="D120" s="210">
        <v>-78</v>
      </c>
      <c r="E120" s="8">
        <v>9</v>
      </c>
      <c r="F120" s="241">
        <f t="shared" si="334"/>
        <v>-3.0061015184838986</v>
      </c>
      <c r="G120" s="242" t="str">
        <f>"-"&amp;M120&amp;";"&amp;O120&amp;Q120&amp;S120&amp;U120&amp;W120&amp;Y120&amp;AA120&amp;AC120&amp;AE120&amp;AG120&amp;AI120&amp;AK120</f>
        <v>-3;00X663053</v>
      </c>
      <c r="H120" s="242"/>
      <c r="I120" s="347"/>
      <c r="J120" s="243">
        <v>0</v>
      </c>
      <c r="K120" s="244">
        <f>-F120/POWER(12,J120)+0.00000000000001</f>
        <v>3.0061015184839088</v>
      </c>
      <c r="L120" s="39" t="str">
        <f>INDEX(powers!$H$2:$H$75,33+J120)</f>
        <v xml:space="preserve"> </v>
      </c>
      <c r="M120" s="101" t="str">
        <f t="shared" ref="M120" si="360">IF($E120&gt;=M$31,MID($J$31,IF($E120&gt;M$31,INT(K120),ROUND(K120,0))+1,1),"")</f>
        <v>3</v>
      </c>
      <c r="N120" s="8">
        <f t="shared" ref="N120" si="361">(K120-INT(K120))*12</f>
        <v>7.3218221806905959E-2</v>
      </c>
      <c r="O120" s="100" t="str">
        <f t="shared" ref="O120" si="362">IF($E120&gt;=O$31,MID($J$31,IF($E120&gt;O$31,INT(N120),ROUND(N120,0))+1,1),"")</f>
        <v>0</v>
      </c>
      <c r="P120" s="8">
        <f t="shared" ref="P120" si="363">(N120-INT(N120))*12</f>
        <v>0.8786186616828715</v>
      </c>
      <c r="Q120" s="100" t="str">
        <f t="shared" ref="Q120" si="364">IF($E120&gt;=Q$31,MID($J$31,IF($E120&gt;Q$31,INT(P120),ROUND(P120,0))+1,1),"")</f>
        <v>0</v>
      </c>
      <c r="R120" s="8">
        <f t="shared" ref="R120" si="365">(P120-INT(P120))*12</f>
        <v>10.543423940194458</v>
      </c>
      <c r="S120" s="100" t="str">
        <f t="shared" ref="S120" si="366">IF($E120&gt;=S$31,MID($J$31,IF($E120&gt;S$31,INT(R120),ROUND(R120,0))+1,1),"")</f>
        <v>X</v>
      </c>
      <c r="T120" s="8">
        <f t="shared" ref="T120" si="367">(R120-INT(R120))*12</f>
        <v>6.5210872823334967</v>
      </c>
      <c r="U120" s="100" t="str">
        <f t="shared" ref="U120" si="368">IF($E120&gt;=U$31,MID($J$31,IF($E120&gt;U$31,INT(T120),ROUND(T120,0))+1,1),"")</f>
        <v>6</v>
      </c>
      <c r="V120" s="8">
        <f t="shared" ref="V120" si="369">(T120-INT(T120))*12</f>
        <v>6.2530473880019599</v>
      </c>
      <c r="W120" s="100" t="str">
        <f t="shared" ref="W120" si="370">IF($E120&gt;=W$31,MID($J$31,IF($E120&gt;W$31,INT(V120),ROUND(V120,0))+1,1),"")</f>
        <v>6</v>
      </c>
      <c r="X120" s="8">
        <f t="shared" ref="X120" si="371">(V120-INT(V120))*12</f>
        <v>3.036568656023519</v>
      </c>
      <c r="Y120" s="100" t="str">
        <f t="shared" ref="Y120" si="372">IF($E120&gt;=Y$31,MID($J$31,IF($E120&gt;Y$31,INT(X120),ROUND(X120,0))+1,1),"")</f>
        <v>3</v>
      </c>
      <c r="Z120" s="8">
        <f t="shared" ref="Z120" si="373">(X120-INT(X120))*12</f>
        <v>0.43882387228222797</v>
      </c>
      <c r="AA120" s="100" t="str">
        <f t="shared" ref="AA120" si="374">IF($E120&gt;=AA$31,MID($J$31,IF($E120&gt;AA$31,INT(Z120),ROUND(Z120,0))+1,1),"")</f>
        <v>0</v>
      </c>
      <c r="AB120" s="8">
        <f t="shared" ref="AB120" si="375">(Z120-INT(Z120))*12</f>
        <v>5.2658864673867356</v>
      </c>
      <c r="AC120" s="100" t="str">
        <f t="shared" ref="AC120" si="376">IF($E120&gt;=AC$31,MID($J$31,IF($E120&gt;AC$31,INT(AB120),ROUND(AB120,0))+1,1),"")</f>
        <v>5</v>
      </c>
      <c r="AD120" s="8">
        <f t="shared" ref="AD120" si="377">(AB120-INT(AB120))*12</f>
        <v>3.1906376086408272</v>
      </c>
      <c r="AE120" s="100" t="str">
        <f t="shared" ref="AE120" si="378">IF($E120&gt;=AE$31,MID($J$31,IF($E120&gt;AE$31,INT(AD120),ROUND(AD120,0))+1,1),"")</f>
        <v>3</v>
      </c>
      <c r="AF120" s="8">
        <f t="shared" ref="AF120" si="379">(AD120-INT(AD120))*12</f>
        <v>2.2876513036899269</v>
      </c>
      <c r="AG120" s="100" t="str">
        <f t="shared" ref="AG120" si="380">IF($E120&gt;=AG$31,MID($J$31,IF($E120&gt;AG$31,INT(AF120),ROUND(AF120,0))+1,1),"")</f>
        <v/>
      </c>
      <c r="AH120" s="8">
        <f t="shared" ref="AH120" si="381">(AF120-INT(AF120))*12</f>
        <v>3.4518156442791224</v>
      </c>
      <c r="AI120" s="100" t="str">
        <f t="shared" ref="AI120" si="382">IF($E120&gt;=AI$31,MID($J$31,IF($E120&gt;AI$31,INT(AH120),ROUND(AH120,0))+1,1),"")</f>
        <v/>
      </c>
      <c r="AJ120" s="8">
        <f t="shared" ref="AJ120" si="383">(AH120-INT(AH120))*12</f>
        <v>5.4217877313494682</v>
      </c>
      <c r="AK120" s="100" t="str">
        <f t="shared" ref="AK120" si="384">IF($E120&gt;=AK$31,MID($J$31,IF($E120&gt;AK$31,INT(AJ120),ROUND(AJ120,0))+1,1),"")</f>
        <v/>
      </c>
    </row>
    <row r="121" spans="2:39">
      <c r="B121" s="130"/>
      <c r="C121" s="9" t="s">
        <v>634</v>
      </c>
      <c r="D121" s="210">
        <v>-55</v>
      </c>
      <c r="E121" s="8">
        <v>9</v>
      </c>
      <c r="F121" s="131">
        <f t="shared" si="334"/>
        <v>15.990788836264711</v>
      </c>
      <c r="G121" s="37" t="str">
        <f t="shared" ref="G121:G140" si="385">M121&amp;";"&amp;O121&amp;Q121&amp;S121&amp;U121&amp;W121&amp;Y121&amp;AA121&amp;AC121&amp;AE121&amp;AG121&amp;AI121&amp;AK121</f>
        <v>1;3EX80EE74</v>
      </c>
      <c r="H121" s="37"/>
      <c r="I121" s="340"/>
      <c r="J121" s="38">
        <v>1</v>
      </c>
      <c r="K121" s="132">
        <f t="shared" ref="K121:K140" si="386">F121/POWER(12,J121)+0.00000000000001</f>
        <v>1.3325657363554027</v>
      </c>
      <c r="L121" s="39" t="str">
        <f>INDEX(powers!$H$2:$H$75,33+J121)</f>
        <v>dirac</v>
      </c>
      <c r="M121" s="101" t="str">
        <f t="shared" si="335"/>
        <v>1</v>
      </c>
      <c r="N121" s="8">
        <f t="shared" si="336"/>
        <v>3.9907888362648318</v>
      </c>
      <c r="O121" s="100" t="str">
        <f t="shared" si="337"/>
        <v>3</v>
      </c>
      <c r="P121" s="8">
        <f t="shared" si="338"/>
        <v>11.889466035177982</v>
      </c>
      <c r="Q121" s="100" t="str">
        <f t="shared" si="339"/>
        <v>E</v>
      </c>
      <c r="R121" s="8">
        <f t="shared" si="340"/>
        <v>10.673592422135783</v>
      </c>
      <c r="S121" s="100" t="str">
        <f t="shared" si="341"/>
        <v>X</v>
      </c>
      <c r="T121" s="8">
        <f t="shared" si="342"/>
        <v>8.0831090656294009</v>
      </c>
      <c r="U121" s="100" t="str">
        <f t="shared" si="343"/>
        <v>8</v>
      </c>
      <c r="V121" s="8">
        <f t="shared" si="344"/>
        <v>0.99730878755281083</v>
      </c>
      <c r="W121" s="100" t="str">
        <f t="shared" si="345"/>
        <v>0</v>
      </c>
      <c r="X121" s="8">
        <f t="shared" si="346"/>
        <v>11.96770545063373</v>
      </c>
      <c r="Y121" s="100" t="str">
        <f t="shared" si="347"/>
        <v>E</v>
      </c>
      <c r="Z121" s="8">
        <f t="shared" si="348"/>
        <v>11.612465407604759</v>
      </c>
      <c r="AA121" s="100" t="str">
        <f t="shared" si="349"/>
        <v>E</v>
      </c>
      <c r="AB121" s="8">
        <f t="shared" si="350"/>
        <v>7.3495848912571091</v>
      </c>
      <c r="AC121" s="100" t="str">
        <f t="shared" si="351"/>
        <v>7</v>
      </c>
      <c r="AD121" s="8">
        <f t="shared" si="352"/>
        <v>4.1950186950853094</v>
      </c>
      <c r="AE121" s="100" t="str">
        <f t="shared" si="353"/>
        <v>4</v>
      </c>
      <c r="AF121" s="8">
        <f t="shared" si="354"/>
        <v>2.3402243410237134</v>
      </c>
      <c r="AG121" s="100" t="str">
        <f t="shared" si="355"/>
        <v/>
      </c>
      <c r="AH121" s="8">
        <f t="shared" si="356"/>
        <v>4.0826920922845602</v>
      </c>
      <c r="AI121" s="100" t="str">
        <f t="shared" si="357"/>
        <v/>
      </c>
      <c r="AJ121" s="8">
        <f t="shared" si="358"/>
        <v>0.99230510741472244</v>
      </c>
      <c r="AK121" s="100" t="str">
        <f t="shared" si="359"/>
        <v/>
      </c>
    </row>
    <row r="122" spans="2:39">
      <c r="B122" s="130"/>
      <c r="C122" s="9" t="s">
        <v>635</v>
      </c>
      <c r="D122" s="210">
        <v>-32</v>
      </c>
      <c r="E122" s="8">
        <v>9</v>
      </c>
      <c r="F122" s="131">
        <f t="shared" si="334"/>
        <v>34.987679191013321</v>
      </c>
      <c r="G122" s="37" t="str">
        <f t="shared" si="385"/>
        <v>2;XEX286232</v>
      </c>
      <c r="H122" s="37"/>
      <c r="I122" s="340"/>
      <c r="J122" s="38">
        <v>1</v>
      </c>
      <c r="K122" s="132">
        <f t="shared" si="386"/>
        <v>2.9156399325844538</v>
      </c>
      <c r="L122" s="39" t="str">
        <f>INDEX(powers!$H$2:$H$75,33+J122)</f>
        <v>dirac</v>
      </c>
      <c r="M122" s="101" t="str">
        <f t="shared" si="335"/>
        <v>2</v>
      </c>
      <c r="N122" s="8">
        <f t="shared" si="336"/>
        <v>10.987679191013445</v>
      </c>
      <c r="O122" s="100" t="str">
        <f t="shared" si="337"/>
        <v>X</v>
      </c>
      <c r="P122" s="8">
        <f t="shared" si="338"/>
        <v>11.85215029216134</v>
      </c>
      <c r="Q122" s="100" t="str">
        <f t="shared" si="339"/>
        <v>E</v>
      </c>
      <c r="R122" s="8">
        <f t="shared" si="340"/>
        <v>10.225803505936085</v>
      </c>
      <c r="S122" s="100" t="str">
        <f t="shared" si="341"/>
        <v>X</v>
      </c>
      <c r="T122" s="8">
        <f t="shared" si="342"/>
        <v>2.70964207123302</v>
      </c>
      <c r="U122" s="100" t="str">
        <f t="shared" si="343"/>
        <v>2</v>
      </c>
      <c r="V122" s="8">
        <f t="shared" si="344"/>
        <v>8.5157048547962404</v>
      </c>
      <c r="W122" s="100" t="str">
        <f t="shared" si="345"/>
        <v>8</v>
      </c>
      <c r="X122" s="8">
        <f t="shared" si="346"/>
        <v>6.1884582575548848</v>
      </c>
      <c r="Y122" s="100" t="str">
        <f t="shared" si="347"/>
        <v>6</v>
      </c>
      <c r="Z122" s="8">
        <f t="shared" si="348"/>
        <v>2.2614990906586172</v>
      </c>
      <c r="AA122" s="100" t="str">
        <f t="shared" si="349"/>
        <v>2</v>
      </c>
      <c r="AB122" s="8">
        <f t="shared" si="350"/>
        <v>3.1379890879034065</v>
      </c>
      <c r="AC122" s="100" t="str">
        <f t="shared" si="351"/>
        <v>3</v>
      </c>
      <c r="AD122" s="8">
        <f t="shared" si="352"/>
        <v>1.6558690548408777</v>
      </c>
      <c r="AE122" s="100" t="str">
        <f t="shared" si="353"/>
        <v>2</v>
      </c>
      <c r="AF122" s="8">
        <f t="shared" si="354"/>
        <v>7.8704286580905318</v>
      </c>
      <c r="AG122" s="100" t="str">
        <f t="shared" si="355"/>
        <v/>
      </c>
      <c r="AH122" s="8">
        <f t="shared" si="356"/>
        <v>10.445143897086382</v>
      </c>
      <c r="AI122" s="100" t="str">
        <f t="shared" si="357"/>
        <v/>
      </c>
      <c r="AJ122" s="8">
        <f t="shared" si="358"/>
        <v>5.3417267650365829</v>
      </c>
      <c r="AK122" s="100" t="str">
        <f t="shared" si="359"/>
        <v/>
      </c>
    </row>
    <row r="123" spans="2:39">
      <c r="B123" s="130"/>
      <c r="C123" s="9" t="s">
        <v>636</v>
      </c>
      <c r="D123" s="210">
        <v>-17.8</v>
      </c>
      <c r="E123" s="8">
        <v>9</v>
      </c>
      <c r="F123" s="131">
        <f t="shared" si="334"/>
        <v>46.716194105684195</v>
      </c>
      <c r="G123" s="37" t="str">
        <f t="shared" si="385"/>
        <v>3;X87170018</v>
      </c>
      <c r="H123" s="37"/>
      <c r="I123" s="340"/>
      <c r="J123" s="38">
        <v>1</v>
      </c>
      <c r="K123" s="132">
        <f t="shared" si="386"/>
        <v>3.8930161754736932</v>
      </c>
      <c r="L123" s="39" t="str">
        <f>INDEX(powers!$H$2:$H$75,33+J123)</f>
        <v>dirac</v>
      </c>
      <c r="M123" s="101" t="str">
        <f t="shared" si="335"/>
        <v>3</v>
      </c>
      <c r="N123" s="8">
        <f t="shared" si="336"/>
        <v>10.716194105684318</v>
      </c>
      <c r="O123" s="100" t="str">
        <f t="shared" si="337"/>
        <v>X</v>
      </c>
      <c r="P123" s="8">
        <f t="shared" si="338"/>
        <v>8.5943292682118155</v>
      </c>
      <c r="Q123" s="100" t="str">
        <f t="shared" si="339"/>
        <v>8</v>
      </c>
      <c r="R123" s="8">
        <f t="shared" si="340"/>
        <v>7.1319512185417864</v>
      </c>
      <c r="S123" s="100" t="str">
        <f t="shared" si="341"/>
        <v>7</v>
      </c>
      <c r="T123" s="8">
        <f t="shared" si="342"/>
        <v>1.5834146225014365</v>
      </c>
      <c r="U123" s="100" t="str">
        <f t="shared" si="343"/>
        <v>1</v>
      </c>
      <c r="V123" s="8">
        <f t="shared" si="344"/>
        <v>7.000975470017238</v>
      </c>
      <c r="W123" s="100" t="str">
        <f t="shared" si="345"/>
        <v>7</v>
      </c>
      <c r="X123" s="8">
        <f t="shared" si="346"/>
        <v>1.1705640206855605E-2</v>
      </c>
      <c r="Y123" s="100" t="str">
        <f t="shared" si="347"/>
        <v>0</v>
      </c>
      <c r="Z123" s="8">
        <f t="shared" si="348"/>
        <v>0.14046768248226726</v>
      </c>
      <c r="AA123" s="100" t="str">
        <f t="shared" si="349"/>
        <v>0</v>
      </c>
      <c r="AB123" s="8">
        <f t="shared" si="350"/>
        <v>1.6856121897872072</v>
      </c>
      <c r="AC123" s="100" t="str">
        <f t="shared" si="351"/>
        <v>1</v>
      </c>
      <c r="AD123" s="8">
        <f t="shared" si="352"/>
        <v>8.2273462774464861</v>
      </c>
      <c r="AE123" s="100" t="str">
        <f t="shared" si="353"/>
        <v>8</v>
      </c>
      <c r="AF123" s="8">
        <f t="shared" si="354"/>
        <v>2.7281553293578327</v>
      </c>
      <c r="AG123" s="100" t="str">
        <f t="shared" si="355"/>
        <v/>
      </c>
      <c r="AH123" s="8">
        <f t="shared" si="356"/>
        <v>8.737863952293992</v>
      </c>
      <c r="AI123" s="100" t="str">
        <f t="shared" si="357"/>
        <v/>
      </c>
      <c r="AJ123" s="8">
        <f t="shared" si="358"/>
        <v>8.8543674275279045</v>
      </c>
      <c r="AK123" s="100" t="str">
        <f t="shared" si="359"/>
        <v/>
      </c>
    </row>
    <row r="124" spans="2:39">
      <c r="B124" s="130"/>
      <c r="C124" s="9" t="s">
        <v>637</v>
      </c>
      <c r="D124" s="210">
        <v>-9</v>
      </c>
      <c r="E124" s="8">
        <v>9</v>
      </c>
      <c r="F124" s="131">
        <f t="shared" si="334"/>
        <v>53.984569545761921</v>
      </c>
      <c r="G124" s="37" t="str">
        <f t="shared" si="385"/>
        <v>4;5E99404XE</v>
      </c>
      <c r="H124" s="37"/>
      <c r="I124" s="340"/>
      <c r="J124" s="38">
        <v>1</v>
      </c>
      <c r="K124" s="132">
        <f t="shared" si="386"/>
        <v>4.4987141288135035</v>
      </c>
      <c r="L124" s="39" t="str">
        <f>INDEX(powers!$H$2:$H$75,33+J124)</f>
        <v>dirac</v>
      </c>
      <c r="M124" s="101" t="str">
        <f t="shared" si="335"/>
        <v>4</v>
      </c>
      <c r="N124" s="8">
        <f t="shared" si="336"/>
        <v>5.9845695457620423</v>
      </c>
      <c r="O124" s="100" t="str">
        <f t="shared" si="337"/>
        <v>5</v>
      </c>
      <c r="P124" s="8">
        <f t="shared" si="338"/>
        <v>11.814834549144507</v>
      </c>
      <c r="Q124" s="100" t="str">
        <f t="shared" si="339"/>
        <v>E</v>
      </c>
      <c r="R124" s="8">
        <f t="shared" si="340"/>
        <v>9.7780145897340844</v>
      </c>
      <c r="S124" s="100" t="str">
        <f t="shared" si="341"/>
        <v>9</v>
      </c>
      <c r="T124" s="8">
        <f t="shared" si="342"/>
        <v>9.3361750768090133</v>
      </c>
      <c r="U124" s="100" t="str">
        <f t="shared" si="343"/>
        <v>9</v>
      </c>
      <c r="V124" s="8">
        <f t="shared" si="344"/>
        <v>4.0341009217081591</v>
      </c>
      <c r="W124" s="100" t="str">
        <f t="shared" si="345"/>
        <v>4</v>
      </c>
      <c r="X124" s="8">
        <f t="shared" si="346"/>
        <v>0.40921106049790978</v>
      </c>
      <c r="Y124" s="100" t="str">
        <f t="shared" si="347"/>
        <v>0</v>
      </c>
      <c r="Z124" s="8">
        <f t="shared" si="348"/>
        <v>4.9105327259749174</v>
      </c>
      <c r="AA124" s="100" t="str">
        <f t="shared" si="349"/>
        <v>4</v>
      </c>
      <c r="AB124" s="8">
        <f t="shared" si="350"/>
        <v>10.926392711699009</v>
      </c>
      <c r="AC124" s="100" t="str">
        <f t="shared" si="351"/>
        <v>X</v>
      </c>
      <c r="AD124" s="8">
        <f t="shared" si="352"/>
        <v>11.116712540388107</v>
      </c>
      <c r="AE124" s="100" t="str">
        <f t="shared" si="353"/>
        <v>E</v>
      </c>
      <c r="AF124" s="8">
        <f t="shared" si="354"/>
        <v>1.4005504846572876</v>
      </c>
      <c r="AG124" s="100" t="str">
        <f t="shared" si="355"/>
        <v/>
      </c>
      <c r="AH124" s="8">
        <f t="shared" si="356"/>
        <v>4.8066058158874512</v>
      </c>
      <c r="AI124" s="100" t="str">
        <f t="shared" si="357"/>
        <v/>
      </c>
      <c r="AJ124" s="8">
        <f t="shared" si="358"/>
        <v>9.6792697906494141</v>
      </c>
      <c r="AK124" s="100" t="str">
        <f t="shared" si="359"/>
        <v/>
      </c>
    </row>
    <row r="125" spans="2:39">
      <c r="B125" s="130" t="s">
        <v>653</v>
      </c>
      <c r="C125" s="9" t="s">
        <v>638</v>
      </c>
      <c r="D125" s="210">
        <v>0</v>
      </c>
      <c r="E125" s="8">
        <v>9</v>
      </c>
      <c r="F125" s="131">
        <f t="shared" si="334"/>
        <v>61.41813533675051</v>
      </c>
      <c r="G125" s="37" t="str">
        <f t="shared" si="385"/>
        <v>5;150265551</v>
      </c>
      <c r="H125" s="37"/>
      <c r="I125" s="340"/>
      <c r="J125" s="38">
        <v>1</v>
      </c>
      <c r="K125" s="132">
        <f t="shared" si="386"/>
        <v>5.1181779447292186</v>
      </c>
      <c r="L125" s="39" t="str">
        <f>INDEX(powers!$H$2:$H$75,33+J125)</f>
        <v>dirac</v>
      </c>
      <c r="M125" s="101" t="str">
        <f t="shared" si="335"/>
        <v>5</v>
      </c>
      <c r="N125" s="8">
        <f t="shared" si="336"/>
        <v>1.4181353367506233</v>
      </c>
      <c r="O125" s="100" t="str">
        <f t="shared" si="337"/>
        <v>1</v>
      </c>
      <c r="P125" s="8">
        <f t="shared" si="338"/>
        <v>5.0176240410074797</v>
      </c>
      <c r="Q125" s="100" t="str">
        <f t="shared" si="339"/>
        <v>5</v>
      </c>
      <c r="R125" s="8">
        <f t="shared" si="340"/>
        <v>0.21148849208975662</v>
      </c>
      <c r="S125" s="100" t="str">
        <f t="shared" si="341"/>
        <v>0</v>
      </c>
      <c r="T125" s="8">
        <f t="shared" si="342"/>
        <v>2.5378619050770794</v>
      </c>
      <c r="U125" s="100" t="str">
        <f t="shared" si="343"/>
        <v>2</v>
      </c>
      <c r="V125" s="8">
        <f t="shared" si="344"/>
        <v>6.4543428609249531</v>
      </c>
      <c r="W125" s="100" t="str">
        <f t="shared" si="345"/>
        <v>6</v>
      </c>
      <c r="X125" s="8">
        <f t="shared" si="346"/>
        <v>5.4521143310994375</v>
      </c>
      <c r="Y125" s="100" t="str">
        <f t="shared" si="347"/>
        <v>5</v>
      </c>
      <c r="Z125" s="8">
        <f t="shared" si="348"/>
        <v>5.4253719731932506</v>
      </c>
      <c r="AA125" s="100" t="str">
        <f t="shared" si="349"/>
        <v>5</v>
      </c>
      <c r="AB125" s="8">
        <f t="shared" si="350"/>
        <v>5.1044636783190072</v>
      </c>
      <c r="AC125" s="100" t="str">
        <f t="shared" si="351"/>
        <v>5</v>
      </c>
      <c r="AD125" s="8">
        <f t="shared" si="352"/>
        <v>1.2535641398280859</v>
      </c>
      <c r="AE125" s="100" t="str">
        <f t="shared" si="353"/>
        <v>1</v>
      </c>
      <c r="AF125" s="8">
        <f t="shared" si="354"/>
        <v>3.0427696779370308</v>
      </c>
      <c r="AG125" s="100" t="str">
        <f t="shared" si="355"/>
        <v/>
      </c>
      <c r="AH125" s="8">
        <f t="shared" si="356"/>
        <v>0.51323613524436951</v>
      </c>
      <c r="AI125" s="100" t="str">
        <f t="shared" si="357"/>
        <v/>
      </c>
      <c r="AJ125" s="8">
        <f t="shared" si="358"/>
        <v>6.1588336229324341</v>
      </c>
      <c r="AK125" s="100" t="str">
        <f t="shared" si="359"/>
        <v/>
      </c>
      <c r="AL125" s="253">
        <f>5*12+1+5/12</f>
        <v>61.416666666666664</v>
      </c>
      <c r="AM125" s="253">
        <f t="shared" ref="AM125:AM127" si="387">-AL125*F$6*20736+D125</f>
        <v>-74.358661178471934</v>
      </c>
    </row>
    <row r="126" spans="2:39">
      <c r="B126" s="130" t="s">
        <v>662</v>
      </c>
      <c r="C126" s="9" t="s">
        <v>663</v>
      </c>
      <c r="D126" s="210">
        <v>8.8999999999999995E-5</v>
      </c>
      <c r="E126" s="8">
        <v>9</v>
      </c>
      <c r="F126" s="131">
        <f t="shared" si="334"/>
        <v>61.418208846456665</v>
      </c>
      <c r="G126" s="37" t="str">
        <f t="shared" ref="G126" si="388">M126&amp;";"&amp;O126&amp;Q126&amp;S126&amp;U126&amp;W126&amp;Y126&amp;AA126&amp;AC126&amp;AE126&amp;AG126&amp;AI126&amp;AK126</f>
        <v>5;15027E8E1</v>
      </c>
      <c r="H126" s="37"/>
      <c r="I126" s="340"/>
      <c r="J126" s="38">
        <v>1</v>
      </c>
      <c r="K126" s="132">
        <f t="shared" ref="K126" si="389">F126/POWER(12,J126)+0.00000000000001</f>
        <v>5.1181840705380655</v>
      </c>
      <c r="L126" s="39" t="str">
        <f>INDEX(powers!$H$2:$H$75,33+J126)</f>
        <v>dirac</v>
      </c>
      <c r="M126" s="101" t="str">
        <f t="shared" ref="M126" si="390">IF($E126&gt;=M$31,MID($J$31,IF($E126&gt;M$31,INT(K126),ROUND(K126,0))+1,1),"")</f>
        <v>5</v>
      </c>
      <c r="N126" s="8">
        <f t="shared" ref="N126" si="391">(K126-INT(K126))*12</f>
        <v>1.4182088464567855</v>
      </c>
      <c r="O126" s="100" t="str">
        <f t="shared" ref="O126" si="392">IF($E126&gt;=O$31,MID($J$31,IF($E126&gt;O$31,INT(N126),ROUND(N126,0))+1,1),"")</f>
        <v>1</v>
      </c>
      <c r="P126" s="8">
        <f t="shared" ref="P126" si="393">(N126-INT(N126))*12</f>
        <v>5.0185061574814256</v>
      </c>
      <c r="Q126" s="100" t="str">
        <f t="shared" ref="Q126" si="394">IF($E126&gt;=Q$31,MID($J$31,IF($E126&gt;Q$31,INT(P126),ROUND(P126,0))+1,1),"")</f>
        <v>5</v>
      </c>
      <c r="R126" s="8">
        <f t="shared" ref="R126" si="395">(P126-INT(P126))*12</f>
        <v>0.22207388977710707</v>
      </c>
      <c r="S126" s="100" t="str">
        <f t="shared" ref="S126" si="396">IF($E126&gt;=S$31,MID($J$31,IF($E126&gt;S$31,INT(R126),ROUND(R126,0))+1,1),"")</f>
        <v>0</v>
      </c>
      <c r="T126" s="8">
        <f t="shared" ref="T126" si="397">(R126-INT(R126))*12</f>
        <v>2.6648866773252848</v>
      </c>
      <c r="U126" s="100" t="str">
        <f t="shared" ref="U126" si="398">IF($E126&gt;=U$31,MID($J$31,IF($E126&gt;U$31,INT(T126),ROUND(T126,0))+1,1),"")</f>
        <v>2</v>
      </c>
      <c r="V126" s="8">
        <f t="shared" ref="V126" si="399">(T126-INT(T126))*12</f>
        <v>7.978640127903418</v>
      </c>
      <c r="W126" s="100" t="str">
        <f t="shared" ref="W126" si="400">IF($E126&gt;=W$31,MID($J$31,IF($E126&gt;W$31,INT(V126),ROUND(V126,0))+1,1),"")</f>
        <v>7</v>
      </c>
      <c r="X126" s="8">
        <f t="shared" ref="X126" si="401">(V126-INT(V126))*12</f>
        <v>11.743681534841016</v>
      </c>
      <c r="Y126" s="100" t="str">
        <f t="shared" ref="Y126" si="402">IF($E126&gt;=Y$31,MID($J$31,IF($E126&gt;Y$31,INT(X126),ROUND(X126,0))+1,1),"")</f>
        <v>E</v>
      </c>
      <c r="Z126" s="8">
        <f t="shared" ref="Z126" si="403">(X126-INT(X126))*12</f>
        <v>8.9241784180921968</v>
      </c>
      <c r="AA126" s="100" t="str">
        <f t="shared" ref="AA126" si="404">IF($E126&gt;=AA$31,MID($J$31,IF($E126&gt;AA$31,INT(Z126),ROUND(Z126,0))+1,1),"")</f>
        <v>8</v>
      </c>
      <c r="AB126" s="8">
        <f t="shared" ref="AB126" si="405">(Z126-INT(Z126))*12</f>
        <v>11.090141017106362</v>
      </c>
      <c r="AC126" s="100" t="str">
        <f t="shared" ref="AC126" si="406">IF($E126&gt;=AC$31,MID($J$31,IF($E126&gt;AC$31,INT(AB126),ROUND(AB126,0))+1,1),"")</f>
        <v>E</v>
      </c>
      <c r="AD126" s="8">
        <f t="shared" ref="AD126" si="407">(AB126-INT(AB126))*12</f>
        <v>1.0816922052763402</v>
      </c>
      <c r="AE126" s="100" t="str">
        <f t="shared" ref="AE126" si="408">IF($E126&gt;=AE$31,MID($J$31,IF($E126&gt;AE$31,INT(AD126),ROUND(AD126,0))+1,1),"")</f>
        <v>1</v>
      </c>
      <c r="AF126" s="8">
        <f t="shared" ref="AF126" si="409">(AD126-INT(AD126))*12</f>
        <v>0.98030646331608295</v>
      </c>
      <c r="AG126" s="100" t="str">
        <f t="shared" ref="AG126" si="410">IF($E126&gt;=AG$31,MID($J$31,IF($E126&gt;AG$31,INT(AF126),ROUND(AF126,0))+1,1),"")</f>
        <v/>
      </c>
      <c r="AH126" s="8">
        <f t="shared" ref="AH126" si="411">(AF126-INT(AF126))*12</f>
        <v>11.763677559792995</v>
      </c>
      <c r="AI126" s="100" t="str">
        <f t="shared" ref="AI126" si="412">IF($E126&gt;=AI$31,MID($J$31,IF($E126&gt;AI$31,INT(AH126),ROUND(AH126,0))+1,1),"")</f>
        <v/>
      </c>
      <c r="AJ126" s="8">
        <f t="shared" ref="AJ126" si="413">(AH126-INT(AH126))*12</f>
        <v>9.1641307175159454</v>
      </c>
      <c r="AK126" s="100" t="str">
        <f t="shared" ref="AK126" si="414">IF($E126&gt;=AK$31,MID($J$31,IF($E126&gt;AK$31,INT(AJ126),ROUND(AJ126,0))+1,1),"")</f>
        <v/>
      </c>
      <c r="AL126" s="253">
        <f>5*12+1+5/12</f>
        <v>61.416666666666664</v>
      </c>
      <c r="AM126" s="253">
        <f t="shared" ref="AM126" si="415">-AL126*F$6*20736+D126</f>
        <v>-74.358572178471931</v>
      </c>
    </row>
    <row r="127" spans="2:39">
      <c r="B127" s="130" t="s">
        <v>654</v>
      </c>
      <c r="C127" s="9" t="s">
        <v>648</v>
      </c>
      <c r="D127" s="210">
        <v>0.01</v>
      </c>
      <c r="E127" s="8">
        <v>9</v>
      </c>
      <c r="F127" s="131">
        <f t="shared" si="334"/>
        <v>61.426394854296056</v>
      </c>
      <c r="G127" s="37" t="str">
        <f t="shared" si="385"/>
        <v>5;151498827</v>
      </c>
      <c r="H127" s="37"/>
      <c r="I127" s="340"/>
      <c r="J127" s="38">
        <v>1</v>
      </c>
      <c r="K127" s="132">
        <f t="shared" si="386"/>
        <v>5.1188662378580148</v>
      </c>
      <c r="L127" s="39" t="str">
        <f>INDEX(powers!$H$2:$H$75,33+J127)</f>
        <v>dirac</v>
      </c>
      <c r="M127" s="101" t="str">
        <f t="shared" si="335"/>
        <v>5</v>
      </c>
      <c r="N127" s="8">
        <f t="shared" si="336"/>
        <v>1.4263948542961771</v>
      </c>
      <c r="O127" s="100" t="str">
        <f t="shared" si="337"/>
        <v>1</v>
      </c>
      <c r="P127" s="8">
        <f t="shared" si="338"/>
        <v>5.1167382515541249</v>
      </c>
      <c r="Q127" s="100" t="str">
        <f t="shared" si="339"/>
        <v>5</v>
      </c>
      <c r="R127" s="8">
        <f t="shared" si="340"/>
        <v>1.4008590186494985</v>
      </c>
      <c r="S127" s="100" t="str">
        <f t="shared" si="341"/>
        <v>1</v>
      </c>
      <c r="T127" s="8">
        <f t="shared" si="342"/>
        <v>4.8103082237939816</v>
      </c>
      <c r="U127" s="100" t="str">
        <f t="shared" si="343"/>
        <v>4</v>
      </c>
      <c r="V127" s="8">
        <f t="shared" si="344"/>
        <v>9.7236986855277792</v>
      </c>
      <c r="W127" s="100" t="str">
        <f t="shared" si="345"/>
        <v>9</v>
      </c>
      <c r="X127" s="8">
        <f t="shared" si="346"/>
        <v>8.6843842263333499</v>
      </c>
      <c r="Y127" s="100" t="str">
        <f t="shared" si="347"/>
        <v>8</v>
      </c>
      <c r="Z127" s="8">
        <f t="shared" si="348"/>
        <v>8.2126107160001993</v>
      </c>
      <c r="AA127" s="100" t="str">
        <f t="shared" si="349"/>
        <v>8</v>
      </c>
      <c r="AB127" s="8">
        <f t="shared" si="350"/>
        <v>2.5513285920023918</v>
      </c>
      <c r="AC127" s="100" t="str">
        <f t="shared" si="351"/>
        <v>2</v>
      </c>
      <c r="AD127" s="8">
        <f t="shared" si="352"/>
        <v>6.6159431040287018</v>
      </c>
      <c r="AE127" s="100" t="str">
        <f t="shared" si="353"/>
        <v>7</v>
      </c>
      <c r="AF127" s="8">
        <f t="shared" si="354"/>
        <v>7.3913172483444214</v>
      </c>
      <c r="AG127" s="100" t="str">
        <f t="shared" si="355"/>
        <v/>
      </c>
      <c r="AH127" s="8">
        <f t="shared" si="356"/>
        <v>4.6958069801330566</v>
      </c>
      <c r="AI127" s="100" t="str">
        <f t="shared" si="357"/>
        <v/>
      </c>
      <c r="AJ127" s="8">
        <f t="shared" si="358"/>
        <v>8.3496837615966797</v>
      </c>
      <c r="AK127" s="100" t="str">
        <f t="shared" si="359"/>
        <v/>
      </c>
      <c r="AL127" s="253">
        <f>5*12+1+5/12</f>
        <v>61.416666666666664</v>
      </c>
      <c r="AM127" s="253">
        <f t="shared" si="387"/>
        <v>-74.348661178471929</v>
      </c>
    </row>
    <row r="128" spans="2:39">
      <c r="B128" s="130" t="s">
        <v>656</v>
      </c>
      <c r="C128" s="9" t="s">
        <v>639</v>
      </c>
      <c r="D128" s="210">
        <v>3.98</v>
      </c>
      <c r="E128" s="8">
        <v>9</v>
      </c>
      <c r="F128" s="131">
        <f t="shared" si="334"/>
        <v>64.705423319876573</v>
      </c>
      <c r="G128" s="37" t="str">
        <f t="shared" ref="G128:G129" si="416">M128&amp;";"&amp;O128&amp;Q128&amp;S128&amp;U128&amp;W128&amp;Y128&amp;AA128&amp;AC128&amp;AE128&amp;AG128&amp;AI128&amp;AK128</f>
        <v>5;4856E7X8E</v>
      </c>
      <c r="H128" s="37"/>
      <c r="I128" s="340"/>
      <c r="J128" s="38">
        <v>1</v>
      </c>
      <c r="K128" s="132">
        <f t="shared" ref="K128:K129" si="417">F128/POWER(12,J128)+0.00000000000001</f>
        <v>5.3921186099897245</v>
      </c>
      <c r="L128" s="39" t="str">
        <f>INDEX(powers!$H$2:$H$75,33+J128)</f>
        <v>dirac</v>
      </c>
      <c r="M128" s="101" t="str">
        <f t="shared" ref="M128:M129" si="418">IF($E128&gt;=M$31,MID($J$31,IF($E128&gt;M$31,INT(K128),ROUND(K128,0))+1,1),"")</f>
        <v>5</v>
      </c>
      <c r="N128" s="8">
        <f t="shared" ref="N128:N129" si="419">(K128-INT(K128))*12</f>
        <v>4.7054233198766937</v>
      </c>
      <c r="O128" s="100" t="str">
        <f t="shared" ref="O128:O129" si="420">IF($E128&gt;=O$31,MID($J$31,IF($E128&gt;O$31,INT(N128),ROUND(N128,0))+1,1),"")</f>
        <v>4</v>
      </c>
      <c r="P128" s="8">
        <f t="shared" ref="P128:P129" si="421">(N128-INT(N128))*12</f>
        <v>8.4650798385203245</v>
      </c>
      <c r="Q128" s="100" t="str">
        <f t="shared" ref="Q128:Q129" si="422">IF($E128&gt;=Q$31,MID($J$31,IF($E128&gt;Q$31,INT(P128),ROUND(P128,0))+1,1),"")</f>
        <v>8</v>
      </c>
      <c r="R128" s="8">
        <f t="shared" ref="R128:R129" si="423">(P128-INT(P128))*12</f>
        <v>5.5809580622438943</v>
      </c>
      <c r="S128" s="100" t="str">
        <f t="shared" ref="S128:S129" si="424">IF($E128&gt;=S$31,MID($J$31,IF($E128&gt;S$31,INT(R128),ROUND(R128,0))+1,1),"")</f>
        <v>5</v>
      </c>
      <c r="T128" s="8">
        <f t="shared" ref="T128:T129" si="425">(R128-INT(R128))*12</f>
        <v>6.9714967469267322</v>
      </c>
      <c r="U128" s="100" t="str">
        <f t="shared" ref="U128:U129" si="426">IF($E128&gt;=U$31,MID($J$31,IF($E128&gt;U$31,INT(T128),ROUND(T128,0))+1,1),"")</f>
        <v>6</v>
      </c>
      <c r="V128" s="8">
        <f t="shared" ref="V128:V129" si="427">(T128-INT(T128))*12</f>
        <v>11.657960963120786</v>
      </c>
      <c r="W128" s="100" t="str">
        <f t="shared" ref="W128:W129" si="428">IF($E128&gt;=W$31,MID($J$31,IF($E128&gt;W$31,INT(V128),ROUND(V128,0))+1,1),"")</f>
        <v>E</v>
      </c>
      <c r="X128" s="8">
        <f t="shared" ref="X128:X129" si="429">(V128-INT(V128))*12</f>
        <v>7.8955315574494307</v>
      </c>
      <c r="Y128" s="100" t="str">
        <f t="shared" ref="Y128:Y129" si="430">IF($E128&gt;=Y$31,MID($J$31,IF($E128&gt;Y$31,INT(X128),ROUND(X128,0))+1,1),"")</f>
        <v>7</v>
      </c>
      <c r="Z128" s="8">
        <f t="shared" ref="Z128:Z129" si="431">(X128-INT(X128))*12</f>
        <v>10.746378689393168</v>
      </c>
      <c r="AA128" s="100" t="str">
        <f t="shared" ref="AA128:AA129" si="432">IF($E128&gt;=AA$31,MID($J$31,IF($E128&gt;AA$31,INT(Z128),ROUND(Z128,0))+1,1),"")</f>
        <v>X</v>
      </c>
      <c r="AB128" s="8">
        <f t="shared" ref="AB128:AB129" si="433">(Z128-INT(Z128))*12</f>
        <v>8.9565442727180198</v>
      </c>
      <c r="AC128" s="100" t="str">
        <f t="shared" ref="AC128:AC129" si="434">IF($E128&gt;=AC$31,MID($J$31,IF($E128&gt;AC$31,INT(AB128),ROUND(AB128,0))+1,1),"")</f>
        <v>8</v>
      </c>
      <c r="AD128" s="8">
        <f t="shared" ref="AD128:AD129" si="435">(AB128-INT(AB128))*12</f>
        <v>11.478531272616237</v>
      </c>
      <c r="AE128" s="100" t="str">
        <f t="shared" ref="AE128:AE129" si="436">IF($E128&gt;=AE$31,MID($J$31,IF($E128&gt;AE$31,INT(AD128),ROUND(AD128,0))+1,1),"")</f>
        <v>E</v>
      </c>
      <c r="AF128" s="8">
        <f t="shared" ref="AF128:AF129" si="437">(AD128-INT(AD128))*12</f>
        <v>5.7423752713948488</v>
      </c>
      <c r="AG128" s="100" t="str">
        <f t="shared" ref="AG128:AG129" si="438">IF($E128&gt;=AG$31,MID($J$31,IF($E128&gt;AG$31,INT(AF128),ROUND(AF128,0))+1,1),"")</f>
        <v/>
      </c>
      <c r="AH128" s="8">
        <f t="shared" ref="AH128:AH129" si="439">(AF128-INT(AF128))*12</f>
        <v>8.9085032567381859</v>
      </c>
      <c r="AI128" s="100" t="str">
        <f t="shared" ref="AI128:AI129" si="440">IF($E128&gt;=AI$31,MID($J$31,IF($E128&gt;AI$31,INT(AH128),ROUND(AH128,0))+1,1),"")</f>
        <v/>
      </c>
      <c r="AJ128" s="8">
        <f t="shared" ref="AJ128:AJ129" si="441">(AH128-INT(AH128))*12</f>
        <v>10.902039080858231</v>
      </c>
      <c r="AK128" s="100" t="str">
        <f t="shared" ref="AK128:AK129" si="442">IF($E128&gt;=AK$31,MID($J$31,IF($E128&gt;AK$31,INT(AJ128),ROUND(AJ128,0))+1,1),"")</f>
        <v/>
      </c>
    </row>
    <row r="129" spans="2:39">
      <c r="B129" s="130"/>
      <c r="C129" s="9" t="s">
        <v>640</v>
      </c>
      <c r="D129" s="210">
        <v>14</v>
      </c>
      <c r="E129" s="8">
        <v>9</v>
      </c>
      <c r="F129" s="131">
        <f t="shared" si="334"/>
        <v>72.981459900510529</v>
      </c>
      <c r="G129" s="37" t="str">
        <f t="shared" si="416"/>
        <v>6;0E93E6769</v>
      </c>
      <c r="H129" s="37"/>
      <c r="I129" s="340"/>
      <c r="J129" s="38">
        <v>1</v>
      </c>
      <c r="K129" s="132">
        <f t="shared" si="417"/>
        <v>6.0817883250425542</v>
      </c>
      <c r="L129" s="39" t="str">
        <f>INDEX(powers!$H$2:$H$75,33+J129)</f>
        <v>dirac</v>
      </c>
      <c r="M129" s="101" t="str">
        <f t="shared" si="418"/>
        <v>6</v>
      </c>
      <c r="N129" s="8">
        <f t="shared" si="419"/>
        <v>0.98145990051065013</v>
      </c>
      <c r="O129" s="100" t="str">
        <f t="shared" si="420"/>
        <v>0</v>
      </c>
      <c r="P129" s="8">
        <f t="shared" si="421"/>
        <v>11.777518806127802</v>
      </c>
      <c r="Q129" s="100" t="str">
        <f t="shared" si="422"/>
        <v>E</v>
      </c>
      <c r="R129" s="8">
        <f t="shared" si="423"/>
        <v>9.3302256735336186</v>
      </c>
      <c r="S129" s="100" t="str">
        <f t="shared" si="424"/>
        <v>9</v>
      </c>
      <c r="T129" s="8">
        <f t="shared" si="425"/>
        <v>3.9627080824034238</v>
      </c>
      <c r="U129" s="100" t="str">
        <f t="shared" si="426"/>
        <v>3</v>
      </c>
      <c r="V129" s="8">
        <f t="shared" si="427"/>
        <v>11.552496988841085</v>
      </c>
      <c r="W129" s="100" t="str">
        <f t="shared" si="428"/>
        <v>E</v>
      </c>
      <c r="X129" s="8">
        <f t="shared" si="429"/>
        <v>6.6299638660930214</v>
      </c>
      <c r="Y129" s="100" t="str">
        <f t="shared" si="430"/>
        <v>6</v>
      </c>
      <c r="Z129" s="8">
        <f t="shared" si="431"/>
        <v>7.5595663931162562</v>
      </c>
      <c r="AA129" s="100" t="str">
        <f t="shared" si="432"/>
        <v>7</v>
      </c>
      <c r="AB129" s="8">
        <f t="shared" si="433"/>
        <v>6.7147967173950747</v>
      </c>
      <c r="AC129" s="100" t="str">
        <f t="shared" si="434"/>
        <v>6</v>
      </c>
      <c r="AD129" s="8">
        <f t="shared" si="435"/>
        <v>8.577560608740896</v>
      </c>
      <c r="AE129" s="100" t="str">
        <f t="shared" si="436"/>
        <v>9</v>
      </c>
      <c r="AF129" s="8">
        <f t="shared" si="437"/>
        <v>6.9307273048907518</v>
      </c>
      <c r="AG129" s="100" t="str">
        <f t="shared" si="438"/>
        <v/>
      </c>
      <c r="AH129" s="8">
        <f t="shared" si="439"/>
        <v>11.168727658689022</v>
      </c>
      <c r="AI129" s="100" t="str">
        <f t="shared" si="440"/>
        <v/>
      </c>
      <c r="AJ129" s="8">
        <f t="shared" si="441"/>
        <v>2.0247319042682648</v>
      </c>
      <c r="AK129" s="100" t="str">
        <f t="shared" si="442"/>
        <v/>
      </c>
    </row>
    <row r="130" spans="2:39">
      <c r="B130" s="130"/>
      <c r="C130" s="9" t="s">
        <v>660</v>
      </c>
      <c r="D130" s="210">
        <v>15</v>
      </c>
      <c r="E130" s="8">
        <v>9</v>
      </c>
      <c r="F130" s="131">
        <f t="shared" si="334"/>
        <v>73.807411655064811</v>
      </c>
      <c r="G130" s="37" t="str">
        <f t="shared" si="385"/>
        <v>6;198325X35</v>
      </c>
      <c r="H130" s="37"/>
      <c r="I130" s="340"/>
      <c r="J130" s="38">
        <v>1</v>
      </c>
      <c r="K130" s="132">
        <f t="shared" si="386"/>
        <v>6.1506176379220774</v>
      </c>
      <c r="L130" s="39" t="str">
        <f>INDEX(powers!$H$2:$H$75,33+J130)</f>
        <v>dirac</v>
      </c>
      <c r="M130" s="101" t="str">
        <f t="shared" si="335"/>
        <v>6</v>
      </c>
      <c r="N130" s="8">
        <f t="shared" si="336"/>
        <v>1.8074116550649286</v>
      </c>
      <c r="O130" s="100" t="str">
        <f t="shared" si="337"/>
        <v>1</v>
      </c>
      <c r="P130" s="8">
        <f t="shared" si="338"/>
        <v>9.6889398607791435</v>
      </c>
      <c r="Q130" s="100" t="str">
        <f t="shared" si="339"/>
        <v>9</v>
      </c>
      <c r="R130" s="8">
        <f t="shared" si="340"/>
        <v>8.2672783293497218</v>
      </c>
      <c r="S130" s="100" t="str">
        <f t="shared" si="341"/>
        <v>8</v>
      </c>
      <c r="T130" s="8">
        <f t="shared" si="342"/>
        <v>3.2073399521966621</v>
      </c>
      <c r="U130" s="100" t="str">
        <f t="shared" si="343"/>
        <v>3</v>
      </c>
      <c r="V130" s="8">
        <f t="shared" si="344"/>
        <v>2.4880794263599455</v>
      </c>
      <c r="W130" s="100" t="str">
        <f t="shared" si="345"/>
        <v>2</v>
      </c>
      <c r="X130" s="8">
        <f t="shared" si="346"/>
        <v>5.856953116319346</v>
      </c>
      <c r="Y130" s="100" t="str">
        <f t="shared" si="347"/>
        <v>5</v>
      </c>
      <c r="Z130" s="8">
        <f t="shared" si="348"/>
        <v>10.283437395832152</v>
      </c>
      <c r="AA130" s="100" t="str">
        <f t="shared" si="349"/>
        <v>X</v>
      </c>
      <c r="AB130" s="8">
        <f t="shared" si="350"/>
        <v>3.4012487499858253</v>
      </c>
      <c r="AC130" s="100" t="str">
        <f t="shared" si="351"/>
        <v>3</v>
      </c>
      <c r="AD130" s="8">
        <f t="shared" si="352"/>
        <v>4.8149849998299032</v>
      </c>
      <c r="AE130" s="100" t="str">
        <f t="shared" si="353"/>
        <v>5</v>
      </c>
      <c r="AF130" s="8">
        <f t="shared" si="354"/>
        <v>9.7798199979588389</v>
      </c>
      <c r="AG130" s="100" t="str">
        <f t="shared" si="355"/>
        <v/>
      </c>
      <c r="AH130" s="8">
        <f t="shared" si="356"/>
        <v>9.3578399755060673</v>
      </c>
      <c r="AI130" s="100" t="str">
        <f t="shared" si="357"/>
        <v/>
      </c>
      <c r="AJ130" s="8">
        <f t="shared" si="358"/>
        <v>4.2940797060728073</v>
      </c>
      <c r="AK130" s="100" t="str">
        <f t="shared" si="359"/>
        <v/>
      </c>
      <c r="AL130" s="253">
        <f>6*12+1+9/12+8/144+3/1728</f>
        <v>73.807291666666671</v>
      </c>
      <c r="AM130" s="253">
        <f t="shared" ref="AM130" si="443">-AL130*F$6*20736+D130</f>
        <v>-74.360294060390586</v>
      </c>
    </row>
    <row r="131" spans="2:39">
      <c r="B131" s="130"/>
      <c r="C131" s="9" t="s">
        <v>641</v>
      </c>
      <c r="D131" s="210">
        <v>20</v>
      </c>
      <c r="E131" s="8">
        <v>9</v>
      </c>
      <c r="F131" s="131">
        <f t="shared" si="334"/>
        <v>77.937170427836264</v>
      </c>
      <c r="G131" s="37" t="str">
        <f t="shared" si="385"/>
        <v>6;5E2E51EXX</v>
      </c>
      <c r="H131" s="37"/>
      <c r="I131" s="340"/>
      <c r="J131" s="38">
        <v>1</v>
      </c>
      <c r="K131" s="132">
        <f t="shared" si="386"/>
        <v>6.4947642023196988</v>
      </c>
      <c r="L131" s="39" t="str">
        <f>INDEX(powers!$H$2:$H$75,33+J131)</f>
        <v>dirac</v>
      </c>
      <c r="M131" s="101" t="str">
        <f t="shared" si="335"/>
        <v>6</v>
      </c>
      <c r="N131" s="8">
        <f t="shared" si="336"/>
        <v>5.937170427836385</v>
      </c>
      <c r="O131" s="100" t="str">
        <f t="shared" si="337"/>
        <v>5</v>
      </c>
      <c r="P131" s="8">
        <f t="shared" si="338"/>
        <v>11.246045134036621</v>
      </c>
      <c r="Q131" s="100" t="str">
        <f t="shared" si="339"/>
        <v>E</v>
      </c>
      <c r="R131" s="8">
        <f t="shared" si="340"/>
        <v>2.9525416084394465</v>
      </c>
      <c r="S131" s="100" t="str">
        <f t="shared" si="341"/>
        <v>2</v>
      </c>
      <c r="T131" s="8">
        <f t="shared" si="342"/>
        <v>11.430499301273358</v>
      </c>
      <c r="U131" s="100" t="str">
        <f t="shared" si="343"/>
        <v>E</v>
      </c>
      <c r="V131" s="8">
        <f t="shared" si="344"/>
        <v>5.1659916152802907</v>
      </c>
      <c r="W131" s="100" t="str">
        <f t="shared" si="345"/>
        <v>5</v>
      </c>
      <c r="X131" s="8">
        <f t="shared" si="346"/>
        <v>1.9918993833634886</v>
      </c>
      <c r="Y131" s="100" t="str">
        <f t="shared" si="347"/>
        <v>1</v>
      </c>
      <c r="Z131" s="8">
        <f t="shared" si="348"/>
        <v>11.902792600361863</v>
      </c>
      <c r="AA131" s="100" t="str">
        <f t="shared" si="349"/>
        <v>E</v>
      </c>
      <c r="AB131" s="8">
        <f t="shared" si="350"/>
        <v>10.833511204342358</v>
      </c>
      <c r="AC131" s="100" t="str">
        <f t="shared" si="351"/>
        <v>X</v>
      </c>
      <c r="AD131" s="8">
        <f t="shared" si="352"/>
        <v>10.002134452108294</v>
      </c>
      <c r="AE131" s="100" t="str">
        <f t="shared" si="353"/>
        <v>X</v>
      </c>
      <c r="AF131" s="8">
        <f t="shared" si="354"/>
        <v>2.5613425299525261E-2</v>
      </c>
      <c r="AG131" s="100" t="str">
        <f t="shared" si="355"/>
        <v/>
      </c>
      <c r="AH131" s="8">
        <f t="shared" si="356"/>
        <v>0.30736110359430313</v>
      </c>
      <c r="AI131" s="100" t="str">
        <f t="shared" si="357"/>
        <v/>
      </c>
      <c r="AJ131" s="8">
        <f t="shared" si="358"/>
        <v>3.6883332431316376</v>
      </c>
      <c r="AK131" s="100" t="str">
        <f t="shared" si="359"/>
        <v/>
      </c>
    </row>
    <row r="132" spans="2:39">
      <c r="B132" s="130"/>
      <c r="C132" s="9" t="s">
        <v>661</v>
      </c>
      <c r="D132" s="210">
        <v>25.5</v>
      </c>
      <c r="E132" s="8">
        <v>9</v>
      </c>
      <c r="F132" s="131">
        <f t="shared" si="334"/>
        <v>82.479905077884837</v>
      </c>
      <c r="G132" s="37" t="str">
        <f t="shared" si="385"/>
        <v>6;X591338X7</v>
      </c>
      <c r="H132" s="37"/>
      <c r="I132" s="340"/>
      <c r="J132" s="38">
        <v>1</v>
      </c>
      <c r="K132" s="132">
        <f t="shared" si="386"/>
        <v>6.8733254231570795</v>
      </c>
      <c r="L132" s="39" t="str">
        <f>INDEX(powers!$H$2:$H$75,33+J132)</f>
        <v>dirac</v>
      </c>
      <c r="M132" s="101" t="str">
        <f t="shared" si="335"/>
        <v>6</v>
      </c>
      <c r="N132" s="8">
        <f t="shared" si="336"/>
        <v>10.479905077884954</v>
      </c>
      <c r="O132" s="100" t="str">
        <f t="shared" si="337"/>
        <v>X</v>
      </c>
      <c r="P132" s="8">
        <f t="shared" si="338"/>
        <v>5.7588609346194488</v>
      </c>
      <c r="Q132" s="100" t="str">
        <f t="shared" si="339"/>
        <v>5</v>
      </c>
      <c r="R132" s="8">
        <f t="shared" si="340"/>
        <v>9.1063312154333858</v>
      </c>
      <c r="S132" s="100" t="str">
        <f t="shared" si="341"/>
        <v>9</v>
      </c>
      <c r="T132" s="8">
        <f t="shared" si="342"/>
        <v>1.275974585200629</v>
      </c>
      <c r="U132" s="100" t="str">
        <f t="shared" si="343"/>
        <v>1</v>
      </c>
      <c r="V132" s="8">
        <f t="shared" si="344"/>
        <v>3.3116950224075481</v>
      </c>
      <c r="W132" s="100" t="str">
        <f t="shared" si="345"/>
        <v>3</v>
      </c>
      <c r="X132" s="8">
        <f t="shared" si="346"/>
        <v>3.7403402688905771</v>
      </c>
      <c r="Y132" s="100" t="str">
        <f t="shared" si="347"/>
        <v>3</v>
      </c>
      <c r="Z132" s="8">
        <f t="shared" si="348"/>
        <v>8.8840832266869256</v>
      </c>
      <c r="AA132" s="100" t="str">
        <f t="shared" si="349"/>
        <v>8</v>
      </c>
      <c r="AB132" s="8">
        <f t="shared" si="350"/>
        <v>10.608998720243108</v>
      </c>
      <c r="AC132" s="100" t="str">
        <f t="shared" si="351"/>
        <v>X</v>
      </c>
      <c r="AD132" s="8">
        <f t="shared" si="352"/>
        <v>7.3079846429172903</v>
      </c>
      <c r="AE132" s="100" t="str">
        <f t="shared" si="353"/>
        <v>7</v>
      </c>
      <c r="AF132" s="8">
        <f t="shared" si="354"/>
        <v>3.695815715007484</v>
      </c>
      <c r="AG132" s="100" t="str">
        <f t="shared" si="355"/>
        <v/>
      </c>
      <c r="AH132" s="8">
        <f t="shared" si="356"/>
        <v>8.3497885800898075</v>
      </c>
      <c r="AI132" s="100" t="str">
        <f t="shared" si="357"/>
        <v/>
      </c>
      <c r="AJ132" s="8">
        <f t="shared" si="358"/>
        <v>4.1974629610776901</v>
      </c>
      <c r="AK132" s="100" t="str">
        <f t="shared" si="359"/>
        <v/>
      </c>
      <c r="AL132" s="253">
        <f>6*12+10+6/12</f>
        <v>82.5</v>
      </c>
      <c r="AM132" s="253">
        <f t="shared" ref="AM132" si="444">-AL132*F$6*20736+D132</f>
        <v>-74.384768747201107</v>
      </c>
    </row>
    <row r="133" spans="2:39">
      <c r="B133" s="95"/>
      <c r="C133" s="9" t="s">
        <v>642</v>
      </c>
      <c r="D133" s="210">
        <v>37</v>
      </c>
      <c r="E133" s="8">
        <v>9</v>
      </c>
      <c r="F133" s="131">
        <f t="shared" si="334"/>
        <v>91.97835025525913</v>
      </c>
      <c r="G133" s="37" t="str">
        <f t="shared" si="385"/>
        <v>7;7E8X70X26</v>
      </c>
      <c r="H133" s="37"/>
      <c r="I133" s="340"/>
      <c r="J133" s="38">
        <v>1</v>
      </c>
      <c r="K133" s="132">
        <f t="shared" si="386"/>
        <v>7.6648625212716039</v>
      </c>
      <c r="L133" s="39" t="str">
        <f>INDEX(powers!$H$2:$H$75,33+J133)</f>
        <v>dirac</v>
      </c>
      <c r="M133" s="101" t="str">
        <f t="shared" si="335"/>
        <v>7</v>
      </c>
      <c r="N133" s="8">
        <f t="shared" si="336"/>
        <v>7.9783502552592473</v>
      </c>
      <c r="O133" s="100" t="str">
        <f t="shared" si="337"/>
        <v>7</v>
      </c>
      <c r="P133" s="8">
        <f t="shared" si="338"/>
        <v>11.740203063110968</v>
      </c>
      <c r="Q133" s="100" t="str">
        <f t="shared" si="339"/>
        <v>E</v>
      </c>
      <c r="R133" s="8">
        <f t="shared" si="340"/>
        <v>8.8824367573316181</v>
      </c>
      <c r="S133" s="100" t="str">
        <f t="shared" si="341"/>
        <v>8</v>
      </c>
      <c r="T133" s="8">
        <f t="shared" si="342"/>
        <v>10.589241087979417</v>
      </c>
      <c r="U133" s="100" t="str">
        <f t="shared" si="343"/>
        <v>X</v>
      </c>
      <c r="V133" s="8">
        <f t="shared" si="344"/>
        <v>7.0708930557530039</v>
      </c>
      <c r="W133" s="100" t="str">
        <f t="shared" si="345"/>
        <v>7</v>
      </c>
      <c r="X133" s="8">
        <f t="shared" si="346"/>
        <v>0.85071666903604637</v>
      </c>
      <c r="Y133" s="100" t="str">
        <f t="shared" si="347"/>
        <v>0</v>
      </c>
      <c r="Z133" s="8">
        <f t="shared" si="348"/>
        <v>10.208600028432556</v>
      </c>
      <c r="AA133" s="100" t="str">
        <f t="shared" si="349"/>
        <v>X</v>
      </c>
      <c r="AB133" s="8">
        <f t="shared" si="350"/>
        <v>2.5032003411906771</v>
      </c>
      <c r="AC133" s="100" t="str">
        <f t="shared" si="351"/>
        <v>2</v>
      </c>
      <c r="AD133" s="8">
        <f t="shared" si="352"/>
        <v>6.0384040942881256</v>
      </c>
      <c r="AE133" s="100" t="str">
        <f t="shared" si="353"/>
        <v>6</v>
      </c>
      <c r="AF133" s="8">
        <f t="shared" si="354"/>
        <v>0.46084913145750761</v>
      </c>
      <c r="AG133" s="100" t="str">
        <f t="shared" si="355"/>
        <v/>
      </c>
      <c r="AH133" s="8">
        <f t="shared" si="356"/>
        <v>5.5301895774900913</v>
      </c>
      <c r="AI133" s="100" t="str">
        <f t="shared" si="357"/>
        <v/>
      </c>
      <c r="AJ133" s="8">
        <f t="shared" si="358"/>
        <v>6.3622749298810959</v>
      </c>
      <c r="AK133" s="100" t="str">
        <f t="shared" si="359"/>
        <v/>
      </c>
    </row>
    <row r="134" spans="2:39">
      <c r="B134" s="130"/>
      <c r="C134" s="9" t="s">
        <v>643</v>
      </c>
      <c r="D134" s="210">
        <v>37.799999999999997</v>
      </c>
      <c r="E134" s="8">
        <v>9</v>
      </c>
      <c r="F134" s="131">
        <f t="shared" si="334"/>
        <v>92.639111658902564</v>
      </c>
      <c r="G134" s="37" t="str">
        <f t="shared" si="385"/>
        <v>7;878047523</v>
      </c>
      <c r="H134" s="37"/>
      <c r="I134" s="340"/>
      <c r="J134" s="38">
        <v>1</v>
      </c>
      <c r="K134" s="132">
        <f t="shared" si="386"/>
        <v>7.7199259715752238</v>
      </c>
      <c r="L134" s="39" t="str">
        <f>INDEX(powers!$H$2:$H$75,33+J134)</f>
        <v>dirac</v>
      </c>
      <c r="M134" s="101" t="str">
        <f t="shared" si="335"/>
        <v>7</v>
      </c>
      <c r="N134" s="8">
        <f t="shared" si="336"/>
        <v>8.6391116589026851</v>
      </c>
      <c r="O134" s="100" t="str">
        <f t="shared" si="337"/>
        <v>8</v>
      </c>
      <c r="P134" s="8">
        <f t="shared" si="338"/>
        <v>7.6693399068322208</v>
      </c>
      <c r="Q134" s="100" t="str">
        <f t="shared" si="339"/>
        <v>7</v>
      </c>
      <c r="R134" s="8">
        <f t="shared" si="340"/>
        <v>8.0320788819866493</v>
      </c>
      <c r="S134" s="100" t="str">
        <f t="shared" si="341"/>
        <v>8</v>
      </c>
      <c r="T134" s="8">
        <f t="shared" si="342"/>
        <v>0.38494658383979186</v>
      </c>
      <c r="U134" s="100" t="str">
        <f t="shared" si="343"/>
        <v>0</v>
      </c>
      <c r="V134" s="8">
        <f t="shared" si="344"/>
        <v>4.6193590060775023</v>
      </c>
      <c r="W134" s="100" t="str">
        <f t="shared" si="345"/>
        <v>4</v>
      </c>
      <c r="X134" s="8">
        <f t="shared" si="346"/>
        <v>7.4323080729300273</v>
      </c>
      <c r="Y134" s="100" t="str">
        <f t="shared" si="347"/>
        <v>7</v>
      </c>
      <c r="Z134" s="8">
        <f t="shared" si="348"/>
        <v>5.1876968751603272</v>
      </c>
      <c r="AA134" s="100" t="str">
        <f t="shared" si="349"/>
        <v>5</v>
      </c>
      <c r="AB134" s="8">
        <f t="shared" si="350"/>
        <v>2.2523625019239262</v>
      </c>
      <c r="AC134" s="100" t="str">
        <f t="shared" si="351"/>
        <v>2</v>
      </c>
      <c r="AD134" s="8">
        <f t="shared" si="352"/>
        <v>3.0283500230871141</v>
      </c>
      <c r="AE134" s="100" t="str">
        <f t="shared" si="353"/>
        <v>3</v>
      </c>
      <c r="AF134" s="8">
        <f t="shared" si="354"/>
        <v>0.34020027704536915</v>
      </c>
      <c r="AG134" s="100" t="str">
        <f t="shared" si="355"/>
        <v/>
      </c>
      <c r="AH134" s="8">
        <f t="shared" si="356"/>
        <v>4.0824033245444298</v>
      </c>
      <c r="AI134" s="100" t="str">
        <f t="shared" si="357"/>
        <v/>
      </c>
      <c r="AJ134" s="8">
        <f t="shared" si="358"/>
        <v>0.98883989453315735</v>
      </c>
      <c r="AK134" s="100" t="str">
        <f t="shared" si="359"/>
        <v/>
      </c>
    </row>
    <row r="135" spans="2:39">
      <c r="B135" s="130" t="s">
        <v>655</v>
      </c>
      <c r="C135" s="9" t="s">
        <v>644</v>
      </c>
      <c r="D135" s="210">
        <v>58.8</v>
      </c>
      <c r="E135" s="8">
        <v>9</v>
      </c>
      <c r="F135" s="131">
        <f t="shared" si="334"/>
        <v>109.9840985045426</v>
      </c>
      <c r="G135" s="37" t="str">
        <f t="shared" ref="G135" si="445">M135&amp;";"&amp;O135&amp;Q135&amp;S135&amp;U135&amp;W135&amp;Y135&amp;AA135&amp;AC135&amp;AE135&amp;AG135&amp;AI135&amp;AK135</f>
        <v>9;1E9863248</v>
      </c>
      <c r="H135" s="37"/>
      <c r="I135" s="340"/>
      <c r="J135" s="38">
        <v>1</v>
      </c>
      <c r="K135" s="132">
        <f t="shared" ref="K135" si="446">F135/POWER(12,J135)+0.00000000000001</f>
        <v>9.165341542045228</v>
      </c>
      <c r="L135" s="39" t="str">
        <f>INDEX(powers!$H$2:$H$75,33+J135)</f>
        <v>dirac</v>
      </c>
      <c r="M135" s="101" t="str">
        <f t="shared" ref="M135" si="447">IF($E135&gt;=M$31,MID($J$31,IF($E135&gt;M$31,INT(K135),ROUND(K135,0))+1,1),"")</f>
        <v>9</v>
      </c>
      <c r="N135" s="8">
        <f t="shared" ref="N135" si="448">(K135-INT(K135))*12</f>
        <v>1.984098504542736</v>
      </c>
      <c r="O135" s="100" t="str">
        <f t="shared" ref="O135" si="449">IF($E135&gt;=O$31,MID($J$31,IF($E135&gt;O$31,INT(N135),ROUND(N135,0))+1,1),"")</f>
        <v>1</v>
      </c>
      <c r="P135" s="8">
        <f t="shared" ref="P135" si="450">(N135-INT(N135))*12</f>
        <v>11.809182054512831</v>
      </c>
      <c r="Q135" s="100" t="str">
        <f t="shared" ref="Q135" si="451">IF($E135&gt;=Q$31,MID($J$31,IF($E135&gt;Q$31,INT(P135),ROUND(P135,0))+1,1),"")</f>
        <v>E</v>
      </c>
      <c r="R135" s="8">
        <f t="shared" ref="R135" si="452">(P135-INT(P135))*12</f>
        <v>9.7101846541539771</v>
      </c>
      <c r="S135" s="100" t="str">
        <f t="shared" ref="S135" si="453">IF($E135&gt;=S$31,MID($J$31,IF($E135&gt;S$31,INT(R135),ROUND(R135,0))+1,1),"")</f>
        <v>9</v>
      </c>
      <c r="T135" s="8">
        <f t="shared" ref="T135" si="454">(R135-INT(R135))*12</f>
        <v>8.5222158498477256</v>
      </c>
      <c r="U135" s="100" t="str">
        <f t="shared" ref="U135" si="455">IF($E135&gt;=U$31,MID($J$31,IF($E135&gt;U$31,INT(T135),ROUND(T135,0))+1,1),"")</f>
        <v>8</v>
      </c>
      <c r="V135" s="8">
        <f t="shared" ref="V135" si="456">(T135-INT(T135))*12</f>
        <v>6.2665901981727075</v>
      </c>
      <c r="W135" s="100" t="str">
        <f t="shared" ref="W135" si="457">IF($E135&gt;=W$31,MID($J$31,IF($E135&gt;W$31,INT(V135),ROUND(V135,0))+1,1),"")</f>
        <v>6</v>
      </c>
      <c r="X135" s="8">
        <f t="shared" ref="X135" si="458">(V135-INT(V135))*12</f>
        <v>3.1990823780724895</v>
      </c>
      <c r="Y135" s="100" t="str">
        <f t="shared" ref="Y135" si="459">IF($E135&gt;=Y$31,MID($J$31,IF($E135&gt;Y$31,INT(X135),ROUND(X135,0))+1,1),"")</f>
        <v>3</v>
      </c>
      <c r="Z135" s="8">
        <f t="shared" ref="Z135" si="460">(X135-INT(X135))*12</f>
        <v>2.3889885368698742</v>
      </c>
      <c r="AA135" s="100" t="str">
        <f t="shared" ref="AA135" si="461">IF($E135&gt;=AA$31,MID($J$31,IF($E135&gt;AA$31,INT(Z135),ROUND(Z135,0))+1,1),"")</f>
        <v>2</v>
      </c>
      <c r="AB135" s="8">
        <f t="shared" ref="AB135" si="462">(Z135-INT(Z135))*12</f>
        <v>4.6678624424384907</v>
      </c>
      <c r="AC135" s="100" t="str">
        <f t="shared" ref="AC135" si="463">IF($E135&gt;=AC$31,MID($J$31,IF($E135&gt;AC$31,INT(AB135),ROUND(AB135,0))+1,1),"")</f>
        <v>4</v>
      </c>
      <c r="AD135" s="8">
        <f t="shared" ref="AD135" si="464">(AB135-INT(AB135))*12</f>
        <v>8.0143493092618883</v>
      </c>
      <c r="AE135" s="100" t="str">
        <f t="shared" ref="AE135" si="465">IF($E135&gt;=AE$31,MID($J$31,IF($E135&gt;AE$31,INT(AD135),ROUND(AD135,0))+1,1),"")</f>
        <v>8</v>
      </c>
      <c r="AF135" s="8">
        <f t="shared" ref="AF135" si="466">(AD135-INT(AD135))*12</f>
        <v>0.17219171114265919</v>
      </c>
      <c r="AG135" s="100" t="str">
        <f t="shared" ref="AG135" si="467">IF($E135&gt;=AG$31,MID($J$31,IF($E135&gt;AG$31,INT(AF135),ROUND(AF135,0))+1,1),"")</f>
        <v/>
      </c>
      <c r="AH135" s="8">
        <f t="shared" ref="AH135" si="468">(AF135-INT(AF135))*12</f>
        <v>2.0663005337119102</v>
      </c>
      <c r="AI135" s="100" t="str">
        <f t="shared" ref="AI135" si="469">IF($E135&gt;=AI$31,MID($J$31,IF($E135&gt;AI$31,INT(AH135),ROUND(AH135,0))+1,1),"")</f>
        <v/>
      </c>
      <c r="AJ135" s="8">
        <f t="shared" ref="AJ135" si="470">(AH135-INT(AH135))*12</f>
        <v>0.79560640454292297</v>
      </c>
      <c r="AK135" s="100" t="str">
        <f t="shared" ref="AK135" si="471">IF($E135&gt;=AK$31,MID($J$31,IF($E135&gt;AK$31,INT(AJ135),ROUND(AJ135,0))+1,1),"")</f>
        <v/>
      </c>
    </row>
    <row r="136" spans="2:39">
      <c r="B136" s="130"/>
      <c r="C136" s="9" t="s">
        <v>645</v>
      </c>
      <c r="D136" s="210">
        <v>60</v>
      </c>
      <c r="E136" s="8">
        <v>9</v>
      </c>
      <c r="F136" s="131">
        <f t="shared" si="334"/>
        <v>110.97524061000776</v>
      </c>
      <c r="G136" s="37" t="str">
        <f t="shared" si="385"/>
        <v>9;2E85270X3</v>
      </c>
      <c r="H136" s="37"/>
      <c r="I136" s="340"/>
      <c r="J136" s="38">
        <v>1</v>
      </c>
      <c r="K136" s="132">
        <f t="shared" si="386"/>
        <v>9.2479367175006573</v>
      </c>
      <c r="L136" s="39" t="str">
        <f>INDEX(powers!$H$2:$H$75,33+J136)</f>
        <v>dirac</v>
      </c>
      <c r="M136" s="101" t="str">
        <f t="shared" si="335"/>
        <v>9</v>
      </c>
      <c r="N136" s="8">
        <f t="shared" si="336"/>
        <v>2.9752406100078872</v>
      </c>
      <c r="O136" s="100" t="str">
        <f t="shared" si="337"/>
        <v>2</v>
      </c>
      <c r="P136" s="8">
        <f t="shared" si="338"/>
        <v>11.702887320094646</v>
      </c>
      <c r="Q136" s="100" t="str">
        <f t="shared" si="339"/>
        <v>E</v>
      </c>
      <c r="R136" s="8">
        <f t="shared" si="340"/>
        <v>8.4346478411357566</v>
      </c>
      <c r="S136" s="100" t="str">
        <f t="shared" si="341"/>
        <v>8</v>
      </c>
      <c r="T136" s="8">
        <f t="shared" si="342"/>
        <v>5.2157740936290793</v>
      </c>
      <c r="U136" s="100" t="str">
        <f t="shared" si="343"/>
        <v>5</v>
      </c>
      <c r="V136" s="8">
        <f t="shared" si="344"/>
        <v>2.5892891235489515</v>
      </c>
      <c r="W136" s="100" t="str">
        <f t="shared" si="345"/>
        <v>2</v>
      </c>
      <c r="X136" s="8">
        <f t="shared" si="346"/>
        <v>7.0714694825874176</v>
      </c>
      <c r="Y136" s="100" t="str">
        <f t="shared" si="347"/>
        <v>7</v>
      </c>
      <c r="Z136" s="8">
        <f t="shared" si="348"/>
        <v>0.85763379104901105</v>
      </c>
      <c r="AA136" s="100" t="str">
        <f t="shared" si="349"/>
        <v>0</v>
      </c>
      <c r="AB136" s="8">
        <f t="shared" si="350"/>
        <v>10.291605492588133</v>
      </c>
      <c r="AC136" s="100" t="str">
        <f t="shared" si="351"/>
        <v>X</v>
      </c>
      <c r="AD136" s="8">
        <f t="shared" si="352"/>
        <v>3.4992659110575914</v>
      </c>
      <c r="AE136" s="100" t="str">
        <f t="shared" si="353"/>
        <v>3</v>
      </c>
      <c r="AF136" s="8">
        <f t="shared" si="354"/>
        <v>5.9911909326910973</v>
      </c>
      <c r="AG136" s="100" t="str">
        <f t="shared" si="355"/>
        <v/>
      </c>
      <c r="AH136" s="8">
        <f t="shared" si="356"/>
        <v>11.894291192293167</v>
      </c>
      <c r="AI136" s="100" t="str">
        <f t="shared" si="357"/>
        <v/>
      </c>
      <c r="AJ136" s="8">
        <f t="shared" si="358"/>
        <v>10.731494307518005</v>
      </c>
      <c r="AK136" s="100" t="str">
        <f t="shared" si="359"/>
        <v/>
      </c>
    </row>
    <row r="137" spans="2:39">
      <c r="B137" s="130"/>
      <c r="C137" s="9" t="s">
        <v>646</v>
      </c>
      <c r="D137" s="210">
        <v>83</v>
      </c>
      <c r="E137" s="8">
        <v>9</v>
      </c>
      <c r="F137" s="131">
        <f t="shared" si="334"/>
        <v>129.97213096475636</v>
      </c>
      <c r="G137" s="37" t="str">
        <f t="shared" si="385"/>
        <v>X;9E7EX1361</v>
      </c>
      <c r="H137" s="37"/>
      <c r="I137" s="340"/>
      <c r="J137" s="38">
        <v>1</v>
      </c>
      <c r="K137" s="132">
        <f t="shared" si="386"/>
        <v>10.831010913729708</v>
      </c>
      <c r="L137" s="39" t="str">
        <f>INDEX(powers!$H$2:$H$75,33+J137)</f>
        <v>dirac</v>
      </c>
      <c r="M137" s="101" t="str">
        <f t="shared" si="335"/>
        <v>X</v>
      </c>
      <c r="N137" s="8">
        <f t="shared" si="336"/>
        <v>9.9721309647564951</v>
      </c>
      <c r="O137" s="100" t="str">
        <f t="shared" si="337"/>
        <v>9</v>
      </c>
      <c r="P137" s="8">
        <f t="shared" si="338"/>
        <v>11.665571577077941</v>
      </c>
      <c r="Q137" s="100" t="str">
        <f t="shared" si="339"/>
        <v>E</v>
      </c>
      <c r="R137" s="8">
        <f t="shared" si="340"/>
        <v>7.9868589249352908</v>
      </c>
      <c r="S137" s="100" t="str">
        <f t="shared" si="341"/>
        <v>7</v>
      </c>
      <c r="T137" s="8">
        <f t="shared" si="342"/>
        <v>11.84230709922349</v>
      </c>
      <c r="U137" s="100" t="str">
        <f t="shared" si="343"/>
        <v>E</v>
      </c>
      <c r="V137" s="8">
        <f t="shared" si="344"/>
        <v>10.107685190681877</v>
      </c>
      <c r="W137" s="100" t="str">
        <f t="shared" si="345"/>
        <v>X</v>
      </c>
      <c r="X137" s="8">
        <f t="shared" si="346"/>
        <v>1.2922222881825292</v>
      </c>
      <c r="Y137" s="100" t="str">
        <f t="shared" si="347"/>
        <v>1</v>
      </c>
      <c r="Z137" s="8">
        <f t="shared" si="348"/>
        <v>3.5066674581903499</v>
      </c>
      <c r="AA137" s="100" t="str">
        <f t="shared" si="349"/>
        <v>3</v>
      </c>
      <c r="AB137" s="8">
        <f t="shared" si="350"/>
        <v>6.0800094982841983</v>
      </c>
      <c r="AC137" s="100" t="str">
        <f t="shared" si="351"/>
        <v>6</v>
      </c>
      <c r="AD137" s="8">
        <f t="shared" si="352"/>
        <v>0.96011397941038013</v>
      </c>
      <c r="AE137" s="100" t="str">
        <f t="shared" si="353"/>
        <v>1</v>
      </c>
      <c r="AF137" s="8">
        <f t="shared" si="354"/>
        <v>11.521367752924562</v>
      </c>
      <c r="AG137" s="100" t="str">
        <f t="shared" si="355"/>
        <v/>
      </c>
      <c r="AH137" s="8">
        <f t="shared" si="356"/>
        <v>6.256413035094738</v>
      </c>
      <c r="AI137" s="100" t="str">
        <f t="shared" si="357"/>
        <v/>
      </c>
      <c r="AJ137" s="8">
        <f t="shared" si="358"/>
        <v>3.0769564211368561</v>
      </c>
      <c r="AK137" s="100" t="str">
        <f t="shared" si="359"/>
        <v/>
      </c>
    </row>
    <row r="138" spans="2:39">
      <c r="B138" s="95" t="s">
        <v>658</v>
      </c>
      <c r="C138" s="9" t="s">
        <v>649</v>
      </c>
      <c r="D138" s="210">
        <v>99.974000000000004</v>
      </c>
      <c r="E138" s="8">
        <v>9</v>
      </c>
      <c r="F138" s="131">
        <f t="shared" si="334"/>
        <v>143.99183604656085</v>
      </c>
      <c r="G138" s="37" t="str">
        <f t="shared" si="385"/>
        <v>0;EEEX9X867</v>
      </c>
      <c r="H138" s="37"/>
      <c r="I138" s="340"/>
      <c r="J138" s="38">
        <v>2</v>
      </c>
      <c r="K138" s="132">
        <f t="shared" si="386"/>
        <v>0.99994330587890479</v>
      </c>
      <c r="L138" s="39" t="str">
        <f>INDEX(powers!$H$2:$H$75,33+J138)</f>
        <v>hecty</v>
      </c>
      <c r="M138" s="101" t="str">
        <f t="shared" si="335"/>
        <v>0</v>
      </c>
      <c r="N138" s="8">
        <f t="shared" si="336"/>
        <v>11.999319670546857</v>
      </c>
      <c r="O138" s="100" t="str">
        <f t="shared" si="337"/>
        <v>E</v>
      </c>
      <c r="P138" s="8">
        <f t="shared" si="338"/>
        <v>11.991836046562284</v>
      </c>
      <c r="Q138" s="100" t="str">
        <f t="shared" si="339"/>
        <v>E</v>
      </c>
      <c r="R138" s="8">
        <f t="shared" si="340"/>
        <v>11.902032558747408</v>
      </c>
      <c r="S138" s="100" t="str">
        <f t="shared" si="341"/>
        <v>E</v>
      </c>
      <c r="T138" s="8">
        <f t="shared" si="342"/>
        <v>10.824390704968891</v>
      </c>
      <c r="U138" s="100" t="str">
        <f t="shared" si="343"/>
        <v>X</v>
      </c>
      <c r="V138" s="8">
        <f t="shared" si="344"/>
        <v>9.8926884596266973</v>
      </c>
      <c r="W138" s="100" t="str">
        <f t="shared" si="345"/>
        <v>9</v>
      </c>
      <c r="X138" s="8">
        <f t="shared" si="346"/>
        <v>10.712261515520368</v>
      </c>
      <c r="Y138" s="100" t="str">
        <f t="shared" si="347"/>
        <v>X</v>
      </c>
      <c r="Z138" s="8">
        <f t="shared" si="348"/>
        <v>8.5471381862444105</v>
      </c>
      <c r="AA138" s="100" t="str">
        <f t="shared" si="349"/>
        <v>8</v>
      </c>
      <c r="AB138" s="8">
        <f t="shared" si="350"/>
        <v>6.5656582349329256</v>
      </c>
      <c r="AC138" s="100" t="str">
        <f t="shared" si="351"/>
        <v>6</v>
      </c>
      <c r="AD138" s="8">
        <f t="shared" si="352"/>
        <v>6.7878988191951066</v>
      </c>
      <c r="AE138" s="100" t="str">
        <f t="shared" si="353"/>
        <v>7</v>
      </c>
      <c r="AF138" s="8">
        <f t="shared" si="354"/>
        <v>9.4547858303412795</v>
      </c>
      <c r="AG138" s="100" t="str">
        <f t="shared" si="355"/>
        <v/>
      </c>
      <c r="AH138" s="8">
        <f t="shared" si="356"/>
        <v>5.4574299640953541</v>
      </c>
      <c r="AI138" s="100" t="str">
        <f t="shared" si="357"/>
        <v/>
      </c>
      <c r="AJ138" s="8">
        <f t="shared" si="358"/>
        <v>5.489159569144249</v>
      </c>
      <c r="AK138" s="100" t="str">
        <f t="shared" si="359"/>
        <v/>
      </c>
      <c r="AL138" s="253">
        <f>144</f>
        <v>144</v>
      </c>
      <c r="AM138" s="253">
        <f t="shared" ref="AM138:AM140" si="472">-AL138*F$6*20736+D138</f>
        <v>-74.370323631478286</v>
      </c>
    </row>
    <row r="139" spans="2:39">
      <c r="B139" s="95" t="s">
        <v>659</v>
      </c>
      <c r="C139" s="9" t="s">
        <v>657</v>
      </c>
      <c r="D139" s="210">
        <v>99.983900000000006</v>
      </c>
      <c r="E139" s="8">
        <v>9</v>
      </c>
      <c r="F139" s="131">
        <f t="shared" si="334"/>
        <v>144.00001296893092</v>
      </c>
      <c r="G139" s="37" t="str">
        <f t="shared" ref="G139" si="473">M139&amp;";"&amp;O139&amp;Q139&amp;S139&amp;U139&amp;W139&amp;Y139&amp;AA139&amp;AC139&amp;AE139&amp;AG139&amp;AI139&amp;AK139</f>
        <v>1;000000329</v>
      </c>
      <c r="H139" s="37"/>
      <c r="I139" s="340"/>
      <c r="J139" s="38">
        <v>2</v>
      </c>
      <c r="K139" s="132">
        <f t="shared" ref="K139" si="474">F139/POWER(12,J139)+0.00000000000001</f>
        <v>1.0000000900620303</v>
      </c>
      <c r="L139" s="39" t="str">
        <f>INDEX(powers!$H$2:$H$75,33+J139)</f>
        <v>hecty</v>
      </c>
      <c r="M139" s="101" t="str">
        <f t="shared" ref="M139" si="475">IF($E139&gt;=M$31,MID($J$31,IF($E139&gt;M$31,INT(K139),ROUND(K139,0))+1,1),"")</f>
        <v>1</v>
      </c>
      <c r="N139" s="8">
        <f t="shared" ref="N139" si="476">(K139-INT(K139))*12</f>
        <v>1.0807443633353842E-6</v>
      </c>
      <c r="O139" s="100" t="str">
        <f t="shared" ref="O139" si="477">IF($E139&gt;=O$31,MID($J$31,IF($E139&gt;O$31,INT(N139),ROUND(N139,0))+1,1),"")</f>
        <v>0</v>
      </c>
      <c r="P139" s="8">
        <f t="shared" ref="P139" si="478">(N139-INT(N139))*12</f>
        <v>1.296893236002461E-5</v>
      </c>
      <c r="Q139" s="100" t="str">
        <f t="shared" ref="Q139" si="479">IF($E139&gt;=Q$31,MID($J$31,IF($E139&gt;Q$31,INT(P139),ROUND(P139,0))+1,1),"")</f>
        <v>0</v>
      </c>
      <c r="R139" s="8">
        <f t="shared" ref="R139" si="480">(P139-INT(P139))*12</f>
        <v>1.5562718832029532E-4</v>
      </c>
      <c r="S139" s="100" t="str">
        <f t="shared" ref="S139" si="481">IF($E139&gt;=S$31,MID($J$31,IF($E139&gt;S$31,INT(R139),ROUND(R139,0))+1,1),"")</f>
        <v>0</v>
      </c>
      <c r="T139" s="8">
        <f t="shared" ref="T139" si="482">(R139-INT(R139))*12</f>
        <v>1.8675262598435438E-3</v>
      </c>
      <c r="U139" s="100" t="str">
        <f t="shared" ref="U139" si="483">IF($E139&gt;=U$31,MID($J$31,IF($E139&gt;U$31,INT(T139),ROUND(T139,0))+1,1),"")</f>
        <v>0</v>
      </c>
      <c r="V139" s="8">
        <f t="shared" ref="V139" si="484">(T139-INT(T139))*12</f>
        <v>2.2410315118122526E-2</v>
      </c>
      <c r="W139" s="100" t="str">
        <f t="shared" ref="W139" si="485">IF($E139&gt;=W$31,MID($J$31,IF($E139&gt;W$31,INT(V139),ROUND(V139,0))+1,1),"")</f>
        <v>0</v>
      </c>
      <c r="X139" s="8">
        <f t="shared" ref="X139" si="486">(V139-INT(V139))*12</f>
        <v>0.26892378141747031</v>
      </c>
      <c r="Y139" s="100" t="str">
        <f t="shared" ref="Y139" si="487">IF($E139&gt;=Y$31,MID($J$31,IF($E139&gt;Y$31,INT(X139),ROUND(X139,0))+1,1),"")</f>
        <v>0</v>
      </c>
      <c r="Z139" s="8">
        <f t="shared" ref="Z139" si="488">(X139-INT(X139))*12</f>
        <v>3.2270853770096437</v>
      </c>
      <c r="AA139" s="100" t="str">
        <f t="shared" ref="AA139" si="489">IF($E139&gt;=AA$31,MID($J$31,IF($E139&gt;AA$31,INT(Z139),ROUND(Z139,0))+1,1),"")</f>
        <v>3</v>
      </c>
      <c r="AB139" s="8">
        <f t="shared" ref="AB139" si="490">(Z139-INT(Z139))*12</f>
        <v>2.7250245241157245</v>
      </c>
      <c r="AC139" s="100" t="str">
        <f t="shared" ref="AC139" si="491">IF($E139&gt;=AC$31,MID($J$31,IF($E139&gt;AC$31,INT(AB139),ROUND(AB139,0))+1,1),"")</f>
        <v>2</v>
      </c>
      <c r="AD139" s="8">
        <f t="shared" ref="AD139" si="492">(AB139-INT(AB139))*12</f>
        <v>8.7002942893886939</v>
      </c>
      <c r="AE139" s="100" t="str">
        <f t="shared" ref="AE139" si="493">IF($E139&gt;=AE$31,MID($J$31,IF($E139&gt;AE$31,INT(AD139),ROUND(AD139,0))+1,1),"")</f>
        <v>9</v>
      </c>
      <c r="AF139" s="8">
        <f t="shared" ref="AF139" si="494">(AD139-INT(AD139))*12</f>
        <v>8.4035314726643264</v>
      </c>
      <c r="AG139" s="100" t="str">
        <f t="shared" ref="AG139" si="495">IF($E139&gt;=AG$31,MID($J$31,IF($E139&gt;AG$31,INT(AF139),ROUND(AF139,0))+1,1),"")</f>
        <v/>
      </c>
      <c r="AH139" s="8">
        <f t="shared" ref="AH139" si="496">(AF139-INT(AF139))*12</f>
        <v>4.8423776719719172</v>
      </c>
      <c r="AI139" s="100" t="str">
        <f t="shared" ref="AI139" si="497">IF($E139&gt;=AI$31,MID($J$31,IF($E139&gt;AI$31,INT(AH139),ROUND(AH139,0))+1,1),"")</f>
        <v/>
      </c>
      <c r="AJ139" s="8">
        <f t="shared" ref="AJ139" si="498">(AH139-INT(AH139))*12</f>
        <v>10.108532063663006</v>
      </c>
      <c r="AK139" s="100" t="str">
        <f t="shared" ref="AK139" si="499">IF($E139&gt;=AK$31,MID($J$31,IF($E139&gt;AK$31,INT(AJ139),ROUND(AJ139,0))+1,1),"")</f>
        <v/>
      </c>
      <c r="AL139" s="253">
        <f>144</f>
        <v>144</v>
      </c>
      <c r="AM139" s="253">
        <f t="shared" si="472"/>
        <v>-74.360423631478284</v>
      </c>
    </row>
    <row r="140" spans="2:39" ht="12.75" thickBot="1">
      <c r="B140" s="133"/>
      <c r="C140" s="256" t="s">
        <v>647</v>
      </c>
      <c r="D140" s="212">
        <v>100</v>
      </c>
      <c r="E140" s="33">
        <v>9</v>
      </c>
      <c r="F140" s="134">
        <f t="shared" si="334"/>
        <v>144.01331079217923</v>
      </c>
      <c r="G140" s="47" t="str">
        <f t="shared" si="385"/>
        <v>1;0001E001X</v>
      </c>
      <c r="H140" s="47"/>
      <c r="I140" s="342"/>
      <c r="J140" s="48">
        <v>2</v>
      </c>
      <c r="K140" s="110">
        <f t="shared" si="386"/>
        <v>1.0000924360568102</v>
      </c>
      <c r="L140" s="49" t="str">
        <f>INDEX(powers!$H$2:$H$75,33+J140)</f>
        <v>hecty</v>
      </c>
      <c r="M140" s="101" t="str">
        <f t="shared" si="335"/>
        <v>1</v>
      </c>
      <c r="N140" s="8">
        <f t="shared" si="336"/>
        <v>1.1092326817223608E-3</v>
      </c>
      <c r="O140" s="100" t="str">
        <f t="shared" si="337"/>
        <v>0</v>
      </c>
      <c r="P140" s="8">
        <f t="shared" si="338"/>
        <v>1.3310792180668329E-2</v>
      </c>
      <c r="Q140" s="100" t="str">
        <f t="shared" si="339"/>
        <v>0</v>
      </c>
      <c r="R140" s="8">
        <f t="shared" si="340"/>
        <v>0.15972950616801995</v>
      </c>
      <c r="S140" s="100" t="str">
        <f t="shared" si="341"/>
        <v>0</v>
      </c>
      <c r="T140" s="8">
        <f t="shared" si="342"/>
        <v>1.9167540740162394</v>
      </c>
      <c r="U140" s="100" t="str">
        <f t="shared" si="343"/>
        <v>1</v>
      </c>
      <c r="V140" s="8">
        <f t="shared" si="344"/>
        <v>11.001048888194873</v>
      </c>
      <c r="W140" s="100" t="str">
        <f t="shared" si="345"/>
        <v>E</v>
      </c>
      <c r="X140" s="8">
        <f t="shared" si="346"/>
        <v>1.2586658338477719E-2</v>
      </c>
      <c r="Y140" s="100" t="str">
        <f t="shared" si="347"/>
        <v>0</v>
      </c>
      <c r="Z140" s="8">
        <f t="shared" si="348"/>
        <v>0.15103990006173262</v>
      </c>
      <c r="AA140" s="100" t="str">
        <f t="shared" si="349"/>
        <v>0</v>
      </c>
      <c r="AB140" s="8">
        <f t="shared" si="350"/>
        <v>1.8124788007407915</v>
      </c>
      <c r="AC140" s="100" t="str">
        <f t="shared" si="351"/>
        <v>1</v>
      </c>
      <c r="AD140" s="8">
        <f t="shared" si="352"/>
        <v>9.7497456088894978</v>
      </c>
      <c r="AE140" s="100" t="str">
        <f t="shared" si="353"/>
        <v>X</v>
      </c>
      <c r="AF140" s="8">
        <f t="shared" si="354"/>
        <v>8.9969473066739738</v>
      </c>
      <c r="AG140" s="100" t="str">
        <f t="shared" si="355"/>
        <v/>
      </c>
      <c r="AH140" s="8">
        <f t="shared" si="356"/>
        <v>11.963367680087686</v>
      </c>
      <c r="AI140" s="100" t="str">
        <f t="shared" si="357"/>
        <v/>
      </c>
      <c r="AJ140" s="8">
        <f t="shared" si="358"/>
        <v>11.560412161052227</v>
      </c>
      <c r="AK140" s="100" t="str">
        <f t="shared" si="359"/>
        <v/>
      </c>
      <c r="AL140" s="253">
        <f>144</f>
        <v>144</v>
      </c>
      <c r="AM140" s="253">
        <f t="shared" si="472"/>
        <v>-74.344323631478289</v>
      </c>
    </row>
    <row r="141" spans="2:39">
      <c r="B141" s="246"/>
      <c r="C141" s="247"/>
      <c r="D141" s="258">
        <f>(D117+144*F6*20736-D139)*1</f>
        <v>-1.5701802027479062E-5</v>
      </c>
      <c r="E141" s="247"/>
      <c r="F141" s="248"/>
      <c r="G141" s="249"/>
      <c r="H141" s="249"/>
      <c r="I141" s="348"/>
      <c r="J141" s="250"/>
      <c r="K141" s="251"/>
      <c r="L141" s="251"/>
      <c r="M141" s="252"/>
      <c r="N141" s="247"/>
      <c r="O141" s="252"/>
      <c r="P141" s="247"/>
      <c r="Q141" s="252"/>
      <c r="R141" s="247"/>
      <c r="S141" s="252"/>
      <c r="T141" s="247"/>
      <c r="U141" s="252"/>
      <c r="V141" s="247"/>
      <c r="W141" s="252"/>
      <c r="X141" s="247"/>
      <c r="Y141" s="252"/>
      <c r="Z141" s="247"/>
      <c r="AA141" s="252"/>
      <c r="AB141" s="247"/>
      <c r="AC141" s="252"/>
      <c r="AD141" s="247"/>
      <c r="AE141" s="252"/>
      <c r="AF141" s="247"/>
      <c r="AG141" s="252"/>
      <c r="AH141" s="247"/>
      <c r="AI141" s="252"/>
      <c r="AJ141" s="247"/>
      <c r="AK141" s="252"/>
    </row>
    <row r="142" spans="2:39">
      <c r="B142" s="145" t="s">
        <v>675</v>
      </c>
      <c r="C142" s="54"/>
      <c r="D142" s="253">
        <f>D$117+F$6*F142*20736</f>
        <v>14.022446952121882</v>
      </c>
      <c r="F142" s="261">
        <f>12*6+1</f>
        <v>73</v>
      </c>
    </row>
    <row r="143" spans="2:39">
      <c r="B143" s="145" t="s">
        <v>676</v>
      </c>
      <c r="C143" s="54"/>
      <c r="D143" s="253">
        <f>D$117+F$6*F143*20736</f>
        <v>37.026211875719724</v>
      </c>
      <c r="F143" s="261">
        <f>12*7+8</f>
        <v>92</v>
      </c>
      <c r="AL143" s="253"/>
    </row>
    <row r="144" spans="2:39">
      <c r="B144" s="145" t="s">
        <v>677</v>
      </c>
      <c r="C144" s="54"/>
      <c r="D144" s="253">
        <f>D$117+F$6*F144*20736</f>
        <v>99.983884298197978</v>
      </c>
      <c r="F144" s="261">
        <v>144</v>
      </c>
    </row>
    <row r="145" spans="2:5" ht="13.5">
      <c r="B145" s="145" t="s">
        <v>1323</v>
      </c>
      <c r="D145" s="538">
        <f>F6*POWER(12,7)*3-273.15</f>
        <v>6003.245650733219</v>
      </c>
      <c r="E145" s="14" t="s">
        <v>1324</v>
      </c>
    </row>
  </sheetData>
  <mergeCells count="7">
    <mergeCell ref="A72:A89"/>
    <mergeCell ref="J31:K31"/>
    <mergeCell ref="A31:A71"/>
    <mergeCell ref="M1:R1"/>
    <mergeCell ref="M2:N2"/>
    <mergeCell ref="A1:A30"/>
    <mergeCell ref="R24:W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1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8"/>
  <sheetViews>
    <sheetView zoomScaleNormal="100" workbookViewId="0">
      <selection activeCell="H31" sqref="H31"/>
    </sheetView>
  </sheetViews>
  <sheetFormatPr defaultRowHeight="12"/>
  <cols>
    <col min="1" max="1" width="2.75" style="14" customWidth="1"/>
    <col min="2" max="2" width="27.125" style="14" customWidth="1"/>
    <col min="3" max="3" width="8.625" style="14" customWidth="1"/>
    <col min="4" max="4" width="14.125" style="14" customWidth="1"/>
    <col min="5" max="5" width="3.5" style="14" customWidth="1"/>
    <col min="6" max="6" width="14.625" style="14" customWidth="1"/>
    <col min="7" max="7" width="14.125" style="14" customWidth="1"/>
    <col min="8" max="8" width="7" style="14" customWidth="1"/>
    <col min="9" max="9" width="2.75" style="343" customWidth="1"/>
    <col min="10" max="10" width="3.625" style="14" customWidth="1"/>
    <col min="11" max="11" width="9.625" style="14" customWidth="1"/>
    <col min="12" max="12" width="15.75" style="14" customWidth="1"/>
    <col min="13" max="13" width="3.125" style="14" customWidth="1"/>
    <col min="14" max="14" width="8.625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9" style="14" customWidth="1"/>
    <col min="37" max="37" width="3.125" style="14" customWidth="1"/>
    <col min="38" max="38" width="10.25" style="14" customWidth="1"/>
    <col min="39" max="39" width="10.125" style="14" customWidth="1"/>
    <col min="40" max="16384" width="9" style="14"/>
  </cols>
  <sheetData>
    <row r="1" spans="1:37" ht="11.25" customHeight="1">
      <c r="A1" s="718" t="s">
        <v>26</v>
      </c>
      <c r="B1" s="618" t="s">
        <v>42</v>
      </c>
      <c r="C1" s="18" t="str">
        <f>Rydberg!C1</f>
        <v>Unit Symbol</v>
      </c>
      <c r="D1" s="618" t="s">
        <v>43</v>
      </c>
      <c r="E1" s="18" t="s">
        <v>44</v>
      </c>
      <c r="F1" s="618" t="s">
        <v>55</v>
      </c>
      <c r="G1" s="618" t="s">
        <v>203</v>
      </c>
      <c r="H1" s="18" t="str">
        <f>Rydberg!H$1</f>
        <v>difference</v>
      </c>
      <c r="I1" s="349" t="s">
        <v>767</v>
      </c>
      <c r="J1" s="19"/>
      <c r="K1" s="615" t="s">
        <v>46</v>
      </c>
      <c r="L1" s="622"/>
      <c r="M1" s="729" t="s">
        <v>116</v>
      </c>
      <c r="N1" s="730"/>
      <c r="O1" s="730"/>
      <c r="P1" s="730"/>
      <c r="Q1" s="730"/>
      <c r="R1" s="730"/>
    </row>
    <row r="2" spans="1:37" ht="13.5" customHeight="1">
      <c r="A2" s="719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727">
        <f>365.2421896698-(0.00000615359)*P2-(0.000000000729)*P2*P2+(0.000000000264)*P2*P2*P2</f>
        <v>365.24218750000171</v>
      </c>
      <c r="N2" s="728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719"/>
      <c r="B3" s="2" t="str">
        <f>Rydberg!B3</f>
        <v>Length</v>
      </c>
      <c r="C3" s="7" t="str">
        <f>Rydberg!C3</f>
        <v>m</v>
      </c>
      <c r="D3" s="25">
        <f>D66/POWER(12,13)</f>
        <v>9.3482244639400212E-8</v>
      </c>
      <c r="E3" s="8">
        <v>6</v>
      </c>
      <c r="F3" s="21">
        <f t="shared" ref="F3:F30" si="0">D3*POWER(12,E3)</f>
        <v>0.27913648677733482</v>
      </c>
      <c r="G3" s="21"/>
      <c r="H3" s="26"/>
      <c r="I3" s="334"/>
      <c r="J3" s="8">
        <v>-3</v>
      </c>
      <c r="K3" s="58">
        <f>F3/POWER(10,J3)</f>
        <v>279.13648677733482</v>
      </c>
      <c r="L3" s="122" t="str">
        <f>Rydberg!L3</f>
        <v>mm</v>
      </c>
      <c r="M3" s="23"/>
      <c r="N3" s="82">
        <f>-LOG(F3)/(LOG(12)-LOG(10))</f>
        <v>6.9989223397394147</v>
      </c>
      <c r="O3" s="24"/>
      <c r="P3" s="83">
        <f>POWER(12,N3)*F3/POWER(10,N3)</f>
        <v>0.99999999999999611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719"/>
      <c r="B4" s="2" t="str">
        <f>Rydberg!B4</f>
        <v>Time</v>
      </c>
      <c r="C4" s="7" t="str">
        <f>Rydberg!C4</f>
        <v>s</v>
      </c>
      <c r="D4" s="28">
        <f>86400/POWER(12,17)/POWER(2,7)</f>
        <v>3.0424439774472407E-16</v>
      </c>
      <c r="E4" s="8">
        <v>14</v>
      </c>
      <c r="F4" s="21">
        <f t="shared" si="0"/>
        <v>0.390625</v>
      </c>
      <c r="G4" s="21"/>
      <c r="H4" s="283"/>
      <c r="I4" s="335"/>
      <c r="J4" s="8">
        <v>-3</v>
      </c>
      <c r="K4" s="58">
        <f t="shared" ref="K4:K30" si="1">F4/POWER(10,J4)</f>
        <v>390.625</v>
      </c>
      <c r="L4" s="122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719"/>
      <c r="B5" s="2" t="str">
        <f>Rydberg!B5</f>
        <v>Energy</v>
      </c>
      <c r="C5" s="2" t="str">
        <f>Rydberg!C5</f>
        <v>J</v>
      </c>
      <c r="D5" s="21">
        <f>D8*POWER(D3/D4,2)</f>
        <v>3.8245042435149683E-19</v>
      </c>
      <c r="E5" s="8">
        <v>16</v>
      </c>
      <c r="F5" s="21">
        <f t="shared" si="0"/>
        <v>7.0709063270318687E-2</v>
      </c>
      <c r="G5" s="21"/>
      <c r="H5" s="21"/>
      <c r="I5" s="333"/>
      <c r="J5" s="8">
        <v>-3</v>
      </c>
      <c r="K5" s="58">
        <f t="shared" si="1"/>
        <v>70.70906327031868</v>
      </c>
      <c r="L5" s="122" t="str">
        <f>Rydberg!L5</f>
        <v>mJ</v>
      </c>
      <c r="M5" s="23"/>
      <c r="N5" s="82">
        <f t="shared" si="2"/>
        <v>14.530270405341422</v>
      </c>
      <c r="O5" s="24"/>
      <c r="P5" s="83">
        <f t="shared" si="3"/>
        <v>0.999999999999998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719"/>
      <c r="B6" s="2" t="str">
        <f>Rydberg!B6</f>
        <v>Temperature</v>
      </c>
      <c r="C6" s="2" t="str">
        <f>Rydberg!C6</f>
        <v>K</v>
      </c>
      <c r="D6" s="21">
        <f>D5/D8/(2*D56)/POWER(12,8)</f>
        <v>26238.647420633049</v>
      </c>
      <c r="E6" s="136">
        <v>-8</v>
      </c>
      <c r="F6" s="139">
        <f t="shared" si="0"/>
        <v>6.1022707861111021E-5</v>
      </c>
      <c r="G6" s="21"/>
      <c r="H6" s="21"/>
      <c r="I6" s="333"/>
      <c r="J6" s="136">
        <v>-6</v>
      </c>
      <c r="K6" s="140">
        <f t="shared" si="1"/>
        <v>61.022707861111023</v>
      </c>
      <c r="L6" s="137" t="str">
        <f>Rydberg!L6</f>
        <v>μK</v>
      </c>
      <c r="M6" s="23"/>
      <c r="N6" s="82">
        <f t="shared" si="2"/>
        <v>53.226095003188803</v>
      </c>
      <c r="O6" s="24"/>
      <c r="P6" s="83">
        <f t="shared" si="3"/>
        <v>0.99999999999998068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719"/>
      <c r="B7" s="2" t="str">
        <f>Rydberg!B7</f>
        <v>Amount of substance</v>
      </c>
      <c r="C7" s="2" t="str">
        <f>Rydberg!C7</f>
        <v>mol</v>
      </c>
      <c r="D7" s="21">
        <f>D8*1000*POWER(12,8)</f>
        <v>1.7418551296286177E-24</v>
      </c>
      <c r="E7" s="8">
        <v>24</v>
      </c>
      <c r="F7" s="21">
        <f t="shared" si="0"/>
        <v>138.47199109052877</v>
      </c>
      <c r="G7" s="21"/>
      <c r="H7" s="21"/>
      <c r="I7" s="333"/>
      <c r="J7" s="8">
        <v>0</v>
      </c>
      <c r="K7" s="58">
        <f t="shared" si="1"/>
        <v>138.47199109052877</v>
      </c>
      <c r="L7" s="122" t="str">
        <f>Rydberg!L7</f>
        <v>mol</v>
      </c>
      <c r="M7" s="23"/>
      <c r="N7" s="82">
        <f t="shared" si="2"/>
        <v>-27.043801958947849</v>
      </c>
      <c r="O7" s="24"/>
      <c r="P7" s="83">
        <f t="shared" si="3"/>
        <v>1.0000000000000031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719"/>
      <c r="B8" s="2" t="str">
        <f>Rydberg!B8</f>
        <v>Mass</v>
      </c>
      <c r="C8" s="2" t="str">
        <f>Rydberg!C8</f>
        <v>g</v>
      </c>
      <c r="D8" s="21">
        <f>D55*POWER(F3,3)/POWER(12,34)</f>
        <v>4.050998323492862E-36</v>
      </c>
      <c r="E8" s="8">
        <v>32</v>
      </c>
      <c r="F8" s="21">
        <f t="shared" si="0"/>
        <v>0.13847199109052874</v>
      </c>
      <c r="G8" s="21"/>
      <c r="H8" s="21"/>
      <c r="I8" s="333"/>
      <c r="J8" s="8">
        <v>-3</v>
      </c>
      <c r="K8" s="58">
        <f t="shared" si="1"/>
        <v>138.47199109052875</v>
      </c>
      <c r="L8" s="122" t="str">
        <f>Rydberg!L8</f>
        <v>g</v>
      </c>
      <c r="M8" s="23"/>
      <c r="N8" s="82">
        <f t="shared" si="2"/>
        <v>10.843957450592127</v>
      </c>
      <c r="O8" s="24"/>
      <c r="P8" s="83">
        <f t="shared" si="3"/>
        <v>0.99999999999999889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719"/>
      <c r="B9" s="2" t="str">
        <f>Rydberg!B9</f>
        <v>Power</v>
      </c>
      <c r="C9" s="2" t="str">
        <f>Rydberg!C9</f>
        <v>W</v>
      </c>
      <c r="D9" s="21">
        <f>D$5/D$4</f>
        <v>1.2570500136945544E-3</v>
      </c>
      <c r="E9" s="8">
        <v>2</v>
      </c>
      <c r="F9" s="21">
        <f t="shared" si="0"/>
        <v>0.18101520197201584</v>
      </c>
      <c r="G9" s="21"/>
      <c r="H9" s="21"/>
      <c r="I9" s="333"/>
      <c r="J9" s="8">
        <v>-3</v>
      </c>
      <c r="K9" s="58">
        <f t="shared" si="1"/>
        <v>181.01520197201583</v>
      </c>
      <c r="L9" s="122" t="str">
        <f>Rydberg!L9</f>
        <v>mW</v>
      </c>
      <c r="M9" s="23"/>
      <c r="N9" s="82">
        <f t="shared" si="2"/>
        <v>9.3745045429766538</v>
      </c>
      <c r="O9" s="24"/>
      <c r="P9" s="83">
        <f t="shared" si="3"/>
        <v>0.99999999999999956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719"/>
      <c r="B10" s="2" t="str">
        <f>Rydberg!B10</f>
        <v>Force</v>
      </c>
      <c r="C10" s="2" t="str">
        <f>Rydberg!C10</f>
        <v>N</v>
      </c>
      <c r="D10" s="21">
        <f>D$5/D$3</f>
        <v>4.0911557678869048E-12</v>
      </c>
      <c r="E10" s="8">
        <v>10</v>
      </c>
      <c r="F10" s="21">
        <f t="shared" si="0"/>
        <v>0.2533135817773719</v>
      </c>
      <c r="G10" s="21"/>
      <c r="H10" s="21"/>
      <c r="I10" s="333"/>
      <c r="J10" s="8">
        <v>-3</v>
      </c>
      <c r="K10" s="58">
        <f t="shared" si="1"/>
        <v>253.31358177737189</v>
      </c>
      <c r="L10" s="122" t="str">
        <f>Rydberg!L10</f>
        <v>mN</v>
      </c>
      <c r="M10" s="23"/>
      <c r="N10" s="82">
        <f t="shared" si="2"/>
        <v>7.5313480656020051</v>
      </c>
      <c r="O10" s="24"/>
      <c r="P10" s="83">
        <f t="shared" si="3"/>
        <v>0.99999999999999845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719"/>
      <c r="B11" s="2" t="str">
        <f>Rydberg!B11</f>
        <v>Pressure</v>
      </c>
      <c r="C11" s="2" t="str">
        <f>Rydberg!C11</f>
        <v>P</v>
      </c>
      <c r="D11" s="21">
        <f>D$5/POWER(D$3,3)</f>
        <v>468.15293616921332</v>
      </c>
      <c r="E11" s="8">
        <v>-2</v>
      </c>
      <c r="F11" s="21">
        <f t="shared" si="0"/>
        <v>3.2510620567306479</v>
      </c>
      <c r="G11" s="21"/>
      <c r="H11" s="21"/>
      <c r="I11" s="333"/>
      <c r="J11" s="8">
        <v>0</v>
      </c>
      <c r="K11" s="58">
        <f t="shared" si="1"/>
        <v>3.2510620567306479</v>
      </c>
      <c r="L11" s="122" t="str">
        <f>Rydberg!L11</f>
        <v>Pa</v>
      </c>
      <c r="M11" s="23"/>
      <c r="N11" s="82">
        <f t="shared" si="2"/>
        <v>-6.4664966138768252</v>
      </c>
      <c r="O11" s="24"/>
      <c r="P11" s="83">
        <f t="shared" si="3"/>
        <v>1.0000000000000013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719"/>
      <c r="B12" s="2" t="str">
        <f>Rydberg!B12</f>
        <v>Charge</v>
      </c>
      <c r="C12" s="2" t="str">
        <f>Rydberg!C12</f>
        <v>C</v>
      </c>
      <c r="D12" s="21">
        <f>D41*12</f>
        <v>1.9226119448586809E-18</v>
      </c>
      <c r="E12" s="8">
        <v>15</v>
      </c>
      <c r="F12" s="21">
        <f t="shared" si="0"/>
        <v>2.9621723713995154E-2</v>
      </c>
      <c r="G12" s="21"/>
      <c r="H12" s="21"/>
      <c r="I12" s="333"/>
      <c r="J12" s="8">
        <v>-3</v>
      </c>
      <c r="K12" s="58">
        <f t="shared" si="1"/>
        <v>29.621723713995152</v>
      </c>
      <c r="L12" s="122" t="str">
        <f>Rydberg!L12</f>
        <v>mC</v>
      </c>
      <c r="M12" s="23"/>
      <c r="N12" s="82">
        <f t="shared" si="2"/>
        <v>19.302420072862834</v>
      </c>
      <c r="O12" s="24"/>
      <c r="P12" s="83">
        <f t="shared" si="3"/>
        <v>0.99999999999999167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719"/>
      <c r="B13" s="2" t="str">
        <f>Rydberg!B13</f>
        <v>Electric current</v>
      </c>
      <c r="C13" s="2" t="str">
        <f>Rydberg!C13</f>
        <v>A</v>
      </c>
      <c r="D13" s="21">
        <f>D$12/D$4</f>
        <v>6.3193010589856326E-3</v>
      </c>
      <c r="E13" s="8">
        <v>1</v>
      </c>
      <c r="F13" s="21">
        <f t="shared" si="0"/>
        <v>7.5831612707827595E-2</v>
      </c>
      <c r="G13" s="21"/>
      <c r="H13" s="21"/>
      <c r="I13" s="333"/>
      <c r="J13" s="8">
        <v>-3</v>
      </c>
      <c r="K13" s="58">
        <f t="shared" si="1"/>
        <v>75.831612707827588</v>
      </c>
      <c r="L13" s="122" t="str">
        <f>Rydberg!L13</f>
        <v>mA</v>
      </c>
      <c r="M13" s="23"/>
      <c r="N13" s="82">
        <f t="shared" si="2"/>
        <v>14.146654210498065</v>
      </c>
      <c r="O13" s="24"/>
      <c r="P13" s="83">
        <f t="shared" si="3"/>
        <v>0.99999999999999301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719"/>
      <c r="B14" s="2" t="str">
        <f>Rydberg!B14</f>
        <v>Field Strength</v>
      </c>
      <c r="C14" s="2" t="str">
        <f>Rydberg!C14</f>
        <v>O</v>
      </c>
      <c r="D14" s="21">
        <f>D13/D3</f>
        <v>67598.944413046542</v>
      </c>
      <c r="E14" s="8">
        <v>-5</v>
      </c>
      <c r="F14" s="21">
        <f t="shared" si="0"/>
        <v>0.27166499651590853</v>
      </c>
      <c r="G14" s="21"/>
      <c r="H14" s="21"/>
      <c r="I14" s="333"/>
      <c r="J14" s="8">
        <v>-3</v>
      </c>
      <c r="K14" s="58">
        <f t="shared" si="1"/>
        <v>271.66499651590851</v>
      </c>
      <c r="L14" s="122" t="str">
        <f>Rydberg!L14</f>
        <v>mA/m</v>
      </c>
      <c r="M14" s="23"/>
      <c r="N14" s="82">
        <f t="shared" si="2"/>
        <v>7.1477318707586486</v>
      </c>
      <c r="O14" s="24"/>
      <c r="P14" s="83">
        <f t="shared" si="3"/>
        <v>1.0000000000000009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719"/>
      <c r="B15" s="2" t="str">
        <f>Rydberg!B15</f>
        <v>Flux density</v>
      </c>
      <c r="C15" s="2" t="str">
        <f>Rydberg!C15</f>
        <v>G</v>
      </c>
      <c r="D15" s="21">
        <f>D12/D3/D3</f>
        <v>2.2000541611361953E-4</v>
      </c>
      <c r="E15" s="8">
        <v>3</v>
      </c>
      <c r="F15" s="21">
        <f t="shared" si="0"/>
        <v>0.38016935904433458</v>
      </c>
      <c r="G15" s="21"/>
      <c r="H15" s="21"/>
      <c r="I15" s="333"/>
      <c r="J15" s="8">
        <v>-3</v>
      </c>
      <c r="K15" s="58">
        <f t="shared" si="1"/>
        <v>380.16935904433456</v>
      </c>
      <c r="L15" s="122" t="str">
        <f>Rydberg!L15</f>
        <v>mC/m^2</v>
      </c>
      <c r="M15" s="23"/>
      <c r="N15" s="82">
        <f t="shared" si="2"/>
        <v>5.3045753933840007</v>
      </c>
      <c r="O15" s="24"/>
      <c r="P15" s="83">
        <f t="shared" si="3"/>
        <v>0.99999999999999967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719"/>
      <c r="B16" s="2" t="str">
        <f>Rydberg!B16</f>
        <v>Impedance</v>
      </c>
      <c r="C16" s="2" t="s">
        <v>108</v>
      </c>
      <c r="D16" s="21">
        <f>D$36/POWER(D12,2)</f>
        <v>28.529415983411972</v>
      </c>
      <c r="E16" s="8">
        <v>0</v>
      </c>
      <c r="F16" s="21">
        <f t="shared" si="0"/>
        <v>28.529415983411972</v>
      </c>
      <c r="G16" s="21"/>
      <c r="H16" s="21"/>
      <c r="I16" s="333"/>
      <c r="J16" s="8">
        <v>0</v>
      </c>
      <c r="K16" s="58">
        <f t="shared" si="1"/>
        <v>28.529415983411972</v>
      </c>
      <c r="L16" s="122" t="str">
        <f>Rydberg!L16</f>
        <v>Ω</v>
      </c>
      <c r="M16" s="23"/>
      <c r="N16" s="82">
        <f t="shared" si="2"/>
        <v>-18.379262187522826</v>
      </c>
      <c r="O16" s="24"/>
      <c r="P16" s="83">
        <f t="shared" si="3"/>
        <v>1.0000000000000111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719"/>
      <c r="B17" s="2" t="str">
        <f>Rydberg!B17</f>
        <v>Electric potential difference</v>
      </c>
      <c r="C17" s="2" t="str">
        <f>Rydberg!C17</f>
        <v>ΩA</v>
      </c>
      <c r="D17" s="21">
        <f>D13*D$16</f>
        <v>0.1802859686362169</v>
      </c>
      <c r="E17" s="8">
        <v>1</v>
      </c>
      <c r="F17" s="21">
        <f t="shared" si="0"/>
        <v>2.1634316236346027</v>
      </c>
      <c r="G17" s="21"/>
      <c r="H17" s="21"/>
      <c r="I17" s="333"/>
      <c r="J17" s="8">
        <v>0</v>
      </c>
      <c r="K17" s="58">
        <f t="shared" si="1"/>
        <v>2.1634316236346027</v>
      </c>
      <c r="L17" s="122" t="str">
        <f>Rydberg!L17</f>
        <v>V</v>
      </c>
      <c r="M17" s="23"/>
      <c r="N17" s="82">
        <f t="shared" si="2"/>
        <v>-4.2326079770247604</v>
      </c>
      <c r="O17" s="24"/>
      <c r="P17" s="83">
        <f t="shared" si="3"/>
        <v>1.0000000000000022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719"/>
      <c r="B18" s="2" t="str">
        <f>Rydberg!B18</f>
        <v>Electric capacitance</v>
      </c>
      <c r="C18" s="2" t="str">
        <f>Rydberg!C18</f>
        <v>s/Ω</v>
      </c>
      <c r="D18" s="21">
        <f>D4/D16</f>
        <v>1.0664235045036418E-17</v>
      </c>
      <c r="E18" s="8">
        <v>14</v>
      </c>
      <c r="F18" s="21">
        <f t="shared" si="0"/>
        <v>1.3692008284611343E-2</v>
      </c>
      <c r="G18" s="21"/>
      <c r="H18" s="21"/>
      <c r="I18" s="333"/>
      <c r="J18" s="8">
        <v>-3</v>
      </c>
      <c r="K18" s="58">
        <f t="shared" si="1"/>
        <v>13.692008284611344</v>
      </c>
      <c r="L18" s="122" t="str">
        <f>Rydberg!L18</f>
        <v>mF</v>
      </c>
      <c r="M18" s="119"/>
      <c r="N18" s="120">
        <f t="shared" si="2"/>
        <v>23.535028049887593</v>
      </c>
      <c r="O18" s="76"/>
      <c r="P18" s="121">
        <f t="shared" si="3"/>
        <v>0.99999999999999456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719"/>
      <c r="B19" s="2" t="str">
        <f>Rydberg!B19</f>
        <v>Magnetic flux</v>
      </c>
      <c r="C19" s="2" t="str">
        <f>Rydberg!C19</f>
        <v>ΩC</v>
      </c>
      <c r="D19" s="21">
        <f>D12*D16</f>
        <v>5.4850995949550029E-17</v>
      </c>
      <c r="E19" s="8">
        <v>15</v>
      </c>
      <c r="F19" s="21">
        <f t="shared" si="0"/>
        <v>0.84509047798226677</v>
      </c>
      <c r="G19" s="21"/>
      <c r="H19" s="21"/>
      <c r="I19" s="333"/>
      <c r="J19" s="8">
        <v>0</v>
      </c>
      <c r="K19" s="58">
        <f t="shared" si="1"/>
        <v>0.84509047798226677</v>
      </c>
      <c r="L19" s="122" t="str">
        <f>Rydberg!L19</f>
        <v>Wb</v>
      </c>
      <c r="M19" s="119"/>
      <c r="N19" s="120">
        <f t="shared" si="2"/>
        <v>0.92315788534000631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719"/>
      <c r="B20" s="2" t="str">
        <f>Rydberg!B20</f>
        <v>Magnetic flux density</v>
      </c>
      <c r="C20" s="2" t="str">
        <f>Rydberg!C20</f>
        <v>ΩG</v>
      </c>
      <c r="D20" s="21">
        <f>D19/D3/D3</f>
        <v>6.2766260349091003E-3</v>
      </c>
      <c r="E20" s="8">
        <v>3</v>
      </c>
      <c r="F20" s="21">
        <f t="shared" si="0"/>
        <v>10.846009788322926</v>
      </c>
      <c r="G20" s="21"/>
      <c r="H20" s="21"/>
      <c r="I20" s="333"/>
      <c r="J20" s="8">
        <v>0</v>
      </c>
      <c r="K20" s="58">
        <f t="shared" si="1"/>
        <v>10.846009788322926</v>
      </c>
      <c r="L20" s="122" t="str">
        <f>Rydberg!L20</f>
        <v>T</v>
      </c>
      <c r="M20" s="119"/>
      <c r="N20" s="120">
        <f t="shared" si="2"/>
        <v>-13.074686794138827</v>
      </c>
      <c r="O20" s="76"/>
      <c r="P20" s="121">
        <f t="shared" si="3"/>
        <v>1.0000000000000002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719"/>
      <c r="B21" s="6" t="str">
        <f>Rydberg!B21</f>
        <v>Inductance</v>
      </c>
      <c r="C21" s="6" t="str">
        <f>Rydberg!C21</f>
        <v>sΩ</v>
      </c>
      <c r="D21" s="29">
        <f>D4*D$16</f>
        <v>8.6799149838818805E-15</v>
      </c>
      <c r="E21" s="30">
        <v>14</v>
      </c>
      <c r="F21" s="29">
        <f t="shared" si="0"/>
        <v>11.144303118520302</v>
      </c>
      <c r="G21" s="29"/>
      <c r="H21" s="29"/>
      <c r="I21" s="336"/>
      <c r="J21" s="30">
        <v>0</v>
      </c>
      <c r="K21" s="59">
        <f t="shared" si="1"/>
        <v>11.144303118520302</v>
      </c>
      <c r="L21" s="123" t="str">
        <f>Rydberg!L21</f>
        <v>H</v>
      </c>
      <c r="M21" s="119"/>
      <c r="N21" s="120">
        <f t="shared" si="2"/>
        <v>-13.22349632515806</v>
      </c>
      <c r="O21" s="76"/>
      <c r="P21" s="121">
        <f t="shared" si="3"/>
        <v>1.0000000000000062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719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333"/>
      <c r="J22" s="8">
        <v>0</v>
      </c>
      <c r="K22" s="58">
        <f t="shared" si="1"/>
        <v>2.56</v>
      </c>
      <c r="L22" s="122" t="s">
        <v>711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>
      <c r="A23" s="719"/>
      <c r="B23" s="2" t="str">
        <f>Rydberg!B23</f>
        <v>Luminous flux</v>
      </c>
      <c r="C23" s="2" t="str">
        <f>Rydberg!C23</f>
        <v>W_sen</v>
      </c>
      <c r="D23" s="21">
        <f>D9*683/R23</f>
        <v>0.80324474992664141</v>
      </c>
      <c r="E23" s="8">
        <f>E9</f>
        <v>2</v>
      </c>
      <c r="F23" s="21">
        <f t="shared" si="0"/>
        <v>115.66724398943636</v>
      </c>
      <c r="G23" s="21"/>
      <c r="H23" s="21"/>
      <c r="I23" s="333"/>
      <c r="J23" s="8">
        <v>0</v>
      </c>
      <c r="K23" s="58">
        <f t="shared" si="1"/>
        <v>115.66724398943636</v>
      </c>
      <c r="L23" s="122" t="s">
        <v>696</v>
      </c>
      <c r="M23" s="23"/>
      <c r="N23" s="82">
        <f t="shared" si="2"/>
        <v>-26.056806260700771</v>
      </c>
      <c r="O23" s="24"/>
      <c r="P23" s="83">
        <f t="shared" si="3"/>
        <v>1.0000000000000002</v>
      </c>
      <c r="Q23" s="24"/>
      <c r="R23" s="297">
        <f>1/K58</f>
        <v>1.0688711746099697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719"/>
      <c r="B24" s="6" t="str">
        <f>Rydberg!B24</f>
        <v>Luminous intensity</v>
      </c>
      <c r="C24" s="2" t="str">
        <f>Rydberg!C24</f>
        <v>W_sen/sr</v>
      </c>
      <c r="D24" s="21">
        <f>D23</f>
        <v>0.80324474992664141</v>
      </c>
      <c r="E24" s="8">
        <f>E9</f>
        <v>2</v>
      </c>
      <c r="F24" s="21">
        <f t="shared" si="0"/>
        <v>115.66724398943636</v>
      </c>
      <c r="G24" s="21"/>
      <c r="H24" s="21"/>
      <c r="I24" s="333"/>
      <c r="J24" s="8">
        <v>0</v>
      </c>
      <c r="K24" s="58">
        <f t="shared" si="1"/>
        <v>115.66724398943636</v>
      </c>
      <c r="L24" s="122" t="s">
        <v>699</v>
      </c>
      <c r="M24" s="23"/>
      <c r="N24" s="82">
        <f t="shared" si="2"/>
        <v>-26.056806260700771</v>
      </c>
      <c r="O24" s="24"/>
      <c r="P24" s="83">
        <f t="shared" si="3"/>
        <v>1.0000000000000002</v>
      </c>
      <c r="Q24" s="24"/>
      <c r="R24" s="731" t="s">
        <v>1809</v>
      </c>
      <c r="S24" s="732"/>
      <c r="T24" s="732"/>
      <c r="U24" s="732"/>
      <c r="V24" s="732"/>
      <c r="W24" s="733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719"/>
      <c r="B25" s="299"/>
      <c r="C25" s="2" t="str">
        <f>Rydberg!C25</f>
        <v>W_sen/Ω_2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333"/>
      <c r="J25" s="8">
        <v>0</v>
      </c>
      <c r="K25" s="58">
        <f t="shared" si="1"/>
        <v>9.2045068173675588</v>
      </c>
      <c r="L25" s="122" t="s">
        <v>699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734"/>
      <c r="S25" s="735"/>
      <c r="T25" s="735"/>
      <c r="U25" s="735"/>
      <c r="V25" s="735"/>
      <c r="W25" s="73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719"/>
      <c r="B26" s="2" t="str">
        <f>Rydberg!B26</f>
        <v>Illuminance and luminous emittance</v>
      </c>
      <c r="C26" s="2" t="str">
        <f>Rydberg!C26</f>
        <v>W_sen/m^2</v>
      </c>
      <c r="D26" s="21">
        <f>D23/D3/D3</f>
        <v>91915685805062.687</v>
      </c>
      <c r="E26" s="8">
        <f>E9-2*E3</f>
        <v>-10</v>
      </c>
      <c r="F26" s="21">
        <f t="shared" si="0"/>
        <v>1484.4896412666567</v>
      </c>
      <c r="G26" s="21"/>
      <c r="H26" s="21"/>
      <c r="I26" s="333"/>
      <c r="J26" s="8">
        <v>3</v>
      </c>
      <c r="K26" s="58">
        <f t="shared" si="1"/>
        <v>1.4844896412666566</v>
      </c>
      <c r="L26" s="122" t="s">
        <v>700</v>
      </c>
      <c r="M26" s="23"/>
      <c r="N26" s="82">
        <f t="shared" si="2"/>
        <v>-40.054650940179606</v>
      </c>
      <c r="O26" s="24"/>
      <c r="P26" s="83">
        <f t="shared" si="3"/>
        <v>1.0000000000000084</v>
      </c>
      <c r="Q26" s="24"/>
      <c r="R26" s="737"/>
      <c r="S26" s="738"/>
      <c r="T26" s="738"/>
      <c r="U26" s="738"/>
      <c r="V26" s="738"/>
      <c r="W26" s="739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719"/>
      <c r="B27" s="2" t="str">
        <f>Rydberg!B27</f>
        <v>Catalytic activity</v>
      </c>
      <c r="C27" s="2" t="str">
        <f>Rydberg!C27</f>
        <v>mol/s</v>
      </c>
      <c r="D27" s="21">
        <f>D7/D4</f>
        <v>5.7251839065583038E-9</v>
      </c>
      <c r="E27" s="8">
        <f>E7-E4</f>
        <v>10</v>
      </c>
      <c r="F27" s="21">
        <f t="shared" si="0"/>
        <v>354.4882971917537</v>
      </c>
      <c r="G27" s="21"/>
      <c r="H27" s="21"/>
      <c r="I27" s="333"/>
      <c r="J27" s="8">
        <v>0</v>
      </c>
      <c r="K27" s="58">
        <f t="shared" si="1"/>
        <v>354.4882971917537</v>
      </c>
      <c r="L27" s="122" t="s">
        <v>703</v>
      </c>
      <c r="M27" s="23"/>
      <c r="N27" s="82">
        <f t="shared" si="2"/>
        <v>-32.19956782131262</v>
      </c>
      <c r="O27" s="24"/>
      <c r="P27" s="83">
        <f t="shared" si="3"/>
        <v>1.000000000000012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719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333"/>
      <c r="J28" s="8">
        <v>0</v>
      </c>
      <c r="K28" s="58">
        <f t="shared" si="1"/>
        <v>2.56</v>
      </c>
      <c r="L28" s="122" t="s">
        <v>705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719"/>
      <c r="B29" s="2" t="str">
        <f>Rydberg!B29</f>
        <v>Absorbed radiation dose</v>
      </c>
      <c r="C29" s="2" t="str">
        <f>Rydberg!C29</f>
        <v>J/g</v>
      </c>
      <c r="D29" s="21">
        <f>D5/D8</f>
        <v>9.4408931777029088E+16</v>
      </c>
      <c r="E29" s="8">
        <f>E5-E8</f>
        <v>-16</v>
      </c>
      <c r="F29" s="21">
        <f t="shared" si="0"/>
        <v>0.510638019381777</v>
      </c>
      <c r="G29" s="21"/>
      <c r="H29" s="21"/>
      <c r="I29" s="333"/>
      <c r="J29" s="8">
        <v>0</v>
      </c>
      <c r="K29" s="58">
        <f t="shared" si="1"/>
        <v>0.510638019381777</v>
      </c>
      <c r="L29" s="122" t="s">
        <v>707</v>
      </c>
      <c r="M29" s="23"/>
      <c r="N29" s="82">
        <f t="shared" si="2"/>
        <v>3.6863129547492965</v>
      </c>
      <c r="O29" s="24"/>
      <c r="P29" s="83">
        <f t="shared" si="3"/>
        <v>0.99999999999999856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720"/>
      <c r="B30" s="4" t="str">
        <f>Rydberg!B30</f>
        <v>Equivalent dose</v>
      </c>
      <c r="C30" s="4" t="str">
        <f>Rydberg!C30</f>
        <v>J_sen/g</v>
      </c>
      <c r="D30" s="32">
        <f>D5/D8/R30</f>
        <v>9.4408931777029088E+16</v>
      </c>
      <c r="E30" s="33">
        <f>E5-E8</f>
        <v>-16</v>
      </c>
      <c r="F30" s="32">
        <f t="shared" si="0"/>
        <v>0.510638019381777</v>
      </c>
      <c r="G30" s="32"/>
      <c r="H30" s="32"/>
      <c r="I30" s="337"/>
      <c r="J30" s="33">
        <v>0</v>
      </c>
      <c r="K30" s="60">
        <f t="shared" si="1"/>
        <v>0.510638019381777</v>
      </c>
      <c r="L30" s="128" t="s">
        <v>708</v>
      </c>
      <c r="M30" s="115"/>
      <c r="N30" s="116">
        <f t="shared" si="2"/>
        <v>3.6863129547492965</v>
      </c>
      <c r="O30" s="117"/>
      <c r="P30" s="118">
        <f t="shared" si="3"/>
        <v>0.99999999999999856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>
      <c r="A31" s="718" t="s">
        <v>27</v>
      </c>
      <c r="B31" s="618" t="s">
        <v>42</v>
      </c>
      <c r="C31" s="18" t="str">
        <f>Rydberg!C31</f>
        <v>Unit Symbol</v>
      </c>
      <c r="D31" s="618" t="s">
        <v>43</v>
      </c>
      <c r="E31" s="18" t="s">
        <v>54</v>
      </c>
      <c r="F31" s="618" t="s">
        <v>47</v>
      </c>
      <c r="G31" s="618" t="s">
        <v>92</v>
      </c>
      <c r="H31" s="18" t="str">
        <f>Rydberg!H$1</f>
        <v>difference</v>
      </c>
      <c r="I31" s="332"/>
      <c r="J31" s="713" t="str">
        <f>Rydberg!J31</f>
        <v>0123456789XE</v>
      </c>
      <c r="K31" s="714">
        <f>Rydberg!K31</f>
        <v>0</v>
      </c>
      <c r="L31" s="622" t="str">
        <f>Rydberg!L31</f>
        <v>Prefix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719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centy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>
      <c r="A33" s="719"/>
      <c r="B33" s="616" t="str">
        <f>Rydberg!B33</f>
        <v>Avogadro constant</v>
      </c>
      <c r="C33" s="616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8.3389783509641337E+25</v>
      </c>
      <c r="G33" s="37" t="str">
        <f t="shared" ref="G33:G70" si="17">M33&amp;";"&amp;O33&amp;Q33&amp;S33&amp;U33&amp;W33&amp;Y33&amp;AA33&amp;AC33&amp;AE33&amp;AG33&amp;AI33&amp;AK33</f>
        <v>1;0707529</v>
      </c>
      <c r="H33" s="330">
        <f t="shared" ref="H33:H50" si="18">K33*POWER(12,I33)/ROUND(K33*POWER(12,I33),0)-1</f>
        <v>4.8969694312153145E-2</v>
      </c>
      <c r="I33" s="333"/>
      <c r="J33" s="38">
        <v>24</v>
      </c>
      <c r="K33" s="61">
        <f>F33/POWER(12,J33)+0.000000000001</f>
        <v>1.0489696943121531</v>
      </c>
      <c r="L33" s="39" t="str">
        <f>INDEX(powers!$H$2:$H$75,33+J33)</f>
        <v>tri-cosmic</v>
      </c>
      <c r="M33" s="40" t="str">
        <f t="shared" si="4"/>
        <v>1</v>
      </c>
      <c r="N33" s="24">
        <f t="shared" ref="N33:N70" si="19">(K33-INT(K33))*12</f>
        <v>0.58763633174583774</v>
      </c>
      <c r="O33" s="41" t="str">
        <f t="shared" si="5"/>
        <v>0</v>
      </c>
      <c r="P33" s="24">
        <f t="shared" ref="P33:P70" si="20">(N33-INT(N33))*12</f>
        <v>7.0516359809500528</v>
      </c>
      <c r="Q33" s="41" t="str">
        <f t="shared" si="6"/>
        <v>7</v>
      </c>
      <c r="R33" s="24">
        <f t="shared" ref="R33:R70" si="21">(P33-INT(P33))*12</f>
        <v>0.61963177140063408</v>
      </c>
      <c r="S33" s="41" t="str">
        <f t="shared" si="7"/>
        <v>0</v>
      </c>
      <c r="T33" s="24">
        <f t="shared" ref="T33:T70" si="22">(R33-INT(R33))*12</f>
        <v>7.435581256807609</v>
      </c>
      <c r="U33" s="41" t="str">
        <f t="shared" si="8"/>
        <v>7</v>
      </c>
      <c r="V33" s="24">
        <f t="shared" ref="V33:V70" si="23">(T33-INT(T33))*12</f>
        <v>5.2269750816913074</v>
      </c>
      <c r="W33" s="41" t="str">
        <f t="shared" si="9"/>
        <v>5</v>
      </c>
      <c r="X33" s="24">
        <f t="shared" ref="X33:X70" si="24">(V33-INT(V33))*12</f>
        <v>2.7237009802956891</v>
      </c>
      <c r="Y33" s="41" t="str">
        <f t="shared" si="10"/>
        <v>2</v>
      </c>
      <c r="Z33" s="24">
        <f t="shared" ref="Z33:Z70" si="25">(X33-INT(X33))*12</f>
        <v>8.6844117635482689</v>
      </c>
      <c r="AA33" s="41" t="str">
        <f t="shared" si="11"/>
        <v>9</v>
      </c>
      <c r="AB33" s="24">
        <f t="shared" ref="AB33:AB70" si="26">(Z33-INT(Z33))*12</f>
        <v>8.2129411625792272</v>
      </c>
      <c r="AC33" s="41" t="str">
        <f t="shared" si="12"/>
        <v/>
      </c>
      <c r="AD33" s="24">
        <f t="shared" ref="AD33:AD70" si="27">(AB33-INT(AB33))*12</f>
        <v>2.5552939509507269</v>
      </c>
      <c r="AE33" s="41" t="str">
        <f t="shared" si="13"/>
        <v/>
      </c>
      <c r="AF33" s="24">
        <f t="shared" ref="AF33:AF70" si="28">(AD33-INT(AD33))*12</f>
        <v>6.6635274114087224</v>
      </c>
      <c r="AG33" s="41" t="str">
        <f t="shared" si="14"/>
        <v/>
      </c>
      <c r="AH33" s="24">
        <f t="shared" ref="AH33:AH70" si="29">(AF33-INT(AF33))*12</f>
        <v>7.9623289369046688</v>
      </c>
      <c r="AI33" s="41" t="str">
        <f t="shared" si="15"/>
        <v/>
      </c>
      <c r="AJ33" s="24">
        <f t="shared" ref="AJ33:AJ70" si="30">(AH33-INT(AH33))*12</f>
        <v>11.547947242856026</v>
      </c>
      <c r="AK33" s="41" t="str">
        <f t="shared" si="16"/>
        <v/>
      </c>
    </row>
    <row r="34" spans="1:37" ht="15" customHeight="1">
      <c r="A34" s="719"/>
      <c r="B34" s="616" t="str">
        <f>Rydberg!B34</f>
        <v>Rydberg constant</v>
      </c>
      <c r="C34" s="616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3063168.8768708548</v>
      </c>
      <c r="G34" s="42" t="str">
        <f t="shared" si="17"/>
        <v>1;038800X63296</v>
      </c>
      <c r="H34" s="330">
        <f t="shared" si="18"/>
        <v>2.584905909437385E-2</v>
      </c>
      <c r="I34" s="333"/>
      <c r="J34" s="38">
        <v>6</v>
      </c>
      <c r="K34" s="61">
        <f>F34/POWER(12,J34)</f>
        <v>1.0258490590943738</v>
      </c>
      <c r="L34" s="39" t="str">
        <f>INDEX(powers!$H$2:$H$75,33+J34)</f>
        <v>cosmic centy</v>
      </c>
      <c r="M34" s="40" t="str">
        <f t="shared" si="4"/>
        <v>1</v>
      </c>
      <c r="N34" s="24">
        <f t="shared" si="19"/>
        <v>0.3101887091324862</v>
      </c>
      <c r="O34" s="41" t="str">
        <f t="shared" si="5"/>
        <v>0</v>
      </c>
      <c r="P34" s="24">
        <f t="shared" si="20"/>
        <v>3.7222645095898343</v>
      </c>
      <c r="Q34" s="41" t="str">
        <f t="shared" si="6"/>
        <v>3</v>
      </c>
      <c r="R34" s="24">
        <f t="shared" si="21"/>
        <v>8.6671741150780122</v>
      </c>
      <c r="S34" s="41" t="str">
        <f t="shared" si="7"/>
        <v>8</v>
      </c>
      <c r="T34" s="24">
        <f t="shared" si="22"/>
        <v>8.006089380936146</v>
      </c>
      <c r="U34" s="41" t="str">
        <f t="shared" si="8"/>
        <v>8</v>
      </c>
      <c r="V34" s="24">
        <f t="shared" si="23"/>
        <v>7.307257123375166E-2</v>
      </c>
      <c r="W34" s="41" t="str">
        <f t="shared" si="9"/>
        <v>0</v>
      </c>
      <c r="X34" s="24">
        <f t="shared" si="24"/>
        <v>0.87687085480501992</v>
      </c>
      <c r="Y34" s="41" t="str">
        <f t="shared" si="10"/>
        <v>0</v>
      </c>
      <c r="Z34" s="24">
        <f t="shared" si="25"/>
        <v>10.522450257660239</v>
      </c>
      <c r="AA34" s="41" t="str">
        <f t="shared" si="11"/>
        <v>X</v>
      </c>
      <c r="AB34" s="24">
        <f t="shared" si="26"/>
        <v>6.269403091922868</v>
      </c>
      <c r="AC34" s="41" t="str">
        <f t="shared" si="12"/>
        <v>6</v>
      </c>
      <c r="AD34" s="24">
        <f t="shared" si="27"/>
        <v>3.2328371030744165</v>
      </c>
      <c r="AE34" s="41" t="str">
        <f t="shared" si="13"/>
        <v>3</v>
      </c>
      <c r="AF34" s="24">
        <f t="shared" si="28"/>
        <v>2.7940452368929982</v>
      </c>
      <c r="AG34" s="41" t="str">
        <f t="shared" si="14"/>
        <v>2</v>
      </c>
      <c r="AH34" s="24">
        <f t="shared" si="29"/>
        <v>9.5285428427159786</v>
      </c>
      <c r="AI34" s="41" t="str">
        <f t="shared" si="15"/>
        <v>9</v>
      </c>
      <c r="AJ34" s="24">
        <f t="shared" si="30"/>
        <v>6.3425141125917435</v>
      </c>
      <c r="AK34" s="41" t="str">
        <f t="shared" si="16"/>
        <v>6</v>
      </c>
    </row>
    <row r="35" spans="1:37" ht="15" customHeight="1">
      <c r="A35" s="719"/>
      <c r="B35" s="616" t="str">
        <f>Rydberg!B35</f>
        <v>Speed of light in vacuum</v>
      </c>
      <c r="C35" s="616" t="str">
        <f>Rydberg!C35</f>
        <v>m/s</v>
      </c>
      <c r="D35" s="21">
        <f>Rydberg!D35</f>
        <v>299792458</v>
      </c>
      <c r="E35" s="8">
        <v>12</v>
      </c>
      <c r="F35" s="21">
        <f>D35/(F$3/F$4)</f>
        <v>419531069.75823253</v>
      </c>
      <c r="G35" s="37" t="str">
        <f t="shared" si="17"/>
        <v>0;E86002259123</v>
      </c>
      <c r="H35" s="330">
        <f t="shared" si="18"/>
        <v>-2.4304816551464214E-2</v>
      </c>
      <c r="I35" s="333"/>
      <c r="J35" s="38">
        <v>8</v>
      </c>
      <c r="K35" s="61">
        <f>F35/POWER(12,J35)</f>
        <v>0.97569518344853579</v>
      </c>
      <c r="L35" s="39" t="str">
        <f>INDEX(powers!$H$2:$H$75,33+J35)</f>
        <v>cosmic</v>
      </c>
      <c r="M35" s="40" t="str">
        <f t="shared" si="4"/>
        <v>0</v>
      </c>
      <c r="N35" s="24">
        <f t="shared" si="19"/>
        <v>11.708342201382429</v>
      </c>
      <c r="O35" s="41" t="str">
        <f t="shared" si="5"/>
        <v>E</v>
      </c>
      <c r="P35" s="24">
        <f t="shared" si="20"/>
        <v>8.5001064165891478</v>
      </c>
      <c r="Q35" s="41" t="str">
        <f t="shared" si="6"/>
        <v>8</v>
      </c>
      <c r="R35" s="24">
        <f t="shared" si="21"/>
        <v>6.0012769990697734</v>
      </c>
      <c r="S35" s="41" t="str">
        <f t="shared" si="7"/>
        <v>6</v>
      </c>
      <c r="T35" s="24">
        <f t="shared" si="22"/>
        <v>1.5323988837280922E-2</v>
      </c>
      <c r="U35" s="41" t="str">
        <f t="shared" si="8"/>
        <v>0</v>
      </c>
      <c r="V35" s="24">
        <f t="shared" si="23"/>
        <v>0.18388786604737106</v>
      </c>
      <c r="W35" s="41" t="str">
        <f t="shared" si="9"/>
        <v>0</v>
      </c>
      <c r="X35" s="24">
        <f t="shared" si="24"/>
        <v>2.2066543925684527</v>
      </c>
      <c r="Y35" s="41" t="str">
        <f t="shared" si="10"/>
        <v>2</v>
      </c>
      <c r="Z35" s="24">
        <f t="shared" si="25"/>
        <v>2.479852710821433</v>
      </c>
      <c r="AA35" s="41" t="str">
        <f t="shared" si="11"/>
        <v>2</v>
      </c>
      <c r="AB35" s="24">
        <f t="shared" si="26"/>
        <v>5.7582325298571959</v>
      </c>
      <c r="AC35" s="41" t="str">
        <f t="shared" si="12"/>
        <v>5</v>
      </c>
      <c r="AD35" s="24">
        <f t="shared" si="27"/>
        <v>9.098790358286351</v>
      </c>
      <c r="AE35" s="41" t="str">
        <f t="shared" si="13"/>
        <v>9</v>
      </c>
      <c r="AF35" s="24">
        <f t="shared" si="28"/>
        <v>1.1854842994362116</v>
      </c>
      <c r="AG35" s="41" t="str">
        <f t="shared" si="14"/>
        <v>1</v>
      </c>
      <c r="AH35" s="24">
        <f t="shared" si="29"/>
        <v>2.225811593234539</v>
      </c>
      <c r="AI35" s="41" t="str">
        <f t="shared" si="15"/>
        <v>2</v>
      </c>
      <c r="AJ35" s="24">
        <f t="shared" si="30"/>
        <v>2.7097391188144684</v>
      </c>
      <c r="AK35" s="41" t="str">
        <f t="shared" si="16"/>
        <v>3</v>
      </c>
    </row>
    <row r="36" spans="1:37" ht="15" customHeight="1">
      <c r="A36" s="719"/>
      <c r="B36" s="616" t="str">
        <f>Rydberg!B36</f>
        <v>Quantum of action</v>
      </c>
      <c r="C36" s="616" t="str">
        <f>Rydberg!C36</f>
        <v>Js</v>
      </c>
      <c r="D36" s="21">
        <f>Rydberg!D36</f>
        <v>1.0545718E-34</v>
      </c>
      <c r="E36" s="8">
        <v>7</v>
      </c>
      <c r="F36" s="21">
        <f>D36/(F$5*F$4)</f>
        <v>3.8180449338992248E-33</v>
      </c>
      <c r="G36" s="37" t="str">
        <f t="shared" si="17"/>
        <v>0;XX61395</v>
      </c>
      <c r="H36" s="330">
        <f t="shared" si="18"/>
        <v>-9.3686567668116338E-2</v>
      </c>
      <c r="I36" s="333"/>
      <c r="J36" s="38">
        <v>-30</v>
      </c>
      <c r="K36" s="61">
        <f>F36/POWER(12,J36)+0.000000000001</f>
        <v>0.90631343233188366</v>
      </c>
      <c r="L36" s="39" t="str">
        <f>INDEX(powers!$H$2:$H$75,33+J36)</f>
        <v>tetra-atomic hecty</v>
      </c>
      <c r="M36" s="40" t="str">
        <f t="shared" si="4"/>
        <v>0</v>
      </c>
      <c r="N36" s="24">
        <f t="shared" si="19"/>
        <v>10.875761187982604</v>
      </c>
      <c r="O36" s="41" t="str">
        <f t="shared" si="5"/>
        <v>X</v>
      </c>
      <c r="P36" s="24">
        <f t="shared" si="20"/>
        <v>10.509134255791253</v>
      </c>
      <c r="Q36" s="41" t="str">
        <f t="shared" si="6"/>
        <v>X</v>
      </c>
      <c r="R36" s="24">
        <f t="shared" si="21"/>
        <v>6.1096110694950312</v>
      </c>
      <c r="S36" s="41" t="str">
        <f t="shared" si="7"/>
        <v>6</v>
      </c>
      <c r="T36" s="24">
        <f t="shared" si="22"/>
        <v>1.3153328339403743</v>
      </c>
      <c r="U36" s="41" t="str">
        <f t="shared" si="8"/>
        <v>1</v>
      </c>
      <c r="V36" s="24">
        <f t="shared" si="23"/>
        <v>3.7839940072844911</v>
      </c>
      <c r="W36" s="41" t="str">
        <f t="shared" si="9"/>
        <v>3</v>
      </c>
      <c r="X36" s="24">
        <f t="shared" si="24"/>
        <v>9.4079280874138931</v>
      </c>
      <c r="Y36" s="41" t="str">
        <f t="shared" si="10"/>
        <v>9</v>
      </c>
      <c r="Z36" s="24">
        <f t="shared" si="25"/>
        <v>4.895137048966717</v>
      </c>
      <c r="AA36" s="41" t="str">
        <f t="shared" si="11"/>
        <v>5</v>
      </c>
      <c r="AB36" s="24">
        <f t="shared" si="26"/>
        <v>10.741644587600604</v>
      </c>
      <c r="AC36" s="41" t="str">
        <f t="shared" si="12"/>
        <v/>
      </c>
      <c r="AD36" s="24">
        <f t="shared" si="27"/>
        <v>8.8997350512072444</v>
      </c>
      <c r="AE36" s="41" t="str">
        <f t="shared" si="13"/>
        <v/>
      </c>
      <c r="AF36" s="24">
        <f t="shared" si="28"/>
        <v>10.796820614486933</v>
      </c>
      <c r="AG36" s="41" t="str">
        <f t="shared" si="14"/>
        <v/>
      </c>
      <c r="AH36" s="24">
        <f t="shared" si="29"/>
        <v>9.5618473738431931</v>
      </c>
      <c r="AI36" s="41" t="str">
        <f t="shared" si="15"/>
        <v/>
      </c>
      <c r="AJ36" s="24">
        <f t="shared" si="30"/>
        <v>6.7421684861183167</v>
      </c>
      <c r="AK36" s="41" t="str">
        <f t="shared" si="16"/>
        <v/>
      </c>
    </row>
    <row r="37" spans="1:37" ht="15" customHeight="1">
      <c r="A37" s="719"/>
      <c r="B37" s="616" t="str">
        <f>Rydberg!B37</f>
        <v>Boltzmann constant</v>
      </c>
      <c r="C37" s="616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1.1915150250647009E-26</v>
      </c>
      <c r="G37" s="37" t="str">
        <f t="shared" si="17"/>
        <v>0;E4495X</v>
      </c>
      <c r="H37" s="330">
        <f t="shared" si="18"/>
        <v>-5.2783121118870624E-2</v>
      </c>
      <c r="I37" s="333"/>
      <c r="J37" s="135">
        <v>-24</v>
      </c>
      <c r="K37" s="61">
        <f t="shared" ref="K37:K70" si="31">F37/POWER(12,J37)</f>
        <v>0.94721687888112938</v>
      </c>
      <c r="L37" s="138" t="str">
        <f>INDEX(powers!$H$2:$H$75,33+J37)</f>
        <v>tri-atomic</v>
      </c>
      <c r="M37" s="40" t="str">
        <f t="shared" si="4"/>
        <v>0</v>
      </c>
      <c r="N37" s="24">
        <f t="shared" si="19"/>
        <v>11.366602546573553</v>
      </c>
      <c r="O37" s="41" t="str">
        <f t="shared" si="5"/>
        <v>E</v>
      </c>
      <c r="P37" s="24">
        <f t="shared" si="20"/>
        <v>4.3992305588826355</v>
      </c>
      <c r="Q37" s="41" t="str">
        <f t="shared" si="6"/>
        <v>4</v>
      </c>
      <c r="R37" s="24">
        <f t="shared" si="21"/>
        <v>4.7907667065916257</v>
      </c>
      <c r="S37" s="41" t="str">
        <f t="shared" si="7"/>
        <v>4</v>
      </c>
      <c r="T37" s="24">
        <f t="shared" si="22"/>
        <v>9.4892004790995088</v>
      </c>
      <c r="U37" s="41" t="str">
        <f t="shared" si="8"/>
        <v>9</v>
      </c>
      <c r="V37" s="24">
        <f t="shared" si="23"/>
        <v>5.8704057491941057</v>
      </c>
      <c r="W37" s="41" t="str">
        <f t="shared" si="9"/>
        <v>5</v>
      </c>
      <c r="X37" s="24">
        <f t="shared" si="24"/>
        <v>10.444868990329269</v>
      </c>
      <c r="Y37" s="41" t="str">
        <f t="shared" si="10"/>
        <v>X</v>
      </c>
      <c r="Z37" s="24">
        <f t="shared" si="25"/>
        <v>5.3384278839512262</v>
      </c>
      <c r="AA37" s="41" t="str">
        <f t="shared" si="11"/>
        <v/>
      </c>
      <c r="AB37" s="24">
        <f t="shared" si="26"/>
        <v>4.061134607414715</v>
      </c>
      <c r="AC37" s="41" t="str">
        <f t="shared" si="12"/>
        <v/>
      </c>
      <c r="AD37" s="24">
        <f t="shared" si="27"/>
        <v>0.7336152889765799</v>
      </c>
      <c r="AE37" s="41" t="str">
        <f t="shared" si="13"/>
        <v/>
      </c>
      <c r="AF37" s="24">
        <f t="shared" si="28"/>
        <v>8.8033834677189589</v>
      </c>
      <c r="AG37" s="41" t="str">
        <f t="shared" si="14"/>
        <v/>
      </c>
      <c r="AH37" s="24">
        <f t="shared" si="29"/>
        <v>9.6406016126275063</v>
      </c>
      <c r="AI37" s="41" t="str">
        <f t="shared" si="15"/>
        <v/>
      </c>
      <c r="AJ37" s="24">
        <f t="shared" si="30"/>
        <v>7.6872193515300751</v>
      </c>
      <c r="AK37" s="41" t="str">
        <f t="shared" si="16"/>
        <v/>
      </c>
    </row>
    <row r="38" spans="1:37" ht="15" customHeight="1">
      <c r="A38" s="719"/>
      <c r="B38" s="616" t="str">
        <f>Rydberg!B38</f>
        <v>Gas constant</v>
      </c>
      <c r="C38" s="616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0.99360179988630271</v>
      </c>
      <c r="G38" s="37" t="str">
        <f t="shared" si="17"/>
        <v>0;EE0E3E</v>
      </c>
      <c r="H38" s="330">
        <f t="shared" si="18"/>
        <v>-6.3982001136972944E-3</v>
      </c>
      <c r="I38" s="333"/>
      <c r="J38" s="135">
        <v>0</v>
      </c>
      <c r="K38" s="61">
        <f t="shared" si="31"/>
        <v>0.99360179988630271</v>
      </c>
      <c r="L38" s="138" t="str">
        <f>INDEX(powers!$H$2:$H$75,33+J38)</f>
        <v xml:space="preserve"> </v>
      </c>
      <c r="M38" s="40" t="str">
        <f t="shared" si="4"/>
        <v>0</v>
      </c>
      <c r="N38" s="24">
        <f t="shared" si="19"/>
        <v>11.923221598635632</v>
      </c>
      <c r="O38" s="41" t="str">
        <f t="shared" si="5"/>
        <v>E</v>
      </c>
      <c r="P38" s="24">
        <f t="shared" si="20"/>
        <v>11.078659183627579</v>
      </c>
      <c r="Q38" s="41" t="str">
        <f t="shared" si="6"/>
        <v>E</v>
      </c>
      <c r="R38" s="24">
        <f t="shared" si="21"/>
        <v>0.94391020353094746</v>
      </c>
      <c r="S38" s="41" t="str">
        <f t="shared" si="7"/>
        <v>0</v>
      </c>
      <c r="T38" s="24">
        <f t="shared" si="22"/>
        <v>11.326922442371369</v>
      </c>
      <c r="U38" s="41" t="str">
        <f t="shared" si="8"/>
        <v>E</v>
      </c>
      <c r="V38" s="24">
        <f t="shared" si="23"/>
        <v>3.9230693084564336</v>
      </c>
      <c r="W38" s="41" t="str">
        <f t="shared" si="9"/>
        <v>3</v>
      </c>
      <c r="X38" s="24">
        <f t="shared" si="24"/>
        <v>11.076831701477204</v>
      </c>
      <c r="Y38" s="41" t="str">
        <f t="shared" si="10"/>
        <v>E</v>
      </c>
      <c r="Z38" s="24">
        <f t="shared" si="25"/>
        <v>0.92198041772644501</v>
      </c>
      <c r="AA38" s="41" t="str">
        <f t="shared" si="11"/>
        <v/>
      </c>
      <c r="AB38" s="24">
        <f t="shared" si="26"/>
        <v>11.06376501271734</v>
      </c>
      <c r="AC38" s="41" t="str">
        <f t="shared" si="12"/>
        <v/>
      </c>
      <c r="AD38" s="24">
        <f t="shared" si="27"/>
        <v>0.7651801526080817</v>
      </c>
      <c r="AE38" s="41" t="str">
        <f t="shared" si="13"/>
        <v/>
      </c>
      <c r="AF38" s="24">
        <f t="shared" si="28"/>
        <v>9.1821618312969804</v>
      </c>
      <c r="AG38" s="41" t="str">
        <f t="shared" si="14"/>
        <v/>
      </c>
      <c r="AH38" s="24">
        <f t="shared" si="29"/>
        <v>2.1859419755637646</v>
      </c>
      <c r="AI38" s="41" t="str">
        <f t="shared" si="15"/>
        <v/>
      </c>
      <c r="AJ38" s="24">
        <f t="shared" si="30"/>
        <v>2.2313037067651749</v>
      </c>
      <c r="AK38" s="41" t="str">
        <f t="shared" si="16"/>
        <v/>
      </c>
    </row>
    <row r="39" spans="1:37" ht="15" customHeight="1">
      <c r="A39" s="719"/>
      <c r="B39" s="616" t="str">
        <f>Rydberg!B39</f>
        <v>Unified atomic mass unit</v>
      </c>
      <c r="C39" s="616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1.1991876674282746E-26</v>
      </c>
      <c r="G39" s="37" t="str">
        <f t="shared" si="17"/>
        <v>0;E533E76</v>
      </c>
      <c r="H39" s="330">
        <f t="shared" si="18"/>
        <v>-4.6683612342637737E-2</v>
      </c>
      <c r="I39" s="333"/>
      <c r="J39" s="38">
        <v>-24</v>
      </c>
      <c r="K39" s="61">
        <f t="shared" si="31"/>
        <v>0.95331638765736226</v>
      </c>
      <c r="L39" s="39" t="str">
        <f>INDEX(powers!$H$2:$H$75,33+J39)</f>
        <v>tri-atomic</v>
      </c>
      <c r="M39" s="40" t="str">
        <f t="shared" si="4"/>
        <v>0</v>
      </c>
      <c r="N39" s="24">
        <f t="shared" si="19"/>
        <v>11.439796651888347</v>
      </c>
      <c r="O39" s="41" t="str">
        <f t="shared" si="5"/>
        <v>E</v>
      </c>
      <c r="P39" s="24">
        <f t="shared" si="20"/>
        <v>5.2775598226601659</v>
      </c>
      <c r="Q39" s="41" t="str">
        <f t="shared" si="6"/>
        <v>5</v>
      </c>
      <c r="R39" s="24">
        <f t="shared" si="21"/>
        <v>3.3307178719219905</v>
      </c>
      <c r="S39" s="41" t="str">
        <f t="shared" si="7"/>
        <v>3</v>
      </c>
      <c r="T39" s="24">
        <f t="shared" si="22"/>
        <v>3.9686144630638864</v>
      </c>
      <c r="U39" s="41" t="str">
        <f t="shared" si="8"/>
        <v>3</v>
      </c>
      <c r="V39" s="24">
        <f t="shared" si="23"/>
        <v>11.623373556766637</v>
      </c>
      <c r="W39" s="41" t="str">
        <f t="shared" si="9"/>
        <v>E</v>
      </c>
      <c r="X39" s="24">
        <f t="shared" si="24"/>
        <v>7.4804826811996463</v>
      </c>
      <c r="Y39" s="41" t="str">
        <f t="shared" si="10"/>
        <v>7</v>
      </c>
      <c r="Z39" s="24">
        <f t="shared" si="25"/>
        <v>5.7657921743957559</v>
      </c>
      <c r="AA39" s="41" t="str">
        <f t="shared" si="11"/>
        <v>6</v>
      </c>
      <c r="AB39" s="24">
        <f t="shared" si="26"/>
        <v>9.1895060927490704</v>
      </c>
      <c r="AC39" s="41" t="str">
        <f t="shared" si="12"/>
        <v/>
      </c>
      <c r="AD39" s="24">
        <f t="shared" si="27"/>
        <v>2.2740731129888445</v>
      </c>
      <c r="AE39" s="41" t="str">
        <f t="shared" si="13"/>
        <v/>
      </c>
      <c r="AF39" s="24">
        <f t="shared" si="28"/>
        <v>3.2888773558661342</v>
      </c>
      <c r="AG39" s="41" t="str">
        <f t="shared" si="14"/>
        <v/>
      </c>
      <c r="AH39" s="24">
        <f t="shared" si="29"/>
        <v>3.46652827039361</v>
      </c>
      <c r="AI39" s="41" t="str">
        <f t="shared" si="15"/>
        <v/>
      </c>
      <c r="AJ39" s="24">
        <f t="shared" si="30"/>
        <v>5.59833924472332</v>
      </c>
      <c r="AK39" s="41" t="str">
        <f t="shared" si="16"/>
        <v/>
      </c>
    </row>
    <row r="40" spans="1:37" ht="15" customHeight="1">
      <c r="A40" s="719"/>
      <c r="B40" s="616" t="str">
        <f>Rydberg!B40</f>
        <v>Bohr Radius</v>
      </c>
      <c r="C40" s="616" t="str">
        <f>Rydberg!C40</f>
        <v>m</v>
      </c>
      <c r="D40" s="21">
        <f>Rydberg!D40</f>
        <v>5.2917721067E-11</v>
      </c>
      <c r="E40" s="8">
        <v>9</v>
      </c>
      <c r="F40" s="21">
        <f>D40/F$3</f>
        <v>1.895765103227515E-10</v>
      </c>
      <c r="G40" s="37" t="str">
        <f t="shared" si="17"/>
        <v>0;E8X349475</v>
      </c>
      <c r="H40" s="330">
        <f t="shared" si="18"/>
        <v>-2.1826846835941605E-2</v>
      </c>
      <c r="I40" s="333"/>
      <c r="J40" s="38">
        <v>-9</v>
      </c>
      <c r="K40" s="61">
        <f t="shared" si="31"/>
        <v>0.9781731531640584</v>
      </c>
      <c r="L40" s="39" t="str">
        <f>INDEX(powers!$H$2:$H$75,33+J40)</f>
        <v>atomic dour</v>
      </c>
      <c r="M40" s="40" t="str">
        <f t="shared" si="4"/>
        <v>0</v>
      </c>
      <c r="N40" s="24">
        <f t="shared" si="19"/>
        <v>11.738077837968701</v>
      </c>
      <c r="O40" s="41" t="str">
        <f t="shared" si="5"/>
        <v>E</v>
      </c>
      <c r="P40" s="24">
        <f t="shared" si="20"/>
        <v>8.8569340556244143</v>
      </c>
      <c r="Q40" s="41" t="str">
        <f t="shared" si="6"/>
        <v>8</v>
      </c>
      <c r="R40" s="24">
        <f t="shared" si="21"/>
        <v>10.283208667492971</v>
      </c>
      <c r="S40" s="41" t="str">
        <f t="shared" si="7"/>
        <v>X</v>
      </c>
      <c r="T40" s="24">
        <f t="shared" si="22"/>
        <v>3.3985040099156549</v>
      </c>
      <c r="U40" s="41" t="str">
        <f t="shared" si="8"/>
        <v>3</v>
      </c>
      <c r="V40" s="24">
        <f t="shared" si="23"/>
        <v>4.7820481189878592</v>
      </c>
      <c r="W40" s="41" t="str">
        <f t="shared" si="9"/>
        <v>4</v>
      </c>
      <c r="X40" s="24">
        <f t="shared" si="24"/>
        <v>9.3845774278543104</v>
      </c>
      <c r="Y40" s="41" t="str">
        <f t="shared" si="10"/>
        <v>9</v>
      </c>
      <c r="Z40" s="24">
        <f t="shared" si="25"/>
        <v>4.6149291342517245</v>
      </c>
      <c r="AA40" s="41" t="str">
        <f t="shared" si="11"/>
        <v>4</v>
      </c>
      <c r="AB40" s="24">
        <f t="shared" si="26"/>
        <v>7.3791496110206936</v>
      </c>
      <c r="AC40" s="41" t="str">
        <f t="shared" si="12"/>
        <v>7</v>
      </c>
      <c r="AD40" s="24">
        <f t="shared" si="27"/>
        <v>4.5497953322483227</v>
      </c>
      <c r="AE40" s="41" t="str">
        <f t="shared" si="13"/>
        <v>5</v>
      </c>
      <c r="AF40" s="24">
        <f t="shared" si="28"/>
        <v>6.597543986979872</v>
      </c>
      <c r="AG40" s="41" t="str">
        <f t="shared" si="14"/>
        <v/>
      </c>
      <c r="AH40" s="24">
        <f t="shared" si="29"/>
        <v>7.1705278437584639</v>
      </c>
      <c r="AI40" s="41" t="str">
        <f t="shared" si="15"/>
        <v/>
      </c>
      <c r="AJ40" s="24">
        <f t="shared" si="30"/>
        <v>2.0463341251015663</v>
      </c>
      <c r="AK40" s="41" t="str">
        <f t="shared" si="16"/>
        <v/>
      </c>
    </row>
    <row r="41" spans="1:37" ht="15" customHeight="1">
      <c r="A41" s="719"/>
      <c r="B41" s="616" t="str">
        <f>Rydberg!B41</f>
        <v>Elementary electric charge</v>
      </c>
      <c r="C41" s="616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5.4087892932395396E-18</v>
      </c>
      <c r="G41" s="37" t="str">
        <f t="shared" si="17"/>
        <v>1;000000000</v>
      </c>
      <c r="H41" s="330">
        <f t="shared" si="18"/>
        <v>0</v>
      </c>
      <c r="I41" s="333"/>
      <c r="J41" s="38">
        <v>-16</v>
      </c>
      <c r="K41" s="61">
        <f t="shared" si="31"/>
        <v>1.0000000000000002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2.6645352591003757E-15</v>
      </c>
      <c r="O41" s="41" t="str">
        <f t="shared" si="5"/>
        <v>0</v>
      </c>
      <c r="P41" s="24">
        <f t="shared" si="20"/>
        <v>3.1974423109204508E-14</v>
      </c>
      <c r="Q41" s="41" t="str">
        <f t="shared" si="6"/>
        <v>0</v>
      </c>
      <c r="R41" s="24">
        <f t="shared" si="21"/>
        <v>3.836930773104541E-13</v>
      </c>
      <c r="S41" s="41" t="str">
        <f t="shared" si="7"/>
        <v>0</v>
      </c>
      <c r="T41" s="24">
        <f t="shared" si="22"/>
        <v>4.6043169277254492E-12</v>
      </c>
      <c r="U41" s="41" t="str">
        <f t="shared" si="8"/>
        <v>0</v>
      </c>
      <c r="V41" s="24">
        <f t="shared" si="23"/>
        <v>5.525180313270539E-11</v>
      </c>
      <c r="W41" s="41" t="str">
        <f t="shared" si="9"/>
        <v>0</v>
      </c>
      <c r="X41" s="24">
        <f t="shared" si="24"/>
        <v>6.6302163759246469E-10</v>
      </c>
      <c r="Y41" s="41" t="str">
        <f t="shared" si="10"/>
        <v>0</v>
      </c>
      <c r="Z41" s="24">
        <f t="shared" si="25"/>
        <v>7.9562596511095762E-9</v>
      </c>
      <c r="AA41" s="41" t="str">
        <f t="shared" si="11"/>
        <v>0</v>
      </c>
      <c r="AB41" s="24">
        <f t="shared" si="26"/>
        <v>9.5475115813314915E-8</v>
      </c>
      <c r="AC41" s="41" t="str">
        <f t="shared" si="12"/>
        <v>0</v>
      </c>
      <c r="AD41" s="24">
        <f t="shared" si="27"/>
        <v>1.145701389759779E-6</v>
      </c>
      <c r="AE41" s="41" t="str">
        <f t="shared" si="13"/>
        <v>0</v>
      </c>
      <c r="AF41" s="24">
        <f t="shared" si="28"/>
        <v>1.3748416677117348E-5</v>
      </c>
      <c r="AG41" s="41" t="str">
        <f t="shared" si="14"/>
        <v/>
      </c>
      <c r="AH41" s="24">
        <f t="shared" si="29"/>
        <v>1.6498100012540817E-4</v>
      </c>
      <c r="AI41" s="41" t="str">
        <f t="shared" si="15"/>
        <v/>
      </c>
      <c r="AJ41" s="24">
        <f t="shared" si="30"/>
        <v>1.9797720015048981E-3</v>
      </c>
      <c r="AK41" s="41" t="str">
        <f t="shared" si="16"/>
        <v/>
      </c>
    </row>
    <row r="42" spans="1:37" ht="15" customHeight="1">
      <c r="A42" s="719"/>
      <c r="B42" s="616" t="str">
        <f>Rydberg!B42</f>
        <v>Electron mass</v>
      </c>
      <c r="C42" s="616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6.5785026186592236E-30</v>
      </c>
      <c r="G42" s="37" t="str">
        <f t="shared" si="17"/>
        <v>0;XX16E75</v>
      </c>
      <c r="H42" s="330">
        <f t="shared" si="18"/>
        <v>-9.6307464155405476E-2</v>
      </c>
      <c r="I42" s="333"/>
      <c r="J42" s="38">
        <v>-27</v>
      </c>
      <c r="K42" s="61">
        <f t="shared" si="31"/>
        <v>0.90369253584459452</v>
      </c>
      <c r="L42" s="39" t="str">
        <f>INDEX(powers!$H$2:$H$75,33+J42)</f>
        <v>tri-atomic milly</v>
      </c>
      <c r="M42" s="40" t="str">
        <f t="shared" si="4"/>
        <v>0</v>
      </c>
      <c r="N42" s="24">
        <f t="shared" si="19"/>
        <v>10.844310430135135</v>
      </c>
      <c r="O42" s="41" t="str">
        <f t="shared" si="5"/>
        <v>X</v>
      </c>
      <c r="P42" s="24">
        <f t="shared" si="20"/>
        <v>10.131725161621617</v>
      </c>
      <c r="Q42" s="41" t="str">
        <f t="shared" si="6"/>
        <v>X</v>
      </c>
      <c r="R42" s="24">
        <f t="shared" si="21"/>
        <v>1.5807019394594022</v>
      </c>
      <c r="S42" s="41" t="str">
        <f t="shared" si="7"/>
        <v>1</v>
      </c>
      <c r="T42" s="24">
        <f t="shared" si="22"/>
        <v>6.9684232735128262</v>
      </c>
      <c r="U42" s="41" t="str">
        <f t="shared" si="8"/>
        <v>6</v>
      </c>
      <c r="V42" s="24">
        <f t="shared" si="23"/>
        <v>11.621079282153914</v>
      </c>
      <c r="W42" s="41" t="str">
        <f t="shared" si="9"/>
        <v>E</v>
      </c>
      <c r="X42" s="24">
        <f t="shared" si="24"/>
        <v>7.4529513858469727</v>
      </c>
      <c r="Y42" s="41" t="str">
        <f t="shared" si="10"/>
        <v>7</v>
      </c>
      <c r="Z42" s="24">
        <f t="shared" si="25"/>
        <v>5.4354166301636724</v>
      </c>
      <c r="AA42" s="41" t="str">
        <f t="shared" si="11"/>
        <v>5</v>
      </c>
      <c r="AB42" s="24">
        <f t="shared" si="26"/>
        <v>5.2249995619640686</v>
      </c>
      <c r="AC42" s="41" t="str">
        <f t="shared" si="12"/>
        <v/>
      </c>
      <c r="AD42" s="24">
        <f t="shared" si="27"/>
        <v>2.6999947435688227</v>
      </c>
      <c r="AE42" s="41" t="str">
        <f t="shared" si="13"/>
        <v/>
      </c>
      <c r="AF42" s="24">
        <f t="shared" si="28"/>
        <v>8.3999369228258729</v>
      </c>
      <c r="AG42" s="41" t="str">
        <f t="shared" si="14"/>
        <v/>
      </c>
      <c r="AH42" s="24">
        <f t="shared" si="29"/>
        <v>4.7992430739104748</v>
      </c>
      <c r="AI42" s="41" t="str">
        <f t="shared" si="15"/>
        <v/>
      </c>
      <c r="AJ42" s="24">
        <f t="shared" si="30"/>
        <v>9.5909168869256973</v>
      </c>
      <c r="AK42" s="41" t="str">
        <f t="shared" si="16"/>
        <v/>
      </c>
    </row>
    <row r="43" spans="1:37" ht="15" customHeight="1">
      <c r="A43" s="719"/>
      <c r="B43" s="616" t="str">
        <f>Rydberg!B43</f>
        <v>Proton mass</v>
      </c>
      <c r="C43" s="616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1.2079135167720216E-26</v>
      </c>
      <c r="G43" s="37" t="str">
        <f t="shared" si="17"/>
        <v>0;E633987</v>
      </c>
      <c r="H43" s="330">
        <f t="shared" si="18"/>
        <v>-3.9746837222641052E-2</v>
      </c>
      <c r="I43" s="333"/>
      <c r="J43" s="38">
        <v>-24</v>
      </c>
      <c r="K43" s="61">
        <f t="shared" si="31"/>
        <v>0.96025316277735895</v>
      </c>
      <c r="L43" s="39" t="str">
        <f>INDEX(powers!$H$2:$H$75,33+J43)</f>
        <v>tri-atomic</v>
      </c>
      <c r="M43" s="40" t="str">
        <f t="shared" si="4"/>
        <v>0</v>
      </c>
      <c r="N43" s="24">
        <f t="shared" si="19"/>
        <v>11.523037953328307</v>
      </c>
      <c r="O43" s="41" t="str">
        <f t="shared" si="5"/>
        <v>E</v>
      </c>
      <c r="P43" s="24">
        <f t="shared" si="20"/>
        <v>6.2764554399396886</v>
      </c>
      <c r="Q43" s="41" t="str">
        <f t="shared" si="6"/>
        <v>6</v>
      </c>
      <c r="R43" s="24">
        <f t="shared" si="21"/>
        <v>3.3174652792762629</v>
      </c>
      <c r="S43" s="41" t="str">
        <f t="shared" si="7"/>
        <v>3</v>
      </c>
      <c r="T43" s="24">
        <f t="shared" si="22"/>
        <v>3.8095833513151547</v>
      </c>
      <c r="U43" s="41" t="str">
        <f t="shared" si="8"/>
        <v>3</v>
      </c>
      <c r="V43" s="24">
        <f t="shared" si="23"/>
        <v>9.7150002157818562</v>
      </c>
      <c r="W43" s="41" t="str">
        <f t="shared" si="9"/>
        <v>9</v>
      </c>
      <c r="X43" s="24">
        <f t="shared" si="24"/>
        <v>8.5800025893822749</v>
      </c>
      <c r="Y43" s="41" t="str">
        <f t="shared" si="10"/>
        <v>8</v>
      </c>
      <c r="Z43" s="24">
        <f t="shared" si="25"/>
        <v>6.9600310725872987</v>
      </c>
      <c r="AA43" s="41" t="str">
        <f t="shared" si="11"/>
        <v>7</v>
      </c>
      <c r="AB43" s="24">
        <f t="shared" si="26"/>
        <v>11.520372871047584</v>
      </c>
      <c r="AC43" s="41" t="str">
        <f t="shared" si="12"/>
        <v/>
      </c>
      <c r="AD43" s="24">
        <f t="shared" si="27"/>
        <v>6.2444744525710121</v>
      </c>
      <c r="AE43" s="41" t="str">
        <f t="shared" si="13"/>
        <v/>
      </c>
      <c r="AF43" s="24">
        <f t="shared" si="28"/>
        <v>2.933693430852145</v>
      </c>
      <c r="AG43" s="41" t="str">
        <f t="shared" si="14"/>
        <v/>
      </c>
      <c r="AH43" s="24">
        <f t="shared" si="29"/>
        <v>11.204321170225739</v>
      </c>
      <c r="AI43" s="41" t="str">
        <f t="shared" si="15"/>
        <v/>
      </c>
      <c r="AJ43" s="24">
        <f t="shared" si="30"/>
        <v>2.4518540427088737</v>
      </c>
      <c r="AK43" s="41" t="str">
        <f t="shared" si="16"/>
        <v/>
      </c>
    </row>
    <row r="44" spans="1:37" ht="15" customHeight="1">
      <c r="A44" s="719"/>
      <c r="B44" s="616" t="str">
        <f>Rydberg!B44</f>
        <v>Newtonian constant of gravitation</v>
      </c>
      <c r="C44" s="616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6.4837101236979173E-11</v>
      </c>
      <c r="G44" s="37" t="str">
        <f t="shared" si="17"/>
        <v>4;0212</v>
      </c>
      <c r="H44" s="330">
        <f t="shared" si="18"/>
        <v>3.6356031296000957E-3</v>
      </c>
      <c r="I44" s="333"/>
      <c r="J44" s="38">
        <v>-10</v>
      </c>
      <c r="K44" s="61">
        <f t="shared" si="31"/>
        <v>4.0145424125184004</v>
      </c>
      <c r="L44" s="39" t="str">
        <f>INDEX(powers!$H$2:$H$75,33+J44)</f>
        <v>atomic centy</v>
      </c>
      <c r="M44" s="40" t="str">
        <f t="shared" si="4"/>
        <v>4</v>
      </c>
      <c r="N44" s="24">
        <f t="shared" si="19"/>
        <v>0.17450895022080459</v>
      </c>
      <c r="O44" s="41" t="str">
        <f t="shared" si="5"/>
        <v>0</v>
      </c>
      <c r="P44" s="24">
        <f t="shared" si="20"/>
        <v>2.0941074026496551</v>
      </c>
      <c r="Q44" s="41" t="str">
        <f t="shared" si="6"/>
        <v>2</v>
      </c>
      <c r="R44" s="24">
        <f t="shared" si="21"/>
        <v>1.1292888317958614</v>
      </c>
      <c r="S44" s="41" t="str">
        <f t="shared" si="7"/>
        <v>1</v>
      </c>
      <c r="T44" s="24">
        <f t="shared" si="22"/>
        <v>1.5514659815503364</v>
      </c>
      <c r="U44" s="41" t="str">
        <f t="shared" si="8"/>
        <v>2</v>
      </c>
      <c r="V44" s="24">
        <f t="shared" si="23"/>
        <v>6.6175917786040372</v>
      </c>
      <c r="W44" s="41" t="str">
        <f t="shared" si="9"/>
        <v/>
      </c>
      <c r="X44" s="24">
        <f t="shared" si="24"/>
        <v>7.4111013432484469</v>
      </c>
      <c r="Y44" s="41" t="str">
        <f t="shared" si="10"/>
        <v/>
      </c>
      <c r="Z44" s="24">
        <f t="shared" si="25"/>
        <v>4.9332161189813633</v>
      </c>
      <c r="AA44" s="41" t="str">
        <f t="shared" si="11"/>
        <v/>
      </c>
      <c r="AB44" s="24">
        <f t="shared" si="26"/>
        <v>11.198593427776359</v>
      </c>
      <c r="AC44" s="41" t="str">
        <f t="shared" si="12"/>
        <v/>
      </c>
      <c r="AD44" s="24">
        <f t="shared" si="27"/>
        <v>2.3831211333163083</v>
      </c>
      <c r="AE44" s="41" t="str">
        <f t="shared" si="13"/>
        <v/>
      </c>
      <c r="AF44" s="24">
        <f t="shared" si="28"/>
        <v>4.5974535997956991</v>
      </c>
      <c r="AG44" s="41" t="str">
        <f t="shared" si="14"/>
        <v/>
      </c>
      <c r="AH44" s="24">
        <f t="shared" si="29"/>
        <v>7.1694431975483894</v>
      </c>
      <c r="AI44" s="41" t="str">
        <f t="shared" si="15"/>
        <v/>
      </c>
      <c r="AJ44" s="24">
        <f t="shared" si="30"/>
        <v>2.0333183705806732</v>
      </c>
      <c r="AK44" s="41" t="str">
        <f t="shared" si="16"/>
        <v/>
      </c>
    </row>
    <row r="45" spans="1:37" ht="15" customHeight="1">
      <c r="A45" s="719"/>
      <c r="B45" s="616" t="str">
        <f>Rydberg!B45</f>
        <v>Planck force</v>
      </c>
      <c r="C45" s="616" t="str">
        <f>Rydberg!C45</f>
        <v>N</v>
      </c>
      <c r="D45" s="21">
        <f>Rydberg!D45</f>
        <v>1.2102954584096223E+44</v>
      </c>
      <c r="E45" s="8">
        <v>4</v>
      </c>
      <c r="F45" s="21">
        <f>D45/F$10</f>
        <v>4.7778545860731108E+44</v>
      </c>
      <c r="G45" s="37" t="str">
        <f t="shared" si="17"/>
        <v>2;8611</v>
      </c>
      <c r="H45" s="331">
        <f t="shared" si="18"/>
        <v>-1.4925343090519183E-2</v>
      </c>
      <c r="I45" s="339">
        <v>1</v>
      </c>
      <c r="J45" s="38">
        <v>41</v>
      </c>
      <c r="K45" s="61">
        <f t="shared" si="31"/>
        <v>2.7089553065010725</v>
      </c>
      <c r="L45" s="39" t="str">
        <f>INDEX(powers!$H$2:$H$75,33+J45)</f>
        <v>penta-cosmic dirac</v>
      </c>
      <c r="M45" s="40" t="str">
        <f t="shared" si="4"/>
        <v>2</v>
      </c>
      <c r="N45" s="24">
        <f t="shared" si="19"/>
        <v>8.5074636780128703</v>
      </c>
      <c r="O45" s="41" t="str">
        <f t="shared" si="5"/>
        <v>8</v>
      </c>
      <c r="P45" s="24">
        <f t="shared" si="20"/>
        <v>6.0895641361544435</v>
      </c>
      <c r="Q45" s="41" t="str">
        <f t="shared" si="6"/>
        <v>6</v>
      </c>
      <c r="R45" s="24">
        <f t="shared" si="21"/>
        <v>1.0747696338533217</v>
      </c>
      <c r="S45" s="41" t="str">
        <f t="shared" si="7"/>
        <v>1</v>
      </c>
      <c r="T45" s="24">
        <f t="shared" si="22"/>
        <v>0.89723560623986032</v>
      </c>
      <c r="U45" s="41" t="str">
        <f t="shared" si="8"/>
        <v>1</v>
      </c>
      <c r="V45" s="24">
        <f t="shared" si="23"/>
        <v>10.766827274878324</v>
      </c>
      <c r="W45" s="41" t="str">
        <f t="shared" si="9"/>
        <v/>
      </c>
      <c r="X45" s="24">
        <f t="shared" si="24"/>
        <v>9.2019272985398857</v>
      </c>
      <c r="Y45" s="41" t="str">
        <f t="shared" si="10"/>
        <v/>
      </c>
      <c r="Z45" s="24">
        <f t="shared" si="25"/>
        <v>2.423127582478628</v>
      </c>
      <c r="AA45" s="41" t="str">
        <f t="shared" si="11"/>
        <v/>
      </c>
      <c r="AB45" s="24">
        <f t="shared" si="26"/>
        <v>5.0775309897435363</v>
      </c>
      <c r="AC45" s="41" t="str">
        <f t="shared" si="12"/>
        <v/>
      </c>
      <c r="AD45" s="24">
        <f t="shared" si="27"/>
        <v>0.93037187692243606</v>
      </c>
      <c r="AE45" s="41" t="str">
        <f t="shared" si="13"/>
        <v/>
      </c>
      <c r="AF45" s="24">
        <f t="shared" si="28"/>
        <v>11.164462523069233</v>
      </c>
      <c r="AG45" s="41" t="str">
        <f t="shared" si="14"/>
        <v/>
      </c>
      <c r="AH45" s="24">
        <f t="shared" si="29"/>
        <v>1.9735502768307924</v>
      </c>
      <c r="AI45" s="41" t="str">
        <f t="shared" si="15"/>
        <v/>
      </c>
      <c r="AJ45" s="24">
        <f t="shared" si="30"/>
        <v>11.682603321969509</v>
      </c>
      <c r="AK45" s="41" t="str">
        <f t="shared" si="16"/>
        <v/>
      </c>
    </row>
    <row r="46" spans="1:37" ht="15" customHeight="1">
      <c r="A46" s="719"/>
      <c r="B46" s="616" t="str">
        <f>Rydberg!B46</f>
        <v>Gravitic meter</v>
      </c>
      <c r="C46" s="616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3.4254697809722306E-34</v>
      </c>
      <c r="G46" s="37" t="str">
        <f t="shared" si="17"/>
        <v>0;E861</v>
      </c>
      <c r="H46" s="330">
        <f t="shared" si="18"/>
        <v>-2.4249532432368492E-2</v>
      </c>
      <c r="I46" s="333"/>
      <c r="J46" s="38">
        <v>-31</v>
      </c>
      <c r="K46" s="61">
        <f t="shared" si="31"/>
        <v>0.97575046756763151</v>
      </c>
      <c r="L46" s="39" t="str">
        <f>INDEX(powers!$H$2:$H$75,33+J46)</f>
        <v>tetra-atomic dirac</v>
      </c>
      <c r="M46" s="40" t="str">
        <f t="shared" si="4"/>
        <v>0</v>
      </c>
      <c r="N46" s="24">
        <f t="shared" si="19"/>
        <v>11.709005610811579</v>
      </c>
      <c r="O46" s="41" t="str">
        <f t="shared" si="5"/>
        <v>E</v>
      </c>
      <c r="P46" s="24">
        <f t="shared" si="20"/>
        <v>8.5080673297389424</v>
      </c>
      <c r="Q46" s="41" t="str">
        <f t="shared" si="6"/>
        <v>8</v>
      </c>
      <c r="R46" s="24">
        <f t="shared" si="21"/>
        <v>6.096807956867309</v>
      </c>
      <c r="S46" s="41" t="str">
        <f t="shared" si="7"/>
        <v>6</v>
      </c>
      <c r="T46" s="24">
        <f t="shared" si="22"/>
        <v>1.1616954824077084</v>
      </c>
      <c r="U46" s="41" t="str">
        <f t="shared" si="8"/>
        <v>1</v>
      </c>
      <c r="V46" s="24">
        <f t="shared" si="23"/>
        <v>1.9403457888925004</v>
      </c>
      <c r="W46" s="41" t="str">
        <f t="shared" si="9"/>
        <v/>
      </c>
      <c r="X46" s="24">
        <f t="shared" si="24"/>
        <v>11.284149466710005</v>
      </c>
      <c r="Y46" s="41" t="str">
        <f t="shared" si="10"/>
        <v/>
      </c>
      <c r="Z46" s="24">
        <f t="shared" si="25"/>
        <v>3.4097936005200609</v>
      </c>
      <c r="AA46" s="41" t="str">
        <f t="shared" si="11"/>
        <v/>
      </c>
      <c r="AB46" s="24">
        <f t="shared" si="26"/>
        <v>4.9175232062407304</v>
      </c>
      <c r="AC46" s="41" t="str">
        <f t="shared" si="12"/>
        <v/>
      </c>
      <c r="AD46" s="24">
        <f t="shared" si="27"/>
        <v>11.010278474888764</v>
      </c>
      <c r="AE46" s="41" t="str">
        <f t="shared" si="13"/>
        <v/>
      </c>
      <c r="AF46" s="24">
        <f t="shared" si="28"/>
        <v>0.12334169866517186</v>
      </c>
      <c r="AG46" s="41" t="str">
        <f t="shared" si="14"/>
        <v/>
      </c>
      <c r="AH46" s="24">
        <f t="shared" si="29"/>
        <v>1.4801003839820623</v>
      </c>
      <c r="AI46" s="41" t="str">
        <f t="shared" si="15"/>
        <v/>
      </c>
      <c r="AJ46" s="24">
        <f t="shared" si="30"/>
        <v>5.7612046077847481</v>
      </c>
      <c r="AK46" s="41" t="str">
        <f t="shared" si="16"/>
        <v/>
      </c>
    </row>
    <row r="47" spans="1:37" ht="15" customHeight="1">
      <c r="A47" s="719"/>
      <c r="B47" s="616" t="str">
        <f>Rydberg!B47</f>
        <v>Planck length</v>
      </c>
      <c r="C47" s="616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5.7901007196652806E-35</v>
      </c>
      <c r="G47" s="37" t="str">
        <f t="shared" si="17"/>
        <v>1;E900</v>
      </c>
      <c r="H47" s="330">
        <f t="shared" si="18"/>
        <v>-1.0408408938252123E-2</v>
      </c>
      <c r="I47" s="333"/>
      <c r="J47" s="38">
        <v>-32</v>
      </c>
      <c r="K47" s="61">
        <f t="shared" si="31"/>
        <v>1.9791831821234958</v>
      </c>
      <c r="L47" s="39" t="str">
        <f>INDEX(powers!$H$2:$H$75,33+J47)</f>
        <v>tetra-atomic</v>
      </c>
      <c r="M47" s="40" t="str">
        <f t="shared" si="4"/>
        <v>1</v>
      </c>
      <c r="N47" s="24">
        <f t="shared" si="19"/>
        <v>11.750198185481949</v>
      </c>
      <c r="O47" s="41" t="str">
        <f t="shared" si="5"/>
        <v>E</v>
      </c>
      <c r="P47" s="24">
        <f t="shared" si="20"/>
        <v>9.0023782257833886</v>
      </c>
      <c r="Q47" s="41" t="str">
        <f t="shared" si="6"/>
        <v>9</v>
      </c>
      <c r="R47" s="24">
        <f t="shared" si="21"/>
        <v>2.853870940066372E-2</v>
      </c>
      <c r="S47" s="41" t="str">
        <f t="shared" si="7"/>
        <v>0</v>
      </c>
      <c r="T47" s="24">
        <f t="shared" si="22"/>
        <v>0.34246451280796464</v>
      </c>
      <c r="U47" s="41" t="str">
        <f t="shared" si="8"/>
        <v>0</v>
      </c>
      <c r="V47" s="24">
        <f t="shared" si="23"/>
        <v>4.1095741536955757</v>
      </c>
      <c r="W47" s="41" t="str">
        <f t="shared" si="9"/>
        <v/>
      </c>
      <c r="X47" s="24">
        <f t="shared" si="24"/>
        <v>1.3148898443469079</v>
      </c>
      <c r="Y47" s="41" t="str">
        <f t="shared" si="10"/>
        <v/>
      </c>
      <c r="Z47" s="24">
        <f t="shared" si="25"/>
        <v>3.7786781321628951</v>
      </c>
      <c r="AA47" s="41" t="str">
        <f t="shared" si="11"/>
        <v/>
      </c>
      <c r="AB47" s="24">
        <f t="shared" si="26"/>
        <v>9.3441375859547406</v>
      </c>
      <c r="AC47" s="41" t="str">
        <f t="shared" si="12"/>
        <v/>
      </c>
      <c r="AD47" s="24">
        <f t="shared" si="27"/>
        <v>4.1296510314568877</v>
      </c>
      <c r="AE47" s="41" t="str">
        <f t="shared" si="13"/>
        <v/>
      </c>
      <c r="AF47" s="24">
        <f t="shared" si="28"/>
        <v>1.5558123774826527</v>
      </c>
      <c r="AG47" s="41" t="str">
        <f t="shared" si="14"/>
        <v/>
      </c>
      <c r="AH47" s="24">
        <f t="shared" si="29"/>
        <v>6.669748529791832</v>
      </c>
      <c r="AI47" s="41" t="str">
        <f t="shared" si="15"/>
        <v/>
      </c>
      <c r="AJ47" s="24">
        <f t="shared" si="30"/>
        <v>8.0369823575019836</v>
      </c>
      <c r="AK47" s="41" t="str">
        <f t="shared" si="16"/>
        <v/>
      </c>
    </row>
    <row r="48" spans="1:37" ht="15" customHeight="1">
      <c r="A48" s="719"/>
      <c r="B48" s="616" t="str">
        <f>Rydberg!B48</f>
        <v>Adjusted Planck length</v>
      </c>
      <c r="C48" s="616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6.7780294848906866E-34</v>
      </c>
      <c r="G48" s="37" t="str">
        <f t="shared" si="17"/>
        <v>1;E204</v>
      </c>
      <c r="H48" s="330">
        <f t="shared" si="18"/>
        <v>-3.4633807630297775E-2</v>
      </c>
      <c r="I48" s="333"/>
      <c r="J48" s="38">
        <v>-31</v>
      </c>
      <c r="K48" s="61">
        <f t="shared" si="31"/>
        <v>1.9307323847394045</v>
      </c>
      <c r="L48" s="39" t="str">
        <f>INDEX(powers!$H$2:$H$75,33+J48)</f>
        <v>tetra-atomic dirac</v>
      </c>
      <c r="M48" s="40" t="str">
        <f t="shared" si="4"/>
        <v>1</v>
      </c>
      <c r="N48" s="24">
        <f t="shared" si="19"/>
        <v>11.168788616872853</v>
      </c>
      <c r="O48" s="41" t="str">
        <f t="shared" si="5"/>
        <v>E</v>
      </c>
      <c r="P48" s="24">
        <f t="shared" si="20"/>
        <v>2.0254634024742302</v>
      </c>
      <c r="Q48" s="41" t="str">
        <f t="shared" si="6"/>
        <v>2</v>
      </c>
      <c r="R48" s="24">
        <f t="shared" si="21"/>
        <v>0.30556082969076215</v>
      </c>
      <c r="S48" s="41" t="str">
        <f t="shared" si="7"/>
        <v>0</v>
      </c>
      <c r="T48" s="24">
        <f t="shared" si="22"/>
        <v>3.6667299562891458</v>
      </c>
      <c r="U48" s="41" t="str">
        <f t="shared" si="8"/>
        <v>4</v>
      </c>
      <c r="V48" s="24">
        <f t="shared" si="23"/>
        <v>8.0007594754697493</v>
      </c>
      <c r="W48" s="41" t="str">
        <f t="shared" si="9"/>
        <v/>
      </c>
      <c r="X48" s="24">
        <f t="shared" si="24"/>
        <v>9.1137056369916536E-3</v>
      </c>
      <c r="Y48" s="41" t="str">
        <f t="shared" si="10"/>
        <v/>
      </c>
      <c r="Z48" s="24">
        <f t="shared" si="25"/>
        <v>0.10936446764389984</v>
      </c>
      <c r="AA48" s="41" t="str">
        <f t="shared" si="11"/>
        <v/>
      </c>
      <c r="AB48" s="24">
        <f t="shared" si="26"/>
        <v>1.3123736117267981</v>
      </c>
      <c r="AC48" s="41" t="str">
        <f t="shared" si="12"/>
        <v/>
      </c>
      <c r="AD48" s="24">
        <f t="shared" si="27"/>
        <v>3.7484833407215774</v>
      </c>
      <c r="AE48" s="41" t="str">
        <f t="shared" si="13"/>
        <v/>
      </c>
      <c r="AF48" s="24">
        <f t="shared" si="28"/>
        <v>8.9818000886589289</v>
      </c>
      <c r="AG48" s="41" t="str">
        <f t="shared" si="14"/>
        <v/>
      </c>
      <c r="AH48" s="24">
        <f t="shared" si="29"/>
        <v>11.781601063907146</v>
      </c>
      <c r="AI48" s="41" t="str">
        <f t="shared" si="15"/>
        <v/>
      </c>
      <c r="AJ48" s="24">
        <f t="shared" si="30"/>
        <v>9.3792127668857574</v>
      </c>
      <c r="AK48" s="41" t="str">
        <f t="shared" si="16"/>
        <v/>
      </c>
    </row>
    <row r="49" spans="1:37" ht="15" customHeight="1">
      <c r="A49" s="719"/>
      <c r="B49" s="616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3.3845054920912453E-25</v>
      </c>
      <c r="G49" s="37" t="str">
        <f t="shared" si="17"/>
        <v>2;2XX518</v>
      </c>
      <c r="H49" s="330">
        <f t="shared" si="18"/>
        <v>0.12107298318256188</v>
      </c>
      <c r="I49" s="333"/>
      <c r="J49" s="135">
        <v>-23</v>
      </c>
      <c r="K49" s="61">
        <f t="shared" si="31"/>
        <v>2.2421459663651238</v>
      </c>
      <c r="L49" s="138" t="str">
        <f>INDEX(powers!$H$2:$H$75,33+J49)</f>
        <v>tri-atomic dirac</v>
      </c>
      <c r="M49" s="40" t="str">
        <f t="shared" si="4"/>
        <v>2</v>
      </c>
      <c r="N49" s="24">
        <f t="shared" si="19"/>
        <v>2.9057515963814851</v>
      </c>
      <c r="O49" s="41" t="str">
        <f t="shared" si="5"/>
        <v>2</v>
      </c>
      <c r="P49" s="24">
        <f t="shared" si="20"/>
        <v>10.869019156577821</v>
      </c>
      <c r="Q49" s="41" t="str">
        <f t="shared" si="6"/>
        <v>X</v>
      </c>
      <c r="R49" s="24">
        <f t="shared" si="21"/>
        <v>10.428229878933848</v>
      </c>
      <c r="S49" s="41" t="str">
        <f t="shared" si="7"/>
        <v>X</v>
      </c>
      <c r="T49" s="24">
        <f t="shared" si="22"/>
        <v>5.1387585472061801</v>
      </c>
      <c r="U49" s="41" t="str">
        <f t="shared" si="8"/>
        <v>5</v>
      </c>
      <c r="V49" s="24">
        <f t="shared" si="23"/>
        <v>1.665102566474161</v>
      </c>
      <c r="W49" s="41" t="str">
        <f t="shared" si="9"/>
        <v>1</v>
      </c>
      <c r="X49" s="24">
        <f t="shared" si="24"/>
        <v>7.9812307976899319</v>
      </c>
      <c r="Y49" s="41" t="str">
        <f t="shared" si="10"/>
        <v>8</v>
      </c>
      <c r="Z49" s="24">
        <f t="shared" si="25"/>
        <v>11.774769572279183</v>
      </c>
      <c r="AA49" s="41" t="str">
        <f t="shared" si="11"/>
        <v/>
      </c>
      <c r="AB49" s="24">
        <f t="shared" si="26"/>
        <v>9.2972348673501983</v>
      </c>
      <c r="AC49" s="41" t="str">
        <f t="shared" si="12"/>
        <v/>
      </c>
      <c r="AD49" s="24">
        <f t="shared" si="27"/>
        <v>3.5668184082023799</v>
      </c>
      <c r="AE49" s="41" t="str">
        <f t="shared" si="13"/>
        <v/>
      </c>
      <c r="AF49" s="24">
        <f t="shared" si="28"/>
        <v>6.8018208984285593</v>
      </c>
      <c r="AG49" s="41" t="str">
        <f t="shared" si="14"/>
        <v/>
      </c>
      <c r="AH49" s="24">
        <f t="shared" si="29"/>
        <v>9.6218507811427116</v>
      </c>
      <c r="AI49" s="41" t="str">
        <f t="shared" si="15"/>
        <v/>
      </c>
      <c r="AJ49" s="24">
        <f t="shared" si="30"/>
        <v>7.4622093737125397</v>
      </c>
      <c r="AK49" s="41" t="str">
        <f t="shared" si="16"/>
        <v/>
      </c>
    </row>
    <row r="50" spans="1:37" ht="15" customHeight="1">
      <c r="A50" s="719"/>
      <c r="B50" s="616" t="str">
        <f>Rydberg!B50</f>
        <v>Black-body radiation at the ice point</v>
      </c>
      <c r="C50" s="616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135.87330550467968</v>
      </c>
      <c r="G50" s="37" t="str">
        <f t="shared" si="17"/>
        <v>0;E3X591</v>
      </c>
      <c r="H50" s="330">
        <f t="shared" si="18"/>
        <v>-5.643537843972446E-2</v>
      </c>
      <c r="I50" s="333"/>
      <c r="J50" s="38">
        <v>2</v>
      </c>
      <c r="K50" s="61">
        <f t="shared" si="31"/>
        <v>0.94356462156027554</v>
      </c>
      <c r="L50" s="39" t="str">
        <f>INDEX(powers!$H$2:$H$75,33+J50)</f>
        <v>hecty</v>
      </c>
      <c r="M50" s="40" t="str">
        <f t="shared" si="4"/>
        <v>0</v>
      </c>
      <c r="N50" s="24">
        <f t="shared" si="19"/>
        <v>11.322775458723306</v>
      </c>
      <c r="O50" s="41" t="str">
        <f t="shared" si="5"/>
        <v>E</v>
      </c>
      <c r="P50" s="24">
        <f t="shared" si="20"/>
        <v>3.8733055046796778</v>
      </c>
      <c r="Q50" s="41" t="str">
        <f t="shared" si="6"/>
        <v>3</v>
      </c>
      <c r="R50" s="24">
        <f t="shared" si="21"/>
        <v>10.479666056156134</v>
      </c>
      <c r="S50" s="41" t="str">
        <f t="shared" si="7"/>
        <v>X</v>
      </c>
      <c r="T50" s="24">
        <f t="shared" si="22"/>
        <v>5.7559926738736067</v>
      </c>
      <c r="U50" s="41" t="str">
        <f t="shared" si="8"/>
        <v>5</v>
      </c>
      <c r="V50" s="24">
        <f t="shared" si="23"/>
        <v>9.0719120864832803</v>
      </c>
      <c r="W50" s="41" t="str">
        <f t="shared" si="9"/>
        <v>9</v>
      </c>
      <c r="X50" s="24">
        <f t="shared" si="24"/>
        <v>0.86294503779936349</v>
      </c>
      <c r="Y50" s="41" t="str">
        <f t="shared" si="10"/>
        <v>1</v>
      </c>
      <c r="Z50" s="24">
        <f t="shared" si="25"/>
        <v>10.355340453592362</v>
      </c>
      <c r="AA50" s="41" t="str">
        <f t="shared" si="11"/>
        <v/>
      </c>
      <c r="AB50" s="24">
        <f t="shared" si="26"/>
        <v>4.2640854431083426</v>
      </c>
      <c r="AC50" s="41" t="str">
        <f t="shared" si="12"/>
        <v/>
      </c>
      <c r="AD50" s="24">
        <f t="shared" si="27"/>
        <v>3.1690253173001111</v>
      </c>
      <c r="AE50" s="41" t="str">
        <f t="shared" si="13"/>
        <v/>
      </c>
      <c r="AF50" s="24">
        <f t="shared" si="28"/>
        <v>2.0283038076013327</v>
      </c>
      <c r="AG50" s="41" t="str">
        <f t="shared" si="14"/>
        <v/>
      </c>
      <c r="AH50" s="24">
        <f t="shared" si="29"/>
        <v>0.33964569121599197</v>
      </c>
      <c r="AI50" s="41" t="str">
        <f t="shared" si="15"/>
        <v/>
      </c>
      <c r="AJ50" s="24">
        <f t="shared" si="30"/>
        <v>4.0757482945919037</v>
      </c>
      <c r="AK50" s="41" t="str">
        <f t="shared" si="16"/>
        <v/>
      </c>
    </row>
    <row r="51" spans="1:37" ht="15" customHeight="1">
      <c r="A51" s="719"/>
      <c r="B51" s="616" t="str">
        <f>Rydberg!B51</f>
        <v>Temperature of the triple point of water</v>
      </c>
      <c r="C51" s="616" t="str">
        <f>Rydberg!C51</f>
        <v>K</v>
      </c>
      <c r="D51" s="21">
        <f>Rydberg!D51</f>
        <v>273.16000000000003</v>
      </c>
      <c r="E51" s="8">
        <v>6</v>
      </c>
      <c r="F51" s="21">
        <f>D51/F$6</f>
        <v>4476366.4146422017</v>
      </c>
      <c r="G51" s="37" t="str">
        <f t="shared" si="17"/>
        <v>1;5EX5X6</v>
      </c>
      <c r="H51" s="330"/>
      <c r="I51" s="333"/>
      <c r="J51" s="135">
        <v>6</v>
      </c>
      <c r="K51" s="61">
        <f t="shared" si="31"/>
        <v>1.4991260551436987</v>
      </c>
      <c r="L51" s="138" t="str">
        <f>INDEX(powers!$H$2:$H$75,33+J51)</f>
        <v>cosmic centy</v>
      </c>
      <c r="M51" s="40" t="str">
        <f t="shared" si="4"/>
        <v>1</v>
      </c>
      <c r="N51" s="24">
        <f t="shared" si="19"/>
        <v>5.9895126617243841</v>
      </c>
      <c r="O51" s="41" t="str">
        <f t="shared" si="5"/>
        <v>5</v>
      </c>
      <c r="P51" s="24">
        <f t="shared" si="20"/>
        <v>11.874151940692609</v>
      </c>
      <c r="Q51" s="41" t="str">
        <f t="shared" si="6"/>
        <v>E</v>
      </c>
      <c r="R51" s="24">
        <f t="shared" si="21"/>
        <v>10.489823288311314</v>
      </c>
      <c r="S51" s="41" t="str">
        <f t="shared" si="7"/>
        <v>X</v>
      </c>
      <c r="T51" s="24">
        <f t="shared" si="22"/>
        <v>5.877879459735766</v>
      </c>
      <c r="U51" s="41" t="str">
        <f t="shared" si="8"/>
        <v>5</v>
      </c>
      <c r="V51" s="24">
        <f t="shared" si="23"/>
        <v>10.534553516829192</v>
      </c>
      <c r="W51" s="41" t="str">
        <f t="shared" si="9"/>
        <v>X</v>
      </c>
      <c r="X51" s="24">
        <f t="shared" si="24"/>
        <v>6.4146422019503007</v>
      </c>
      <c r="Y51" s="41" t="str">
        <f t="shared" si="10"/>
        <v>6</v>
      </c>
      <c r="Z51" s="24">
        <f t="shared" si="25"/>
        <v>4.9757064234036079</v>
      </c>
      <c r="AA51" s="41" t="str">
        <f t="shared" si="11"/>
        <v/>
      </c>
      <c r="AB51" s="24">
        <f t="shared" si="26"/>
        <v>11.708477080843295</v>
      </c>
      <c r="AC51" s="41" t="str">
        <f t="shared" si="12"/>
        <v/>
      </c>
      <c r="AD51" s="24">
        <f t="shared" si="27"/>
        <v>8.5017249701195396</v>
      </c>
      <c r="AE51" s="41" t="str">
        <f t="shared" si="13"/>
        <v/>
      </c>
      <c r="AF51" s="24">
        <f t="shared" si="28"/>
        <v>6.0206996414344758</v>
      </c>
      <c r="AG51" s="41" t="str">
        <f t="shared" si="14"/>
        <v/>
      </c>
      <c r="AH51" s="24">
        <f t="shared" si="29"/>
        <v>0.24839569721370935</v>
      </c>
      <c r="AI51" s="41" t="str">
        <f t="shared" si="15"/>
        <v/>
      </c>
      <c r="AJ51" s="24">
        <f t="shared" si="30"/>
        <v>2.9807483665645123</v>
      </c>
      <c r="AK51" s="41" t="str">
        <f t="shared" si="16"/>
        <v/>
      </c>
    </row>
    <row r="52" spans="1:37" ht="15" customHeight="1">
      <c r="A52" s="719"/>
      <c r="B52" s="616" t="str">
        <f>Rydberg!B52</f>
        <v>Molar volume of an ideal gas</v>
      </c>
      <c r="C52" s="616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142.70222473333337</v>
      </c>
      <c r="G52" s="37" t="str">
        <f t="shared" si="17"/>
        <v>0;EX8515</v>
      </c>
      <c r="H52" s="330">
        <f>K52*POWER(12,I52)/ROUND(K52*POWER(12,I52),0)-1</f>
        <v>-9.012328240740497E-3</v>
      </c>
      <c r="I52" s="333"/>
      <c r="J52" s="38">
        <v>2</v>
      </c>
      <c r="K52" s="61">
        <f t="shared" si="31"/>
        <v>0.9909876717592595</v>
      </c>
      <c r="L52" s="39" t="str">
        <f>INDEX(powers!$H$2:$H$75,33+J52)</f>
        <v>hecty</v>
      </c>
      <c r="M52" s="40" t="str">
        <f t="shared" si="4"/>
        <v>0</v>
      </c>
      <c r="N52" s="24">
        <f t="shared" si="19"/>
        <v>11.891852061111114</v>
      </c>
      <c r="O52" s="41" t="str">
        <f t="shared" si="5"/>
        <v>E</v>
      </c>
      <c r="P52" s="24">
        <f t="shared" si="20"/>
        <v>10.702224733333374</v>
      </c>
      <c r="Q52" s="41" t="str">
        <f t="shared" si="6"/>
        <v>X</v>
      </c>
      <c r="R52" s="24">
        <f t="shared" si="21"/>
        <v>8.4266968000004852</v>
      </c>
      <c r="S52" s="41" t="str">
        <f t="shared" si="7"/>
        <v>8</v>
      </c>
      <c r="T52" s="24">
        <f t="shared" si="22"/>
        <v>5.1203616000058219</v>
      </c>
      <c r="U52" s="41" t="str">
        <f t="shared" si="8"/>
        <v>5</v>
      </c>
      <c r="V52" s="24">
        <f t="shared" si="23"/>
        <v>1.4443392000698623</v>
      </c>
      <c r="W52" s="41" t="str">
        <f t="shared" si="9"/>
        <v>1</v>
      </c>
      <c r="X52" s="24">
        <f t="shared" si="24"/>
        <v>5.3320704008383473</v>
      </c>
      <c r="Y52" s="41" t="str">
        <f t="shared" si="10"/>
        <v>5</v>
      </c>
      <c r="Z52" s="24">
        <f t="shared" si="25"/>
        <v>3.9848448100601672</v>
      </c>
      <c r="AA52" s="41" t="str">
        <f t="shared" si="11"/>
        <v/>
      </c>
      <c r="AB52" s="24">
        <f t="shared" si="26"/>
        <v>11.818137720722007</v>
      </c>
      <c r="AC52" s="41" t="str">
        <f t="shared" si="12"/>
        <v/>
      </c>
      <c r="AD52" s="24">
        <f t="shared" si="27"/>
        <v>9.8176526486640796</v>
      </c>
      <c r="AE52" s="41" t="str">
        <f t="shared" si="13"/>
        <v/>
      </c>
      <c r="AF52" s="24">
        <f t="shared" si="28"/>
        <v>9.8118317839689553</v>
      </c>
      <c r="AG52" s="41" t="str">
        <f t="shared" si="14"/>
        <v/>
      </c>
      <c r="AH52" s="24">
        <f t="shared" si="29"/>
        <v>9.7419814076274633</v>
      </c>
      <c r="AI52" s="41" t="str">
        <f t="shared" si="15"/>
        <v/>
      </c>
      <c r="AJ52" s="24">
        <f t="shared" si="30"/>
        <v>8.9037768915295601</v>
      </c>
      <c r="AK52" s="41" t="str">
        <f t="shared" si="16"/>
        <v/>
      </c>
    </row>
    <row r="53" spans="1:37" ht="15" customHeight="1">
      <c r="A53" s="719"/>
      <c r="B53" s="67" t="str">
        <f>Rydberg!B53</f>
        <v>-log(Sqrt([H+][OH-])/(mol/m^3))</v>
      </c>
      <c r="C53" s="616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7.229723343551318</v>
      </c>
      <c r="G53" s="37" t="str">
        <f t="shared" si="17"/>
        <v>7;290</v>
      </c>
      <c r="H53" s="330"/>
      <c r="I53" s="333"/>
      <c r="J53" s="38">
        <v>0</v>
      </c>
      <c r="K53" s="61">
        <f t="shared" si="31"/>
        <v>7.229723343551318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2.7566801226158155</v>
      </c>
      <c r="O53" s="41" t="str">
        <f t="shared" si="5"/>
        <v>2</v>
      </c>
      <c r="P53" s="24">
        <f t="shared" si="20"/>
        <v>9.0801614713897862</v>
      </c>
      <c r="Q53" s="41" t="str">
        <f t="shared" si="6"/>
        <v>9</v>
      </c>
      <c r="R53" s="24">
        <f t="shared" si="21"/>
        <v>0.96193765667743492</v>
      </c>
      <c r="S53" s="41" t="str">
        <f t="shared" si="7"/>
        <v>0</v>
      </c>
      <c r="T53" s="24">
        <f t="shared" si="22"/>
        <v>11.543251880129219</v>
      </c>
      <c r="U53" s="41" t="str">
        <f t="shared" si="8"/>
        <v/>
      </c>
      <c r="V53" s="24">
        <f t="shared" si="23"/>
        <v>6.5190225615506279</v>
      </c>
      <c r="W53" s="41" t="str">
        <f t="shared" si="9"/>
        <v/>
      </c>
      <c r="X53" s="24">
        <f t="shared" si="24"/>
        <v>6.2282707386075344</v>
      </c>
      <c r="Y53" s="41" t="str">
        <f t="shared" si="10"/>
        <v/>
      </c>
      <c r="Z53" s="24">
        <f t="shared" si="25"/>
        <v>2.7392488632904133</v>
      </c>
      <c r="AA53" s="41" t="str">
        <f t="shared" si="11"/>
        <v/>
      </c>
      <c r="AB53" s="24">
        <f t="shared" si="26"/>
        <v>8.8709863594849594</v>
      </c>
      <c r="AC53" s="41" t="str">
        <f t="shared" si="12"/>
        <v/>
      </c>
      <c r="AD53" s="24">
        <f t="shared" si="27"/>
        <v>10.451836313819513</v>
      </c>
      <c r="AE53" s="41" t="str">
        <f t="shared" si="13"/>
        <v/>
      </c>
      <c r="AF53" s="24">
        <f t="shared" si="28"/>
        <v>5.4220357658341527</v>
      </c>
      <c r="AG53" s="41" t="str">
        <f t="shared" si="14"/>
        <v/>
      </c>
      <c r="AH53" s="24">
        <f t="shared" si="29"/>
        <v>5.0644291900098324</v>
      </c>
      <c r="AI53" s="41" t="str">
        <f t="shared" si="15"/>
        <v/>
      </c>
      <c r="AJ53" s="24">
        <f t="shared" si="30"/>
        <v>0.77315028011798859</v>
      </c>
      <c r="AK53" s="41" t="str">
        <f t="shared" si="16"/>
        <v/>
      </c>
    </row>
    <row r="54" spans="1:37" ht="15" customHeight="1">
      <c r="A54" s="719"/>
      <c r="B54" s="616" t="str">
        <f>Rydberg!B54</f>
        <v>Maximum density of water</v>
      </c>
      <c r="C54" s="616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157.06366492146597</v>
      </c>
      <c r="G54" s="37" t="str">
        <f t="shared" si="17"/>
        <v>1;110920</v>
      </c>
      <c r="H54" s="351">
        <f t="shared" ref="H54:H62" si="32">K54*POWER(12,I54)/ROUND(K54*POWER(12,I54),0)-1</f>
        <v>9.0719895287958208E-2</v>
      </c>
      <c r="I54" s="352"/>
      <c r="J54" s="38">
        <v>2</v>
      </c>
      <c r="K54" s="61">
        <f t="shared" si="31"/>
        <v>1.0907198952879582</v>
      </c>
      <c r="L54" s="39" t="str">
        <f>INDEX(powers!$H$2:$H$75,33+J54)</f>
        <v>hecty</v>
      </c>
      <c r="M54" s="40" t="str">
        <f t="shared" si="4"/>
        <v>1</v>
      </c>
      <c r="N54" s="24">
        <f t="shared" si="19"/>
        <v>1.0886387434554985</v>
      </c>
      <c r="O54" s="41" t="str">
        <f t="shared" si="5"/>
        <v>1</v>
      </c>
      <c r="P54" s="24">
        <f t="shared" si="20"/>
        <v>1.0636649214659819</v>
      </c>
      <c r="Q54" s="41" t="str">
        <f t="shared" si="6"/>
        <v>1</v>
      </c>
      <c r="R54" s="24">
        <f t="shared" si="21"/>
        <v>0.76397905759178286</v>
      </c>
      <c r="S54" s="41" t="str">
        <f t="shared" si="7"/>
        <v>0</v>
      </c>
      <c r="T54" s="24">
        <f t="shared" si="22"/>
        <v>9.1677486911013943</v>
      </c>
      <c r="U54" s="41" t="str">
        <f t="shared" si="8"/>
        <v>9</v>
      </c>
      <c r="V54" s="24">
        <f t="shared" si="23"/>
        <v>2.0129842932167321</v>
      </c>
      <c r="W54" s="41" t="str">
        <f t="shared" si="9"/>
        <v>2</v>
      </c>
      <c r="X54" s="24">
        <f t="shared" si="24"/>
        <v>0.15581151860078535</v>
      </c>
      <c r="Y54" s="41" t="str">
        <f t="shared" si="10"/>
        <v>0</v>
      </c>
      <c r="Z54" s="24">
        <f t="shared" si="25"/>
        <v>1.8697382232094242</v>
      </c>
      <c r="AA54" s="41" t="str">
        <f t="shared" si="11"/>
        <v/>
      </c>
      <c r="AB54" s="24">
        <f t="shared" si="26"/>
        <v>10.43685867851309</v>
      </c>
      <c r="AC54" s="41" t="str">
        <f t="shared" si="12"/>
        <v/>
      </c>
      <c r="AD54" s="24">
        <f t="shared" si="27"/>
        <v>5.2423041421570815</v>
      </c>
      <c r="AE54" s="41" t="str">
        <f t="shared" si="13"/>
        <v/>
      </c>
      <c r="AF54" s="24">
        <f t="shared" si="28"/>
        <v>2.9076497058849782</v>
      </c>
      <c r="AG54" s="41" t="str">
        <f t="shared" si="14"/>
        <v/>
      </c>
      <c r="AH54" s="24">
        <f t="shared" si="29"/>
        <v>10.891796470619738</v>
      </c>
      <c r="AI54" s="41" t="str">
        <f t="shared" si="15"/>
        <v/>
      </c>
      <c r="AJ54" s="24">
        <f t="shared" si="30"/>
        <v>10.701557647436857</v>
      </c>
      <c r="AK54" s="41" t="str">
        <f t="shared" si="16"/>
        <v/>
      </c>
    </row>
    <row r="55" spans="1:37" ht="15" customHeight="1">
      <c r="A55" s="719"/>
      <c r="B55" s="616" t="str">
        <f>Rydberg!B55</f>
        <v>Density of ice at the ice point</v>
      </c>
      <c r="C55" s="616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144</v>
      </c>
      <c r="G55" s="37" t="str">
        <f t="shared" si="17"/>
        <v>1;0000</v>
      </c>
      <c r="H55" s="330">
        <f t="shared" si="32"/>
        <v>0</v>
      </c>
      <c r="I55" s="333"/>
      <c r="J55" s="38">
        <v>2</v>
      </c>
      <c r="K55" s="61">
        <f t="shared" si="31"/>
        <v>1</v>
      </c>
      <c r="L55" s="39" t="str">
        <f>INDEX(powers!$H$2:$H$75,33+J55)</f>
        <v>hecty</v>
      </c>
      <c r="M55" s="40" t="str">
        <f t="shared" si="4"/>
        <v>1</v>
      </c>
      <c r="N55" s="24">
        <f t="shared" si="19"/>
        <v>0</v>
      </c>
      <c r="O55" s="41" t="str">
        <f t="shared" si="5"/>
        <v>0</v>
      </c>
      <c r="P55" s="24">
        <f t="shared" si="20"/>
        <v>0</v>
      </c>
      <c r="Q55" s="41" t="str">
        <f t="shared" si="6"/>
        <v>0</v>
      </c>
      <c r="R55" s="24">
        <f t="shared" si="21"/>
        <v>0</v>
      </c>
      <c r="S55" s="41" t="str">
        <f t="shared" si="7"/>
        <v>0</v>
      </c>
      <c r="T55" s="24">
        <f t="shared" si="22"/>
        <v>0</v>
      </c>
      <c r="U55" s="41" t="str">
        <f t="shared" si="8"/>
        <v>0</v>
      </c>
      <c r="V55" s="24">
        <f t="shared" si="23"/>
        <v>0</v>
      </c>
      <c r="W55" s="41" t="str">
        <f t="shared" si="9"/>
        <v/>
      </c>
      <c r="X55" s="24">
        <f t="shared" si="24"/>
        <v>0</v>
      </c>
      <c r="Y55" s="41" t="str">
        <f t="shared" si="10"/>
        <v/>
      </c>
      <c r="Z55" s="24">
        <f t="shared" si="25"/>
        <v>0</v>
      </c>
      <c r="AA55" s="41" t="str">
        <f t="shared" si="11"/>
        <v/>
      </c>
      <c r="AB55" s="24">
        <f t="shared" si="26"/>
        <v>0</v>
      </c>
      <c r="AC55" s="41" t="str">
        <f t="shared" si="12"/>
        <v/>
      </c>
      <c r="AD55" s="24">
        <f t="shared" si="27"/>
        <v>0</v>
      </c>
      <c r="AE55" s="41" t="str">
        <f t="shared" si="13"/>
        <v/>
      </c>
      <c r="AF55" s="24">
        <f t="shared" si="28"/>
        <v>0</v>
      </c>
      <c r="AG55" s="41" t="str">
        <f t="shared" si="14"/>
        <v/>
      </c>
      <c r="AH55" s="24">
        <f t="shared" si="29"/>
        <v>0</v>
      </c>
      <c r="AI55" s="41" t="str">
        <f t="shared" si="15"/>
        <v/>
      </c>
      <c r="AJ55" s="24">
        <f t="shared" si="30"/>
        <v>0</v>
      </c>
      <c r="AK55" s="41" t="str">
        <f t="shared" si="16"/>
        <v/>
      </c>
    </row>
    <row r="56" spans="1:37" ht="15" customHeight="1">
      <c r="A56" s="719"/>
      <c r="B56" s="616" t="str">
        <f>Rydberg!B56</f>
        <v>Specific heat of water</v>
      </c>
      <c r="C56" s="616" t="str">
        <f>Rydberg!C56</f>
        <v>J/kg/K</v>
      </c>
      <c r="D56" s="21">
        <f>Rydberg!D56</f>
        <v>4184</v>
      </c>
      <c r="E56" s="8">
        <v>4</v>
      </c>
      <c r="F56" s="21">
        <f>D56/(F$5/F$8/F$6)</f>
        <v>0.49999999999999989</v>
      </c>
      <c r="G56" s="37" t="str">
        <f t="shared" si="17"/>
        <v>6;0000</v>
      </c>
      <c r="H56" s="351">
        <f t="shared" si="32"/>
        <v>1.6653345369377348E-13</v>
      </c>
      <c r="I56" s="352"/>
      <c r="J56" s="135">
        <v>-1</v>
      </c>
      <c r="K56" s="61">
        <f>F56/POWER(12,J56)+0.000000000001</f>
        <v>6.0000000000009992</v>
      </c>
      <c r="L56" s="138" t="str">
        <f>INDEX(powers!$H$2:$H$75,33+J56)</f>
        <v>dour</v>
      </c>
      <c r="M56" s="40" t="str">
        <f t="shared" si="4"/>
        <v>6</v>
      </c>
      <c r="N56" s="24">
        <f t="shared" si="19"/>
        <v>1.1990408665951691E-11</v>
      </c>
      <c r="O56" s="41" t="str">
        <f t="shared" si="5"/>
        <v>0</v>
      </c>
      <c r="P56" s="24">
        <f t="shared" si="20"/>
        <v>1.4388490399142029E-10</v>
      </c>
      <c r="Q56" s="41" t="str">
        <f t="shared" si="6"/>
        <v>0</v>
      </c>
      <c r="R56" s="24">
        <f t="shared" si="21"/>
        <v>1.7266188478970435E-9</v>
      </c>
      <c r="S56" s="41" t="str">
        <f t="shared" si="7"/>
        <v>0</v>
      </c>
      <c r="T56" s="24">
        <f t="shared" si="22"/>
        <v>2.0719426174764521E-8</v>
      </c>
      <c r="U56" s="41" t="str">
        <f t="shared" si="8"/>
        <v>0</v>
      </c>
      <c r="V56" s="24">
        <f t="shared" si="23"/>
        <v>2.4863311409717426E-7</v>
      </c>
      <c r="W56" s="41" t="str">
        <f t="shared" si="9"/>
        <v/>
      </c>
      <c r="X56" s="24">
        <f t="shared" si="24"/>
        <v>2.9835973691660911E-6</v>
      </c>
      <c r="Y56" s="41" t="str">
        <f t="shared" si="10"/>
        <v/>
      </c>
      <c r="Z56" s="24">
        <f t="shared" si="25"/>
        <v>3.5803168429993093E-5</v>
      </c>
      <c r="AA56" s="41" t="str">
        <f t="shared" si="11"/>
        <v/>
      </c>
      <c r="AB56" s="24">
        <f t="shared" si="26"/>
        <v>4.2963802115991712E-4</v>
      </c>
      <c r="AC56" s="41" t="str">
        <f t="shared" si="12"/>
        <v/>
      </c>
      <c r="AD56" s="24">
        <f t="shared" si="27"/>
        <v>5.1556562539190054E-3</v>
      </c>
      <c r="AE56" s="41" t="str">
        <f t="shared" si="13"/>
        <v/>
      </c>
      <c r="AF56" s="24">
        <f t="shared" si="28"/>
        <v>6.1867875047028065E-2</v>
      </c>
      <c r="AG56" s="41" t="str">
        <f t="shared" si="14"/>
        <v/>
      </c>
      <c r="AH56" s="24">
        <f t="shared" si="29"/>
        <v>0.74241450056433678</v>
      </c>
      <c r="AI56" s="41" t="str">
        <f t="shared" si="15"/>
        <v/>
      </c>
      <c r="AJ56" s="24">
        <f t="shared" si="30"/>
        <v>8.9089740067720413</v>
      </c>
      <c r="AK56" s="41" t="str">
        <f t="shared" si="16"/>
        <v/>
      </c>
    </row>
    <row r="57" spans="1:37" ht="15" customHeight="1">
      <c r="A57" s="719"/>
      <c r="B57" s="616" t="str">
        <f>Rydberg!B57</f>
        <v>Surface tension of water at 25℃</v>
      </c>
      <c r="C57" s="616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7.930665546003246E-2</v>
      </c>
      <c r="G57" s="37" t="str">
        <f t="shared" si="17"/>
        <v>0;E506</v>
      </c>
      <c r="H57" s="330">
        <f t="shared" si="32"/>
        <v>-4.8320134479610477E-2</v>
      </c>
      <c r="I57" s="333"/>
      <c r="J57" s="38">
        <v>-1</v>
      </c>
      <c r="K57" s="61">
        <f t="shared" si="31"/>
        <v>0.95167986552038952</v>
      </c>
      <c r="L57" s="39" t="str">
        <f>INDEX(powers!$H$2:$H$75,33+J57)</f>
        <v>dour</v>
      </c>
      <c r="M57" s="40" t="str">
        <f t="shared" si="4"/>
        <v>0</v>
      </c>
      <c r="N57" s="24">
        <f t="shared" si="19"/>
        <v>11.420158386244674</v>
      </c>
      <c r="O57" s="41" t="str">
        <f t="shared" si="5"/>
        <v>E</v>
      </c>
      <c r="P57" s="24">
        <f t="shared" si="20"/>
        <v>5.0419006349360913</v>
      </c>
      <c r="Q57" s="41" t="str">
        <f t="shared" si="6"/>
        <v>5</v>
      </c>
      <c r="R57" s="24">
        <f t="shared" si="21"/>
        <v>0.50280761923309569</v>
      </c>
      <c r="S57" s="41" t="str">
        <f t="shared" si="7"/>
        <v>0</v>
      </c>
      <c r="T57" s="24">
        <f t="shared" si="22"/>
        <v>6.0336914307971483</v>
      </c>
      <c r="U57" s="41" t="str">
        <f t="shared" si="8"/>
        <v>6</v>
      </c>
      <c r="V57" s="24">
        <f t="shared" si="23"/>
        <v>0.40429716956577977</v>
      </c>
      <c r="W57" s="41" t="str">
        <f t="shared" si="9"/>
        <v/>
      </c>
      <c r="X57" s="24">
        <f t="shared" si="24"/>
        <v>4.8515660347893572</v>
      </c>
      <c r="Y57" s="41" t="str">
        <f t="shared" si="10"/>
        <v/>
      </c>
      <c r="Z57" s="24">
        <f t="shared" si="25"/>
        <v>10.218792417472287</v>
      </c>
      <c r="AA57" s="41" t="str">
        <f t="shared" si="11"/>
        <v/>
      </c>
      <c r="AB57" s="24">
        <f t="shared" si="26"/>
        <v>2.6255090096674394</v>
      </c>
      <c r="AC57" s="41" t="str">
        <f t="shared" si="12"/>
        <v/>
      </c>
      <c r="AD57" s="24">
        <f t="shared" si="27"/>
        <v>7.5061081160092726</v>
      </c>
      <c r="AE57" s="41" t="str">
        <f t="shared" si="13"/>
        <v/>
      </c>
      <c r="AF57" s="24">
        <f t="shared" si="28"/>
        <v>6.0732973921112716</v>
      </c>
      <c r="AG57" s="41" t="str">
        <f t="shared" si="14"/>
        <v/>
      </c>
      <c r="AH57" s="24">
        <f t="shared" si="29"/>
        <v>0.87956870533525944</v>
      </c>
      <c r="AI57" s="41" t="str">
        <f t="shared" si="15"/>
        <v/>
      </c>
      <c r="AJ57" s="24">
        <f t="shared" si="30"/>
        <v>10.554824464023113</v>
      </c>
      <c r="AK57" s="41" t="str">
        <f t="shared" si="16"/>
        <v/>
      </c>
    </row>
    <row r="58" spans="1:37" ht="15" customHeight="1">
      <c r="A58" s="719"/>
      <c r="B58" s="5" t="str">
        <f>Rydberg!B58</f>
        <v>photon energy at 540THz</v>
      </c>
      <c r="C58" s="616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5.0602817455650833E-18</v>
      </c>
      <c r="G58" s="37" t="str">
        <f t="shared" si="17"/>
        <v>0;E287XX5</v>
      </c>
      <c r="H58" s="330">
        <f t="shared" si="32"/>
        <v>-6.4433559671118301E-2</v>
      </c>
      <c r="I58" s="333"/>
      <c r="J58" s="38">
        <v>-16</v>
      </c>
      <c r="K58" s="61">
        <f t="shared" si="31"/>
        <v>0.9355664403288817</v>
      </c>
      <c r="L58" s="39" t="str">
        <f>INDEX(powers!$H$2:$H$75,33+J58)</f>
        <v>di-atomic</v>
      </c>
      <c r="M58" s="40" t="str">
        <f t="shared" si="4"/>
        <v>0</v>
      </c>
      <c r="N58" s="24">
        <f t="shared" si="19"/>
        <v>11.226797283946581</v>
      </c>
      <c r="O58" s="41" t="str">
        <f t="shared" si="5"/>
        <v>E</v>
      </c>
      <c r="P58" s="24">
        <f t="shared" si="20"/>
        <v>2.7215674073589753</v>
      </c>
      <c r="Q58" s="41" t="str">
        <f t="shared" si="6"/>
        <v>2</v>
      </c>
      <c r="R58" s="24">
        <f t="shared" si="21"/>
        <v>8.6588088883077035</v>
      </c>
      <c r="S58" s="41" t="str">
        <f t="shared" si="7"/>
        <v>8</v>
      </c>
      <c r="T58" s="24">
        <f t="shared" si="22"/>
        <v>7.9057066596924415</v>
      </c>
      <c r="U58" s="41" t="str">
        <f t="shared" si="8"/>
        <v>7</v>
      </c>
      <c r="V58" s="24">
        <f t="shared" si="23"/>
        <v>10.868479916309298</v>
      </c>
      <c r="W58" s="41" t="str">
        <f t="shared" si="9"/>
        <v>X</v>
      </c>
      <c r="X58" s="24">
        <f t="shared" si="24"/>
        <v>10.421758995711571</v>
      </c>
      <c r="Y58" s="41" t="str">
        <f t="shared" si="10"/>
        <v>X</v>
      </c>
      <c r="Z58" s="24">
        <f t="shared" si="25"/>
        <v>5.0611079485388473</v>
      </c>
      <c r="AA58" s="41" t="str">
        <f t="shared" si="11"/>
        <v>5</v>
      </c>
      <c r="AB58" s="24">
        <f t="shared" si="26"/>
        <v>0.73329538246616721</v>
      </c>
      <c r="AC58" s="41" t="str">
        <f t="shared" si="12"/>
        <v/>
      </c>
      <c r="AD58" s="24">
        <f t="shared" si="27"/>
        <v>8.7995445895940065</v>
      </c>
      <c r="AE58" s="41" t="str">
        <f t="shared" si="13"/>
        <v/>
      </c>
      <c r="AF58" s="24">
        <f t="shared" si="28"/>
        <v>9.5945350751280785</v>
      </c>
      <c r="AG58" s="41" t="str">
        <f t="shared" si="14"/>
        <v/>
      </c>
      <c r="AH58" s="24">
        <f t="shared" si="29"/>
        <v>7.1344209015369415</v>
      </c>
      <c r="AI58" s="41" t="str">
        <f t="shared" si="15"/>
        <v/>
      </c>
      <c r="AJ58" s="24">
        <f t="shared" si="30"/>
        <v>1.6130508184432983</v>
      </c>
      <c r="AK58" s="41" t="str">
        <f t="shared" si="16"/>
        <v/>
      </c>
    </row>
    <row r="59" spans="1:37" ht="15" customHeight="1">
      <c r="A59" s="719"/>
      <c r="B59" s="237" t="str">
        <f>Rydberg!B59</f>
        <v>(according to the definition of candela)</v>
      </c>
      <c r="C59" s="616" t="str">
        <f>Rydberg!C59</f>
        <v>eΩA</v>
      </c>
      <c r="D59" s="21">
        <f>D58/D41</f>
        <v>2.2332605374867804</v>
      </c>
      <c r="E59" s="8">
        <v>7</v>
      </c>
      <c r="F59" s="21">
        <f>D59/F$17</f>
        <v>1.0322769220387302</v>
      </c>
      <c r="G59" s="37" t="str">
        <f t="shared" si="17"/>
        <v>1;0479364</v>
      </c>
      <c r="H59" s="330">
        <f t="shared" si="32"/>
        <v>3.2276922038730227E-2</v>
      </c>
      <c r="I59" s="333"/>
      <c r="J59" s="38">
        <v>0</v>
      </c>
      <c r="K59" s="61">
        <f t="shared" si="31"/>
        <v>1.0322769220387302</v>
      </c>
      <c r="L59" s="293">
        <f>540/K59</f>
        <v>523.11544360936477</v>
      </c>
      <c r="M59" s="40" t="str">
        <f t="shared" si="4"/>
        <v>1</v>
      </c>
      <c r="N59" s="24">
        <f t="shared" si="19"/>
        <v>0.38732306446476272</v>
      </c>
      <c r="O59" s="41" t="str">
        <f t="shared" si="5"/>
        <v>0</v>
      </c>
      <c r="P59" s="24">
        <f t="shared" si="20"/>
        <v>4.6478767735771527</v>
      </c>
      <c r="Q59" s="41" t="str">
        <f t="shared" si="6"/>
        <v>4</v>
      </c>
      <c r="R59" s="24">
        <f t="shared" si="21"/>
        <v>7.7745212829258321</v>
      </c>
      <c r="S59" s="41" t="str">
        <f t="shared" si="7"/>
        <v>7</v>
      </c>
      <c r="T59" s="24">
        <f t="shared" si="22"/>
        <v>9.2942553951099853</v>
      </c>
      <c r="U59" s="41" t="str">
        <f t="shared" si="8"/>
        <v>9</v>
      </c>
      <c r="V59" s="24">
        <f t="shared" si="23"/>
        <v>3.531064741319824</v>
      </c>
      <c r="W59" s="41" t="str">
        <f t="shared" si="9"/>
        <v>3</v>
      </c>
      <c r="X59" s="24">
        <f t="shared" si="24"/>
        <v>6.3727768958378874</v>
      </c>
      <c r="Y59" s="41" t="str">
        <f t="shared" si="10"/>
        <v>6</v>
      </c>
      <c r="Z59" s="24">
        <f t="shared" si="25"/>
        <v>4.4733227500546491</v>
      </c>
      <c r="AA59" s="41" t="str">
        <f t="shared" si="11"/>
        <v>4</v>
      </c>
      <c r="AB59" s="24">
        <f t="shared" si="26"/>
        <v>5.6798730006557889</v>
      </c>
      <c r="AC59" s="41" t="str">
        <f t="shared" si="12"/>
        <v/>
      </c>
      <c r="AD59" s="24">
        <f t="shared" si="27"/>
        <v>8.1584760078694671</v>
      </c>
      <c r="AE59" s="41" t="str">
        <f t="shared" si="13"/>
        <v/>
      </c>
      <c r="AF59" s="24">
        <f t="shared" si="28"/>
        <v>1.9017120944336057</v>
      </c>
      <c r="AG59" s="41" t="str">
        <f t="shared" si="14"/>
        <v/>
      </c>
      <c r="AH59" s="24">
        <f t="shared" si="29"/>
        <v>10.820545133203268</v>
      </c>
      <c r="AI59" s="41" t="str">
        <f t="shared" si="15"/>
        <v/>
      </c>
      <c r="AJ59" s="24">
        <f t="shared" si="30"/>
        <v>9.8465415984392166</v>
      </c>
      <c r="AK59" s="41" t="str">
        <f t="shared" si="16"/>
        <v/>
      </c>
    </row>
    <row r="60" spans="1:37" ht="15" customHeight="1">
      <c r="A60" s="719"/>
      <c r="B60" s="315">
        <f>Rydberg!B60</f>
        <v>1.024</v>
      </c>
      <c r="C60" s="616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862.18372472139549</v>
      </c>
      <c r="G60" s="37" t="str">
        <f t="shared" si="17"/>
        <v>5;EX2256</v>
      </c>
      <c r="H60" s="330">
        <f t="shared" si="32"/>
        <v>-2.1021704613478631E-3</v>
      </c>
      <c r="I60" s="333"/>
      <c r="J60" s="38">
        <v>2</v>
      </c>
      <c r="K60" s="61">
        <f t="shared" si="31"/>
        <v>5.987386977231913</v>
      </c>
      <c r="L60" s="39" t="str">
        <f>INDEX(powers!$H$2:$H$75,33+J60)</f>
        <v>hecty</v>
      </c>
      <c r="M60" s="40" t="str">
        <f t="shared" si="4"/>
        <v>5</v>
      </c>
      <c r="N60" s="24">
        <f t="shared" si="19"/>
        <v>11.848643726782957</v>
      </c>
      <c r="O60" s="41" t="str">
        <f t="shared" si="5"/>
        <v>E</v>
      </c>
      <c r="P60" s="24">
        <f t="shared" si="20"/>
        <v>10.183724721395478</v>
      </c>
      <c r="Q60" s="41" t="str">
        <f t="shared" si="6"/>
        <v>X</v>
      </c>
      <c r="R60" s="24">
        <f t="shared" si="21"/>
        <v>2.2046966567457389</v>
      </c>
      <c r="S60" s="41" t="str">
        <f t="shared" si="7"/>
        <v>2</v>
      </c>
      <c r="T60" s="24">
        <f t="shared" si="22"/>
        <v>2.4563598809488667</v>
      </c>
      <c r="U60" s="41" t="str">
        <f t="shared" si="8"/>
        <v>2</v>
      </c>
      <c r="V60" s="24">
        <f t="shared" si="23"/>
        <v>5.4763185713864004</v>
      </c>
      <c r="W60" s="41" t="str">
        <f t="shared" si="9"/>
        <v>5</v>
      </c>
      <c r="X60" s="24">
        <f t="shared" si="24"/>
        <v>5.7158228566368052</v>
      </c>
      <c r="Y60" s="41" t="str">
        <f t="shared" si="10"/>
        <v>6</v>
      </c>
      <c r="Z60" s="24">
        <f t="shared" si="25"/>
        <v>8.5898742796416627</v>
      </c>
      <c r="AA60" s="41" t="str">
        <f t="shared" si="11"/>
        <v/>
      </c>
      <c r="AB60" s="24">
        <f t="shared" si="26"/>
        <v>7.0784913556999527</v>
      </c>
      <c r="AC60" s="41" t="str">
        <f t="shared" si="12"/>
        <v/>
      </c>
      <c r="AD60" s="24">
        <f t="shared" si="27"/>
        <v>0.9418962683994323</v>
      </c>
      <c r="AE60" s="41" t="str">
        <f t="shared" si="13"/>
        <v/>
      </c>
      <c r="AF60" s="24">
        <f t="shared" si="28"/>
        <v>11.302755220793188</v>
      </c>
      <c r="AG60" s="41" t="str">
        <f t="shared" si="14"/>
        <v/>
      </c>
      <c r="AH60" s="24">
        <f t="shared" si="29"/>
        <v>3.6330626495182514</v>
      </c>
      <c r="AI60" s="41" t="str">
        <f t="shared" si="15"/>
        <v/>
      </c>
      <c r="AJ60" s="24">
        <f t="shared" si="30"/>
        <v>7.596751794219017</v>
      </c>
      <c r="AK60" s="41" t="str">
        <f t="shared" si="16"/>
        <v/>
      </c>
    </row>
    <row r="61" spans="1:37" ht="15" customHeight="1">
      <c r="A61" s="719"/>
      <c r="B61" s="616" t="str">
        <f>Rydberg!B61</f>
        <v>Sea depth at standard atmosphere</v>
      </c>
      <c r="C61" s="616" t="str">
        <f>Rydberg!C61</f>
        <v>m</v>
      </c>
      <c r="D61" s="21">
        <f>D62/D60</f>
        <v>10.090394374791382</v>
      </c>
      <c r="E61" s="8">
        <v>6</v>
      </c>
      <c r="F61" s="21">
        <f>D61/F$3</f>
        <v>36.14860418745765</v>
      </c>
      <c r="G61" s="37" t="str">
        <f t="shared" si="17"/>
        <v>3;019495</v>
      </c>
      <c r="H61" s="331">
        <f t="shared" si="32"/>
        <v>4.1278940960458588E-3</v>
      </c>
      <c r="I61" s="339">
        <v>1</v>
      </c>
      <c r="J61" s="38">
        <v>1</v>
      </c>
      <c r="K61" s="61">
        <f t="shared" si="31"/>
        <v>3.0123836822881374</v>
      </c>
      <c r="L61" s="39" t="str">
        <f>INDEX(powers!$H$2:$H$75,33+J61)</f>
        <v>dirac</v>
      </c>
      <c r="M61" s="40" t="str">
        <f t="shared" si="4"/>
        <v>3</v>
      </c>
      <c r="N61" s="24">
        <f t="shared" si="19"/>
        <v>0.14860418745764825</v>
      </c>
      <c r="O61" s="41" t="str">
        <f t="shared" si="5"/>
        <v>0</v>
      </c>
      <c r="P61" s="24">
        <f t="shared" si="20"/>
        <v>1.783250249491779</v>
      </c>
      <c r="Q61" s="41" t="str">
        <f t="shared" si="6"/>
        <v>1</v>
      </c>
      <c r="R61" s="24">
        <f t="shared" si="21"/>
        <v>9.3990029939013482</v>
      </c>
      <c r="S61" s="41" t="str">
        <f t="shared" si="7"/>
        <v>9</v>
      </c>
      <c r="T61" s="24">
        <f t="shared" si="22"/>
        <v>4.7880359268161783</v>
      </c>
      <c r="U61" s="41" t="str">
        <f t="shared" si="8"/>
        <v>4</v>
      </c>
      <c r="V61" s="24">
        <f t="shared" si="23"/>
        <v>9.4564311217941395</v>
      </c>
      <c r="W61" s="41" t="str">
        <f t="shared" si="9"/>
        <v>9</v>
      </c>
      <c r="X61" s="24">
        <f t="shared" si="24"/>
        <v>5.4771734615296737</v>
      </c>
      <c r="Y61" s="41" t="str">
        <f t="shared" si="10"/>
        <v>5</v>
      </c>
      <c r="Z61" s="24">
        <f t="shared" si="25"/>
        <v>5.7260815383560839</v>
      </c>
      <c r="AA61" s="41" t="str">
        <f t="shared" si="11"/>
        <v/>
      </c>
      <c r="AB61" s="24">
        <f t="shared" si="26"/>
        <v>8.7129784602730069</v>
      </c>
      <c r="AC61" s="41" t="str">
        <f t="shared" si="12"/>
        <v/>
      </c>
      <c r="AD61" s="24">
        <f t="shared" si="27"/>
        <v>8.5557415232760832</v>
      </c>
      <c r="AE61" s="41" t="str">
        <f t="shared" si="13"/>
        <v/>
      </c>
      <c r="AF61" s="24">
        <f t="shared" si="28"/>
        <v>6.6688982793129981</v>
      </c>
      <c r="AG61" s="41" t="str">
        <f t="shared" si="14"/>
        <v/>
      </c>
      <c r="AH61" s="24">
        <f t="shared" si="29"/>
        <v>8.0267793517559767</v>
      </c>
      <c r="AI61" s="41" t="str">
        <f t="shared" si="15"/>
        <v/>
      </c>
      <c r="AJ61" s="24">
        <f t="shared" si="30"/>
        <v>0.32135222107172012</v>
      </c>
      <c r="AK61" s="41" t="str">
        <f t="shared" si="16"/>
        <v/>
      </c>
    </row>
    <row r="62" spans="1:37" ht="15" customHeight="1">
      <c r="A62" s="719"/>
      <c r="B62" s="616" t="str">
        <f>Rydberg!B62</f>
        <v>Standard atmosphere</v>
      </c>
      <c r="C62" s="616" t="str">
        <f>Rydberg!C62</f>
        <v>P</v>
      </c>
      <c r="D62" s="21">
        <f>Rydberg!D62</f>
        <v>101325</v>
      </c>
      <c r="E62" s="8">
        <v>6</v>
      </c>
      <c r="F62" s="21">
        <f>D62/F$11</f>
        <v>31166.738201821667</v>
      </c>
      <c r="G62" s="37" t="str">
        <f t="shared" si="17"/>
        <v>1;60528X</v>
      </c>
      <c r="H62" s="331">
        <f t="shared" si="32"/>
        <v>2.0170460976616233E-3</v>
      </c>
      <c r="I62" s="339">
        <v>2</v>
      </c>
      <c r="J62" s="38">
        <v>4</v>
      </c>
      <c r="K62" s="61">
        <f t="shared" si="31"/>
        <v>1.5030255691464924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6.0363068297579092</v>
      </c>
      <c r="O62" s="41" t="str">
        <f t="shared" si="5"/>
        <v>6</v>
      </c>
      <c r="P62" s="24">
        <f t="shared" si="20"/>
        <v>0.43568195709491064</v>
      </c>
      <c r="Q62" s="41" t="str">
        <f t="shared" si="6"/>
        <v>0</v>
      </c>
      <c r="R62" s="24">
        <f t="shared" si="21"/>
        <v>5.2281834851389277</v>
      </c>
      <c r="S62" s="41" t="str">
        <f t="shared" si="7"/>
        <v>5</v>
      </c>
      <c r="T62" s="24">
        <f t="shared" si="22"/>
        <v>2.7382018216671327</v>
      </c>
      <c r="U62" s="41" t="str">
        <f t="shared" si="8"/>
        <v>2</v>
      </c>
      <c r="V62" s="24">
        <f t="shared" si="23"/>
        <v>8.858421860005592</v>
      </c>
      <c r="W62" s="41" t="str">
        <f t="shared" si="9"/>
        <v>8</v>
      </c>
      <c r="X62" s="24">
        <f t="shared" si="24"/>
        <v>10.301062320067103</v>
      </c>
      <c r="Y62" s="41" t="str">
        <f t="shared" si="10"/>
        <v>X</v>
      </c>
      <c r="Z62" s="24">
        <f t="shared" si="25"/>
        <v>3.6127478408052411</v>
      </c>
      <c r="AA62" s="41" t="str">
        <f t="shared" si="11"/>
        <v/>
      </c>
      <c r="AB62" s="24">
        <f t="shared" si="26"/>
        <v>7.3529740896628937</v>
      </c>
      <c r="AC62" s="41" t="str">
        <f t="shared" si="12"/>
        <v/>
      </c>
      <c r="AD62" s="24">
        <f t="shared" si="27"/>
        <v>4.2356890759547241</v>
      </c>
      <c r="AE62" s="41" t="str">
        <f t="shared" si="13"/>
        <v/>
      </c>
      <c r="AF62" s="24">
        <f t="shared" si="28"/>
        <v>2.8282689114566892</v>
      </c>
      <c r="AG62" s="41" t="str">
        <f t="shared" si="14"/>
        <v/>
      </c>
      <c r="AH62" s="24">
        <f t="shared" si="29"/>
        <v>9.9392269374802709</v>
      </c>
      <c r="AI62" s="41" t="str">
        <f t="shared" si="15"/>
        <v/>
      </c>
      <c r="AJ62" s="24">
        <f t="shared" si="30"/>
        <v>11.27072324976325</v>
      </c>
      <c r="AK62" s="41" t="str">
        <f t="shared" si="16"/>
        <v/>
      </c>
    </row>
    <row r="63" spans="1:37" ht="15" customHeight="1">
      <c r="A63" s="719"/>
      <c r="B63" s="616" t="str">
        <f>Rydberg!B63</f>
        <v>Standard gravitational acceleration</v>
      </c>
      <c r="C63" s="616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5.3607325035630495</v>
      </c>
      <c r="G63" s="37" t="str">
        <f t="shared" si="17"/>
        <v>5;43E4196</v>
      </c>
      <c r="H63" s="353">
        <f>K63*POWER(12,I63)/ROUND(K63*POWER(12,I63)+1,0)-1</f>
        <v>-0.10654458273949174</v>
      </c>
      <c r="I63" s="354">
        <v>0</v>
      </c>
      <c r="J63" s="38">
        <v>0</v>
      </c>
      <c r="K63" s="61">
        <f t="shared" si="31"/>
        <v>5.3607325035630495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4.3287900427565944</v>
      </c>
      <c r="O63" s="41" t="str">
        <f t="shared" si="5"/>
        <v>4</v>
      </c>
      <c r="P63" s="24">
        <f t="shared" si="20"/>
        <v>3.9454805130791328</v>
      </c>
      <c r="Q63" s="41" t="str">
        <f t="shared" si="6"/>
        <v>3</v>
      </c>
      <c r="R63" s="24">
        <f t="shared" si="21"/>
        <v>11.345766156949594</v>
      </c>
      <c r="S63" s="41" t="str">
        <f t="shared" si="7"/>
        <v>E</v>
      </c>
      <c r="T63" s="24">
        <f t="shared" si="22"/>
        <v>4.1491938833951281</v>
      </c>
      <c r="U63" s="41" t="str">
        <f t="shared" si="8"/>
        <v>4</v>
      </c>
      <c r="V63" s="24">
        <f t="shared" si="23"/>
        <v>1.7903266007415368</v>
      </c>
      <c r="W63" s="41" t="str">
        <f t="shared" si="9"/>
        <v>1</v>
      </c>
      <c r="X63" s="24">
        <f t="shared" si="24"/>
        <v>9.4839192088984419</v>
      </c>
      <c r="Y63" s="41" t="str">
        <f t="shared" si="10"/>
        <v>9</v>
      </c>
      <c r="Z63" s="24">
        <f t="shared" si="25"/>
        <v>5.8070305067813024</v>
      </c>
      <c r="AA63" s="41" t="str">
        <f t="shared" si="11"/>
        <v>6</v>
      </c>
      <c r="AB63" s="24">
        <f t="shared" si="26"/>
        <v>9.6843660813756287</v>
      </c>
      <c r="AC63" s="41" t="str">
        <f t="shared" si="12"/>
        <v/>
      </c>
      <c r="AD63" s="24">
        <f t="shared" si="27"/>
        <v>8.2123929765075445</v>
      </c>
      <c r="AE63" s="41" t="str">
        <f t="shared" si="13"/>
        <v/>
      </c>
      <c r="AF63" s="24">
        <f t="shared" si="28"/>
        <v>2.5487157180905342</v>
      </c>
      <c r="AG63" s="41" t="str">
        <f t="shared" si="14"/>
        <v/>
      </c>
      <c r="AH63" s="24">
        <f t="shared" si="29"/>
        <v>6.5845886170864105</v>
      </c>
      <c r="AI63" s="41" t="str">
        <f t="shared" si="15"/>
        <v/>
      </c>
      <c r="AJ63" s="24">
        <f t="shared" si="30"/>
        <v>7.0150634050369263</v>
      </c>
      <c r="AK63" s="41" t="str">
        <f t="shared" si="16"/>
        <v/>
      </c>
    </row>
    <row r="64" spans="1:37" ht="15" customHeight="1">
      <c r="A64" s="719"/>
      <c r="B64" s="616" t="str">
        <f>Rydberg!B64</f>
        <v>Gravitational radius of the Earth</v>
      </c>
      <c r="C64" s="616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1.5888385249526554E-2</v>
      </c>
      <c r="G64" s="37" t="str">
        <f t="shared" si="17"/>
        <v>2;355656X051</v>
      </c>
      <c r="H64" s="330"/>
      <c r="I64" s="333"/>
      <c r="J64" s="38">
        <v>-2</v>
      </c>
      <c r="K64" s="61">
        <f t="shared" si="31"/>
        <v>2.287927475931824</v>
      </c>
      <c r="L64" s="39" t="str">
        <f>INDEX(powers!$H$2:$H$75,33+J64)</f>
        <v>centy</v>
      </c>
      <c r="M64" s="40" t="str">
        <f t="shared" si="4"/>
        <v>2</v>
      </c>
      <c r="N64" s="24">
        <f t="shared" si="19"/>
        <v>3.4551297111818879</v>
      </c>
      <c r="O64" s="41" t="str">
        <f t="shared" si="5"/>
        <v>3</v>
      </c>
      <c r="P64" s="24">
        <f t="shared" si="20"/>
        <v>5.4615565341826553</v>
      </c>
      <c r="Q64" s="41" t="str">
        <f t="shared" si="6"/>
        <v>5</v>
      </c>
      <c r="R64" s="24">
        <f t="shared" si="21"/>
        <v>5.5386784101918636</v>
      </c>
      <c r="S64" s="41" t="str">
        <f t="shared" si="7"/>
        <v>5</v>
      </c>
      <c r="T64" s="24">
        <f t="shared" si="22"/>
        <v>6.4641409223023629</v>
      </c>
      <c r="U64" s="41" t="str">
        <f t="shared" si="8"/>
        <v>6</v>
      </c>
      <c r="V64" s="24">
        <f t="shared" si="23"/>
        <v>5.5696910676283551</v>
      </c>
      <c r="W64" s="41" t="str">
        <f t="shared" si="9"/>
        <v>5</v>
      </c>
      <c r="X64" s="24">
        <f t="shared" si="24"/>
        <v>6.836292811540261</v>
      </c>
      <c r="Y64" s="41" t="str">
        <f t="shared" si="10"/>
        <v>6</v>
      </c>
      <c r="Z64" s="24">
        <f t="shared" si="25"/>
        <v>10.035513738483132</v>
      </c>
      <c r="AA64" s="41" t="str">
        <f t="shared" si="11"/>
        <v>X</v>
      </c>
      <c r="AB64" s="24">
        <f t="shared" si="26"/>
        <v>0.42616486179758795</v>
      </c>
      <c r="AC64" s="41" t="str">
        <f t="shared" si="12"/>
        <v>0</v>
      </c>
      <c r="AD64" s="24">
        <f t="shared" si="27"/>
        <v>5.1139783415710554</v>
      </c>
      <c r="AE64" s="41" t="str">
        <f t="shared" si="13"/>
        <v>5</v>
      </c>
      <c r="AF64" s="24">
        <f t="shared" si="28"/>
        <v>1.3677400988526642</v>
      </c>
      <c r="AG64" s="41" t="str">
        <f t="shared" si="14"/>
        <v>1</v>
      </c>
      <c r="AH64" s="24">
        <f t="shared" si="29"/>
        <v>4.4128811862319708</v>
      </c>
      <c r="AI64" s="41" t="str">
        <f t="shared" si="15"/>
        <v/>
      </c>
      <c r="AJ64" s="24">
        <f t="shared" si="30"/>
        <v>4.9545742347836494</v>
      </c>
      <c r="AK64" s="41" t="str">
        <f t="shared" si="16"/>
        <v/>
      </c>
    </row>
    <row r="65" spans="1:37" ht="15" customHeight="1">
      <c r="A65" s="719"/>
      <c r="B65" s="616" t="str">
        <f>Rydberg!B65</f>
        <v>Equatorial radius of the Earth</v>
      </c>
      <c r="C65" s="616" t="str">
        <f>Rydberg!C65</f>
        <v>m</v>
      </c>
      <c r="D65" s="21">
        <f>Rydberg!D65</f>
        <v>6378140</v>
      </c>
      <c r="E65" s="8">
        <v>7</v>
      </c>
      <c r="F65" s="21">
        <f>D65/F$3</f>
        <v>22849538.853327319</v>
      </c>
      <c r="G65" s="37" t="str">
        <f t="shared" si="17"/>
        <v>0;779E143</v>
      </c>
      <c r="H65" s="330"/>
      <c r="I65" s="333"/>
      <c r="J65" s="38">
        <v>7</v>
      </c>
      <c r="K65" s="61">
        <f t="shared" si="31"/>
        <v>0.63768869417159524</v>
      </c>
      <c r="L65" s="39" t="str">
        <f>INDEX(powers!$H$2:$H$75,33+J65)</f>
        <v>cosmic dour</v>
      </c>
      <c r="M65" s="40" t="str">
        <f t="shared" si="4"/>
        <v>0</v>
      </c>
      <c r="N65" s="24">
        <f t="shared" si="19"/>
        <v>7.6522643300591433</v>
      </c>
      <c r="O65" s="41" t="str">
        <f t="shared" si="5"/>
        <v>7</v>
      </c>
      <c r="P65" s="24">
        <f t="shared" si="20"/>
        <v>7.8271719607097197</v>
      </c>
      <c r="Q65" s="41" t="str">
        <f t="shared" si="6"/>
        <v>7</v>
      </c>
      <c r="R65" s="24">
        <f t="shared" si="21"/>
        <v>9.9260635285166359</v>
      </c>
      <c r="S65" s="41" t="str">
        <f t="shared" si="7"/>
        <v>9</v>
      </c>
      <c r="T65" s="24">
        <f t="shared" si="22"/>
        <v>11.11276234219963</v>
      </c>
      <c r="U65" s="41" t="str">
        <f t="shared" si="8"/>
        <v>E</v>
      </c>
      <c r="V65" s="24">
        <f t="shared" si="23"/>
        <v>1.3531481063955653</v>
      </c>
      <c r="W65" s="41" t="str">
        <f t="shared" si="9"/>
        <v>1</v>
      </c>
      <c r="X65" s="24">
        <f t="shared" si="24"/>
        <v>4.2377772767467832</v>
      </c>
      <c r="Y65" s="41" t="str">
        <f t="shared" si="10"/>
        <v>4</v>
      </c>
      <c r="Z65" s="24">
        <f t="shared" si="25"/>
        <v>2.8533273209613981</v>
      </c>
      <c r="AA65" s="41" t="str">
        <f t="shared" si="11"/>
        <v>3</v>
      </c>
      <c r="AB65" s="24">
        <f t="shared" si="26"/>
        <v>10.239927851536777</v>
      </c>
      <c r="AC65" s="41" t="str">
        <f t="shared" si="12"/>
        <v/>
      </c>
      <c r="AD65" s="24">
        <f t="shared" si="27"/>
        <v>2.8791342184413224</v>
      </c>
      <c r="AE65" s="41" t="str">
        <f t="shared" si="13"/>
        <v/>
      </c>
      <c r="AF65" s="24">
        <f t="shared" si="28"/>
        <v>10.549610621295869</v>
      </c>
      <c r="AG65" s="41" t="str">
        <f t="shared" si="14"/>
        <v/>
      </c>
      <c r="AH65" s="24">
        <f t="shared" si="29"/>
        <v>6.5953274555504322</v>
      </c>
      <c r="AI65" s="41" t="str">
        <f t="shared" si="15"/>
        <v/>
      </c>
      <c r="AJ65" s="24">
        <f t="shared" si="30"/>
        <v>7.1439294666051865</v>
      </c>
      <c r="AK65" s="41" t="str">
        <f t="shared" si="16"/>
        <v/>
      </c>
    </row>
    <row r="66" spans="1:37" ht="15" customHeight="1">
      <c r="A66" s="719"/>
      <c r="B66" s="616" t="str">
        <f>Rydberg!B66</f>
        <v>Meridian length of the Earth / 4</v>
      </c>
      <c r="C66" s="616" t="str">
        <f>Rydberg!C66</f>
        <v>m</v>
      </c>
      <c r="D66" s="21">
        <f>Rydberg!D66</f>
        <v>10001965</v>
      </c>
      <c r="E66" s="8">
        <v>7</v>
      </c>
      <c r="F66" s="21">
        <f>D66/F$3</f>
        <v>35831808</v>
      </c>
      <c r="G66" s="37" t="str">
        <f t="shared" si="17"/>
        <v>1;0000000</v>
      </c>
      <c r="H66" s="330">
        <f t="shared" ref="H66" si="33">K66*POWER(12,I66)/ROUND(K66*POWER(12,I66),0)-1</f>
        <v>0</v>
      </c>
      <c r="I66" s="333"/>
      <c r="J66" s="38">
        <v>7</v>
      </c>
      <c r="K66" s="61">
        <f t="shared" si="31"/>
        <v>1</v>
      </c>
      <c r="L66" s="39" t="str">
        <f>INDEX(powers!$H$2:$H$75,33+J66)</f>
        <v>cosmic dour</v>
      </c>
      <c r="M66" s="40" t="str">
        <f t="shared" si="4"/>
        <v>1</v>
      </c>
      <c r="N66" s="24">
        <f t="shared" si="19"/>
        <v>0</v>
      </c>
      <c r="O66" s="41" t="str">
        <f t="shared" si="5"/>
        <v>0</v>
      </c>
      <c r="P66" s="24">
        <f t="shared" si="20"/>
        <v>0</v>
      </c>
      <c r="Q66" s="41" t="str">
        <f t="shared" si="6"/>
        <v>0</v>
      </c>
      <c r="R66" s="24">
        <f t="shared" si="21"/>
        <v>0</v>
      </c>
      <c r="S66" s="41" t="str">
        <f t="shared" si="7"/>
        <v>0</v>
      </c>
      <c r="T66" s="24">
        <f t="shared" si="22"/>
        <v>0</v>
      </c>
      <c r="U66" s="41" t="str">
        <f t="shared" si="8"/>
        <v>0</v>
      </c>
      <c r="V66" s="24">
        <f t="shared" si="23"/>
        <v>0</v>
      </c>
      <c r="W66" s="41" t="str">
        <f t="shared" si="9"/>
        <v>0</v>
      </c>
      <c r="X66" s="24">
        <f t="shared" si="24"/>
        <v>0</v>
      </c>
      <c r="Y66" s="41" t="str">
        <f t="shared" si="10"/>
        <v>0</v>
      </c>
      <c r="Z66" s="24">
        <f t="shared" si="25"/>
        <v>0</v>
      </c>
      <c r="AA66" s="41" t="str">
        <f t="shared" si="11"/>
        <v>0</v>
      </c>
      <c r="AB66" s="24">
        <f t="shared" si="26"/>
        <v>0</v>
      </c>
      <c r="AC66" s="41" t="str">
        <f t="shared" si="12"/>
        <v/>
      </c>
      <c r="AD66" s="24">
        <f t="shared" si="27"/>
        <v>0</v>
      </c>
      <c r="AE66" s="41" t="str">
        <f t="shared" si="13"/>
        <v/>
      </c>
      <c r="AF66" s="24">
        <f t="shared" si="28"/>
        <v>0</v>
      </c>
      <c r="AG66" s="41" t="str">
        <f t="shared" si="14"/>
        <v/>
      </c>
      <c r="AH66" s="24">
        <f t="shared" si="29"/>
        <v>0</v>
      </c>
      <c r="AI66" s="41" t="str">
        <f t="shared" si="15"/>
        <v/>
      </c>
      <c r="AJ66" s="24">
        <f t="shared" si="30"/>
        <v>0</v>
      </c>
      <c r="AK66" s="41" t="str">
        <f t="shared" si="16"/>
        <v/>
      </c>
    </row>
    <row r="67" spans="1:37" ht="15" customHeight="1">
      <c r="A67" s="719"/>
      <c r="B67" s="616" t="str">
        <f>Rydberg!B67</f>
        <v>Gravitational radius of the Sun</v>
      </c>
      <c r="C67" s="616" t="str">
        <f>Rydberg!C67</f>
        <v>m</v>
      </c>
      <c r="D67" s="21">
        <f>Rydberg!D67</f>
        <v>1476.6250157971238</v>
      </c>
      <c r="E67" s="8">
        <v>8</v>
      </c>
      <c r="F67" s="21">
        <f>D67/F$3</f>
        <v>5289.9749253311229</v>
      </c>
      <c r="G67" s="37" t="str">
        <f t="shared" si="17"/>
        <v>3;089E8481</v>
      </c>
      <c r="H67" s="330"/>
      <c r="I67" s="333"/>
      <c r="J67" s="38">
        <v>3</v>
      </c>
      <c r="K67" s="61">
        <f t="shared" si="31"/>
        <v>3.0613280817888442</v>
      </c>
      <c r="L67" s="39" t="str">
        <f>INDEX(powers!$H$2:$H$75,33+J67)</f>
        <v>kily</v>
      </c>
      <c r="M67" s="40" t="str">
        <f t="shared" si="4"/>
        <v>3</v>
      </c>
      <c r="N67" s="24">
        <f t="shared" si="19"/>
        <v>0.73593698146613029</v>
      </c>
      <c r="O67" s="41" t="str">
        <f t="shared" si="5"/>
        <v>0</v>
      </c>
      <c r="P67" s="24">
        <f t="shared" si="20"/>
        <v>8.8312437775935635</v>
      </c>
      <c r="Q67" s="41" t="str">
        <f t="shared" si="6"/>
        <v>8</v>
      </c>
      <c r="R67" s="24">
        <f t="shared" si="21"/>
        <v>9.9749253311227619</v>
      </c>
      <c r="S67" s="41" t="str">
        <f t="shared" si="7"/>
        <v>9</v>
      </c>
      <c r="T67" s="24">
        <f t="shared" si="22"/>
        <v>11.699103973473143</v>
      </c>
      <c r="U67" s="41" t="str">
        <f t="shared" si="8"/>
        <v>E</v>
      </c>
      <c r="V67" s="24">
        <f t="shared" si="23"/>
        <v>8.3892476816777162</v>
      </c>
      <c r="W67" s="41" t="str">
        <f t="shared" si="9"/>
        <v>8</v>
      </c>
      <c r="X67" s="24">
        <f t="shared" si="24"/>
        <v>4.6709721801325941</v>
      </c>
      <c r="Y67" s="41" t="str">
        <f t="shared" si="10"/>
        <v>4</v>
      </c>
      <c r="Z67" s="24">
        <f t="shared" si="25"/>
        <v>8.0516661615911289</v>
      </c>
      <c r="AA67" s="41" t="str">
        <f t="shared" si="11"/>
        <v>8</v>
      </c>
      <c r="AB67" s="24">
        <f t="shared" si="26"/>
        <v>0.61999393909354694</v>
      </c>
      <c r="AC67" s="41" t="str">
        <f t="shared" si="12"/>
        <v>1</v>
      </c>
      <c r="AD67" s="24">
        <f t="shared" si="27"/>
        <v>7.4399272691225633</v>
      </c>
      <c r="AE67" s="41" t="str">
        <f t="shared" si="13"/>
        <v/>
      </c>
      <c r="AF67" s="24">
        <f t="shared" si="28"/>
        <v>5.2791272294707596</v>
      </c>
      <c r="AG67" s="41" t="str">
        <f t="shared" si="14"/>
        <v/>
      </c>
      <c r="AH67" s="24">
        <f t="shared" si="29"/>
        <v>3.3495267536491156</v>
      </c>
      <c r="AI67" s="41" t="str">
        <f t="shared" si="15"/>
        <v/>
      </c>
      <c r="AJ67" s="24">
        <f t="shared" si="30"/>
        <v>4.1943210437893867</v>
      </c>
      <c r="AK67" s="41" t="str">
        <f t="shared" si="16"/>
        <v/>
      </c>
    </row>
    <row r="68" spans="1:37" ht="15" customHeight="1">
      <c r="A68" s="719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535930905082.04736</v>
      </c>
      <c r="G68" s="37" t="str">
        <f t="shared" si="17"/>
        <v>8;7X4X21385</v>
      </c>
      <c r="H68" s="330"/>
      <c r="I68" s="336"/>
      <c r="J68" s="43">
        <v>10</v>
      </c>
      <c r="K68" s="62">
        <f t="shared" si="31"/>
        <v>8.6555833213958646</v>
      </c>
      <c r="L68" s="39" t="str">
        <f>INDEX(powers!$H$2:$H$75,33+J68)</f>
        <v>cosmic hecty</v>
      </c>
      <c r="M68" s="40" t="str">
        <f t="shared" si="4"/>
        <v>8</v>
      </c>
      <c r="N68" s="24">
        <f t="shared" si="19"/>
        <v>7.8669998567503754</v>
      </c>
      <c r="O68" s="41" t="str">
        <f t="shared" si="5"/>
        <v>7</v>
      </c>
      <c r="P68" s="24">
        <f t="shared" si="20"/>
        <v>10.403998281004505</v>
      </c>
      <c r="Q68" s="41" t="str">
        <f t="shared" si="6"/>
        <v>X</v>
      </c>
      <c r="R68" s="24">
        <f t="shared" si="21"/>
        <v>4.8479793720540556</v>
      </c>
      <c r="S68" s="41" t="str">
        <f t="shared" si="7"/>
        <v>4</v>
      </c>
      <c r="T68" s="24">
        <f t="shared" si="22"/>
        <v>10.175752464648667</v>
      </c>
      <c r="U68" s="41" t="str">
        <f t="shared" si="8"/>
        <v>X</v>
      </c>
      <c r="V68" s="24">
        <f t="shared" si="23"/>
        <v>2.1090295757840067</v>
      </c>
      <c r="W68" s="41" t="str">
        <f t="shared" si="9"/>
        <v>2</v>
      </c>
      <c r="X68" s="24">
        <f t="shared" si="24"/>
        <v>1.3083549094080809</v>
      </c>
      <c r="Y68" s="41" t="str">
        <f t="shared" si="10"/>
        <v>1</v>
      </c>
      <c r="Z68" s="24">
        <f t="shared" si="25"/>
        <v>3.7002589128969703</v>
      </c>
      <c r="AA68" s="41" t="str">
        <f t="shared" si="11"/>
        <v>3</v>
      </c>
      <c r="AB68" s="24">
        <f t="shared" si="26"/>
        <v>8.4031069547636434</v>
      </c>
      <c r="AC68" s="41" t="str">
        <f t="shared" si="12"/>
        <v>8</v>
      </c>
      <c r="AD68" s="24">
        <f t="shared" si="27"/>
        <v>4.8372834571637213</v>
      </c>
      <c r="AE68" s="41" t="str">
        <f t="shared" si="13"/>
        <v>5</v>
      </c>
      <c r="AF68" s="24">
        <f t="shared" si="28"/>
        <v>10.047401485964656</v>
      </c>
      <c r="AG68" s="41" t="str">
        <f t="shared" si="14"/>
        <v/>
      </c>
      <c r="AH68" s="24">
        <f t="shared" si="29"/>
        <v>0.56881783157587051</v>
      </c>
      <c r="AI68" s="41" t="str">
        <f t="shared" si="15"/>
        <v/>
      </c>
      <c r="AJ68" s="24">
        <f t="shared" si="30"/>
        <v>6.8258139789104462</v>
      </c>
      <c r="AK68" s="41" t="str">
        <f t="shared" si="16"/>
        <v/>
      </c>
    </row>
    <row r="69" spans="1:37" ht="15" customHeight="1">
      <c r="A69" s="719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330"/>
      <c r="I69" s="336"/>
      <c r="J69" s="43">
        <v>2</v>
      </c>
      <c r="K69" s="62">
        <f t="shared" si="31"/>
        <v>8.8711961155770265</v>
      </c>
      <c r="L69" s="39" t="str">
        <f>INDEX(powers!$H$2:$H$75,33+J69)</f>
        <v>hecty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>
      <c r="A70" s="720"/>
      <c r="B70" s="617" t="s">
        <v>117</v>
      </c>
      <c r="C70" s="617" t="str">
        <f>Rydberg!C70</f>
        <v>-</v>
      </c>
      <c r="D70" s="32">
        <f>Rydberg!D70*Clock!F$4/F$4</f>
        <v>9.9800956300241541</v>
      </c>
      <c r="E70" s="33">
        <v>9</v>
      </c>
      <c r="F70" s="32">
        <f>D70</f>
        <v>9.9800956300241541</v>
      </c>
      <c r="G70" s="376" t="str">
        <f t="shared" si="17"/>
        <v>9;E91731X53</v>
      </c>
      <c r="H70" s="377"/>
      <c r="I70" s="337"/>
      <c r="J70" s="48">
        <v>0</v>
      </c>
      <c r="K70" s="63">
        <f t="shared" si="31"/>
        <v>9.9800956300241541</v>
      </c>
      <c r="L70" s="49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>
      <c r="A71" s="715" t="s">
        <v>49</v>
      </c>
      <c r="B71" s="618" t="s">
        <v>42</v>
      </c>
      <c r="C71" s="618"/>
      <c r="D71" s="618"/>
      <c r="E71" s="18" t="s">
        <v>54</v>
      </c>
      <c r="F71" s="618" t="s">
        <v>43</v>
      </c>
      <c r="G71" s="618" t="s">
        <v>92</v>
      </c>
      <c r="H71" s="618"/>
      <c r="I71" s="332"/>
      <c r="J71" s="18" t="s">
        <v>44</v>
      </c>
      <c r="K71" s="615" t="s">
        <v>46</v>
      </c>
      <c r="L71" s="622" t="str">
        <f>Rydberg!L71</f>
        <v>Prefix</v>
      </c>
    </row>
    <row r="72" spans="1:37" ht="11.25" customHeight="1">
      <c r="A72" s="716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34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35">F72/POWER(12,J72)</f>
        <v>1.0508187695616</v>
      </c>
      <c r="L72" s="39" t="str">
        <f>INDEX(powers!$H$2:$H$75,33+J72)</f>
        <v>centy</v>
      </c>
      <c r="M72" s="40" t="str">
        <f t="shared" ref="M72:M88" si="3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3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3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3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4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4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4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4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4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4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4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4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48">IF($E72&gt;=AK$31,MID($J$31,IF($E72&gt;AK$31,INT(AJ72),ROUND(AJ72,0))+1,1),"")</f>
        <v/>
      </c>
    </row>
    <row r="73" spans="1:37" ht="13.5" customHeight="1">
      <c r="A73" s="716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34"/>
        <v>0;E5052258X</v>
      </c>
      <c r="H73" s="37"/>
      <c r="I73" s="340"/>
      <c r="J73" s="38">
        <v>2</v>
      </c>
      <c r="K73" s="61">
        <f t="shared" si="35"/>
        <v>0.9516388829038509</v>
      </c>
      <c r="L73" s="39" t="str">
        <f>INDEX(powers!$H$2:$H$75,33+J73)</f>
        <v>hecty</v>
      </c>
      <c r="M73" s="40" t="str">
        <f t="shared" si="36"/>
        <v>0</v>
      </c>
      <c r="N73" s="24">
        <f t="shared" ref="N73:N88" si="49">(K73-INT(K73))*12</f>
        <v>11.419666594846211</v>
      </c>
      <c r="O73" s="41" t="str">
        <f t="shared" si="37"/>
        <v>E</v>
      </c>
      <c r="P73" s="24">
        <f t="shared" ref="P73:P88" si="50">(N73-INT(N73))*12</f>
        <v>5.0359991381545299</v>
      </c>
      <c r="Q73" s="41" t="str">
        <f t="shared" si="38"/>
        <v>5</v>
      </c>
      <c r="R73" s="24">
        <f t="shared" ref="R73:R88" si="51">(P73-INT(P73))*12</f>
        <v>0.43198965785435917</v>
      </c>
      <c r="S73" s="41" t="str">
        <f t="shared" si="39"/>
        <v>0</v>
      </c>
      <c r="T73" s="24">
        <f t="shared" ref="T73:T88" si="52">(R73-INT(R73))*12</f>
        <v>5.18387589425231</v>
      </c>
      <c r="U73" s="41" t="str">
        <f t="shared" si="40"/>
        <v>5</v>
      </c>
      <c r="V73" s="24">
        <f t="shared" ref="V73:V88" si="53">(T73-INT(T73))*12</f>
        <v>2.2065107310277199</v>
      </c>
      <c r="W73" s="41" t="str">
        <f t="shared" si="41"/>
        <v>2</v>
      </c>
      <c r="X73" s="24">
        <f t="shared" ref="X73:X88" si="54">(V73-INT(V73))*12</f>
        <v>2.4781287723326386</v>
      </c>
      <c r="Y73" s="41" t="str">
        <f t="shared" si="42"/>
        <v>2</v>
      </c>
      <c r="Z73" s="24">
        <f t="shared" ref="Z73:Z88" si="55">(X73-INT(X73))*12</f>
        <v>5.7375452679916634</v>
      </c>
      <c r="AA73" s="41" t="str">
        <f t="shared" si="43"/>
        <v>5</v>
      </c>
      <c r="AB73" s="24">
        <f t="shared" ref="AB73:AB88" si="56">(Z73-INT(Z73))*12</f>
        <v>8.8505432158999611</v>
      </c>
      <c r="AC73" s="41" t="str">
        <f t="shared" si="44"/>
        <v>8</v>
      </c>
      <c r="AD73" s="24">
        <f t="shared" ref="AD73:AD88" si="57">(AB73-INT(AB73))*12</f>
        <v>10.206518590799533</v>
      </c>
      <c r="AE73" s="41" t="str">
        <f t="shared" si="45"/>
        <v>X</v>
      </c>
      <c r="AF73" s="24">
        <f t="shared" ref="AF73:AF88" si="58">(AD73-INT(AD73))*12</f>
        <v>2.478223089594394</v>
      </c>
      <c r="AG73" s="41" t="str">
        <f t="shared" si="46"/>
        <v/>
      </c>
      <c r="AH73" s="24">
        <f t="shared" ref="AH73:AH88" si="59">(AF73-INT(AF73))*12</f>
        <v>5.7386770751327276</v>
      </c>
      <c r="AI73" s="41" t="str">
        <f t="shared" si="47"/>
        <v/>
      </c>
      <c r="AJ73" s="24">
        <f t="shared" ref="AJ73:AJ88" si="60">(AH73-INT(AH73))*12</f>
        <v>8.8641249015927315</v>
      </c>
      <c r="AK73" s="41" t="str">
        <f t="shared" si="48"/>
        <v/>
      </c>
    </row>
    <row r="74" spans="1:37" ht="13.5" customHeight="1">
      <c r="A74" s="716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35"/>
        <v>137.03599913815452</v>
      </c>
      <c r="L74" s="39" t="str">
        <f>INDEX(powers!$H$2:$H$75,33+J74)</f>
        <v xml:space="preserve"> </v>
      </c>
      <c r="M74" s="40" t="str">
        <f t="shared" si="36"/>
        <v/>
      </c>
      <c r="N74" s="24">
        <f t="shared" si="49"/>
        <v>0.4319896578542739</v>
      </c>
      <c r="O74" s="41" t="str">
        <f t="shared" si="37"/>
        <v>0</v>
      </c>
      <c r="P74" s="24">
        <f t="shared" si="50"/>
        <v>5.1838758942512868</v>
      </c>
      <c r="Q74" s="41" t="str">
        <f t="shared" si="38"/>
        <v>5</v>
      </c>
      <c r="R74" s="24">
        <f t="shared" si="51"/>
        <v>2.2065107310154417</v>
      </c>
      <c r="S74" s="41" t="str">
        <f t="shared" si="39"/>
        <v>2</v>
      </c>
      <c r="T74" s="24">
        <f t="shared" si="52"/>
        <v>2.4781287721853005</v>
      </c>
      <c r="U74" s="41" t="str">
        <f t="shared" si="40"/>
        <v>2</v>
      </c>
      <c r="V74" s="24">
        <f t="shared" si="53"/>
        <v>5.7375452662236057</v>
      </c>
      <c r="W74" s="41" t="str">
        <f t="shared" si="41"/>
        <v>5</v>
      </c>
      <c r="X74" s="24">
        <f t="shared" si="54"/>
        <v>8.8505431946832687</v>
      </c>
      <c r="Y74" s="41" t="str">
        <f t="shared" si="42"/>
        <v>8</v>
      </c>
      <c r="Z74" s="24">
        <f t="shared" si="55"/>
        <v>10.206518336199224</v>
      </c>
      <c r="AA74" s="41" t="str">
        <f t="shared" si="43"/>
        <v>X</v>
      </c>
      <c r="AB74" s="24">
        <f t="shared" si="56"/>
        <v>2.4782200343906879</v>
      </c>
      <c r="AC74" s="41" t="str">
        <f t="shared" si="44"/>
        <v>2</v>
      </c>
      <c r="AD74" s="24">
        <f t="shared" si="57"/>
        <v>5.7386404126882553</v>
      </c>
      <c r="AE74" s="41" t="str">
        <f t="shared" si="45"/>
        <v>6</v>
      </c>
      <c r="AF74" s="24">
        <f t="shared" si="58"/>
        <v>8.8636849522590637</v>
      </c>
      <c r="AG74" s="41" t="str">
        <f t="shared" si="46"/>
        <v/>
      </c>
      <c r="AH74" s="24">
        <f t="shared" si="59"/>
        <v>10.364219427108765</v>
      </c>
      <c r="AI74" s="41" t="str">
        <f t="shared" si="47"/>
        <v/>
      </c>
      <c r="AJ74" s="24">
        <f t="shared" si="60"/>
        <v>4.3706331253051758</v>
      </c>
      <c r="AK74" s="41" t="str">
        <f t="shared" si="48"/>
        <v/>
      </c>
    </row>
    <row r="75" spans="1:37" ht="13.5" customHeight="1">
      <c r="A75" s="716"/>
      <c r="B75" s="8" t="s">
        <v>39</v>
      </c>
      <c r="C75" s="8"/>
      <c r="D75" s="21"/>
      <c r="E75" s="8">
        <v>9</v>
      </c>
      <c r="F75" s="21">
        <f t="shared" ref="F75" si="61">SQRT($D$32)</f>
        <v>8.542454311496199E-2</v>
      </c>
      <c r="G75" s="37" t="str">
        <f t="shared" ref="G75:G78" si="62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35"/>
        <v>1.025094517379544</v>
      </c>
      <c r="L75" s="39" t="str">
        <f>INDEX(powers!$H$2:$H$75,33+J75)</f>
        <v>dour</v>
      </c>
      <c r="M75" s="40" t="str">
        <f t="shared" si="36"/>
        <v>1</v>
      </c>
      <c r="N75" s="24">
        <f t="shared" si="49"/>
        <v>0.30113420855452855</v>
      </c>
      <c r="O75" s="41" t="str">
        <f t="shared" si="37"/>
        <v>0</v>
      </c>
      <c r="P75" s="24">
        <f t="shared" si="50"/>
        <v>3.6136105026543426</v>
      </c>
      <c r="Q75" s="41" t="str">
        <f t="shared" si="38"/>
        <v>3</v>
      </c>
      <c r="R75" s="24">
        <f t="shared" si="51"/>
        <v>7.363326031852111</v>
      </c>
      <c r="S75" s="41" t="str">
        <f t="shared" si="39"/>
        <v>7</v>
      </c>
      <c r="T75" s="24">
        <f t="shared" si="52"/>
        <v>4.3599123822253318</v>
      </c>
      <c r="U75" s="41" t="str">
        <f t="shared" si="40"/>
        <v>4</v>
      </c>
      <c r="V75" s="24">
        <f t="shared" si="53"/>
        <v>4.3189485867039821</v>
      </c>
      <c r="W75" s="41" t="str">
        <f t="shared" si="41"/>
        <v>4</v>
      </c>
      <c r="X75" s="24">
        <f t="shared" si="54"/>
        <v>3.8273830404477849</v>
      </c>
      <c r="Y75" s="41" t="str">
        <f t="shared" si="42"/>
        <v>3</v>
      </c>
      <c r="Z75" s="24">
        <f t="shared" si="55"/>
        <v>9.9285964853734185</v>
      </c>
      <c r="AA75" s="41" t="str">
        <f t="shared" si="43"/>
        <v>9</v>
      </c>
      <c r="AB75" s="24">
        <f t="shared" si="56"/>
        <v>11.143157824481023</v>
      </c>
      <c r="AC75" s="41" t="str">
        <f t="shared" si="44"/>
        <v>E</v>
      </c>
      <c r="AD75" s="24">
        <f t="shared" si="57"/>
        <v>1.7178938937722705</v>
      </c>
      <c r="AE75" s="41" t="str">
        <f t="shared" si="45"/>
        <v>2</v>
      </c>
      <c r="AF75" s="24">
        <f t="shared" si="58"/>
        <v>8.6147267252672464</v>
      </c>
      <c r="AG75" s="41" t="str">
        <f t="shared" si="46"/>
        <v/>
      </c>
      <c r="AH75" s="24">
        <f t="shared" si="59"/>
        <v>7.3767207032069564</v>
      </c>
      <c r="AI75" s="41" t="str">
        <f t="shared" si="47"/>
        <v/>
      </c>
      <c r="AJ75" s="24">
        <f t="shared" si="60"/>
        <v>4.5206484384834766</v>
      </c>
      <c r="AK75" s="41" t="str">
        <f t="shared" si="48"/>
        <v/>
      </c>
    </row>
    <row r="76" spans="1:37" ht="13.5" customHeight="1">
      <c r="A76" s="716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62"/>
        <v>0;E85846628</v>
      </c>
      <c r="H76" s="37"/>
      <c r="I76" s="340"/>
      <c r="J76" s="38">
        <v>1</v>
      </c>
      <c r="K76" s="61">
        <f t="shared" si="35"/>
        <v>0.97551980138993111</v>
      </c>
      <c r="L76" s="39" t="str">
        <f>INDEX(powers!$H$2:$H$75,33+J76)</f>
        <v>dirac</v>
      </c>
      <c r="M76" s="40" t="str">
        <f t="shared" si="36"/>
        <v>0</v>
      </c>
      <c r="N76" s="24">
        <f t="shared" si="49"/>
        <v>11.706237616679173</v>
      </c>
      <c r="O76" s="41" t="str">
        <f t="shared" si="37"/>
        <v>E</v>
      </c>
      <c r="P76" s="24">
        <f t="shared" si="50"/>
        <v>8.4748514001500794</v>
      </c>
      <c r="Q76" s="41" t="str">
        <f t="shared" si="38"/>
        <v>8</v>
      </c>
      <c r="R76" s="24">
        <f t="shared" si="51"/>
        <v>5.6982168018009531</v>
      </c>
      <c r="S76" s="41" t="str">
        <f t="shared" si="39"/>
        <v>5</v>
      </c>
      <c r="T76" s="24">
        <f t="shared" si="52"/>
        <v>8.3786016216114376</v>
      </c>
      <c r="U76" s="41" t="str">
        <f t="shared" si="40"/>
        <v>8</v>
      </c>
      <c r="V76" s="24">
        <f t="shared" si="53"/>
        <v>4.5432194593372515</v>
      </c>
      <c r="W76" s="41" t="str">
        <f t="shared" si="41"/>
        <v>4</v>
      </c>
      <c r="X76" s="24">
        <f t="shared" si="54"/>
        <v>6.5186335120470176</v>
      </c>
      <c r="Y76" s="41" t="str">
        <f t="shared" si="42"/>
        <v>6</v>
      </c>
      <c r="Z76" s="24">
        <f t="shared" si="55"/>
        <v>6.2236021445642109</v>
      </c>
      <c r="AA76" s="41" t="str">
        <f t="shared" si="43"/>
        <v>6</v>
      </c>
      <c r="AB76" s="24">
        <f t="shared" si="56"/>
        <v>2.6832257347705308</v>
      </c>
      <c r="AC76" s="41" t="str">
        <f t="shared" si="44"/>
        <v>2</v>
      </c>
      <c r="AD76" s="24">
        <f t="shared" si="57"/>
        <v>8.19870881724637</v>
      </c>
      <c r="AE76" s="41" t="str">
        <f t="shared" si="45"/>
        <v>8</v>
      </c>
      <c r="AF76" s="24">
        <f t="shared" si="58"/>
        <v>2.3845058069564402</v>
      </c>
      <c r="AG76" s="41" t="str">
        <f t="shared" si="46"/>
        <v/>
      </c>
      <c r="AH76" s="24">
        <f t="shared" si="59"/>
        <v>4.6140696834772825</v>
      </c>
      <c r="AI76" s="41" t="str">
        <f t="shared" si="47"/>
        <v/>
      </c>
      <c r="AJ76" s="24">
        <f t="shared" si="60"/>
        <v>7.3688362017273903</v>
      </c>
      <c r="AK76" s="41" t="str">
        <f t="shared" si="48"/>
        <v/>
      </c>
    </row>
    <row r="77" spans="1:37" ht="13.5" customHeight="1">
      <c r="A77" s="716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62"/>
        <v>1;0696831713E1</v>
      </c>
      <c r="H77" s="37"/>
      <c r="I77" s="340"/>
      <c r="J77" s="38">
        <v>1</v>
      </c>
      <c r="K77" s="61">
        <f t="shared" si="35"/>
        <v>1.0471975511965976</v>
      </c>
      <c r="L77" s="39" t="str">
        <f>INDEX(powers!$H$2:$H$75,33+J77)</f>
        <v>dirac</v>
      </c>
      <c r="M77" s="40" t="str">
        <f t="shared" si="36"/>
        <v>1</v>
      </c>
      <c r="N77" s="24">
        <f t="shared" si="49"/>
        <v>0.56637061435917158</v>
      </c>
      <c r="O77" s="41" t="str">
        <f t="shared" si="37"/>
        <v>0</v>
      </c>
      <c r="P77" s="24">
        <f t="shared" si="50"/>
        <v>6.7964473723100589</v>
      </c>
      <c r="Q77" s="41" t="str">
        <f t="shared" si="38"/>
        <v>6</v>
      </c>
      <c r="R77" s="24">
        <f t="shared" si="51"/>
        <v>9.5573684677207069</v>
      </c>
      <c r="S77" s="41" t="str">
        <f t="shared" si="39"/>
        <v>9</v>
      </c>
      <c r="T77" s="24">
        <f t="shared" si="52"/>
        <v>6.688421612648483</v>
      </c>
      <c r="U77" s="41" t="str">
        <f t="shared" si="40"/>
        <v>6</v>
      </c>
      <c r="V77" s="24">
        <f t="shared" si="53"/>
        <v>8.2610593517817961</v>
      </c>
      <c r="W77" s="41" t="str">
        <f t="shared" si="41"/>
        <v>8</v>
      </c>
      <c r="X77" s="24">
        <f t="shared" si="54"/>
        <v>3.1327122213815528</v>
      </c>
      <c r="Y77" s="41" t="str">
        <f t="shared" si="42"/>
        <v>3</v>
      </c>
      <c r="Z77" s="24">
        <f t="shared" si="55"/>
        <v>1.5925466565786337</v>
      </c>
      <c r="AA77" s="41" t="str">
        <f t="shared" si="43"/>
        <v>1</v>
      </c>
      <c r="AB77" s="24">
        <f t="shared" si="56"/>
        <v>7.1105598789436044</v>
      </c>
      <c r="AC77" s="41" t="str">
        <f t="shared" si="44"/>
        <v>7</v>
      </c>
      <c r="AD77" s="24">
        <f t="shared" si="57"/>
        <v>1.326718547323253</v>
      </c>
      <c r="AE77" s="41" t="str">
        <f t="shared" si="45"/>
        <v>1</v>
      </c>
      <c r="AF77" s="24">
        <f t="shared" si="58"/>
        <v>3.9206225678790361</v>
      </c>
      <c r="AG77" s="41" t="str">
        <f t="shared" si="46"/>
        <v>3</v>
      </c>
      <c r="AH77" s="24">
        <f t="shared" si="59"/>
        <v>11.047470814548433</v>
      </c>
      <c r="AI77" s="41" t="str">
        <f t="shared" si="47"/>
        <v>E</v>
      </c>
      <c r="AJ77" s="24">
        <f t="shared" si="60"/>
        <v>0.56964977458119392</v>
      </c>
      <c r="AK77" s="41" t="str">
        <f t="shared" si="48"/>
        <v>1</v>
      </c>
    </row>
    <row r="78" spans="1:37" ht="13.5" customHeight="1">
      <c r="A78" s="716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62"/>
        <v>0;E5615082189E</v>
      </c>
      <c r="H78" s="37"/>
      <c r="I78" s="340"/>
      <c r="J78" s="38">
        <v>-1</v>
      </c>
      <c r="K78" s="61">
        <f t="shared" si="35"/>
        <v>0.95492965855137213</v>
      </c>
      <c r="L78" s="39" t="str">
        <f>INDEX(powers!$H$2:$H$75,33+J78)</f>
        <v>dour</v>
      </c>
      <c r="M78" s="40" t="str">
        <f t="shared" si="36"/>
        <v>0</v>
      </c>
      <c r="N78" s="24">
        <f t="shared" si="49"/>
        <v>11.459155902616466</v>
      </c>
      <c r="O78" s="41" t="str">
        <f t="shared" si="37"/>
        <v>E</v>
      </c>
      <c r="P78" s="24">
        <f t="shared" si="50"/>
        <v>5.5098708313975919</v>
      </c>
      <c r="Q78" s="41" t="str">
        <f t="shared" si="38"/>
        <v>5</v>
      </c>
      <c r="R78" s="24">
        <f t="shared" si="51"/>
        <v>6.1184499767711031</v>
      </c>
      <c r="S78" s="41" t="str">
        <f t="shared" si="39"/>
        <v>6</v>
      </c>
      <c r="T78" s="24">
        <f t="shared" si="52"/>
        <v>1.4213997212532377</v>
      </c>
      <c r="U78" s="41" t="str">
        <f t="shared" si="40"/>
        <v>1</v>
      </c>
      <c r="V78" s="24">
        <f t="shared" si="53"/>
        <v>5.0567966550388519</v>
      </c>
      <c r="W78" s="41" t="str">
        <f t="shared" si="41"/>
        <v>5</v>
      </c>
      <c r="X78" s="24">
        <f t="shared" si="54"/>
        <v>0.68155986046622274</v>
      </c>
      <c r="Y78" s="41" t="str">
        <f t="shared" si="42"/>
        <v>0</v>
      </c>
      <c r="Z78" s="24">
        <f t="shared" si="55"/>
        <v>8.1787183255946729</v>
      </c>
      <c r="AA78" s="41" t="str">
        <f t="shared" si="43"/>
        <v>8</v>
      </c>
      <c r="AB78" s="24">
        <f t="shared" si="56"/>
        <v>2.1446199071360752</v>
      </c>
      <c r="AC78" s="41" t="str">
        <f t="shared" si="44"/>
        <v>2</v>
      </c>
      <c r="AD78" s="24">
        <f t="shared" si="57"/>
        <v>1.7354388856329024</v>
      </c>
      <c r="AE78" s="41" t="str">
        <f t="shared" si="45"/>
        <v>1</v>
      </c>
      <c r="AF78" s="24">
        <f t="shared" si="58"/>
        <v>8.8252666275948286</v>
      </c>
      <c r="AG78" s="41" t="str">
        <f t="shared" si="46"/>
        <v>8</v>
      </c>
      <c r="AH78" s="24">
        <f t="shared" si="59"/>
        <v>9.9031995311379433</v>
      </c>
      <c r="AI78" s="41" t="str">
        <f t="shared" si="47"/>
        <v>9</v>
      </c>
      <c r="AJ78" s="24">
        <f t="shared" si="60"/>
        <v>10.838394373655319</v>
      </c>
      <c r="AK78" s="41" t="str">
        <f t="shared" si="48"/>
        <v>E</v>
      </c>
    </row>
    <row r="79" spans="1:37" ht="13.5" customHeight="1">
      <c r="A79" s="716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35"/>
        <v>137.50987083139759</v>
      </c>
      <c r="L79" s="39" t="str">
        <f>INDEX(powers!$H$2:$H$75,33+J79)</f>
        <v>milly</v>
      </c>
      <c r="M79" s="40" t="str">
        <f t="shared" si="36"/>
        <v/>
      </c>
      <c r="N79" s="24">
        <f t="shared" si="49"/>
        <v>6.1184499767711031</v>
      </c>
      <c r="O79" s="41" t="str">
        <f t="shared" si="37"/>
        <v>6</v>
      </c>
      <c r="P79" s="24">
        <f t="shared" si="50"/>
        <v>1.4213997212532377</v>
      </c>
      <c r="Q79" s="41" t="str">
        <f t="shared" si="38"/>
        <v>1</v>
      </c>
      <c r="R79" s="24">
        <f t="shared" si="51"/>
        <v>5.0567966550388519</v>
      </c>
      <c r="S79" s="41" t="str">
        <f t="shared" si="39"/>
        <v>5</v>
      </c>
      <c r="T79" s="24">
        <f t="shared" si="52"/>
        <v>0.68155986046622274</v>
      </c>
      <c r="U79" s="41" t="str">
        <f t="shared" si="40"/>
        <v>0</v>
      </c>
      <c r="V79" s="24">
        <f t="shared" si="53"/>
        <v>8.1787183255946729</v>
      </c>
      <c r="W79" s="41" t="str">
        <f t="shared" si="41"/>
        <v>8</v>
      </c>
      <c r="X79" s="24">
        <f t="shared" si="54"/>
        <v>2.1446199071360752</v>
      </c>
      <c r="Y79" s="41" t="str">
        <f t="shared" si="42"/>
        <v>2</v>
      </c>
      <c r="Z79" s="24">
        <f t="shared" si="55"/>
        <v>1.7354388856329024</v>
      </c>
      <c r="AA79" s="41" t="str">
        <f t="shared" si="43"/>
        <v>1</v>
      </c>
      <c r="AB79" s="24">
        <f t="shared" si="56"/>
        <v>8.8252666275948286</v>
      </c>
      <c r="AC79" s="41" t="str">
        <f t="shared" si="44"/>
        <v>8</v>
      </c>
      <c r="AD79" s="24">
        <f t="shared" si="57"/>
        <v>9.9031995311379433</v>
      </c>
      <c r="AE79" s="41" t="str">
        <f t="shared" si="45"/>
        <v>X</v>
      </c>
      <c r="AF79" s="24">
        <f t="shared" si="58"/>
        <v>10.838394373655319</v>
      </c>
      <c r="AG79" s="41" t="str">
        <f t="shared" si="46"/>
        <v/>
      </c>
      <c r="AH79" s="24">
        <f t="shared" si="59"/>
        <v>10.060732483863831</v>
      </c>
      <c r="AI79" s="41" t="str">
        <f t="shared" si="47"/>
        <v/>
      </c>
      <c r="AJ79" s="24">
        <f t="shared" si="60"/>
        <v>0.7287898063659668</v>
      </c>
      <c r="AK79" s="41" t="str">
        <f t="shared" si="48"/>
        <v/>
      </c>
    </row>
    <row r="80" spans="1:37" ht="13.5" customHeight="1">
      <c r="A80" s="716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63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35"/>
        <v>0.99655390780037834</v>
      </c>
      <c r="L80" s="39" t="str">
        <f>INDEX(powers!$H$2:$H$75,33+J80)</f>
        <v>kily</v>
      </c>
      <c r="M80" s="40" t="str">
        <f t="shared" si="36"/>
        <v>0</v>
      </c>
      <c r="N80" s="24">
        <f t="shared" si="49"/>
        <v>11.95864689360454</v>
      </c>
      <c r="O80" s="41" t="str">
        <f t="shared" si="37"/>
        <v>E</v>
      </c>
      <c r="P80" s="24">
        <f t="shared" si="50"/>
        <v>11.503762723254475</v>
      </c>
      <c r="Q80" s="41" t="str">
        <f t="shared" si="38"/>
        <v>E</v>
      </c>
      <c r="R80" s="24">
        <f t="shared" si="51"/>
        <v>6.0451526790537002</v>
      </c>
      <c r="S80" s="41" t="str">
        <f t="shared" si="39"/>
        <v>6</v>
      </c>
      <c r="T80" s="24">
        <f t="shared" si="52"/>
        <v>0.54183214864440288</v>
      </c>
      <c r="U80" s="41" t="str">
        <f t="shared" si="40"/>
        <v>0</v>
      </c>
      <c r="V80" s="24">
        <f t="shared" si="53"/>
        <v>6.5019857837328345</v>
      </c>
      <c r="W80" s="41" t="str">
        <f t="shared" si="41"/>
        <v>6</v>
      </c>
      <c r="X80" s="24">
        <f t="shared" si="54"/>
        <v>6.0238294047940144</v>
      </c>
      <c r="Y80" s="41" t="str">
        <f t="shared" si="42"/>
        <v>6</v>
      </c>
      <c r="Z80" s="24">
        <f t="shared" si="55"/>
        <v>0.2859528575281729</v>
      </c>
      <c r="AA80" s="41" t="str">
        <f t="shared" si="43"/>
        <v>0</v>
      </c>
      <c r="AB80" s="24">
        <f t="shared" si="56"/>
        <v>3.4314342903380748</v>
      </c>
      <c r="AC80" s="41" t="str">
        <f t="shared" si="44"/>
        <v>3</v>
      </c>
      <c r="AD80" s="24">
        <f t="shared" si="57"/>
        <v>5.1772114840568975</v>
      </c>
      <c r="AE80" s="41" t="str">
        <f t="shared" si="45"/>
        <v>5</v>
      </c>
      <c r="AF80" s="24">
        <f t="shared" si="58"/>
        <v>2.1265378086827695</v>
      </c>
      <c r="AG80" s="41" t="str">
        <f t="shared" si="46"/>
        <v/>
      </c>
      <c r="AH80" s="24">
        <f t="shared" si="59"/>
        <v>1.5184537041932344</v>
      </c>
      <c r="AI80" s="41" t="str">
        <f t="shared" si="47"/>
        <v/>
      </c>
      <c r="AJ80" s="24">
        <f t="shared" si="60"/>
        <v>6.2214444503188133</v>
      </c>
      <c r="AK80" s="41" t="str">
        <f t="shared" si="48"/>
        <v/>
      </c>
    </row>
    <row r="81" spans="1:37" ht="13.5" customHeight="1">
      <c r="A81" s="716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63"/>
        <v>1;005E85686</v>
      </c>
      <c r="H81" s="37"/>
      <c r="I81" s="340"/>
      <c r="J81" s="38">
        <v>-3</v>
      </c>
      <c r="K81" s="61">
        <f t="shared" si="35"/>
        <v>1.0034580088168317</v>
      </c>
      <c r="L81" s="39" t="str">
        <f>INDEX(powers!$H$2:$H$75,33+J81)</f>
        <v>milly</v>
      </c>
      <c r="M81" s="40" t="str">
        <f t="shared" si="36"/>
        <v>1</v>
      </c>
      <c r="N81" s="24">
        <f t="shared" si="49"/>
        <v>4.1496105801980043E-2</v>
      </c>
      <c r="O81" s="41" t="str">
        <f t="shared" si="37"/>
        <v>0</v>
      </c>
      <c r="P81" s="24">
        <f t="shared" si="50"/>
        <v>0.49795326962376052</v>
      </c>
      <c r="Q81" s="41" t="str">
        <f t="shared" si="38"/>
        <v>0</v>
      </c>
      <c r="R81" s="24">
        <f t="shared" si="51"/>
        <v>5.9754392354851262</v>
      </c>
      <c r="S81" s="41" t="str">
        <f t="shared" si="39"/>
        <v>5</v>
      </c>
      <c r="T81" s="24">
        <f t="shared" si="52"/>
        <v>11.705270825821515</v>
      </c>
      <c r="U81" s="41" t="str">
        <f t="shared" si="40"/>
        <v>E</v>
      </c>
      <c r="V81" s="24">
        <f t="shared" si="53"/>
        <v>8.4632499098581775</v>
      </c>
      <c r="W81" s="41" t="str">
        <f t="shared" si="41"/>
        <v>8</v>
      </c>
      <c r="X81" s="24">
        <f t="shared" si="54"/>
        <v>5.5589989182981299</v>
      </c>
      <c r="Y81" s="41" t="str">
        <f t="shared" si="42"/>
        <v>5</v>
      </c>
      <c r="Z81" s="24">
        <f t="shared" si="55"/>
        <v>6.7079870195775584</v>
      </c>
      <c r="AA81" s="41" t="str">
        <f t="shared" si="43"/>
        <v>6</v>
      </c>
      <c r="AB81" s="24">
        <f t="shared" si="56"/>
        <v>8.4958442349307006</v>
      </c>
      <c r="AC81" s="41" t="str">
        <f t="shared" si="44"/>
        <v>8</v>
      </c>
      <c r="AD81" s="24">
        <f t="shared" si="57"/>
        <v>5.9501308191684075</v>
      </c>
      <c r="AE81" s="41" t="str">
        <f t="shared" si="45"/>
        <v>6</v>
      </c>
      <c r="AF81" s="24">
        <f t="shared" si="58"/>
        <v>11.40156983002089</v>
      </c>
      <c r="AG81" s="41" t="str">
        <f t="shared" si="46"/>
        <v/>
      </c>
      <c r="AH81" s="24">
        <f t="shared" si="59"/>
        <v>4.8188379602506757</v>
      </c>
      <c r="AI81" s="41" t="str">
        <f t="shared" si="47"/>
        <v/>
      </c>
      <c r="AJ81" s="24">
        <f t="shared" si="60"/>
        <v>9.8260555230081081</v>
      </c>
      <c r="AK81" s="41" t="str">
        <f t="shared" si="48"/>
        <v/>
      </c>
    </row>
    <row r="82" spans="1:37" ht="13.5" customHeight="1">
      <c r="A82" s="716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63"/>
        <v>0;E46922178</v>
      </c>
      <c r="H82" s="37"/>
      <c r="I82" s="340"/>
      <c r="J82" s="38">
        <v>5</v>
      </c>
      <c r="K82" s="61">
        <f t="shared" si="35"/>
        <v>0.94835944757261925</v>
      </c>
      <c r="L82" s="39" t="str">
        <f>INDEX(powers!$H$2:$H$75,33+J82)</f>
        <v>cosmic milly</v>
      </c>
      <c r="M82" s="40" t="str">
        <f t="shared" si="36"/>
        <v>0</v>
      </c>
      <c r="N82" s="24">
        <f t="shared" si="49"/>
        <v>11.380313370871431</v>
      </c>
      <c r="O82" s="41" t="str">
        <f t="shared" si="37"/>
        <v>E</v>
      </c>
      <c r="P82" s="24">
        <f t="shared" si="50"/>
        <v>4.5637604504571669</v>
      </c>
      <c r="Q82" s="41" t="str">
        <f t="shared" si="38"/>
        <v>4</v>
      </c>
      <c r="R82" s="24">
        <f t="shared" si="51"/>
        <v>6.7651254054860033</v>
      </c>
      <c r="S82" s="41" t="str">
        <f t="shared" si="39"/>
        <v>6</v>
      </c>
      <c r="T82" s="24">
        <f t="shared" si="52"/>
        <v>9.1815048658320393</v>
      </c>
      <c r="U82" s="41" t="str">
        <f t="shared" si="40"/>
        <v>9</v>
      </c>
      <c r="V82" s="24">
        <f t="shared" si="53"/>
        <v>2.1780583899844714</v>
      </c>
      <c r="W82" s="41" t="str">
        <f t="shared" si="41"/>
        <v>2</v>
      </c>
      <c r="X82" s="24">
        <f t="shared" si="54"/>
        <v>2.1367006798136572</v>
      </c>
      <c r="Y82" s="41" t="str">
        <f t="shared" si="42"/>
        <v>2</v>
      </c>
      <c r="Z82" s="24">
        <f t="shared" si="55"/>
        <v>1.6404081577638863</v>
      </c>
      <c r="AA82" s="41" t="str">
        <f t="shared" si="43"/>
        <v>1</v>
      </c>
      <c r="AB82" s="24">
        <f t="shared" si="56"/>
        <v>7.6848978931666352</v>
      </c>
      <c r="AC82" s="41" t="str">
        <f t="shared" si="44"/>
        <v>7</v>
      </c>
      <c r="AD82" s="24">
        <f t="shared" si="57"/>
        <v>8.2187747179996222</v>
      </c>
      <c r="AE82" s="41" t="str">
        <f t="shared" si="45"/>
        <v>8</v>
      </c>
      <c r="AF82" s="24">
        <f t="shared" si="58"/>
        <v>2.6252966159954667</v>
      </c>
      <c r="AG82" s="41" t="str">
        <f t="shared" si="46"/>
        <v/>
      </c>
      <c r="AH82" s="24">
        <f t="shared" si="59"/>
        <v>7.5035593919456005</v>
      </c>
      <c r="AI82" s="41" t="str">
        <f t="shared" si="47"/>
        <v/>
      </c>
      <c r="AJ82" s="24">
        <f t="shared" si="60"/>
        <v>6.0427127033472061</v>
      </c>
      <c r="AK82" s="41" t="str">
        <f t="shared" si="48"/>
        <v/>
      </c>
    </row>
    <row r="83" spans="1:37" ht="14.25" customHeight="1">
      <c r="A83" s="716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63"/>
        <v>1;07X1163X8</v>
      </c>
      <c r="H83" s="112"/>
      <c r="I83" s="341"/>
      <c r="J83" s="43">
        <v>-5</v>
      </c>
      <c r="K83" s="62">
        <f t="shared" si="35"/>
        <v>1.054452510131636</v>
      </c>
      <c r="L83" s="44" t="str">
        <f>INDEX(powers!$H$2:$H$75,33+J83)</f>
        <v>atomic kily</v>
      </c>
      <c r="M83" s="40" t="str">
        <f t="shared" si="36"/>
        <v>1</v>
      </c>
      <c r="N83" s="24">
        <f t="shared" si="49"/>
        <v>0.65343012157963187</v>
      </c>
      <c r="O83" s="41" t="str">
        <f t="shared" si="37"/>
        <v>0</v>
      </c>
      <c r="P83" s="24">
        <f t="shared" si="50"/>
        <v>7.8411614589555825</v>
      </c>
      <c r="Q83" s="41" t="str">
        <f t="shared" si="38"/>
        <v>7</v>
      </c>
      <c r="R83" s="24">
        <f t="shared" si="51"/>
        <v>10.09393750746699</v>
      </c>
      <c r="S83" s="41" t="str">
        <f t="shared" si="39"/>
        <v>X</v>
      </c>
      <c r="T83" s="24">
        <f t="shared" si="52"/>
        <v>1.1272500896038764</v>
      </c>
      <c r="U83" s="41" t="str">
        <f t="shared" si="40"/>
        <v>1</v>
      </c>
      <c r="V83" s="24">
        <f t="shared" si="53"/>
        <v>1.5270010752465168</v>
      </c>
      <c r="W83" s="41" t="str">
        <f t="shared" si="41"/>
        <v>1</v>
      </c>
      <c r="X83" s="24">
        <f t="shared" si="54"/>
        <v>6.3240129029582022</v>
      </c>
      <c r="Y83" s="41" t="str">
        <f t="shared" si="42"/>
        <v>6</v>
      </c>
      <c r="Z83" s="24">
        <f t="shared" si="55"/>
        <v>3.8881548354984261</v>
      </c>
      <c r="AA83" s="41" t="str">
        <f t="shared" si="43"/>
        <v>3</v>
      </c>
      <c r="AB83" s="24">
        <f t="shared" si="56"/>
        <v>10.657858025981113</v>
      </c>
      <c r="AC83" s="41" t="str">
        <f t="shared" si="44"/>
        <v>X</v>
      </c>
      <c r="AD83" s="24">
        <f t="shared" si="57"/>
        <v>7.8942963117733598</v>
      </c>
      <c r="AE83" s="41" t="str">
        <f t="shared" si="45"/>
        <v>8</v>
      </c>
      <c r="AF83" s="24">
        <f t="shared" si="58"/>
        <v>10.731555741280317</v>
      </c>
      <c r="AG83" s="41" t="str">
        <f t="shared" si="46"/>
        <v/>
      </c>
      <c r="AH83" s="24">
        <f t="shared" si="59"/>
        <v>8.7786688953638077</v>
      </c>
      <c r="AI83" s="41" t="str">
        <f t="shared" si="47"/>
        <v/>
      </c>
      <c r="AJ83" s="24">
        <f t="shared" si="60"/>
        <v>9.3440267443656921</v>
      </c>
      <c r="AK83" s="41" t="str">
        <f t="shared" si="48"/>
        <v/>
      </c>
    </row>
    <row r="84" spans="1:37" ht="14.25" customHeight="1">
      <c r="A84" s="716"/>
      <c r="B84" s="30" t="s">
        <v>1432</v>
      </c>
      <c r="C84" s="30"/>
      <c r="D84" s="29"/>
      <c r="E84" s="30">
        <v>11</v>
      </c>
      <c r="F84" s="29">
        <v>1836.15267245</v>
      </c>
      <c r="G84" s="112" t="str">
        <f t="shared" si="63"/>
        <v>1;09019E9995E</v>
      </c>
      <c r="H84" s="112"/>
      <c r="I84" s="341"/>
      <c r="J84" s="43">
        <v>3</v>
      </c>
      <c r="K84" s="62">
        <f t="shared" si="35"/>
        <v>1.0625883521122685</v>
      </c>
      <c r="L84" s="44" t="str">
        <f>INDEX(powers!$H$2:$H$75,33+J84)</f>
        <v>kily</v>
      </c>
      <c r="M84" s="40" t="str">
        <f t="shared" si="36"/>
        <v>1</v>
      </c>
      <c r="N84" s="24">
        <f t="shared" si="49"/>
        <v>0.7510602253472225</v>
      </c>
      <c r="O84" s="41" t="str">
        <f t="shared" si="37"/>
        <v>0</v>
      </c>
      <c r="P84" s="24">
        <f t="shared" si="50"/>
        <v>9.01272270416667</v>
      </c>
      <c r="Q84" s="41" t="str">
        <f t="shared" si="38"/>
        <v>9</v>
      </c>
      <c r="R84" s="24">
        <f t="shared" si="51"/>
        <v>0.15267245000003982</v>
      </c>
      <c r="S84" s="41" t="str">
        <f t="shared" si="39"/>
        <v>0</v>
      </c>
      <c r="T84" s="24">
        <f t="shared" si="52"/>
        <v>1.8320694000004778</v>
      </c>
      <c r="U84" s="41" t="str">
        <f t="shared" si="40"/>
        <v>1</v>
      </c>
      <c r="V84" s="24">
        <f t="shared" si="53"/>
        <v>9.9848328000057336</v>
      </c>
      <c r="W84" s="41" t="str">
        <f t="shared" si="41"/>
        <v>9</v>
      </c>
      <c r="X84" s="24">
        <f t="shared" si="54"/>
        <v>11.817993600068803</v>
      </c>
      <c r="Y84" s="41" t="str">
        <f t="shared" si="42"/>
        <v>E</v>
      </c>
      <c r="Z84" s="24">
        <f t="shared" si="55"/>
        <v>9.8159232008256367</v>
      </c>
      <c r="AA84" s="41" t="str">
        <f t="shared" si="43"/>
        <v>9</v>
      </c>
      <c r="AB84" s="24">
        <f t="shared" si="56"/>
        <v>9.7910784099076409</v>
      </c>
      <c r="AC84" s="41" t="str">
        <f t="shared" si="44"/>
        <v>9</v>
      </c>
      <c r="AD84" s="24">
        <f t="shared" si="57"/>
        <v>9.4929409188916907</v>
      </c>
      <c r="AE84" s="41" t="str">
        <f t="shared" si="45"/>
        <v>9</v>
      </c>
      <c r="AF84" s="24">
        <f t="shared" si="58"/>
        <v>5.9152910267002881</v>
      </c>
      <c r="AG84" s="41" t="str">
        <f t="shared" si="46"/>
        <v>5</v>
      </c>
      <c r="AH84" s="24">
        <f t="shared" si="59"/>
        <v>10.983492320403457</v>
      </c>
      <c r="AI84" s="41" t="str">
        <f t="shared" si="47"/>
        <v>E</v>
      </c>
      <c r="AJ84" s="24">
        <f t="shared" si="60"/>
        <v>11.80190784484148</v>
      </c>
      <c r="AK84" s="41" t="str">
        <f t="shared" si="48"/>
        <v/>
      </c>
    </row>
    <row r="85" spans="1:37" ht="14.25" customHeight="1">
      <c r="A85" s="716"/>
      <c r="B85" s="30" t="s">
        <v>1433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63"/>
        <v>1;001XXX0E449</v>
      </c>
      <c r="H85" s="112"/>
      <c r="I85" s="341"/>
      <c r="J85" s="43">
        <v>49</v>
      </c>
      <c r="K85" s="62">
        <f t="shared" si="35"/>
        <v>1.0011045199619639</v>
      </c>
      <c r="L85" s="44" t="str">
        <f>Rydberg!L85</f>
        <v>sexty-cosmic dirac</v>
      </c>
      <c r="M85" s="40" t="str">
        <f t="shared" si="36"/>
        <v>1</v>
      </c>
      <c r="N85" s="24">
        <f t="shared" si="49"/>
        <v>1.3254239543567081E-2</v>
      </c>
      <c r="O85" s="41" t="str">
        <f t="shared" si="37"/>
        <v>0</v>
      </c>
      <c r="P85" s="24">
        <f t="shared" si="50"/>
        <v>0.15905087452280497</v>
      </c>
      <c r="Q85" s="41" t="str">
        <f t="shared" si="38"/>
        <v>0</v>
      </c>
      <c r="R85" s="24">
        <f t="shared" si="51"/>
        <v>1.9086104942736597</v>
      </c>
      <c r="S85" s="41" t="str">
        <f t="shared" si="39"/>
        <v>1</v>
      </c>
      <c r="T85" s="24">
        <f t="shared" si="52"/>
        <v>10.903325931283916</v>
      </c>
      <c r="U85" s="41" t="str">
        <f t="shared" si="40"/>
        <v>X</v>
      </c>
      <c r="V85" s="24">
        <f t="shared" si="53"/>
        <v>10.839911175406996</v>
      </c>
      <c r="W85" s="41" t="str">
        <f t="shared" si="41"/>
        <v>X</v>
      </c>
      <c r="X85" s="24">
        <f t="shared" si="54"/>
        <v>10.078934104883956</v>
      </c>
      <c r="Y85" s="41" t="str">
        <f t="shared" si="42"/>
        <v>X</v>
      </c>
      <c r="Z85" s="24">
        <f t="shared" si="55"/>
        <v>0.94720925860747229</v>
      </c>
      <c r="AA85" s="41" t="str">
        <f t="shared" si="43"/>
        <v>0</v>
      </c>
      <c r="AB85" s="24">
        <f t="shared" si="56"/>
        <v>11.366511103289668</v>
      </c>
      <c r="AC85" s="41" t="str">
        <f t="shared" si="44"/>
        <v>E</v>
      </c>
      <c r="AD85" s="24">
        <f t="shared" si="57"/>
        <v>4.3981332394760102</v>
      </c>
      <c r="AE85" s="41" t="str">
        <f t="shared" si="45"/>
        <v>4</v>
      </c>
      <c r="AF85" s="24">
        <f t="shared" si="58"/>
        <v>4.7775988737121224</v>
      </c>
      <c r="AG85" s="41" t="str">
        <f t="shared" si="46"/>
        <v>4</v>
      </c>
      <c r="AH85" s="24">
        <f t="shared" si="59"/>
        <v>9.3311864845454693</v>
      </c>
      <c r="AI85" s="41" t="str">
        <f t="shared" si="47"/>
        <v>9</v>
      </c>
      <c r="AJ85" s="24">
        <f t="shared" si="60"/>
        <v>3.9742378145456314</v>
      </c>
      <c r="AK85" s="41" t="str">
        <f t="shared" si="48"/>
        <v/>
      </c>
    </row>
    <row r="86" spans="1:37" ht="14.25" customHeight="1">
      <c r="A86" s="716"/>
      <c r="B86" s="30" t="s">
        <v>372</v>
      </c>
      <c r="C86" s="30"/>
      <c r="D86" s="29"/>
      <c r="E86" s="30">
        <v>12</v>
      </c>
      <c r="F86" s="29">
        <f>POWER(2,43)</f>
        <v>8796093022208</v>
      </c>
      <c r="G86" s="112" t="str">
        <f t="shared" si="63"/>
        <v>0;EX08X990X0X8</v>
      </c>
      <c r="H86" s="112"/>
      <c r="I86" s="341"/>
      <c r="J86" s="43">
        <v>12</v>
      </c>
      <c r="K86" s="62">
        <f t="shared" si="35"/>
        <v>0.98654036854514426</v>
      </c>
      <c r="L86" s="44" t="str">
        <f>INDEX(powers!$H$2:$H$75,33+J86)</f>
        <v>cosmic super</v>
      </c>
      <c r="M86" s="40" t="str">
        <f t="shared" si="36"/>
        <v>0</v>
      </c>
      <c r="N86" s="24">
        <f t="shared" si="49"/>
        <v>11.838484422541731</v>
      </c>
      <c r="O86" s="41" t="str">
        <f t="shared" si="37"/>
        <v>E</v>
      </c>
      <c r="P86" s="24">
        <f t="shared" si="50"/>
        <v>10.061813070500769</v>
      </c>
      <c r="Q86" s="41" t="str">
        <f t="shared" si="38"/>
        <v>X</v>
      </c>
      <c r="R86" s="24">
        <f t="shared" si="51"/>
        <v>0.74175684600922409</v>
      </c>
      <c r="S86" s="41" t="str">
        <f t="shared" si="39"/>
        <v>0</v>
      </c>
      <c r="T86" s="24">
        <f t="shared" si="52"/>
        <v>8.9010821521106891</v>
      </c>
      <c r="U86" s="41" t="str">
        <f t="shared" si="40"/>
        <v>8</v>
      </c>
      <c r="V86" s="24">
        <f t="shared" si="53"/>
        <v>10.812985825328269</v>
      </c>
      <c r="W86" s="41" t="str">
        <f t="shared" si="41"/>
        <v>X</v>
      </c>
      <c r="X86" s="24">
        <f t="shared" si="54"/>
        <v>9.7558299039392296</v>
      </c>
      <c r="Y86" s="41" t="str">
        <f t="shared" si="42"/>
        <v>9</v>
      </c>
      <c r="Z86" s="24">
        <f t="shared" si="55"/>
        <v>9.0699588472707546</v>
      </c>
      <c r="AA86" s="41" t="str">
        <f t="shared" si="43"/>
        <v>9</v>
      </c>
      <c r="AB86" s="24">
        <f t="shared" si="56"/>
        <v>0.83950616724905558</v>
      </c>
      <c r="AC86" s="41" t="str">
        <f t="shared" si="44"/>
        <v>0</v>
      </c>
      <c r="AD86" s="24">
        <f t="shared" si="57"/>
        <v>10.074074006988667</v>
      </c>
      <c r="AE86" s="41" t="str">
        <f t="shared" si="45"/>
        <v>X</v>
      </c>
      <c r="AF86" s="24">
        <f t="shared" si="58"/>
        <v>0.88888808386400342</v>
      </c>
      <c r="AG86" s="41" t="str">
        <f t="shared" si="46"/>
        <v>0</v>
      </c>
      <c r="AH86" s="24">
        <f t="shared" si="59"/>
        <v>10.666657006368041</v>
      </c>
      <c r="AI86" s="41" t="str">
        <f t="shared" si="47"/>
        <v>X</v>
      </c>
      <c r="AJ86" s="24">
        <f t="shared" si="60"/>
        <v>7.9998840764164925</v>
      </c>
      <c r="AK86" s="41" t="str">
        <f t="shared" si="48"/>
        <v>8</v>
      </c>
    </row>
    <row r="87" spans="1:37" ht="14.25" customHeight="1">
      <c r="A87" s="716"/>
      <c r="B87" s="30" t="s">
        <v>682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63"/>
        <v>4;68X10E696900</v>
      </c>
      <c r="H87" s="112"/>
      <c r="I87" s="341"/>
      <c r="J87" s="43">
        <v>2</v>
      </c>
      <c r="K87" s="62">
        <f t="shared" si="35"/>
        <v>4.5613946914672852</v>
      </c>
      <c r="L87" s="44" t="str">
        <f>INDEX(powers!$H$2:$H$75,33+J87)</f>
        <v>hecty</v>
      </c>
      <c r="M87" s="40" t="str">
        <f t="shared" si="36"/>
        <v>4</v>
      </c>
      <c r="N87" s="24">
        <f t="shared" si="49"/>
        <v>6.7367362976074219</v>
      </c>
      <c r="O87" s="41" t="str">
        <f t="shared" si="37"/>
        <v>6</v>
      </c>
      <c r="P87" s="24">
        <f t="shared" si="50"/>
        <v>8.8408355712890625</v>
      </c>
      <c r="Q87" s="41" t="str">
        <f t="shared" si="38"/>
        <v>8</v>
      </c>
      <c r="R87" s="24">
        <f t="shared" si="51"/>
        <v>10.09002685546875</v>
      </c>
      <c r="S87" s="41" t="str">
        <f t="shared" si="39"/>
        <v>X</v>
      </c>
      <c r="T87" s="24">
        <f t="shared" si="52"/>
        <v>1.080322265625</v>
      </c>
      <c r="U87" s="41" t="str">
        <f t="shared" si="40"/>
        <v>1</v>
      </c>
      <c r="V87" s="24">
        <f t="shared" si="53"/>
        <v>0.9638671875</v>
      </c>
      <c r="W87" s="41" t="str">
        <f t="shared" si="41"/>
        <v>0</v>
      </c>
      <c r="X87" s="24">
        <f t="shared" si="54"/>
        <v>11.56640625</v>
      </c>
      <c r="Y87" s="41" t="str">
        <f t="shared" si="42"/>
        <v>E</v>
      </c>
      <c r="Z87" s="24">
        <f t="shared" si="55"/>
        <v>6.796875</v>
      </c>
      <c r="AA87" s="41" t="str">
        <f t="shared" si="43"/>
        <v>6</v>
      </c>
      <c r="AB87" s="24">
        <f t="shared" si="56"/>
        <v>9.5625</v>
      </c>
      <c r="AC87" s="41" t="str">
        <f t="shared" si="44"/>
        <v>9</v>
      </c>
      <c r="AD87" s="24">
        <f t="shared" si="57"/>
        <v>6.75</v>
      </c>
      <c r="AE87" s="41" t="str">
        <f t="shared" si="45"/>
        <v>6</v>
      </c>
      <c r="AF87" s="24">
        <f t="shared" si="58"/>
        <v>9</v>
      </c>
      <c r="AG87" s="41" t="str">
        <f t="shared" si="46"/>
        <v>9</v>
      </c>
      <c r="AH87" s="24">
        <f t="shared" si="59"/>
        <v>0</v>
      </c>
      <c r="AI87" s="41" t="str">
        <f t="shared" si="47"/>
        <v>0</v>
      </c>
      <c r="AJ87" s="24">
        <f t="shared" si="60"/>
        <v>0</v>
      </c>
      <c r="AK87" s="41" t="str">
        <f t="shared" si="48"/>
        <v>0</v>
      </c>
    </row>
    <row r="88" spans="1:37" ht="14.25" customHeight="1" thickBot="1">
      <c r="A88" s="717"/>
      <c r="B88" s="33" t="s">
        <v>373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63"/>
        <v>0;EE17EX582521</v>
      </c>
      <c r="H88" s="47"/>
      <c r="I88" s="342"/>
      <c r="J88" s="48">
        <v>-4</v>
      </c>
      <c r="K88" s="63">
        <f t="shared" si="35"/>
        <v>0.99401955054989555</v>
      </c>
      <c r="L88" s="49" t="str">
        <f>INDEX(powers!$H$2:$H$75,33+J88)</f>
        <v>sub</v>
      </c>
      <c r="M88" s="40" t="str">
        <f t="shared" si="36"/>
        <v>0</v>
      </c>
      <c r="N88" s="24">
        <f t="shared" si="49"/>
        <v>11.928234606598746</v>
      </c>
      <c r="O88" s="41" t="str">
        <f t="shared" si="37"/>
        <v>E</v>
      </c>
      <c r="P88" s="24">
        <f t="shared" si="50"/>
        <v>11.138815279184954</v>
      </c>
      <c r="Q88" s="41" t="str">
        <f t="shared" si="38"/>
        <v>E</v>
      </c>
      <c r="R88" s="24">
        <f t="shared" si="51"/>
        <v>1.6657833502194421</v>
      </c>
      <c r="S88" s="41" t="str">
        <f t="shared" si="39"/>
        <v>1</v>
      </c>
      <c r="T88" s="24">
        <f t="shared" si="52"/>
        <v>7.9894002026333055</v>
      </c>
      <c r="U88" s="41" t="str">
        <f t="shared" si="40"/>
        <v>7</v>
      </c>
      <c r="V88" s="24">
        <f t="shared" si="53"/>
        <v>11.872802431599666</v>
      </c>
      <c r="W88" s="41" t="str">
        <f t="shared" si="41"/>
        <v>E</v>
      </c>
      <c r="X88" s="24">
        <f t="shared" si="54"/>
        <v>10.473629179195996</v>
      </c>
      <c r="Y88" s="41" t="str">
        <f t="shared" si="42"/>
        <v>X</v>
      </c>
      <c r="Z88" s="24">
        <f t="shared" si="55"/>
        <v>5.6835501503519481</v>
      </c>
      <c r="AA88" s="41" t="str">
        <f t="shared" si="43"/>
        <v>5</v>
      </c>
      <c r="AB88" s="24">
        <f t="shared" si="56"/>
        <v>8.2026018042233773</v>
      </c>
      <c r="AC88" s="41" t="str">
        <f t="shared" si="44"/>
        <v>8</v>
      </c>
      <c r="AD88" s="24">
        <f t="shared" si="57"/>
        <v>2.4312216506805271</v>
      </c>
      <c r="AE88" s="41" t="str">
        <f t="shared" si="45"/>
        <v>2</v>
      </c>
      <c r="AF88" s="24">
        <f t="shared" si="58"/>
        <v>5.1746598081663251</v>
      </c>
      <c r="AG88" s="41" t="str">
        <f t="shared" si="46"/>
        <v>5</v>
      </c>
      <c r="AH88" s="24">
        <f t="shared" si="59"/>
        <v>2.0959176979959011</v>
      </c>
      <c r="AI88" s="41" t="str">
        <f t="shared" si="47"/>
        <v>2</v>
      </c>
      <c r="AJ88" s="24">
        <f t="shared" si="60"/>
        <v>1.1510123759508133</v>
      </c>
      <c r="AK88" s="41" t="str">
        <f t="shared" si="48"/>
        <v>1</v>
      </c>
    </row>
    <row r="89" spans="1:37">
      <c r="K89" s="79"/>
      <c r="L89" s="79"/>
      <c r="M89" s="79"/>
    </row>
    <row r="90" spans="1:37" ht="15" customHeight="1">
      <c r="B90" s="616" t="s">
        <v>269</v>
      </c>
      <c r="C90" s="616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3061501.5310248835</v>
      </c>
      <c r="G90" s="142" t="str">
        <f t="shared" ref="G90" si="64">M90&amp;";"&amp;O90&amp;Q90&amp;S90&amp;U90&amp;W90&amp;Y90&amp;AA90&amp;AC90&amp;AE90&amp;AG90&amp;AI90&amp;AK90</f>
        <v>1;03785164573</v>
      </c>
      <c r="H90" s="142"/>
      <c r="I90" s="344"/>
      <c r="J90" s="38">
        <v>6</v>
      </c>
      <c r="K90" s="61">
        <f>F90/POWER(12,J90)</f>
        <v>1.0252906683441316</v>
      </c>
      <c r="L90" s="39" t="str">
        <f>INDEX(powers!$H$2:$H$75,33+J90)</f>
        <v>cosmic centy</v>
      </c>
      <c r="M90" s="40" t="str">
        <f t="shared" ref="M90" si="65">IF($E90&gt;=M$31,MID($J$31,IF($E90&gt;M$31,INT(K90),ROUND(K90,0))+1,1),"")</f>
        <v>1</v>
      </c>
      <c r="N90" s="24">
        <f t="shared" ref="N90" si="66">(K90-INT(K90))*12</f>
        <v>0.30348802012957954</v>
      </c>
      <c r="O90" s="41" t="str">
        <f t="shared" ref="O90" si="67">IF($E90&gt;=O$31,MID($J$31,IF($E90&gt;O$31,INT(N90),ROUND(N90,0))+1,1),"")</f>
        <v>0</v>
      </c>
      <c r="P90" s="24">
        <f t="shared" ref="P90" si="68">(N90-INT(N90))*12</f>
        <v>3.6418562415549545</v>
      </c>
      <c r="Q90" s="41" t="str">
        <f t="shared" ref="Q90" si="69">IF($E90&gt;=Q$31,MID($J$31,IF($E90&gt;Q$31,INT(P90),ROUND(P90,0))+1,1),"")</f>
        <v>3</v>
      </c>
      <c r="R90" s="24">
        <f t="shared" ref="R90" si="70">(P90-INT(P90))*12</f>
        <v>7.7022748986594536</v>
      </c>
      <c r="S90" s="41" t="str">
        <f t="shared" ref="S90" si="71">IF($E90&gt;=S$31,MID($J$31,IF($E90&gt;S$31,INT(R90),ROUND(R90,0))+1,1),"")</f>
        <v>7</v>
      </c>
      <c r="T90" s="24">
        <f t="shared" ref="T90" si="72">(R90-INT(R90))*12</f>
        <v>8.427298783913443</v>
      </c>
      <c r="U90" s="41" t="str">
        <f t="shared" ref="U90" si="73">IF($E90&gt;=U$31,MID($J$31,IF($E90&gt;U$31,INT(T90),ROUND(T90,0))+1,1),"")</f>
        <v>8</v>
      </c>
      <c r="V90" s="24">
        <f t="shared" ref="V90" si="74">(T90-INT(T90))*12</f>
        <v>5.127585406961316</v>
      </c>
      <c r="W90" s="41" t="str">
        <f t="shared" ref="W90" si="75">IF($E90&gt;=W$31,MID($J$31,IF($E90&gt;W$31,INT(V90),ROUND(V90,0))+1,1),"")</f>
        <v>5</v>
      </c>
      <c r="X90" s="24">
        <f t="shared" ref="X90" si="76">(V90-INT(V90))*12</f>
        <v>1.5310248835357925</v>
      </c>
      <c r="Y90" s="41" t="str">
        <f t="shared" ref="Y90" si="77">IF($E90&gt;=Y$31,MID($J$31,IF($E90&gt;Y$31,INT(X90),ROUND(X90,0))+1,1),"")</f>
        <v>1</v>
      </c>
      <c r="Z90" s="24">
        <f t="shared" ref="Z90" si="78">(X90-INT(X90))*12</f>
        <v>6.3722986024295096</v>
      </c>
      <c r="AA90" s="41" t="str">
        <f t="shared" ref="AA90" si="79">IF($E90&gt;=AA$31,MID($J$31,IF($E90&gt;AA$31,INT(Z90),ROUND(Z90,0))+1,1),"")</f>
        <v>6</v>
      </c>
      <c r="AB90" s="24">
        <f t="shared" ref="AB90" si="80">(Z90-INT(Z90))*12</f>
        <v>4.4675832291541155</v>
      </c>
      <c r="AC90" s="41" t="str">
        <f t="shared" ref="AC90" si="81">IF($E90&gt;=AC$31,MID($J$31,IF($E90&gt;AC$31,INT(AB90),ROUND(AB90,0))+1,1),"")</f>
        <v>4</v>
      </c>
      <c r="AD90" s="24">
        <f t="shared" ref="AD90" si="82">(AB90-INT(AB90))*12</f>
        <v>5.6109987498493865</v>
      </c>
      <c r="AE90" s="41" t="str">
        <f t="shared" ref="AE90" si="83">IF($E90&gt;=AE$31,MID($J$31,IF($E90&gt;AE$31,INT(AD90),ROUND(AD90,0))+1,1),"")</f>
        <v>5</v>
      </c>
      <c r="AF90" s="24">
        <f t="shared" ref="AF90" si="84">(AD90-INT(AD90))*12</f>
        <v>7.3319849981926382</v>
      </c>
      <c r="AG90" s="41" t="str">
        <f t="shared" ref="AG90" si="85">IF($E90&gt;=AG$31,MID($J$31,IF($E90&gt;AG$31,INT(AF90),ROUND(AF90,0))+1,1),"")</f>
        <v>7</v>
      </c>
      <c r="AH90" s="24">
        <f t="shared" ref="AH90" si="86">(AF90-INT(AF90))*12</f>
        <v>3.9838199783116579</v>
      </c>
      <c r="AI90" s="41" t="str">
        <f t="shared" ref="AI90" si="87">IF($E90&gt;=AI$31,MID($J$31,IF($E90&gt;AI$31,INT(AH90),ROUND(AH90,0))+1,1),"")</f>
        <v>3</v>
      </c>
      <c r="AJ90" s="24">
        <f t="shared" ref="AJ90" si="88">(AH90-INT(AH90))*12</f>
        <v>11.805839739739895</v>
      </c>
      <c r="AK90" s="41" t="str">
        <f t="shared" ref="AK90" si="89">IF($E90&gt;=AK$31,MID($J$31,IF($E90&gt;AK$31,INT(AJ90),ROUND(AJ90,0))+1,1),"")</f>
        <v/>
      </c>
    </row>
    <row r="91" spans="1:37">
      <c r="B91" s="141" t="s">
        <v>270</v>
      </c>
      <c r="D91" s="14">
        <f>1/(1+0.00054461702177)</f>
        <v>0.99945567942448077</v>
      </c>
    </row>
    <row r="92" spans="1:37">
      <c r="B92" s="616" t="s">
        <v>1295</v>
      </c>
      <c r="C92" s="616"/>
      <c r="D92" s="21">
        <f>R23</f>
        <v>1.0688711746099697</v>
      </c>
      <c r="E92" s="8">
        <v>7</v>
      </c>
      <c r="F92" s="21">
        <f>D92</f>
        <v>1.0688711746099697</v>
      </c>
      <c r="G92" s="142" t="str">
        <f t="shared" ref="G92:G93" si="90">M92&amp;";"&amp;O92&amp;Q92&amp;S92&amp;U92&amp;W92&amp;Y92&amp;AA92&amp;AC92&amp;AE92&amp;AG92&amp;AI92&amp;AK92</f>
        <v>1;09E0143</v>
      </c>
      <c r="H92" s="142"/>
      <c r="I92" s="344"/>
      <c r="J92" s="38">
        <v>0</v>
      </c>
      <c r="K92" s="61">
        <f>F92/POWER(12,J92)</f>
        <v>1.0688711746099697</v>
      </c>
      <c r="L92" s="39" t="str">
        <f>INDEX(powers!$H$2:$H$75,33+J92)</f>
        <v xml:space="preserve"> </v>
      </c>
      <c r="M92" s="40" t="str">
        <f t="shared" ref="M92" si="91">IF($E92&gt;=M$31,MID($J$31,IF($E92&gt;M$31,INT(K92),ROUND(K92,0))+1,1),"")</f>
        <v>1</v>
      </c>
      <c r="N92" s="24">
        <f t="shared" ref="N92:N93" si="92">(K92-INT(K92))*12</f>
        <v>0.82645409531963665</v>
      </c>
      <c r="O92" s="41" t="str">
        <f t="shared" ref="O92" si="93">IF($E92&gt;=O$31,MID($J$31,IF($E92&gt;O$31,INT(N92),ROUND(N92,0))+1,1),"")</f>
        <v>0</v>
      </c>
      <c r="P92" s="24">
        <f t="shared" ref="P92:P93" si="94">(N92-INT(N92))*12</f>
        <v>9.9174491438356398</v>
      </c>
      <c r="Q92" s="41" t="str">
        <f t="shared" ref="Q92" si="95">IF($E92&gt;=Q$31,MID($J$31,IF($E92&gt;Q$31,INT(P92),ROUND(P92,0))+1,1),"")</f>
        <v>9</v>
      </c>
      <c r="R92" s="24">
        <f t="shared" ref="R92:R93" si="96">(P92-INT(P92))*12</f>
        <v>11.009389726027678</v>
      </c>
      <c r="S92" s="41" t="str">
        <f t="shared" ref="S92" si="97">IF($E92&gt;=S$31,MID($J$31,IF($E92&gt;S$31,INT(R92),ROUND(R92,0))+1,1),"")</f>
        <v>E</v>
      </c>
      <c r="T92" s="24">
        <f t="shared" ref="T92:T93" si="98">(R92-INT(R92))*12</f>
        <v>0.1126767123321315</v>
      </c>
      <c r="U92" s="41" t="str">
        <f t="shared" ref="U92" si="99">IF($E92&gt;=U$31,MID($J$31,IF($E92&gt;U$31,INT(T92),ROUND(T92,0))+1,1),"")</f>
        <v>0</v>
      </c>
      <c r="V92" s="24">
        <f t="shared" ref="V92:V93" si="100">(T92-INT(T92))*12</f>
        <v>1.352120547985578</v>
      </c>
      <c r="W92" s="41" t="str">
        <f t="shared" ref="W92" si="101">IF($E92&gt;=W$31,MID($J$31,IF($E92&gt;W$31,INT(V92),ROUND(V92,0))+1,1),"")</f>
        <v>1</v>
      </c>
      <c r="X92" s="24">
        <f t="shared" ref="X92:X93" si="102">(V92-INT(V92))*12</f>
        <v>4.2254465758269362</v>
      </c>
      <c r="Y92" s="41" t="str">
        <f t="shared" ref="Y92" si="103">IF($E92&gt;=Y$31,MID($J$31,IF($E92&gt;Y$31,INT(X92),ROUND(X92,0))+1,1),"")</f>
        <v>4</v>
      </c>
      <c r="Z92" s="24">
        <f t="shared" ref="Z92:Z93" si="104">(X92-INT(X92))*12</f>
        <v>2.705358909923234</v>
      </c>
      <c r="AA92" s="41" t="str">
        <f t="shared" ref="AA92" si="105">IF($E92&gt;=AA$31,MID($J$31,IF($E92&gt;AA$31,INT(Z92),ROUND(Z92,0))+1,1),"")</f>
        <v>3</v>
      </c>
      <c r="AB92" s="24">
        <f t="shared" ref="AB92:AB93" si="106">(Z92-INT(Z92))*12</f>
        <v>8.4643069190788083</v>
      </c>
      <c r="AC92" s="41" t="str">
        <f t="shared" ref="AC92" si="107">IF($E92&gt;=AC$31,MID($J$31,IF($E92&gt;AC$31,INT(AB92),ROUND(AB92,0))+1,1),"")</f>
        <v/>
      </c>
      <c r="AD92" s="24">
        <f t="shared" ref="AD92:AD93" si="108">(AB92-INT(AB92))*12</f>
        <v>5.5716830289456993</v>
      </c>
      <c r="AE92" s="41" t="str">
        <f t="shared" ref="AE92" si="109">IF($E92&gt;=AE$31,MID($J$31,IF($E92&gt;AE$31,INT(AD92),ROUND(AD92,0))+1,1),"")</f>
        <v/>
      </c>
      <c r="AF92" s="24">
        <f t="shared" ref="AF92:AF93" si="110">(AD92-INT(AD92))*12</f>
        <v>6.860196347348392</v>
      </c>
      <c r="AG92" s="41" t="str">
        <f t="shared" ref="AG92" si="111">IF($E92&gt;=AG$31,MID($J$31,IF($E92&gt;AG$31,INT(AF92),ROUND(AF92,0))+1,1),"")</f>
        <v/>
      </c>
      <c r="AH92" s="24">
        <f t="shared" ref="AH92:AH93" si="112">(AF92-INT(AF92))*12</f>
        <v>10.322356168180704</v>
      </c>
      <c r="AI92" s="41" t="str">
        <f t="shared" ref="AI92" si="113">IF($E92&gt;=AI$31,MID($J$31,IF($E92&gt;AI$31,INT(AH92),ROUND(AH92,0))+1,1),"")</f>
        <v/>
      </c>
      <c r="AJ92" s="24">
        <f t="shared" ref="AJ92:AJ93" si="114">(AH92-INT(AH92))*12</f>
        <v>3.8682740181684494</v>
      </c>
      <c r="AK92" s="41" t="str">
        <f t="shared" ref="AK92" si="115">IF($E92&gt;=AK$31,MID($J$31,IF($E92&gt;AK$31,INT(AJ92),ROUND(AJ92,0))+1,1),"")</f>
        <v/>
      </c>
    </row>
    <row r="93" spans="1:37">
      <c r="B93" s="616" t="s">
        <v>769</v>
      </c>
      <c r="C93" s="616"/>
      <c r="D93" s="21">
        <v>540000000000000</v>
      </c>
      <c r="E93" s="8">
        <v>7</v>
      </c>
      <c r="F93" s="21">
        <f>D93/F22</f>
        <v>210937500000000</v>
      </c>
      <c r="G93" s="142" t="str">
        <f t="shared" si="90"/>
        <v>1;E7X9126</v>
      </c>
      <c r="H93" s="142"/>
      <c r="I93" s="344"/>
      <c r="J93" s="38">
        <v>13</v>
      </c>
      <c r="K93" s="61">
        <f>F93/POWER(12,J93)</f>
        <v>1.971503697385812</v>
      </c>
      <c r="L93" s="39" t="str">
        <f>INDEX(powers!$H$2:$H$75,33+J93)</f>
        <v>di-cosmic milly</v>
      </c>
      <c r="M93" s="40" t="str">
        <f>IF($E93&gt;=M$31,MID($J$31,IF($E93&gt;M$31,INT(K93),ROUND(K93,0))+1,1),"")</f>
        <v>1</v>
      </c>
      <c r="N93" s="24">
        <f t="shared" si="92"/>
        <v>11.658044368629744</v>
      </c>
      <c r="O93" s="41" t="str">
        <f>IF($E93&gt;=O$31,MID($J$31,IF($E93&gt;O$31,INT(N93),ROUND(N93,0))+1,1),"")</f>
        <v>E</v>
      </c>
      <c r="P93" s="24">
        <f t="shared" si="94"/>
        <v>7.896532423556927</v>
      </c>
      <c r="Q93" s="41" t="str">
        <f>IF($E93&gt;=Q$31,MID($J$31,IF($E93&gt;Q$31,INT(P93),ROUND(P93,0))+1,1),"")</f>
        <v>7</v>
      </c>
      <c r="R93" s="24">
        <f t="shared" si="96"/>
        <v>10.758389082683124</v>
      </c>
      <c r="S93" s="41" t="str">
        <f>IF($E93&gt;=S$31,MID($J$31,IF($E93&gt;S$31,INT(R93),ROUND(R93,0))+1,1),"")</f>
        <v>X</v>
      </c>
      <c r="T93" s="24">
        <f t="shared" si="98"/>
        <v>9.1006689921974839</v>
      </c>
      <c r="U93" s="41" t="str">
        <f>IF($E93&gt;=U$31,MID($J$31,IF($E93&gt;U$31,INT(T93),ROUND(T93,0))+1,1),"")</f>
        <v>9</v>
      </c>
      <c r="V93" s="24">
        <f t="shared" si="100"/>
        <v>1.2080279063698072</v>
      </c>
      <c r="W93" s="41" t="str">
        <f>IF($E93&gt;=W$31,MID($J$31,IF($E93&gt;W$31,INT(V93),ROUND(V93,0))+1,1),"")</f>
        <v>1</v>
      </c>
      <c r="X93" s="24">
        <f t="shared" si="102"/>
        <v>2.496334876437686</v>
      </c>
      <c r="Y93" s="41" t="str">
        <f>IF($E93&gt;=Y$31,MID($J$31,IF($E93&gt;Y$31,INT(X93),ROUND(X93,0))+1,1),"")</f>
        <v>2</v>
      </c>
      <c r="Z93" s="24">
        <f t="shared" si="104"/>
        <v>5.9560185172522324</v>
      </c>
      <c r="AA93" s="41" t="str">
        <f>IF($E93&gt;=AA$31,MID($J$31,IF($E93&gt;AA$31,INT(Z93),ROUND(Z93,0))+1,1),"")</f>
        <v>6</v>
      </c>
      <c r="AB93" s="24">
        <f t="shared" si="106"/>
        <v>11.472222207026789</v>
      </c>
      <c r="AC93" s="41" t="str">
        <f>IF($E93&gt;=AC$31,MID($J$31,IF($E93&gt;AC$31,INT(AB93),ROUND(AB93,0))+1,1),"")</f>
        <v/>
      </c>
      <c r="AD93" s="24">
        <f t="shared" si="108"/>
        <v>5.6666664843214676</v>
      </c>
      <c r="AE93" s="41" t="str">
        <f>IF($E93&gt;=AE$31,MID($J$31,IF($E93&gt;AE$31,INT(AD93),ROUND(AD93,0))+1,1),"")</f>
        <v/>
      </c>
      <c r="AF93" s="24">
        <f t="shared" si="110"/>
        <v>7.9999978118576109</v>
      </c>
      <c r="AG93" s="41" t="str">
        <f>IF($E93&gt;=AG$31,MID($J$31,IF($E93&gt;AG$31,INT(AF93),ROUND(AF93,0))+1,1),"")</f>
        <v/>
      </c>
      <c r="AH93" s="24">
        <f t="shared" si="112"/>
        <v>11.999973742291331</v>
      </c>
      <c r="AI93" s="41" t="str">
        <f>IF($E93&gt;=AI$31,MID($J$31,IF($E93&gt;AI$31,INT(AH93),ROUND(AH93,0))+1,1),"")</f>
        <v/>
      </c>
      <c r="AJ93" s="24">
        <f t="shared" si="114"/>
        <v>11.999684907495975</v>
      </c>
      <c r="AK93" s="41" t="str">
        <f>IF($E93&gt;=AK$31,MID($J$31,IF($E93&gt;AK$31,INT(AJ93),ROUND(AJ93,0))+1,1),"")</f>
        <v/>
      </c>
    </row>
    <row r="94" spans="1:37">
      <c r="B94" s="14" t="s">
        <v>1887</v>
      </c>
      <c r="D94" s="204">
        <f>F22*F94</f>
        <v>547805211540848.62</v>
      </c>
      <c r="F94" s="204">
        <f>G94*POWER(12,J94)</f>
        <v>213986410758144</v>
      </c>
      <c r="G94" s="620">
        <v>2</v>
      </c>
      <c r="J94" s="14">
        <v>13</v>
      </c>
      <c r="K94" s="79"/>
      <c r="L94" s="79"/>
      <c r="M94" s="79"/>
    </row>
    <row r="95" spans="1:37">
      <c r="D95" s="204"/>
      <c r="F95" s="204"/>
      <c r="G95" s="620"/>
      <c r="K95" s="79"/>
      <c r="L95" s="79"/>
      <c r="M95" s="79"/>
    </row>
    <row r="96" spans="1:37">
      <c r="B96" s="14" t="s">
        <v>1144</v>
      </c>
    </row>
    <row r="97" spans="1:39">
      <c r="B97" s="111" t="s">
        <v>1173</v>
      </c>
      <c r="C97" s="30"/>
      <c r="D97" s="30">
        <f>solar_luminosity!C9</f>
        <v>2.5750450803308646E-6</v>
      </c>
      <c r="E97" s="30">
        <v>6</v>
      </c>
      <c r="F97" s="29">
        <f>D97/F$26</f>
        <v>1.7346332427982993E-9</v>
      </c>
      <c r="G97" s="112" t="str">
        <f t="shared" ref="G97:G100" si="116">M97&amp;";"&amp;O97&amp;Q97&amp;S97&amp;U97&amp;W97&amp;Y97&amp;AA97&amp;AC97&amp;AE97&amp;AG97&amp;AI97&amp;AK97</f>
        <v>8;E4X1E8</v>
      </c>
      <c r="H97" s="112"/>
      <c r="I97" s="341"/>
      <c r="J97" s="43">
        <v>-9</v>
      </c>
      <c r="K97" s="113">
        <f>F97/POWER(12,J97)+0.00000000000001</f>
        <v>8.950326524116722</v>
      </c>
      <c r="L97" s="44" t="str">
        <f>INDEX(powers!$H$2:$H$75,33+J97)</f>
        <v>atomic dour</v>
      </c>
      <c r="M97" s="101" t="str">
        <f t="shared" ref="M97:M100" si="117">IF($E97&gt;=M$31,MID($J$31,IF($E97&gt;M$31,INT(K97),ROUND(K97,0))+1,1),"")</f>
        <v>8</v>
      </c>
      <c r="N97" s="8">
        <f>(K97-INT(K97))*12</f>
        <v>11.403918289400664</v>
      </c>
      <c r="O97" s="100" t="str">
        <f t="shared" ref="O97:O100" si="118">IF($E97&gt;=O$31,MID($J$31,IF($E97&gt;O$31,INT(N97),ROUND(N97,0))+1,1),"")</f>
        <v>E</v>
      </c>
      <c r="P97" s="8">
        <f>(N97-INT(N97))*12</f>
        <v>4.8470194728079719</v>
      </c>
      <c r="Q97" s="100" t="str">
        <f t="shared" ref="Q97:Q100" si="119">IF($E97&gt;=Q$31,MID($J$31,IF($E97&gt;Q$31,INT(P97),ROUND(P97,0))+1,1),"")</f>
        <v>4</v>
      </c>
      <c r="R97" s="8">
        <f>(P97-INT(P97))*12</f>
        <v>10.164233673695662</v>
      </c>
      <c r="S97" s="100" t="str">
        <f t="shared" ref="S97:S100" si="120">IF($E97&gt;=S$31,MID($J$31,IF($E97&gt;S$31,INT(R97),ROUND(R97,0))+1,1),"")</f>
        <v>X</v>
      </c>
      <c r="T97" s="8">
        <f>(R97-INT(R97))*12</f>
        <v>1.9708040843479466</v>
      </c>
      <c r="U97" s="100" t="str">
        <f t="shared" ref="U97:U100" si="121">IF($E97&gt;=U$31,MID($J$31,IF($E97&gt;U$31,INT(T97),ROUND(T97,0))+1,1),"")</f>
        <v>1</v>
      </c>
      <c r="V97" s="8">
        <f>(T97-INT(T97))*12</f>
        <v>11.64964901217536</v>
      </c>
      <c r="W97" s="100" t="str">
        <f t="shared" ref="W97:W100" si="122">IF($E97&gt;=W$31,MID($J$31,IF($E97&gt;W$31,INT(V97),ROUND(V97,0))+1,1),"")</f>
        <v>E</v>
      </c>
      <c r="X97" s="8">
        <f>(V97-INT(V97))*12</f>
        <v>7.7957881461043144</v>
      </c>
      <c r="Y97" s="100" t="str">
        <f t="shared" ref="Y97:Y100" si="123">IF($E97&gt;=Y$31,MID($J$31,IF($E97&gt;Y$31,INT(X97),ROUND(X97,0))+1,1),"")</f>
        <v>8</v>
      </c>
      <c r="Z97" s="8">
        <f>(X97-INT(X97))*12</f>
        <v>9.5494577532517724</v>
      </c>
      <c r="AA97" s="100" t="str">
        <f t="shared" ref="AA97:AA100" si="124">IF($E97&gt;=AA$31,MID($J$31,IF($E97&gt;AA$31,INT(Z97),ROUND(Z97,0))+1,1),"")</f>
        <v/>
      </c>
      <c r="AB97" s="8">
        <f>(Z97-INT(Z97))*12</f>
        <v>6.5934930390212685</v>
      </c>
      <c r="AC97" s="100" t="str">
        <f t="shared" ref="AC97:AC100" si="125">IF($E97&gt;=AC$31,MID($J$31,IF($E97&gt;AC$31,INT(AB97),ROUND(AB97,0))+1,1),"")</f>
        <v/>
      </c>
      <c r="AD97" s="8">
        <f>(AB97-INT(AB97))*12</f>
        <v>7.1219164682552218</v>
      </c>
      <c r="AE97" s="100" t="str">
        <f t="shared" ref="AE97:AE100" si="126">IF($E97&gt;=AE$31,MID($J$31,IF($E97&gt;AE$31,INT(AD97),ROUND(AD97,0))+1,1),"")</f>
        <v/>
      </c>
      <c r="AF97" s="8">
        <f>(AD97-INT(AD97))*12</f>
        <v>1.4629976190626621</v>
      </c>
      <c r="AG97" s="100" t="str">
        <f t="shared" ref="AG97:AG100" si="127">IF($E97&gt;=AG$31,MID($J$31,IF($E97&gt;AG$31,INT(AF97),ROUND(AF97,0))+1,1),"")</f>
        <v/>
      </c>
      <c r="AH97" s="8">
        <f>(AF97-INT(AF97))*12</f>
        <v>5.5559714287519455</v>
      </c>
      <c r="AI97" s="100" t="str">
        <f t="shared" ref="AI97:AI100" si="128">IF($E97&gt;=AI$31,MID($J$31,IF($E97&gt;AI$31,INT(AH97),ROUND(AH97,0))+1,1),"")</f>
        <v/>
      </c>
      <c r="AJ97" s="8">
        <f>(AH97-INT(AH97))*12</f>
        <v>6.6716571450233459</v>
      </c>
      <c r="AK97" s="100" t="str">
        <f t="shared" ref="AK97:AK100" si="129">IF($E97&gt;=AK$31,MID($J$31,IF($E97&gt;AK$31,INT(AJ97),ROUND(AJ97,0))+1,1),"")</f>
        <v/>
      </c>
    </row>
    <row r="98" spans="1:39">
      <c r="B98" s="111" t="s">
        <v>1174</v>
      </c>
      <c r="C98" s="30"/>
      <c r="D98" s="30">
        <f>solar_luminosity!C14</f>
        <v>7.8136058826780172E-9</v>
      </c>
      <c r="E98" s="30">
        <v>6</v>
      </c>
      <c r="F98" s="29">
        <f>D98/F$26</f>
        <v>5.2634964000226872E-12</v>
      </c>
      <c r="G98" s="112" t="str">
        <f t="shared" si="116"/>
        <v>3;XE1X98</v>
      </c>
      <c r="H98" s="112"/>
      <c r="I98" s="341"/>
      <c r="J98" s="43">
        <v>-11</v>
      </c>
      <c r="K98" s="113">
        <f>F98/POWER(12,J98)+0.00000000000001</f>
        <v>3.9108218843030205</v>
      </c>
      <c r="L98" s="44" t="str">
        <f>INDEX(powers!$H$2:$H$75,33+J98)</f>
        <v>atomic milly</v>
      </c>
      <c r="M98" s="101" t="str">
        <f t="shared" si="117"/>
        <v>3</v>
      </c>
      <c r="N98" s="8">
        <f>(K98-INT(K98))*12</f>
        <v>10.929862611636246</v>
      </c>
      <c r="O98" s="100" t="str">
        <f t="shared" si="118"/>
        <v>X</v>
      </c>
      <c r="P98" s="8">
        <f>(N98-INT(N98))*12</f>
        <v>11.158351339634947</v>
      </c>
      <c r="Q98" s="100" t="str">
        <f t="shared" si="119"/>
        <v>E</v>
      </c>
      <c r="R98" s="8">
        <f>(P98-INT(P98))*12</f>
        <v>1.9002160756193689</v>
      </c>
      <c r="S98" s="100" t="str">
        <f t="shared" si="120"/>
        <v>1</v>
      </c>
      <c r="T98" s="8">
        <f>(R98-INT(R98))*12</f>
        <v>10.802592907432427</v>
      </c>
      <c r="U98" s="100" t="str">
        <f t="shared" si="121"/>
        <v>X</v>
      </c>
      <c r="V98" s="8">
        <f>(T98-INT(T98))*12</f>
        <v>9.6311148891891207</v>
      </c>
      <c r="W98" s="100" t="str">
        <f t="shared" si="122"/>
        <v>9</v>
      </c>
      <c r="X98" s="8">
        <f>(V98-INT(V98))*12</f>
        <v>7.5733786702694488</v>
      </c>
      <c r="Y98" s="100" t="str">
        <f t="shared" si="123"/>
        <v>8</v>
      </c>
      <c r="Z98" s="8">
        <f>(X98-INT(X98))*12</f>
        <v>6.8805440432333853</v>
      </c>
      <c r="AA98" s="100" t="str">
        <f t="shared" si="124"/>
        <v/>
      </c>
      <c r="AB98" s="8">
        <f>(Z98-INT(Z98))*12</f>
        <v>10.566528518800624</v>
      </c>
      <c r="AC98" s="100" t="str">
        <f t="shared" si="125"/>
        <v/>
      </c>
      <c r="AD98" s="8">
        <f>(AB98-INT(AB98))*12</f>
        <v>6.7983422256074846</v>
      </c>
      <c r="AE98" s="100" t="str">
        <f t="shared" si="126"/>
        <v/>
      </c>
      <c r="AF98" s="8">
        <f>(AD98-INT(AD98))*12</f>
        <v>9.5801067072898149</v>
      </c>
      <c r="AG98" s="100" t="str">
        <f t="shared" si="127"/>
        <v/>
      </c>
      <c r="AH98" s="8">
        <f>(AF98-INT(AF98))*12</f>
        <v>6.9612804874777794</v>
      </c>
      <c r="AI98" s="100" t="str">
        <f t="shared" si="128"/>
        <v/>
      </c>
      <c r="AJ98" s="8">
        <f>(AH98-INT(AH98))*12</f>
        <v>11.535365849733353</v>
      </c>
      <c r="AK98" s="100" t="str">
        <f t="shared" si="129"/>
        <v/>
      </c>
    </row>
    <row r="99" spans="1:39">
      <c r="A99" s="470"/>
      <c r="B99" s="111" t="s">
        <v>1175</v>
      </c>
      <c r="C99" s="8"/>
      <c r="D99" s="8">
        <f>solar_luminosity!C12</f>
        <v>1.0251439109782231E-8</v>
      </c>
      <c r="E99" s="8">
        <v>6</v>
      </c>
      <c r="F99" s="21">
        <f>D99/F$26</f>
        <v>6.9056993223846819E-12</v>
      </c>
      <c r="G99" s="37" t="str">
        <f t="shared" si="116"/>
        <v>5;16X431</v>
      </c>
      <c r="H99" s="37"/>
      <c r="I99" s="340"/>
      <c r="J99" s="38">
        <v>-11</v>
      </c>
      <c r="K99" s="132">
        <f>F99/POWER(12,J99)+0.00000000000001</f>
        <v>5.130992401986278</v>
      </c>
      <c r="L99" s="39" t="str">
        <f>INDEX(powers!$H$2:$H$75,33+J99)</f>
        <v>atomic milly</v>
      </c>
      <c r="M99" s="101" t="str">
        <f t="shared" si="117"/>
        <v>5</v>
      </c>
      <c r="N99" s="8">
        <f>(K99-INT(K99))*12</f>
        <v>1.5719088238353365</v>
      </c>
      <c r="O99" s="100" t="str">
        <f t="shared" si="118"/>
        <v>1</v>
      </c>
      <c r="P99" s="8">
        <f>(N99-INT(N99))*12</f>
        <v>6.8629058860240377</v>
      </c>
      <c r="Q99" s="100" t="str">
        <f t="shared" si="119"/>
        <v>6</v>
      </c>
      <c r="R99" s="8">
        <f>(P99-INT(P99))*12</f>
        <v>10.354870632288453</v>
      </c>
      <c r="S99" s="100" t="str">
        <f t="shared" si="120"/>
        <v>X</v>
      </c>
      <c r="T99" s="8">
        <f>(R99-INT(R99))*12</f>
        <v>4.2584475874614327</v>
      </c>
      <c r="U99" s="100" t="str">
        <f t="shared" si="121"/>
        <v>4</v>
      </c>
      <c r="V99" s="8">
        <f>(T99-INT(T99))*12</f>
        <v>3.1013710495371924</v>
      </c>
      <c r="W99" s="100" t="str">
        <f t="shared" si="122"/>
        <v>3</v>
      </c>
      <c r="X99" s="8">
        <f>(V99-INT(V99))*12</f>
        <v>1.2164525944463094</v>
      </c>
      <c r="Y99" s="100" t="str">
        <f t="shared" si="123"/>
        <v>1</v>
      </c>
      <c r="Z99" s="8">
        <f>(X99-INT(X99))*12</f>
        <v>2.5974311333557125</v>
      </c>
      <c r="AA99" s="100" t="str">
        <f t="shared" si="124"/>
        <v/>
      </c>
      <c r="AB99" s="8">
        <f>(Z99-INT(Z99))*12</f>
        <v>7.1691736002685502</v>
      </c>
      <c r="AC99" s="100" t="str">
        <f t="shared" si="125"/>
        <v/>
      </c>
      <c r="AD99" s="8">
        <f>(AB99-INT(AB99))*12</f>
        <v>2.0300832032226026</v>
      </c>
      <c r="AE99" s="100" t="str">
        <f t="shared" si="126"/>
        <v/>
      </c>
      <c r="AF99" s="8">
        <f>(AD99-INT(AD99))*12</f>
        <v>0.36099843867123127</v>
      </c>
      <c r="AG99" s="100" t="str">
        <f t="shared" si="127"/>
        <v/>
      </c>
      <c r="AH99" s="8">
        <f>(AF99-INT(AF99))*12</f>
        <v>4.3319812640547752</v>
      </c>
      <c r="AI99" s="100" t="str">
        <f t="shared" si="128"/>
        <v/>
      </c>
      <c r="AJ99" s="8">
        <f>(AH99-INT(AH99))*12</f>
        <v>3.9837751686573029</v>
      </c>
      <c r="AK99" s="100" t="str">
        <f t="shared" si="129"/>
        <v/>
      </c>
    </row>
    <row r="100" spans="1:39" ht="12.75" thickBot="1">
      <c r="B100" s="109" t="s">
        <v>1176</v>
      </c>
      <c r="C100" s="463"/>
      <c r="D100" s="463">
        <f>solar_luminosity!C11</f>
        <v>2.5750450803308634E-8</v>
      </c>
      <c r="E100" s="463">
        <v>6</v>
      </c>
      <c r="F100" s="464">
        <f>D100/F$26</f>
        <v>1.7346332427982983E-11</v>
      </c>
      <c r="G100" s="465" t="str">
        <f t="shared" si="116"/>
        <v>1;0X7E34</v>
      </c>
      <c r="H100" s="465"/>
      <c r="I100" s="466"/>
      <c r="J100" s="467">
        <v>-10</v>
      </c>
      <c r="K100" s="468">
        <f>F100/POWER(12,J100)+0.00000000000001</f>
        <v>1.0740391828940148</v>
      </c>
      <c r="L100" s="469" t="str">
        <f>INDEX(powers!$H$2:$H$75,33+J100)</f>
        <v>atomic centy</v>
      </c>
      <c r="M100" s="101" t="str">
        <f t="shared" si="117"/>
        <v>1</v>
      </c>
      <c r="N100" s="8">
        <f>(K100-INT(K100))*12</f>
        <v>0.88847019472817745</v>
      </c>
      <c r="O100" s="100" t="str">
        <f t="shared" si="118"/>
        <v>0</v>
      </c>
      <c r="P100" s="8">
        <f>(N100-INT(N100))*12</f>
        <v>10.661642336738129</v>
      </c>
      <c r="Q100" s="100" t="str">
        <f t="shared" si="119"/>
        <v>X</v>
      </c>
      <c r="R100" s="8">
        <f>(P100-INT(P100))*12</f>
        <v>7.9397080408575533</v>
      </c>
      <c r="S100" s="100" t="str">
        <f t="shared" si="120"/>
        <v>7</v>
      </c>
      <c r="T100" s="8">
        <f>(R100-INT(R100))*12</f>
        <v>11.27649649029064</v>
      </c>
      <c r="U100" s="100" t="str">
        <f t="shared" si="121"/>
        <v>E</v>
      </c>
      <c r="V100" s="8">
        <f>(T100-INT(T100))*12</f>
        <v>3.3179578834876793</v>
      </c>
      <c r="W100" s="100" t="str">
        <f t="shared" si="122"/>
        <v>3</v>
      </c>
      <c r="X100" s="8">
        <f>(V100-INT(V100))*12</f>
        <v>3.8154946018521514</v>
      </c>
      <c r="Y100" s="100" t="str">
        <f t="shared" si="123"/>
        <v>4</v>
      </c>
      <c r="Z100" s="8">
        <f>(X100-INT(X100))*12</f>
        <v>9.7859352222258167</v>
      </c>
      <c r="AA100" s="100" t="str">
        <f t="shared" si="124"/>
        <v/>
      </c>
      <c r="AB100" s="8">
        <f>(Z100-INT(Z100))*12</f>
        <v>9.4312226667098003</v>
      </c>
      <c r="AC100" s="100" t="str">
        <f t="shared" si="125"/>
        <v/>
      </c>
      <c r="AD100" s="8">
        <f>(AB100-INT(AB100))*12</f>
        <v>5.174672000517603</v>
      </c>
      <c r="AE100" s="100" t="str">
        <f t="shared" si="126"/>
        <v/>
      </c>
      <c r="AF100" s="8">
        <f>(AD100-INT(AD100))*12</f>
        <v>2.0960640062112361</v>
      </c>
      <c r="AG100" s="100" t="str">
        <f t="shared" si="127"/>
        <v/>
      </c>
      <c r="AH100" s="8">
        <f>(AF100-INT(AF100))*12</f>
        <v>1.1527680745348334</v>
      </c>
      <c r="AI100" s="100" t="str">
        <f t="shared" si="128"/>
        <v/>
      </c>
      <c r="AJ100" s="8">
        <f>(AH100-INT(AH100))*12</f>
        <v>1.8332168944180012</v>
      </c>
      <c r="AK100" s="100" t="str">
        <f t="shared" si="129"/>
        <v/>
      </c>
    </row>
    <row r="101" spans="1:39">
      <c r="B101" s="247"/>
      <c r="C101" s="247"/>
      <c r="D101" s="247"/>
      <c r="E101" s="247"/>
      <c r="F101" s="266"/>
      <c r="G101" s="249"/>
      <c r="H101" s="249"/>
      <c r="I101" s="348"/>
      <c r="J101" s="250"/>
      <c r="K101" s="251"/>
      <c r="L101" s="251"/>
      <c r="M101" s="252"/>
      <c r="N101" s="247"/>
      <c r="O101" s="252"/>
      <c r="P101" s="247"/>
      <c r="Q101" s="252"/>
      <c r="R101" s="247"/>
      <c r="S101" s="252"/>
      <c r="T101" s="247"/>
      <c r="U101" s="252"/>
      <c r="V101" s="247"/>
      <c r="W101" s="252"/>
      <c r="X101" s="247"/>
      <c r="Y101" s="252"/>
      <c r="Z101" s="247"/>
      <c r="AA101" s="252"/>
      <c r="AB101" s="247"/>
      <c r="AC101" s="252"/>
      <c r="AD101" s="247"/>
      <c r="AE101" s="252"/>
      <c r="AF101" s="247"/>
      <c r="AG101" s="252"/>
      <c r="AH101" s="247"/>
      <c r="AI101" s="252"/>
      <c r="AJ101" s="247"/>
      <c r="AK101" s="252"/>
    </row>
    <row r="102" spans="1:39" ht="12.75" thickBot="1">
      <c r="B102" s="14" t="s">
        <v>1530</v>
      </c>
      <c r="K102" s="79"/>
      <c r="L102" s="79"/>
      <c r="M102" s="79"/>
    </row>
    <row r="103" spans="1:39" ht="12.75" thickBot="1">
      <c r="B103" s="68" t="s">
        <v>1531</v>
      </c>
      <c r="C103" s="69"/>
      <c r="D103" s="70">
        <f>D64*D35*D35/POWER(D66*2/PI(),2)</f>
        <v>9.8312076424550749</v>
      </c>
      <c r="E103" s="69">
        <v>7</v>
      </c>
      <c r="F103" s="70">
        <f>D103/(F3/F4/F4)</f>
        <v>5.3741567567096187</v>
      </c>
      <c r="G103" s="71" t="str">
        <f t="shared" ref="G103" si="130">M103&amp;";"&amp;O103&amp;Q103&amp;S103&amp;U103&amp;W103&amp;Y103&amp;AA103&amp;AC103&amp;AE103&amp;AG103&amp;AI103&amp;AK103</f>
        <v>5;45X6621</v>
      </c>
      <c r="H103" s="71"/>
      <c r="I103" s="355"/>
      <c r="J103" s="72">
        <v>0</v>
      </c>
      <c r="K103" s="73">
        <f>F103/POWER(12,J103)+0.00000000000001</f>
        <v>5.3741567567096284</v>
      </c>
      <c r="L103" s="74" t="str">
        <f>INDEX(powers!$H$2:$H$75,33+J103)</f>
        <v xml:space="preserve"> </v>
      </c>
      <c r="M103" s="75" t="str">
        <f t="shared" ref="M103" si="131">IF($E103&gt;=M$31,MID($J$31,IF($E103&gt;M$31,INT(K103),ROUND(K103,0))+1,1),"")</f>
        <v>5</v>
      </c>
      <c r="N103" s="76">
        <f>(K103-INT(K103))*12</f>
        <v>4.4898810805155414</v>
      </c>
      <c r="O103" s="77" t="str">
        <f t="shared" ref="O103" si="132">IF($E103&gt;=O$31,MID($J$31,IF($E103&gt;O$31,INT(N103),ROUND(N103,0))+1,1),"")</f>
        <v>4</v>
      </c>
      <c r="P103" s="76">
        <f>(N103-INT(N103))*12</f>
        <v>5.8785729661864963</v>
      </c>
      <c r="Q103" s="77" t="str">
        <f t="shared" ref="Q103" si="133">IF($E103&gt;=Q$31,MID($J$31,IF($E103&gt;Q$31,INT(P103),ROUND(P103,0))+1,1),"")</f>
        <v>5</v>
      </c>
      <c r="R103" s="76">
        <f>(P103-INT(P103))*12</f>
        <v>10.542875594237955</v>
      </c>
      <c r="S103" s="77" t="str">
        <f t="shared" ref="S103" si="134">IF($E103&gt;=S$31,MID($J$31,IF($E103&gt;S$31,INT(R103),ROUND(R103,0))+1,1),"")</f>
        <v>X</v>
      </c>
      <c r="T103" s="76">
        <f>(R103-INT(R103))*12</f>
        <v>6.5145071308554634</v>
      </c>
      <c r="U103" s="77" t="str">
        <f t="shared" ref="U103" si="135">IF($E103&gt;=U$31,MID($J$31,IF($E103&gt;U$31,INT(T103),ROUND(T103,0))+1,1),"")</f>
        <v>6</v>
      </c>
      <c r="V103" s="76">
        <f>(T103-INT(T103))*12</f>
        <v>6.1740855702655608</v>
      </c>
      <c r="W103" s="77" t="str">
        <f t="shared" ref="W103" si="136">IF($E103&gt;=W$31,MID($J$31,IF($E103&gt;W$31,INT(V103),ROUND(V103,0))+1,1),"")</f>
        <v>6</v>
      </c>
      <c r="X103" s="76">
        <f>(V103-INT(V103))*12</f>
        <v>2.0890268431867298</v>
      </c>
      <c r="Y103" s="77" t="str">
        <f t="shared" ref="Y103" si="137">IF($E103&gt;=Y$31,MID($J$31,IF($E103&gt;Y$31,INT(X103),ROUND(X103,0))+1,1),"")</f>
        <v>2</v>
      </c>
      <c r="Z103" s="76">
        <f>(X103-INT(X103))*12</f>
        <v>1.0683221182407578</v>
      </c>
      <c r="AA103" s="77" t="str">
        <f t="shared" ref="AA103" si="138">IF($E103&gt;=AA$31,MID($J$31,IF($E103&gt;AA$31,INT(Z103),ROUND(Z103,0))+1,1),"")</f>
        <v>1</v>
      </c>
      <c r="AB103" s="76">
        <f>(Z103-INT(Z103))*12</f>
        <v>0.81986541888909414</v>
      </c>
      <c r="AC103" s="77" t="str">
        <f t="shared" ref="AC103" si="139">IF($E103&gt;=AC$31,MID($J$31,IF($E103&gt;AC$31,INT(AB103),ROUND(AB103,0))+1,1),"")</f>
        <v/>
      </c>
      <c r="AD103" s="76">
        <f>(AB103-INT(AB103))*12</f>
        <v>9.8383850266691297</v>
      </c>
      <c r="AE103" s="77" t="str">
        <f t="shared" ref="AE103" si="140">IF($E103&gt;=AE$31,MID($J$31,IF($E103&gt;AE$31,INT(AD103),ROUND(AD103,0))+1,1),"")</f>
        <v/>
      </c>
      <c r="AF103" s="76">
        <f>(AD103-INT(AD103))*12</f>
        <v>10.060620320029557</v>
      </c>
      <c r="AG103" s="77" t="str">
        <f t="shared" ref="AG103" si="141">IF($E103&gt;=AG$31,MID($J$31,IF($E103&gt;AG$31,INT(AF103),ROUND(AF103,0))+1,1),"")</f>
        <v/>
      </c>
      <c r="AH103" s="76">
        <f>(AF103-INT(AF103))*12</f>
        <v>0.72744384035468102</v>
      </c>
      <c r="AI103" s="77" t="str">
        <f t="shared" ref="AI103" si="142">IF($E103&gt;=AI$31,MID($J$31,IF($E103&gt;AI$31,INT(AH103),ROUND(AH103,0))+1,1),"")</f>
        <v/>
      </c>
      <c r="AJ103" s="76">
        <f>(AH103-INT(AH103))*12</f>
        <v>8.7293260842561722</v>
      </c>
      <c r="AK103" s="78" t="str">
        <f t="shared" ref="AK103" si="143">IF($E103&gt;=AK$31,MID($J$31,IF($E103&gt;AK$31,INT(AJ103),ROUND(AJ103,0))+1,1),"")</f>
        <v/>
      </c>
    </row>
    <row r="104" spans="1:39">
      <c r="B104" s="247"/>
      <c r="C104" s="247"/>
      <c r="D104" s="247"/>
      <c r="E104" s="247"/>
      <c r="F104" s="266"/>
      <c r="G104" s="249"/>
      <c r="H104" s="249"/>
      <c r="I104" s="348"/>
      <c r="J104" s="250"/>
      <c r="K104" s="251"/>
      <c r="L104" s="251"/>
      <c r="M104" s="252"/>
      <c r="N104" s="247"/>
      <c r="O104" s="252"/>
      <c r="P104" s="247"/>
      <c r="Q104" s="252"/>
      <c r="R104" s="247"/>
      <c r="S104" s="252"/>
      <c r="T104" s="247"/>
      <c r="U104" s="252"/>
      <c r="V104" s="247"/>
      <c r="W104" s="252"/>
      <c r="X104" s="247"/>
      <c r="Y104" s="252"/>
      <c r="Z104" s="247"/>
      <c r="AA104" s="252"/>
      <c r="AB104" s="247"/>
      <c r="AC104" s="252"/>
      <c r="AD104" s="247"/>
      <c r="AE104" s="252"/>
      <c r="AF104" s="247"/>
      <c r="AG104" s="252"/>
      <c r="AH104" s="247"/>
      <c r="AI104" s="252"/>
      <c r="AJ104" s="247"/>
      <c r="AK104" s="252"/>
    </row>
    <row r="105" spans="1:39" ht="12.75" thickBot="1">
      <c r="B105" s="14" t="s">
        <v>1146</v>
      </c>
      <c r="K105" s="79"/>
      <c r="L105" s="79"/>
      <c r="M105" s="79"/>
    </row>
    <row r="106" spans="1:39">
      <c r="B106" s="102" t="s">
        <v>115</v>
      </c>
      <c r="C106" s="103"/>
      <c r="D106" s="104"/>
      <c r="E106" s="103">
        <v>9</v>
      </c>
      <c r="F106" s="104">
        <f>Clock!F96</f>
        <v>1.0020361796982167</v>
      </c>
      <c r="G106" s="105" t="str">
        <f t="shared" ref="G106:G108" si="144">M106&amp;";"&amp;O106&amp;Q106&amp;S106&amp;U106&amp;W106&amp;Y106&amp;AA106&amp;AC106&amp;AE106&amp;AG106&amp;AI106&amp;AK106</f>
        <v>1;003628000</v>
      </c>
      <c r="H106" s="105"/>
      <c r="I106" s="345"/>
      <c r="J106" s="106">
        <v>0</v>
      </c>
      <c r="K106" s="107">
        <f>F106/POWER(12,J106)+0.00000000000001</f>
        <v>1.0020361796982267</v>
      </c>
      <c r="L106" s="108" t="str">
        <f>INDEX(powers!$H$2:$H$75,33+J106)</f>
        <v xml:space="preserve"> </v>
      </c>
      <c r="M106" s="75" t="str">
        <f t="shared" ref="M106:M108" si="145">IF($E106&gt;=M$31,MID($J$31,IF($E106&gt;M$31,INT(K106),ROUND(K106,0))+1,1),"")</f>
        <v>1</v>
      </c>
      <c r="N106" s="76">
        <f>(K106-INT(K106))*12</f>
        <v>2.443415637872004E-2</v>
      </c>
      <c r="O106" s="77" t="str">
        <f t="shared" ref="O106:O108" si="146">IF($E106&gt;=O$31,MID($J$31,IF($E106&gt;O$31,INT(N106),ROUND(N106,0))+1,1),"")</f>
        <v>0</v>
      </c>
      <c r="P106" s="76">
        <f>(N106-INT(N106))*12</f>
        <v>0.29320987654464048</v>
      </c>
      <c r="Q106" s="77" t="str">
        <f t="shared" ref="Q106:Q108" si="147">IF($E106&gt;=Q$31,MID($J$31,IF($E106&gt;Q$31,INT(P106),ROUND(P106,0))+1,1),"")</f>
        <v>0</v>
      </c>
      <c r="R106" s="76">
        <f>(P106-INT(P106))*12</f>
        <v>3.5185185185356858</v>
      </c>
      <c r="S106" s="77" t="str">
        <f t="shared" ref="S106:S108" si="148">IF($E106&gt;=S$31,MID($J$31,IF($E106&gt;S$31,INT(R106),ROUND(R106,0))+1,1),"")</f>
        <v>3</v>
      </c>
      <c r="T106" s="76">
        <f>(R106-INT(R106))*12</f>
        <v>6.2222222224282291</v>
      </c>
      <c r="U106" s="77" t="str">
        <f t="shared" ref="U106:U108" si="149">IF($E106&gt;=U$31,MID($J$31,IF($E106&gt;U$31,INT(T106),ROUND(T106,0))+1,1),"")</f>
        <v>6</v>
      </c>
      <c r="V106" s="76">
        <f>(T106-INT(T106))*12</f>
        <v>2.6666666691387491</v>
      </c>
      <c r="W106" s="77" t="str">
        <f t="shared" ref="W106:W108" si="150">IF($E106&gt;=W$31,MID($J$31,IF($E106&gt;W$31,INT(V106),ROUND(V106,0))+1,1),"")</f>
        <v>2</v>
      </c>
      <c r="X106" s="76">
        <f>(V106-INT(V106))*12</f>
        <v>8.0000000296649887</v>
      </c>
      <c r="Y106" s="77" t="str">
        <f t="shared" ref="Y106:Y108" si="151">IF($E106&gt;=Y$31,MID($J$31,IF($E106&gt;Y$31,INT(X106),ROUND(X106,0))+1,1),"")</f>
        <v>8</v>
      </c>
      <c r="Z106" s="76">
        <f>(X106-INT(X106))*12</f>
        <v>3.559798642527312E-7</v>
      </c>
      <c r="AA106" s="77" t="str">
        <f t="shared" ref="AA106:AA108" si="152">IF($E106&gt;=AA$31,MID($J$31,IF($E106&gt;AA$31,INT(Z106),ROUND(Z106,0))+1,1),"")</f>
        <v>0</v>
      </c>
      <c r="AB106" s="76">
        <f>(Z106-INT(Z106))*12</f>
        <v>4.2717583710327744E-6</v>
      </c>
      <c r="AC106" s="77" t="str">
        <f t="shared" ref="AC106:AC108" si="153">IF($E106&gt;=AC$31,MID($J$31,IF($E106&gt;AC$31,INT(AB106),ROUND(AB106,0))+1,1),"")</f>
        <v>0</v>
      </c>
      <c r="AD106" s="76">
        <f>(AB106-INT(AB106))*12</f>
        <v>5.1261100452393293E-5</v>
      </c>
      <c r="AE106" s="77" t="str">
        <f t="shared" ref="AE106:AE108" si="154">IF($E106&gt;=AE$31,MID($J$31,IF($E106&gt;AE$31,INT(AD106),ROUND(AD106,0))+1,1),"")</f>
        <v>0</v>
      </c>
      <c r="AF106" s="76">
        <f>(AD106-INT(AD106))*12</f>
        <v>6.1513320542871952E-4</v>
      </c>
      <c r="AG106" s="77" t="str">
        <f t="shared" ref="AG106:AG108" si="155">IF($E106&gt;=AG$31,MID($J$31,IF($E106&gt;AG$31,INT(AF106),ROUND(AF106,0))+1,1),"")</f>
        <v/>
      </c>
      <c r="AH106" s="76">
        <f>(AF106-INT(AF106))*12</f>
        <v>7.3815984651446342E-3</v>
      </c>
      <c r="AI106" s="77" t="str">
        <f t="shared" ref="AI106:AI108" si="156">IF($E106&gt;=AI$31,MID($J$31,IF($E106&gt;AI$31,INT(AH106),ROUND(AH106,0))+1,1),"")</f>
        <v/>
      </c>
      <c r="AJ106" s="76">
        <f>(AH106-INT(AH106))*12</f>
        <v>8.8579181581735611E-2</v>
      </c>
      <c r="AK106" s="78" t="str">
        <f t="shared" ref="AK106:AK108" si="157">IF($E106&gt;=AK$31,MID($J$31,IF($E106&gt;AK$31,INT(AJ106),ROUND(AJ106,0))+1,1),"")</f>
        <v/>
      </c>
    </row>
    <row r="107" spans="1:39">
      <c r="B107" s="111" t="s">
        <v>204</v>
      </c>
      <c r="C107" s="30"/>
      <c r="D107" s="30"/>
      <c r="E107" s="30">
        <v>12</v>
      </c>
      <c r="F107" s="29">
        <f>F4/Clock!F4</f>
        <v>1</v>
      </c>
      <c r="G107" s="112" t="str">
        <f t="shared" si="144"/>
        <v>1;000000000000</v>
      </c>
      <c r="H107" s="112"/>
      <c r="I107" s="341"/>
      <c r="J107" s="43">
        <v>0</v>
      </c>
      <c r="K107" s="113">
        <f>F107/POWER(12,J107)+0.00000000000001</f>
        <v>1.00000000000001</v>
      </c>
      <c r="L107" s="44" t="str">
        <f>INDEX(powers!$H$2:$H$75,33+J107)</f>
        <v xml:space="preserve"> </v>
      </c>
      <c r="M107" s="101" t="str">
        <f t="shared" si="145"/>
        <v>1</v>
      </c>
      <c r="N107" s="8">
        <f>(K107-INT(K107))*12</f>
        <v>1.1990408665951691E-13</v>
      </c>
      <c r="O107" s="100" t="str">
        <f t="shared" si="146"/>
        <v>0</v>
      </c>
      <c r="P107" s="8">
        <f>(N107-INT(N107))*12</f>
        <v>1.4388490399142029E-12</v>
      </c>
      <c r="Q107" s="100" t="str">
        <f t="shared" si="147"/>
        <v>0</v>
      </c>
      <c r="R107" s="8">
        <f>(P107-INT(P107))*12</f>
        <v>1.7266188478970435E-11</v>
      </c>
      <c r="S107" s="100" t="str">
        <f t="shared" si="148"/>
        <v>0</v>
      </c>
      <c r="T107" s="8">
        <f>(R107-INT(R107))*12</f>
        <v>2.0719426174764521E-10</v>
      </c>
      <c r="U107" s="100" t="str">
        <f t="shared" si="149"/>
        <v>0</v>
      </c>
      <c r="V107" s="8">
        <f>(T107-INT(T107))*12</f>
        <v>2.4863311409717426E-9</v>
      </c>
      <c r="W107" s="100" t="str">
        <f t="shared" si="150"/>
        <v>0</v>
      </c>
      <c r="X107" s="8">
        <f>(V107-INT(V107))*12</f>
        <v>2.9835973691660911E-8</v>
      </c>
      <c r="Y107" s="100" t="str">
        <f t="shared" si="151"/>
        <v>0</v>
      </c>
      <c r="Z107" s="8">
        <f>(X107-INT(X107))*12</f>
        <v>3.5803168429993093E-7</v>
      </c>
      <c r="AA107" s="100" t="str">
        <f t="shared" si="152"/>
        <v>0</v>
      </c>
      <c r="AB107" s="8">
        <f>(Z107-INT(Z107))*12</f>
        <v>4.2963802115991712E-6</v>
      </c>
      <c r="AC107" s="100" t="str">
        <f t="shared" si="153"/>
        <v>0</v>
      </c>
      <c r="AD107" s="8">
        <f>(AB107-INT(AB107))*12</f>
        <v>5.1556562539190054E-5</v>
      </c>
      <c r="AE107" s="100" t="str">
        <f t="shared" si="154"/>
        <v>0</v>
      </c>
      <c r="AF107" s="8">
        <f>(AD107-INT(AD107))*12</f>
        <v>6.1867875047028065E-4</v>
      </c>
      <c r="AG107" s="100" t="str">
        <f t="shared" si="155"/>
        <v>0</v>
      </c>
      <c r="AH107" s="8">
        <f>(AF107-INT(AF107))*12</f>
        <v>7.4241450056433678E-3</v>
      </c>
      <c r="AI107" s="100" t="str">
        <f t="shared" si="156"/>
        <v>0</v>
      </c>
      <c r="AJ107" s="8">
        <f>(AH107-INT(AH107))*12</f>
        <v>8.9089740067720413E-2</v>
      </c>
      <c r="AK107" s="100" t="str">
        <f t="shared" si="157"/>
        <v>0</v>
      </c>
    </row>
    <row r="108" spans="1:39" ht="12.75" thickBot="1">
      <c r="B108" s="109" t="s">
        <v>205</v>
      </c>
      <c r="C108" s="33"/>
      <c r="D108" s="33"/>
      <c r="E108" s="33">
        <v>12</v>
      </c>
      <c r="F108" s="32">
        <f>F5/Clock!F5</f>
        <v>1.1033710461823019</v>
      </c>
      <c r="G108" s="47" t="str">
        <f t="shared" si="144"/>
        <v>1;12X760359083</v>
      </c>
      <c r="H108" s="47"/>
      <c r="I108" s="342"/>
      <c r="J108" s="48">
        <v>0</v>
      </c>
      <c r="K108" s="110">
        <f>F108/POWER(12,J108)+0.00000000000001</f>
        <v>1.1033710461823119</v>
      </c>
      <c r="L108" s="49" t="str">
        <f>INDEX(powers!$H$2:$H$75,33+J108)</f>
        <v xml:space="preserve"> </v>
      </c>
      <c r="M108" s="101" t="str">
        <f t="shared" si="145"/>
        <v>1</v>
      </c>
      <c r="N108" s="8">
        <f>(K108-INT(K108))*12</f>
        <v>1.2404525541877423</v>
      </c>
      <c r="O108" s="100" t="str">
        <f t="shared" si="146"/>
        <v>1</v>
      </c>
      <c r="P108" s="8">
        <f>(N108-INT(N108))*12</f>
        <v>2.885430650252907</v>
      </c>
      <c r="Q108" s="100" t="str">
        <f t="shared" si="147"/>
        <v>2</v>
      </c>
      <c r="R108" s="8">
        <f>(P108-INT(P108))*12</f>
        <v>10.625167803034884</v>
      </c>
      <c r="S108" s="100" t="str">
        <f t="shared" si="148"/>
        <v>X</v>
      </c>
      <c r="T108" s="8">
        <f>(R108-INT(R108))*12</f>
        <v>7.5020136364186101</v>
      </c>
      <c r="U108" s="100" t="str">
        <f t="shared" si="149"/>
        <v>7</v>
      </c>
      <c r="V108" s="8">
        <f>(T108-INT(T108))*12</f>
        <v>6.0241636370233209</v>
      </c>
      <c r="W108" s="100" t="str">
        <f t="shared" si="150"/>
        <v>6</v>
      </c>
      <c r="X108" s="8">
        <f>(V108-INT(V108))*12</f>
        <v>0.289963644279851</v>
      </c>
      <c r="Y108" s="100" t="str">
        <f t="shared" si="151"/>
        <v>0</v>
      </c>
      <c r="Z108" s="8">
        <f>(X108-INT(X108))*12</f>
        <v>3.479563731358212</v>
      </c>
      <c r="AA108" s="100" t="str">
        <f t="shared" si="152"/>
        <v>3</v>
      </c>
      <c r="AB108" s="8">
        <f>(Z108-INT(Z108))*12</f>
        <v>5.7547647762985434</v>
      </c>
      <c r="AC108" s="100" t="str">
        <f t="shared" si="153"/>
        <v>5</v>
      </c>
      <c r="AD108" s="8">
        <f>(AB108-INT(AB108))*12</f>
        <v>9.0571773155825213</v>
      </c>
      <c r="AE108" s="100" t="str">
        <f t="shared" si="154"/>
        <v>9</v>
      </c>
      <c r="AF108" s="8">
        <f>(AD108-INT(AD108))*12</f>
        <v>0.68612778699025512</v>
      </c>
      <c r="AG108" s="100" t="str">
        <f t="shared" si="155"/>
        <v>0</v>
      </c>
      <c r="AH108" s="8">
        <f>(AF108-INT(AF108))*12</f>
        <v>8.2335334438830614</v>
      </c>
      <c r="AI108" s="100" t="str">
        <f t="shared" si="156"/>
        <v>8</v>
      </c>
      <c r="AJ108" s="8">
        <f>(AH108-INT(AH108))*12</f>
        <v>2.8024013265967369</v>
      </c>
      <c r="AK108" s="100" t="str">
        <f t="shared" si="157"/>
        <v>3</v>
      </c>
    </row>
    <row r="109" spans="1:39">
      <c r="B109" s="247"/>
      <c r="C109" s="247"/>
      <c r="D109" s="247"/>
      <c r="E109" s="247"/>
      <c r="F109" s="266"/>
      <c r="G109" s="249"/>
      <c r="H109" s="249"/>
      <c r="I109" s="348"/>
      <c r="J109" s="250"/>
      <c r="K109" s="251"/>
      <c r="L109" s="251"/>
      <c r="M109" s="252"/>
      <c r="N109" s="247"/>
      <c r="O109" s="252"/>
      <c r="P109" s="247"/>
      <c r="Q109" s="252"/>
      <c r="R109" s="247"/>
      <c r="S109" s="252"/>
      <c r="T109" s="247"/>
      <c r="U109" s="252"/>
      <c r="V109" s="247"/>
      <c r="W109" s="252"/>
      <c r="X109" s="247"/>
      <c r="Y109" s="252"/>
      <c r="Z109" s="247"/>
      <c r="AA109" s="252"/>
      <c r="AB109" s="247"/>
      <c r="AC109" s="252"/>
      <c r="AD109" s="247"/>
      <c r="AE109" s="252"/>
      <c r="AF109" s="247"/>
      <c r="AG109" s="252"/>
      <c r="AH109" s="247"/>
      <c r="AI109" s="252"/>
      <c r="AJ109" s="247"/>
      <c r="AK109" s="252"/>
    </row>
    <row r="110" spans="1:39" ht="12.75" thickBot="1">
      <c r="B110" s="14" t="s">
        <v>1145</v>
      </c>
      <c r="C110" s="619" t="s">
        <v>664</v>
      </c>
      <c r="D110" s="253">
        <f>AM111</f>
        <v>-65.388549499005478</v>
      </c>
      <c r="F110" s="245"/>
      <c r="G110" s="204"/>
      <c r="H110" s="204"/>
    </row>
    <row r="111" spans="1:39">
      <c r="B111" s="102" t="s">
        <v>652</v>
      </c>
      <c r="C111" s="255" t="s">
        <v>632</v>
      </c>
      <c r="D111" s="257">
        <v>-273.14999999999998</v>
      </c>
      <c r="E111" s="103">
        <v>9</v>
      </c>
      <c r="F111" s="238">
        <f t="shared" ref="F111:F133" si="158">(D111-D$110)/F$6/20736</f>
        <v>-164.19068287037035</v>
      </c>
      <c r="G111" s="254" t="str">
        <f>"-"&amp;M111&amp;";"&amp;O111&amp;Q111&amp;S111&amp;U111&amp;W111&amp;Y111&amp;AA111&amp;AC111&amp;AE111&amp;AG111&amp;AI111&amp;AK111</f>
        <v>-1;182356000</v>
      </c>
      <c r="H111" s="254"/>
      <c r="I111" s="346"/>
      <c r="J111" s="239">
        <v>2</v>
      </c>
      <c r="K111" s="240">
        <f>-F111/POWER(12,J111)+0.00000000000001</f>
        <v>1.140213075488693</v>
      </c>
      <c r="L111" s="108" t="str">
        <f>INDEX(powers!$H$2:$H$75,33+J111)</f>
        <v>hecty</v>
      </c>
      <c r="M111" s="101" t="str">
        <f t="shared" ref="M111:M133" si="159">IF($E111&gt;=M$31,MID($J$31,IF($E111&gt;M$31,INT(K111),ROUND(K111,0))+1,1),"")</f>
        <v>1</v>
      </c>
      <c r="N111" s="8">
        <f t="shared" ref="N111:N133" si="160">(K111-INT(K111))*12</f>
        <v>1.6825569058643159</v>
      </c>
      <c r="O111" s="100" t="str">
        <f t="shared" ref="O111:O133" si="161">IF($E111&gt;=O$31,MID($J$31,IF($E111&gt;O$31,INT(N111),ROUND(N111,0))+1,1),"")</f>
        <v>1</v>
      </c>
      <c r="P111" s="8">
        <f t="shared" ref="P111:P133" si="162">(N111-INT(N111))*12</f>
        <v>8.1906828703717913</v>
      </c>
      <c r="Q111" s="100" t="str">
        <f t="shared" ref="Q111:Q133" si="163">IF($E111&gt;=Q$31,MID($J$31,IF($E111&gt;Q$31,INT(P111),ROUND(P111,0))+1,1),"")</f>
        <v>8</v>
      </c>
      <c r="R111" s="8">
        <f t="shared" ref="R111:R133" si="164">(P111-INT(P111))*12</f>
        <v>2.2881944444614959</v>
      </c>
      <c r="S111" s="100" t="str">
        <f t="shared" ref="S111:S133" si="165">IF($E111&gt;=S$31,MID($J$31,IF($E111&gt;S$31,INT(R111),ROUND(R111,0))+1,1),"")</f>
        <v>2</v>
      </c>
      <c r="T111" s="8">
        <f t="shared" ref="T111:T133" si="166">(R111-INT(R111))*12</f>
        <v>3.4583333335379507</v>
      </c>
      <c r="U111" s="100" t="str">
        <f t="shared" ref="U111:U133" si="167">IF($E111&gt;=U$31,MID($J$31,IF($E111&gt;U$31,INT(T111),ROUND(T111,0))+1,1),"")</f>
        <v>3</v>
      </c>
      <c r="V111" s="8">
        <f t="shared" ref="V111:V133" si="168">(T111-INT(T111))*12</f>
        <v>5.5000000024554083</v>
      </c>
      <c r="W111" s="100" t="str">
        <f t="shared" ref="W111:W133" si="169">IF($E111&gt;=W$31,MID($J$31,IF($E111&gt;W$31,INT(V111),ROUND(V111,0))+1,1),"")</f>
        <v>5</v>
      </c>
      <c r="X111" s="8">
        <f t="shared" ref="X111:X133" si="170">(V111-INT(V111))*12</f>
        <v>6.0000000294648999</v>
      </c>
      <c r="Y111" s="100" t="str">
        <f t="shared" ref="Y111:Y133" si="171">IF($E111&gt;=Y$31,MID($J$31,IF($E111&gt;Y$31,INT(X111),ROUND(X111,0))+1,1),"")</f>
        <v>6</v>
      </c>
      <c r="Z111" s="8">
        <f t="shared" ref="Z111:Z133" si="172">(X111-INT(X111))*12</f>
        <v>3.5357879824005067E-7</v>
      </c>
      <c r="AA111" s="100" t="str">
        <f t="shared" ref="AA111:AA133" si="173">IF($E111&gt;=AA$31,MID($J$31,IF($E111&gt;AA$31,INT(Z111),ROUND(Z111,0))+1,1),"")</f>
        <v>0</v>
      </c>
      <c r="AB111" s="8">
        <f t="shared" ref="AB111:AB133" si="174">(Z111-INT(Z111))*12</f>
        <v>4.2429455788806081E-6</v>
      </c>
      <c r="AC111" s="100" t="str">
        <f t="shared" ref="AC111:AC133" si="175">IF($E111&gt;=AC$31,MID($J$31,IF($E111&gt;AC$31,INT(AB111),ROUND(AB111,0))+1,1),"")</f>
        <v>0</v>
      </c>
      <c r="AD111" s="8">
        <f t="shared" ref="AD111:AD133" si="176">(AB111-INT(AB111))*12</f>
        <v>5.0915346946567297E-5</v>
      </c>
      <c r="AE111" s="100" t="str">
        <f t="shared" ref="AE111:AE133" si="177">IF($E111&gt;=AE$31,MID($J$31,IF($E111&gt;AE$31,INT(AD111),ROUND(AD111,0))+1,1),"")</f>
        <v>0</v>
      </c>
      <c r="AF111" s="8">
        <f t="shared" ref="AF111:AF133" si="178">(AD111-INT(AD111))*12</f>
        <v>6.1098416335880756E-4</v>
      </c>
      <c r="AG111" s="100" t="str">
        <f t="shared" ref="AG111:AG133" si="179">IF($E111&gt;=AG$31,MID($J$31,IF($E111&gt;AG$31,INT(AF111),ROUND(AF111,0))+1,1),"")</f>
        <v/>
      </c>
      <c r="AH111" s="8">
        <f t="shared" ref="AH111:AH133" si="180">(AF111-INT(AF111))*12</f>
        <v>7.3318099603056908E-3</v>
      </c>
      <c r="AI111" s="100" t="str">
        <f t="shared" ref="AI111:AI133" si="181">IF($E111&gt;=AI$31,MID($J$31,IF($E111&gt;AI$31,INT(AH111),ROUND(AH111,0))+1,1),"")</f>
        <v/>
      </c>
      <c r="AJ111" s="8">
        <f t="shared" ref="AJ111:AJ133" si="182">(AH111-INT(AH111))*12</f>
        <v>8.7981719523668289E-2</v>
      </c>
      <c r="AK111" s="100" t="str">
        <f t="shared" ref="AK111:AK133" si="183">IF($E111&gt;=AK$31,MID($J$31,IF($E111&gt;AK$31,INT(AJ111),ROUND(AJ111,0))+1,1),"")</f>
        <v/>
      </c>
      <c r="AL111" s="253">
        <f>-(144*1+1*12+8+2/12+3/144+5/1728+6/20736)</f>
        <v>-164.19068287037035</v>
      </c>
      <c r="AM111" s="253">
        <f>-AL111*F$6*20736+D111</f>
        <v>-65.388549499005478</v>
      </c>
    </row>
    <row r="112" spans="1:39">
      <c r="B112" s="130" t="s">
        <v>650</v>
      </c>
      <c r="C112" s="10" t="s">
        <v>651</v>
      </c>
      <c r="D112" s="210">
        <v>-89.4</v>
      </c>
      <c r="E112" s="8">
        <v>9</v>
      </c>
      <c r="F112" s="241">
        <f t="shared" si="158"/>
        <v>-18.975880486777388</v>
      </c>
      <c r="G112" s="242" t="str">
        <f>"-"&amp;M112&amp;";"&amp;O112&amp;Q112&amp;S112&amp;U112&amp;W112&amp;Y112&amp;AA112&amp;AC112&amp;AE112&amp;AG112&amp;AI112&amp;AK112</f>
        <v>-1;6E863X363</v>
      </c>
      <c r="H112" s="242"/>
      <c r="I112" s="347"/>
      <c r="J112" s="243">
        <v>1</v>
      </c>
      <c r="K112" s="244">
        <f>-F112/POWER(12,J112)+0.00000000000001</f>
        <v>1.5813233738981256</v>
      </c>
      <c r="L112" s="39" t="str">
        <f>INDEX(powers!$H$2:$H$75,33+J112)</f>
        <v>dirac</v>
      </c>
      <c r="M112" s="101" t="str">
        <f t="shared" si="159"/>
        <v>1</v>
      </c>
      <c r="N112" s="8">
        <f t="shared" si="160"/>
        <v>6.9758804867775073</v>
      </c>
      <c r="O112" s="100" t="str">
        <f t="shared" si="161"/>
        <v>6</v>
      </c>
      <c r="P112" s="8">
        <f t="shared" si="162"/>
        <v>11.710565841330087</v>
      </c>
      <c r="Q112" s="100" t="str">
        <f t="shared" si="163"/>
        <v>E</v>
      </c>
      <c r="R112" s="8">
        <f t="shared" si="164"/>
        <v>8.5267900959610472</v>
      </c>
      <c r="S112" s="100" t="str">
        <f t="shared" si="165"/>
        <v>8</v>
      </c>
      <c r="T112" s="8">
        <f t="shared" si="166"/>
        <v>6.3214811515325664</v>
      </c>
      <c r="U112" s="100" t="str">
        <f t="shared" si="167"/>
        <v>6</v>
      </c>
      <c r="V112" s="8">
        <f t="shared" si="168"/>
        <v>3.8577738183907968</v>
      </c>
      <c r="W112" s="100" t="str">
        <f t="shared" si="169"/>
        <v>3</v>
      </c>
      <c r="X112" s="8">
        <f t="shared" si="170"/>
        <v>10.293285820689562</v>
      </c>
      <c r="Y112" s="100" t="str">
        <f t="shared" si="171"/>
        <v>X</v>
      </c>
      <c r="Z112" s="8">
        <f t="shared" si="172"/>
        <v>3.5194298482747399</v>
      </c>
      <c r="AA112" s="100" t="str">
        <f t="shared" si="173"/>
        <v>3</v>
      </c>
      <c r="AB112" s="8">
        <f t="shared" si="174"/>
        <v>6.2331581792968791</v>
      </c>
      <c r="AC112" s="100" t="str">
        <f t="shared" si="175"/>
        <v>6</v>
      </c>
      <c r="AD112" s="8">
        <f t="shared" si="176"/>
        <v>2.7978981515625492</v>
      </c>
      <c r="AE112" s="100" t="str">
        <f t="shared" si="177"/>
        <v>3</v>
      </c>
      <c r="AF112" s="8">
        <f t="shared" si="178"/>
        <v>9.5747778187505901</v>
      </c>
      <c r="AG112" s="100" t="str">
        <f t="shared" si="179"/>
        <v/>
      </c>
      <c r="AH112" s="8">
        <f t="shared" si="180"/>
        <v>6.897333825007081</v>
      </c>
      <c r="AI112" s="100" t="str">
        <f t="shared" si="181"/>
        <v/>
      </c>
      <c r="AJ112" s="8">
        <f t="shared" si="182"/>
        <v>10.768005900084972</v>
      </c>
      <c r="AK112" s="100" t="str">
        <f t="shared" si="183"/>
        <v/>
      </c>
    </row>
    <row r="113" spans="2:39">
      <c r="B113" s="130"/>
      <c r="C113" s="621" t="s">
        <v>633</v>
      </c>
      <c r="D113" s="210">
        <v>-78</v>
      </c>
      <c r="E113" s="8">
        <v>9</v>
      </c>
      <c r="F113" s="241">
        <f t="shared" si="158"/>
        <v>-9.9666356042034518</v>
      </c>
      <c r="G113" s="242" t="str">
        <f>"-"&amp;M113&amp;";"&amp;O113&amp;Q113&amp;S113&amp;U113&amp;W113&amp;Y113&amp;AA113&amp;AC113&amp;AE113&amp;AG113&amp;AI113&amp;AK113</f>
        <v>-9;E7241X546</v>
      </c>
      <c r="H113" s="242"/>
      <c r="I113" s="347"/>
      <c r="J113" s="243">
        <v>0</v>
      </c>
      <c r="K113" s="244">
        <f>-F113/POWER(12,J113)+0.00000000000001</f>
        <v>9.9666356042034625</v>
      </c>
      <c r="L113" s="39" t="str">
        <f>INDEX(powers!$H$2:$H$75,33+J113)</f>
        <v xml:space="preserve"> </v>
      </c>
      <c r="M113" s="101" t="str">
        <f t="shared" si="159"/>
        <v>9</v>
      </c>
      <c r="N113" s="8">
        <f t="shared" si="160"/>
        <v>11.59962725044155</v>
      </c>
      <c r="O113" s="100" t="str">
        <f t="shared" si="161"/>
        <v>E</v>
      </c>
      <c r="P113" s="8">
        <f t="shared" si="162"/>
        <v>7.1955270052986009</v>
      </c>
      <c r="Q113" s="100" t="str">
        <f t="shared" si="163"/>
        <v>7</v>
      </c>
      <c r="R113" s="8">
        <f t="shared" si="164"/>
        <v>2.3463240635832108</v>
      </c>
      <c r="S113" s="100" t="str">
        <f t="shared" si="165"/>
        <v>2</v>
      </c>
      <c r="T113" s="8">
        <f t="shared" si="166"/>
        <v>4.1558887629985293</v>
      </c>
      <c r="U113" s="100" t="str">
        <f t="shared" si="167"/>
        <v>4</v>
      </c>
      <c r="V113" s="8">
        <f t="shared" si="168"/>
        <v>1.8706651559823513</v>
      </c>
      <c r="W113" s="100" t="str">
        <f t="shared" si="169"/>
        <v>1</v>
      </c>
      <c r="X113" s="8">
        <f t="shared" si="170"/>
        <v>10.447981871788215</v>
      </c>
      <c r="Y113" s="100" t="str">
        <f t="shared" si="171"/>
        <v>X</v>
      </c>
      <c r="Z113" s="8">
        <f t="shared" si="172"/>
        <v>5.3757824614585843</v>
      </c>
      <c r="AA113" s="100" t="str">
        <f t="shared" si="173"/>
        <v>5</v>
      </c>
      <c r="AB113" s="8">
        <f t="shared" si="174"/>
        <v>4.5093895375030115</v>
      </c>
      <c r="AC113" s="100" t="str">
        <f t="shared" si="175"/>
        <v>4</v>
      </c>
      <c r="AD113" s="8">
        <f t="shared" si="176"/>
        <v>6.1126744500361383</v>
      </c>
      <c r="AE113" s="100" t="str">
        <f t="shared" si="177"/>
        <v>6</v>
      </c>
      <c r="AF113" s="8">
        <f t="shared" si="178"/>
        <v>1.3520934004336596</v>
      </c>
      <c r="AG113" s="100" t="str">
        <f t="shared" si="179"/>
        <v/>
      </c>
      <c r="AH113" s="8">
        <f t="shared" si="180"/>
        <v>4.2251208052039146</v>
      </c>
      <c r="AI113" s="100" t="str">
        <f t="shared" si="181"/>
        <v/>
      </c>
      <c r="AJ113" s="8">
        <f t="shared" si="182"/>
        <v>2.7014496624469757</v>
      </c>
      <c r="AK113" s="100" t="str">
        <f t="shared" si="183"/>
        <v/>
      </c>
    </row>
    <row r="114" spans="2:39">
      <c r="B114" s="130"/>
      <c r="C114" s="621" t="s">
        <v>634</v>
      </c>
      <c r="D114" s="210">
        <v>-55</v>
      </c>
      <c r="E114" s="8">
        <v>9</v>
      </c>
      <c r="F114" s="131">
        <f t="shared" si="158"/>
        <v>8.209911088708866</v>
      </c>
      <c r="G114" s="37" t="str">
        <f t="shared" ref="G114:G133" si="184">M114&amp;";"&amp;O114&amp;Q114&amp;S114&amp;U114&amp;W114&amp;Y114&amp;AA114&amp;AC114&amp;AE114&amp;AG114&amp;AI114&amp;AK114</f>
        <v>0;82628871X</v>
      </c>
      <c r="H114" s="37"/>
      <c r="I114" s="340"/>
      <c r="J114" s="38">
        <v>1</v>
      </c>
      <c r="K114" s="132">
        <f t="shared" ref="K114:K133" si="185">F114/POWER(12,J114)+0.00000000000001</f>
        <v>0.68415925739241545</v>
      </c>
      <c r="L114" s="39" t="str">
        <f>INDEX(powers!$H$2:$H$75,33+J114)</f>
        <v>dirac</v>
      </c>
      <c r="M114" s="101" t="str">
        <f t="shared" si="159"/>
        <v>0</v>
      </c>
      <c r="N114" s="8">
        <f t="shared" si="160"/>
        <v>8.209911088708985</v>
      </c>
      <c r="O114" s="100" t="str">
        <f t="shared" si="161"/>
        <v>8</v>
      </c>
      <c r="P114" s="8">
        <f t="shared" si="162"/>
        <v>2.5189330645078201</v>
      </c>
      <c r="Q114" s="100" t="str">
        <f t="shared" si="163"/>
        <v>2</v>
      </c>
      <c r="R114" s="8">
        <f t="shared" si="164"/>
        <v>6.2271967740938408</v>
      </c>
      <c r="S114" s="100" t="str">
        <f t="shared" si="165"/>
        <v>6</v>
      </c>
      <c r="T114" s="8">
        <f t="shared" si="166"/>
        <v>2.7263612891260891</v>
      </c>
      <c r="U114" s="100" t="str">
        <f t="shared" si="167"/>
        <v>2</v>
      </c>
      <c r="V114" s="8">
        <f t="shared" si="168"/>
        <v>8.7163354695130693</v>
      </c>
      <c r="W114" s="100" t="str">
        <f t="shared" si="169"/>
        <v>8</v>
      </c>
      <c r="X114" s="8">
        <f t="shared" si="170"/>
        <v>8.5960256341568311</v>
      </c>
      <c r="Y114" s="100" t="str">
        <f t="shared" si="171"/>
        <v>8</v>
      </c>
      <c r="Z114" s="8">
        <f t="shared" si="172"/>
        <v>7.1523076098819729</v>
      </c>
      <c r="AA114" s="100" t="str">
        <f t="shared" si="173"/>
        <v>7</v>
      </c>
      <c r="AB114" s="8">
        <f t="shared" si="174"/>
        <v>1.8276913185836747</v>
      </c>
      <c r="AC114" s="100" t="str">
        <f t="shared" si="175"/>
        <v>1</v>
      </c>
      <c r="AD114" s="8">
        <f t="shared" si="176"/>
        <v>9.9322958230040967</v>
      </c>
      <c r="AE114" s="100" t="str">
        <f t="shared" si="177"/>
        <v>X</v>
      </c>
      <c r="AF114" s="8">
        <f t="shared" si="178"/>
        <v>11.187549876049161</v>
      </c>
      <c r="AG114" s="100" t="str">
        <f t="shared" si="179"/>
        <v/>
      </c>
      <c r="AH114" s="8">
        <f t="shared" si="180"/>
        <v>2.2505985125899315</v>
      </c>
      <c r="AI114" s="100" t="str">
        <f t="shared" si="181"/>
        <v/>
      </c>
      <c r="AJ114" s="8">
        <f t="shared" si="182"/>
        <v>3.0071821510791779</v>
      </c>
      <c r="AK114" s="100" t="str">
        <f t="shared" si="183"/>
        <v/>
      </c>
    </row>
    <row r="115" spans="2:39">
      <c r="B115" s="130"/>
      <c r="C115" s="621" t="s">
        <v>635</v>
      </c>
      <c r="D115" s="210">
        <v>-32</v>
      </c>
      <c r="E115" s="8">
        <v>9</v>
      </c>
      <c r="F115" s="131">
        <f t="shared" si="158"/>
        <v>26.386457781621186</v>
      </c>
      <c r="G115" s="37" t="str">
        <f t="shared" si="184"/>
        <v>2;247797090</v>
      </c>
      <c r="H115" s="37"/>
      <c r="I115" s="340"/>
      <c r="J115" s="38">
        <v>1</v>
      </c>
      <c r="K115" s="132">
        <f t="shared" si="185"/>
        <v>2.1988714818017758</v>
      </c>
      <c r="L115" s="39" t="str">
        <f>INDEX(powers!$H$2:$H$75,33+J115)</f>
        <v>dirac</v>
      </c>
      <c r="M115" s="101" t="str">
        <f t="shared" si="159"/>
        <v>2</v>
      </c>
      <c r="N115" s="8">
        <f t="shared" si="160"/>
        <v>2.3864577816213099</v>
      </c>
      <c r="O115" s="100" t="str">
        <f t="shared" si="161"/>
        <v>2</v>
      </c>
      <c r="P115" s="8">
        <f t="shared" si="162"/>
        <v>4.6374933794557194</v>
      </c>
      <c r="Q115" s="100" t="str">
        <f t="shared" si="163"/>
        <v>4</v>
      </c>
      <c r="R115" s="8">
        <f t="shared" si="164"/>
        <v>7.6499205534686325</v>
      </c>
      <c r="S115" s="100" t="str">
        <f t="shared" si="165"/>
        <v>7</v>
      </c>
      <c r="T115" s="8">
        <f t="shared" si="166"/>
        <v>7.7990466416235904</v>
      </c>
      <c r="U115" s="100" t="str">
        <f t="shared" si="167"/>
        <v>7</v>
      </c>
      <c r="V115" s="8">
        <f t="shared" si="168"/>
        <v>9.5885596994830848</v>
      </c>
      <c r="W115" s="100" t="str">
        <f t="shared" si="169"/>
        <v>9</v>
      </c>
      <c r="X115" s="8">
        <f t="shared" si="170"/>
        <v>7.0627163937970181</v>
      </c>
      <c r="Y115" s="100" t="str">
        <f t="shared" si="171"/>
        <v>7</v>
      </c>
      <c r="Z115" s="8">
        <f t="shared" si="172"/>
        <v>0.75259672556421719</v>
      </c>
      <c r="AA115" s="100" t="str">
        <f t="shared" si="173"/>
        <v>0</v>
      </c>
      <c r="AB115" s="8">
        <f t="shared" si="174"/>
        <v>9.0311607067706063</v>
      </c>
      <c r="AC115" s="100" t="str">
        <f t="shared" si="175"/>
        <v>9</v>
      </c>
      <c r="AD115" s="8">
        <f t="shared" si="176"/>
        <v>0.37392848124727607</v>
      </c>
      <c r="AE115" s="100" t="str">
        <f t="shared" si="177"/>
        <v>0</v>
      </c>
      <c r="AF115" s="8">
        <f t="shared" si="178"/>
        <v>4.4871417749673128</v>
      </c>
      <c r="AG115" s="100" t="str">
        <f t="shared" si="179"/>
        <v/>
      </c>
      <c r="AH115" s="8">
        <f t="shared" si="180"/>
        <v>5.8457012996077538</v>
      </c>
      <c r="AI115" s="100" t="str">
        <f t="shared" si="181"/>
        <v/>
      </c>
      <c r="AJ115" s="8">
        <f t="shared" si="182"/>
        <v>10.148415595293045</v>
      </c>
      <c r="AK115" s="100" t="str">
        <f t="shared" si="183"/>
        <v/>
      </c>
    </row>
    <row r="116" spans="2:39">
      <c r="B116" s="130"/>
      <c r="C116" s="621" t="s">
        <v>636</v>
      </c>
      <c r="D116" s="210">
        <v>-17.8</v>
      </c>
      <c r="E116" s="8">
        <v>9</v>
      </c>
      <c r="F116" s="131">
        <f t="shared" si="158"/>
        <v>37.608499652897493</v>
      </c>
      <c r="G116" s="37" t="str">
        <f t="shared" si="184"/>
        <v>3;17375X229</v>
      </c>
      <c r="H116" s="37"/>
      <c r="I116" s="340"/>
      <c r="J116" s="38">
        <v>1</v>
      </c>
      <c r="K116" s="132">
        <f t="shared" si="185"/>
        <v>3.1340416377414679</v>
      </c>
      <c r="L116" s="39" t="str">
        <f>INDEX(powers!$H$2:$H$75,33+J116)</f>
        <v>dirac</v>
      </c>
      <c r="M116" s="101" t="str">
        <f t="shared" si="159"/>
        <v>3</v>
      </c>
      <c r="N116" s="8">
        <f t="shared" si="160"/>
        <v>1.6084996528976152</v>
      </c>
      <c r="O116" s="100" t="str">
        <f t="shared" si="161"/>
        <v>1</v>
      </c>
      <c r="P116" s="8">
        <f t="shared" si="162"/>
        <v>7.3019958347713825</v>
      </c>
      <c r="Q116" s="100" t="str">
        <f t="shared" si="163"/>
        <v>7</v>
      </c>
      <c r="R116" s="8">
        <f t="shared" si="164"/>
        <v>3.6239500172565897</v>
      </c>
      <c r="S116" s="100" t="str">
        <f t="shared" si="165"/>
        <v>3</v>
      </c>
      <c r="T116" s="8">
        <f t="shared" si="166"/>
        <v>7.4874002070790766</v>
      </c>
      <c r="U116" s="100" t="str">
        <f t="shared" si="167"/>
        <v>7</v>
      </c>
      <c r="V116" s="8">
        <f t="shared" si="168"/>
        <v>5.8488024849489193</v>
      </c>
      <c r="W116" s="100" t="str">
        <f t="shared" si="169"/>
        <v>5</v>
      </c>
      <c r="X116" s="8">
        <f t="shared" si="170"/>
        <v>10.185629819387032</v>
      </c>
      <c r="Y116" s="100" t="str">
        <f t="shared" si="171"/>
        <v>X</v>
      </c>
      <c r="Z116" s="8">
        <f t="shared" si="172"/>
        <v>2.2275578326443792</v>
      </c>
      <c r="AA116" s="100" t="str">
        <f t="shared" si="173"/>
        <v>2</v>
      </c>
      <c r="AB116" s="8">
        <f t="shared" si="174"/>
        <v>2.7306939917325508</v>
      </c>
      <c r="AC116" s="100" t="str">
        <f t="shared" si="175"/>
        <v>2</v>
      </c>
      <c r="AD116" s="8">
        <f t="shared" si="176"/>
        <v>8.7683279007906094</v>
      </c>
      <c r="AE116" s="100" t="str">
        <f t="shared" si="177"/>
        <v>9</v>
      </c>
      <c r="AF116" s="8">
        <f t="shared" si="178"/>
        <v>9.219934809487313</v>
      </c>
      <c r="AG116" s="100" t="str">
        <f t="shared" si="179"/>
        <v/>
      </c>
      <c r="AH116" s="8">
        <f t="shared" si="180"/>
        <v>2.6392177138477564</v>
      </c>
      <c r="AI116" s="100" t="str">
        <f t="shared" si="181"/>
        <v/>
      </c>
      <c r="AJ116" s="8">
        <f t="shared" si="182"/>
        <v>7.6706125661730766</v>
      </c>
      <c r="AK116" s="100" t="str">
        <f t="shared" si="183"/>
        <v/>
      </c>
    </row>
    <row r="117" spans="2:39">
      <c r="B117" s="130"/>
      <c r="C117" s="621" t="s">
        <v>637</v>
      </c>
      <c r="D117" s="210">
        <v>-9</v>
      </c>
      <c r="E117" s="8">
        <v>9</v>
      </c>
      <c r="F117" s="131">
        <f t="shared" si="158"/>
        <v>44.563004474533507</v>
      </c>
      <c r="G117" s="37" t="str">
        <f t="shared" si="184"/>
        <v>3;8690X5643</v>
      </c>
      <c r="H117" s="37"/>
      <c r="I117" s="340"/>
      <c r="J117" s="38">
        <v>1</v>
      </c>
      <c r="K117" s="132">
        <f t="shared" si="185"/>
        <v>3.7135837062111356</v>
      </c>
      <c r="L117" s="39" t="str">
        <f>INDEX(powers!$H$2:$H$75,33+J117)</f>
        <v>dirac</v>
      </c>
      <c r="M117" s="101" t="str">
        <f t="shared" si="159"/>
        <v>3</v>
      </c>
      <c r="N117" s="8">
        <f t="shared" si="160"/>
        <v>8.5630044745336278</v>
      </c>
      <c r="O117" s="100" t="str">
        <f t="shared" si="161"/>
        <v>8</v>
      </c>
      <c r="P117" s="8">
        <f t="shared" si="162"/>
        <v>6.7560536944035334</v>
      </c>
      <c r="Q117" s="100" t="str">
        <f t="shared" si="163"/>
        <v>6</v>
      </c>
      <c r="R117" s="8">
        <f t="shared" si="164"/>
        <v>9.0726443328424011</v>
      </c>
      <c r="S117" s="100" t="str">
        <f t="shared" si="165"/>
        <v>9</v>
      </c>
      <c r="T117" s="8">
        <f t="shared" si="166"/>
        <v>0.87173199410881352</v>
      </c>
      <c r="U117" s="100" t="str">
        <f t="shared" si="167"/>
        <v>0</v>
      </c>
      <c r="V117" s="8">
        <f t="shared" si="168"/>
        <v>10.460783929305762</v>
      </c>
      <c r="W117" s="100" t="str">
        <f t="shared" si="169"/>
        <v>X</v>
      </c>
      <c r="X117" s="8">
        <f t="shared" si="170"/>
        <v>5.5294071516691474</v>
      </c>
      <c r="Y117" s="100" t="str">
        <f t="shared" si="171"/>
        <v>5</v>
      </c>
      <c r="Z117" s="8">
        <f t="shared" si="172"/>
        <v>6.3528858200297691</v>
      </c>
      <c r="AA117" s="100" t="str">
        <f t="shared" si="173"/>
        <v>6</v>
      </c>
      <c r="AB117" s="8">
        <f t="shared" si="174"/>
        <v>4.2346298403572291</v>
      </c>
      <c r="AC117" s="100" t="str">
        <f t="shared" si="175"/>
        <v>4</v>
      </c>
      <c r="AD117" s="8">
        <f t="shared" si="176"/>
        <v>2.8155580842867494</v>
      </c>
      <c r="AE117" s="100" t="str">
        <f t="shared" si="177"/>
        <v>3</v>
      </c>
      <c r="AF117" s="8">
        <f t="shared" si="178"/>
        <v>9.7866970114409924</v>
      </c>
      <c r="AG117" s="100" t="str">
        <f t="shared" si="179"/>
        <v/>
      </c>
      <c r="AH117" s="8">
        <f t="shared" si="180"/>
        <v>9.4403641372919083</v>
      </c>
      <c r="AI117" s="100" t="str">
        <f t="shared" si="181"/>
        <v/>
      </c>
      <c r="AJ117" s="8">
        <f t="shared" si="182"/>
        <v>5.2843696475028992</v>
      </c>
      <c r="AK117" s="100" t="str">
        <f t="shared" si="183"/>
        <v/>
      </c>
    </row>
    <row r="118" spans="2:39">
      <c r="B118" s="130" t="s">
        <v>653</v>
      </c>
      <c r="C118" s="621" t="s">
        <v>638</v>
      </c>
      <c r="D118" s="210">
        <v>0</v>
      </c>
      <c r="E118" s="8">
        <v>9</v>
      </c>
      <c r="F118" s="131">
        <f t="shared" si="158"/>
        <v>51.675566223933977</v>
      </c>
      <c r="G118" s="37" t="str">
        <f t="shared" si="184"/>
        <v>4;3813465E3</v>
      </c>
      <c r="H118" s="37"/>
      <c r="I118" s="340"/>
      <c r="J118" s="38">
        <v>1</v>
      </c>
      <c r="K118" s="132">
        <f t="shared" si="185"/>
        <v>4.3062971853278409</v>
      </c>
      <c r="L118" s="39" t="str">
        <f>INDEX(powers!$H$2:$H$75,33+J118)</f>
        <v>dirac</v>
      </c>
      <c r="M118" s="101" t="str">
        <f t="shared" si="159"/>
        <v>4</v>
      </c>
      <c r="N118" s="8">
        <f t="shared" si="160"/>
        <v>3.6755662239340907</v>
      </c>
      <c r="O118" s="100" t="str">
        <f t="shared" si="161"/>
        <v>3</v>
      </c>
      <c r="P118" s="8">
        <f t="shared" si="162"/>
        <v>8.1067946872090886</v>
      </c>
      <c r="Q118" s="100" t="str">
        <f t="shared" si="163"/>
        <v>8</v>
      </c>
      <c r="R118" s="8">
        <f t="shared" si="164"/>
        <v>1.2815362465090629</v>
      </c>
      <c r="S118" s="100" t="str">
        <f t="shared" si="165"/>
        <v>1</v>
      </c>
      <c r="T118" s="8">
        <f t="shared" si="166"/>
        <v>3.3784349581087554</v>
      </c>
      <c r="U118" s="100" t="str">
        <f t="shared" si="167"/>
        <v>3</v>
      </c>
      <c r="V118" s="8">
        <f t="shared" si="168"/>
        <v>4.5412194973050646</v>
      </c>
      <c r="W118" s="100" t="str">
        <f t="shared" si="169"/>
        <v>4</v>
      </c>
      <c r="X118" s="8">
        <f t="shared" si="170"/>
        <v>6.4946339676607749</v>
      </c>
      <c r="Y118" s="100" t="str">
        <f t="shared" si="171"/>
        <v>6</v>
      </c>
      <c r="Z118" s="8">
        <f t="shared" si="172"/>
        <v>5.9356076119292993</v>
      </c>
      <c r="AA118" s="100" t="str">
        <f t="shared" si="173"/>
        <v>5</v>
      </c>
      <c r="AB118" s="8">
        <f t="shared" si="174"/>
        <v>11.227291343151592</v>
      </c>
      <c r="AC118" s="100" t="str">
        <f t="shared" si="175"/>
        <v>E</v>
      </c>
      <c r="AD118" s="8">
        <f t="shared" si="176"/>
        <v>2.7274961178191006</v>
      </c>
      <c r="AE118" s="100" t="str">
        <f t="shared" si="177"/>
        <v>3</v>
      </c>
      <c r="AF118" s="8">
        <f t="shared" si="178"/>
        <v>8.7299534138292074</v>
      </c>
      <c r="AG118" s="100" t="str">
        <f t="shared" si="179"/>
        <v/>
      </c>
      <c r="AH118" s="8">
        <f t="shared" si="180"/>
        <v>8.759440965950489</v>
      </c>
      <c r="AI118" s="100" t="str">
        <f t="shared" si="181"/>
        <v/>
      </c>
      <c r="AJ118" s="8">
        <f t="shared" si="182"/>
        <v>9.1132915914058685</v>
      </c>
      <c r="AK118" s="100" t="str">
        <f t="shared" si="183"/>
        <v/>
      </c>
      <c r="AL118" s="253">
        <f>5*12+1+5/12</f>
        <v>61.416666666666664</v>
      </c>
      <c r="AM118" s="253">
        <f t="shared" ref="AM118:AM120" si="186">-AL118*F$6*20736+D118</f>
        <v>-77.71461527860788</v>
      </c>
    </row>
    <row r="119" spans="2:39">
      <c r="B119" s="130" t="s">
        <v>662</v>
      </c>
      <c r="C119" s="621" t="s">
        <v>663</v>
      </c>
      <c r="D119" s="210">
        <v>8.8999999999999995E-5</v>
      </c>
      <c r="E119" s="8">
        <v>9</v>
      </c>
      <c r="F119" s="131">
        <f t="shared" si="158"/>
        <v>51.675636559266835</v>
      </c>
      <c r="G119" s="37" t="str">
        <f t="shared" si="184"/>
        <v>4;38135EEE6</v>
      </c>
      <c r="H119" s="37"/>
      <c r="I119" s="340"/>
      <c r="J119" s="38">
        <v>1</v>
      </c>
      <c r="K119" s="132">
        <f t="shared" si="185"/>
        <v>4.3063030466055796</v>
      </c>
      <c r="L119" s="39" t="str">
        <f>INDEX(powers!$H$2:$H$75,33+J119)</f>
        <v>dirac</v>
      </c>
      <c r="M119" s="101" t="str">
        <f t="shared" si="159"/>
        <v>4</v>
      </c>
      <c r="N119" s="8">
        <f t="shared" si="160"/>
        <v>3.6756365592669553</v>
      </c>
      <c r="O119" s="100" t="str">
        <f t="shared" si="161"/>
        <v>3</v>
      </c>
      <c r="P119" s="8">
        <f t="shared" si="162"/>
        <v>8.1076387112034638</v>
      </c>
      <c r="Q119" s="100" t="str">
        <f t="shared" si="163"/>
        <v>8</v>
      </c>
      <c r="R119" s="8">
        <f t="shared" si="164"/>
        <v>1.2916645344415656</v>
      </c>
      <c r="S119" s="100" t="str">
        <f t="shared" si="165"/>
        <v>1</v>
      </c>
      <c r="T119" s="8">
        <f t="shared" si="166"/>
        <v>3.4999744132987871</v>
      </c>
      <c r="U119" s="100" t="str">
        <f t="shared" si="167"/>
        <v>3</v>
      </c>
      <c r="V119" s="8">
        <f t="shared" si="168"/>
        <v>5.9996929595854454</v>
      </c>
      <c r="W119" s="100" t="str">
        <f t="shared" si="169"/>
        <v>5</v>
      </c>
      <c r="X119" s="8">
        <f t="shared" si="170"/>
        <v>11.996315515025344</v>
      </c>
      <c r="Y119" s="100" t="str">
        <f t="shared" si="171"/>
        <v>E</v>
      </c>
      <c r="Z119" s="8">
        <f t="shared" si="172"/>
        <v>11.955786180304131</v>
      </c>
      <c r="AA119" s="100" t="str">
        <f t="shared" si="173"/>
        <v>E</v>
      </c>
      <c r="AB119" s="8">
        <f t="shared" si="174"/>
        <v>11.469434163649566</v>
      </c>
      <c r="AC119" s="100" t="str">
        <f t="shared" si="175"/>
        <v>E</v>
      </c>
      <c r="AD119" s="8">
        <f t="shared" si="176"/>
        <v>5.6332099637947977</v>
      </c>
      <c r="AE119" s="100" t="str">
        <f t="shared" si="177"/>
        <v>6</v>
      </c>
      <c r="AF119" s="8">
        <f t="shared" si="178"/>
        <v>7.5985195655375719</v>
      </c>
      <c r="AG119" s="100" t="str">
        <f t="shared" si="179"/>
        <v/>
      </c>
      <c r="AH119" s="8">
        <f t="shared" si="180"/>
        <v>7.1822347864508629</v>
      </c>
      <c r="AI119" s="100" t="str">
        <f t="shared" si="181"/>
        <v/>
      </c>
      <c r="AJ119" s="8">
        <f t="shared" si="182"/>
        <v>2.1868174374103546</v>
      </c>
      <c r="AK119" s="100" t="str">
        <f t="shared" si="183"/>
        <v/>
      </c>
      <c r="AL119" s="253">
        <f>5*12+1+5/12</f>
        <v>61.416666666666664</v>
      </c>
      <c r="AM119" s="253">
        <f t="shared" si="186"/>
        <v>-77.714526278607877</v>
      </c>
    </row>
    <row r="120" spans="2:39">
      <c r="B120" s="130" t="s">
        <v>654</v>
      </c>
      <c r="C120" s="621" t="s">
        <v>648</v>
      </c>
      <c r="D120" s="210">
        <v>0.01</v>
      </c>
      <c r="E120" s="8">
        <v>9</v>
      </c>
      <c r="F120" s="131">
        <f t="shared" si="158"/>
        <v>51.683469070322204</v>
      </c>
      <c r="G120" s="37" t="str">
        <f t="shared" si="184"/>
        <v>4;382504E86</v>
      </c>
      <c r="H120" s="37"/>
      <c r="I120" s="340"/>
      <c r="J120" s="38">
        <v>1</v>
      </c>
      <c r="K120" s="132">
        <f t="shared" si="185"/>
        <v>4.3069557558601934</v>
      </c>
      <c r="L120" s="39" t="str">
        <f>INDEX(powers!$H$2:$H$75,33+J120)</f>
        <v>dirac</v>
      </c>
      <c r="M120" s="101" t="str">
        <f t="shared" si="159"/>
        <v>4</v>
      </c>
      <c r="N120" s="8">
        <f t="shared" si="160"/>
        <v>3.683469070322321</v>
      </c>
      <c r="O120" s="100" t="str">
        <f t="shared" si="161"/>
        <v>3</v>
      </c>
      <c r="P120" s="8">
        <f t="shared" si="162"/>
        <v>8.2016288438678515</v>
      </c>
      <c r="Q120" s="100" t="str">
        <f t="shared" si="163"/>
        <v>8</v>
      </c>
      <c r="R120" s="8">
        <f t="shared" si="164"/>
        <v>2.4195461264142182</v>
      </c>
      <c r="S120" s="100" t="str">
        <f t="shared" si="165"/>
        <v>2</v>
      </c>
      <c r="T120" s="8">
        <f t="shared" si="166"/>
        <v>5.0345535169706181</v>
      </c>
      <c r="U120" s="100" t="str">
        <f t="shared" si="167"/>
        <v>5</v>
      </c>
      <c r="V120" s="8">
        <f t="shared" si="168"/>
        <v>0.41464220364741777</v>
      </c>
      <c r="W120" s="100" t="str">
        <f t="shared" si="169"/>
        <v>0</v>
      </c>
      <c r="X120" s="8">
        <f t="shared" si="170"/>
        <v>4.9757064437690133</v>
      </c>
      <c r="Y120" s="100" t="str">
        <f t="shared" si="171"/>
        <v>4</v>
      </c>
      <c r="Z120" s="8">
        <f t="shared" si="172"/>
        <v>11.708477325228159</v>
      </c>
      <c r="AA120" s="100" t="str">
        <f t="shared" si="173"/>
        <v>E</v>
      </c>
      <c r="AB120" s="8">
        <f t="shared" si="174"/>
        <v>8.5017279027379118</v>
      </c>
      <c r="AC120" s="100" t="str">
        <f t="shared" si="175"/>
        <v>8</v>
      </c>
      <c r="AD120" s="8">
        <f t="shared" si="176"/>
        <v>6.0207348328549415</v>
      </c>
      <c r="AE120" s="100" t="str">
        <f t="shared" si="177"/>
        <v>6</v>
      </c>
      <c r="AF120" s="8">
        <f t="shared" si="178"/>
        <v>0.24881799425929785</v>
      </c>
      <c r="AG120" s="100" t="str">
        <f t="shared" si="179"/>
        <v/>
      </c>
      <c r="AH120" s="8">
        <f t="shared" si="180"/>
        <v>2.9858159311115742</v>
      </c>
      <c r="AI120" s="100" t="str">
        <f t="shared" si="181"/>
        <v/>
      </c>
      <c r="AJ120" s="8">
        <f t="shared" si="182"/>
        <v>11.82979117333889</v>
      </c>
      <c r="AK120" s="100" t="str">
        <f t="shared" si="183"/>
        <v/>
      </c>
      <c r="AL120" s="253">
        <f>5*12+1+5/12</f>
        <v>61.416666666666664</v>
      </c>
      <c r="AM120" s="253">
        <f t="shared" si="186"/>
        <v>-77.704615278607875</v>
      </c>
    </row>
    <row r="121" spans="2:39">
      <c r="B121" s="130" t="s">
        <v>656</v>
      </c>
      <c r="C121" s="621" t="s">
        <v>639</v>
      </c>
      <c r="D121" s="210">
        <v>3.98</v>
      </c>
      <c r="E121" s="8">
        <v>9</v>
      </c>
      <c r="F121" s="131">
        <f t="shared" si="158"/>
        <v>54.82089908644663</v>
      </c>
      <c r="G121" s="37" t="str">
        <f t="shared" si="184"/>
        <v>4;69X261E65</v>
      </c>
      <c r="H121" s="37"/>
      <c r="I121" s="340"/>
      <c r="J121" s="38">
        <v>1</v>
      </c>
      <c r="K121" s="132">
        <f t="shared" si="185"/>
        <v>4.5684082572038953</v>
      </c>
      <c r="L121" s="39" t="str">
        <f>INDEX(powers!$H$2:$H$75,33+J121)</f>
        <v>dirac</v>
      </c>
      <c r="M121" s="101" t="str">
        <f t="shared" si="159"/>
        <v>4</v>
      </c>
      <c r="N121" s="8">
        <f t="shared" si="160"/>
        <v>6.8208990864467438</v>
      </c>
      <c r="O121" s="100" t="str">
        <f t="shared" si="161"/>
        <v>6</v>
      </c>
      <c r="P121" s="8">
        <f t="shared" si="162"/>
        <v>9.8507890373609257</v>
      </c>
      <c r="Q121" s="100" t="str">
        <f t="shared" si="163"/>
        <v>9</v>
      </c>
      <c r="R121" s="8">
        <f t="shared" si="164"/>
        <v>10.209468448331108</v>
      </c>
      <c r="S121" s="100" t="str">
        <f t="shared" si="165"/>
        <v>X</v>
      </c>
      <c r="T121" s="8">
        <f t="shared" si="166"/>
        <v>2.5136213799733014</v>
      </c>
      <c r="U121" s="100" t="str">
        <f t="shared" si="167"/>
        <v>2</v>
      </c>
      <c r="V121" s="8">
        <f t="shared" si="168"/>
        <v>6.1634565596796165</v>
      </c>
      <c r="W121" s="100" t="str">
        <f t="shared" si="169"/>
        <v>6</v>
      </c>
      <c r="X121" s="8">
        <f t="shared" si="170"/>
        <v>1.9614787161553977</v>
      </c>
      <c r="Y121" s="100" t="str">
        <f t="shared" si="171"/>
        <v>1</v>
      </c>
      <c r="Z121" s="8">
        <f t="shared" si="172"/>
        <v>11.537744593864772</v>
      </c>
      <c r="AA121" s="100" t="str">
        <f t="shared" si="173"/>
        <v>E</v>
      </c>
      <c r="AB121" s="8">
        <f t="shared" si="174"/>
        <v>6.4529351263772696</v>
      </c>
      <c r="AC121" s="100" t="str">
        <f t="shared" si="175"/>
        <v>6</v>
      </c>
      <c r="AD121" s="8">
        <f t="shared" si="176"/>
        <v>5.4352215165272355</v>
      </c>
      <c r="AE121" s="100" t="str">
        <f t="shared" si="177"/>
        <v>5</v>
      </c>
      <c r="AF121" s="8">
        <f t="shared" si="178"/>
        <v>5.2226581983268261</v>
      </c>
      <c r="AG121" s="100" t="str">
        <f t="shared" si="179"/>
        <v/>
      </c>
      <c r="AH121" s="8">
        <f t="shared" si="180"/>
        <v>2.6718983799219131</v>
      </c>
      <c r="AI121" s="100" t="str">
        <f t="shared" si="181"/>
        <v/>
      </c>
      <c r="AJ121" s="8">
        <f t="shared" si="182"/>
        <v>8.0627805590629578</v>
      </c>
      <c r="AK121" s="100" t="str">
        <f t="shared" si="183"/>
        <v/>
      </c>
    </row>
    <row r="122" spans="2:39">
      <c r="B122" s="130"/>
      <c r="C122" s="621" t="s">
        <v>640</v>
      </c>
      <c r="D122" s="210">
        <v>14</v>
      </c>
      <c r="E122" s="8">
        <v>9</v>
      </c>
      <c r="F122" s="131">
        <f t="shared" si="158"/>
        <v>62.739551167445825</v>
      </c>
      <c r="G122" s="37" t="str">
        <f t="shared" si="184"/>
        <v>5;28X5E3EE5</v>
      </c>
      <c r="H122" s="37"/>
      <c r="I122" s="340"/>
      <c r="J122" s="38">
        <v>1</v>
      </c>
      <c r="K122" s="132">
        <f t="shared" si="185"/>
        <v>5.2282959306204955</v>
      </c>
      <c r="L122" s="39" t="str">
        <f>INDEX(powers!$H$2:$H$75,33+J122)</f>
        <v>dirac</v>
      </c>
      <c r="M122" s="101" t="str">
        <f t="shared" si="159"/>
        <v>5</v>
      </c>
      <c r="N122" s="8">
        <f t="shared" si="160"/>
        <v>2.7395511674459456</v>
      </c>
      <c r="O122" s="100" t="str">
        <f t="shared" si="161"/>
        <v>2</v>
      </c>
      <c r="P122" s="8">
        <f t="shared" si="162"/>
        <v>8.8746140093513475</v>
      </c>
      <c r="Q122" s="100" t="str">
        <f t="shared" si="163"/>
        <v>8</v>
      </c>
      <c r="R122" s="8">
        <f t="shared" si="164"/>
        <v>10.49536811221617</v>
      </c>
      <c r="S122" s="100" t="str">
        <f t="shared" si="165"/>
        <v>X</v>
      </c>
      <c r="T122" s="8">
        <f t="shared" si="166"/>
        <v>5.9444173465940366</v>
      </c>
      <c r="U122" s="100" t="str">
        <f t="shared" si="167"/>
        <v>5</v>
      </c>
      <c r="V122" s="8">
        <f t="shared" si="168"/>
        <v>11.33300815912844</v>
      </c>
      <c r="W122" s="100" t="str">
        <f t="shared" si="169"/>
        <v>E</v>
      </c>
      <c r="X122" s="8">
        <f t="shared" si="170"/>
        <v>3.9960979095412767</v>
      </c>
      <c r="Y122" s="100" t="str">
        <f t="shared" si="171"/>
        <v>3</v>
      </c>
      <c r="Z122" s="8">
        <f t="shared" si="172"/>
        <v>11.953174914495321</v>
      </c>
      <c r="AA122" s="100" t="str">
        <f t="shared" si="173"/>
        <v>E</v>
      </c>
      <c r="AB122" s="8">
        <f t="shared" si="174"/>
        <v>11.438098973943852</v>
      </c>
      <c r="AC122" s="100" t="str">
        <f t="shared" si="175"/>
        <v>E</v>
      </c>
      <c r="AD122" s="8">
        <f t="shared" si="176"/>
        <v>5.2571876873262227</v>
      </c>
      <c r="AE122" s="100" t="str">
        <f t="shared" si="177"/>
        <v>5</v>
      </c>
      <c r="AF122" s="8">
        <f t="shared" si="178"/>
        <v>3.0862522479146719</v>
      </c>
      <c r="AG122" s="100" t="str">
        <f t="shared" si="179"/>
        <v/>
      </c>
      <c r="AH122" s="8">
        <f t="shared" si="180"/>
        <v>1.0350269749760628</v>
      </c>
      <c r="AI122" s="100" t="str">
        <f t="shared" si="181"/>
        <v/>
      </c>
      <c r="AJ122" s="8">
        <f t="shared" si="182"/>
        <v>0.4203236997127533</v>
      </c>
      <c r="AK122" s="100" t="str">
        <f t="shared" si="183"/>
        <v/>
      </c>
    </row>
    <row r="123" spans="2:39">
      <c r="B123" s="130"/>
      <c r="C123" s="621" t="s">
        <v>660</v>
      </c>
      <c r="D123" s="210">
        <v>15</v>
      </c>
      <c r="E123" s="8">
        <v>9</v>
      </c>
      <c r="F123" s="131">
        <f t="shared" si="158"/>
        <v>63.529835806268103</v>
      </c>
      <c r="G123" s="37" t="str">
        <f t="shared" si="184"/>
        <v>5;36436812E</v>
      </c>
      <c r="H123" s="37"/>
      <c r="I123" s="340"/>
      <c r="J123" s="38">
        <v>1</v>
      </c>
      <c r="K123" s="132">
        <f t="shared" si="185"/>
        <v>5.2941529838556853</v>
      </c>
      <c r="L123" s="39" t="str">
        <f>INDEX(powers!$H$2:$H$75,33+J123)</f>
        <v>dirac</v>
      </c>
      <c r="M123" s="101" t="str">
        <f t="shared" si="159"/>
        <v>5</v>
      </c>
      <c r="N123" s="8">
        <f t="shared" si="160"/>
        <v>3.529835806268224</v>
      </c>
      <c r="O123" s="100" t="str">
        <f t="shared" si="161"/>
        <v>3</v>
      </c>
      <c r="P123" s="8">
        <f t="shared" si="162"/>
        <v>6.3580296752186882</v>
      </c>
      <c r="Q123" s="100" t="str">
        <f t="shared" si="163"/>
        <v>6</v>
      </c>
      <c r="R123" s="8">
        <f t="shared" si="164"/>
        <v>4.2963561026242587</v>
      </c>
      <c r="S123" s="100" t="str">
        <f t="shared" si="165"/>
        <v>4</v>
      </c>
      <c r="T123" s="8">
        <f t="shared" si="166"/>
        <v>3.5562732314911045</v>
      </c>
      <c r="U123" s="100" t="str">
        <f t="shared" si="167"/>
        <v>3</v>
      </c>
      <c r="V123" s="8">
        <f t="shared" si="168"/>
        <v>6.6752787778932543</v>
      </c>
      <c r="W123" s="100" t="str">
        <f t="shared" si="169"/>
        <v>6</v>
      </c>
      <c r="X123" s="8">
        <f t="shared" si="170"/>
        <v>8.1033453347190516</v>
      </c>
      <c r="Y123" s="100" t="str">
        <f t="shared" si="171"/>
        <v>8</v>
      </c>
      <c r="Z123" s="8">
        <f t="shared" si="172"/>
        <v>1.2401440166286193</v>
      </c>
      <c r="AA123" s="100" t="str">
        <f t="shared" si="173"/>
        <v>1</v>
      </c>
      <c r="AB123" s="8">
        <f t="shared" si="174"/>
        <v>2.8817281995434314</v>
      </c>
      <c r="AC123" s="100" t="str">
        <f t="shared" si="175"/>
        <v>2</v>
      </c>
      <c r="AD123" s="8">
        <f t="shared" si="176"/>
        <v>10.580738394521177</v>
      </c>
      <c r="AE123" s="100" t="str">
        <f t="shared" si="177"/>
        <v>E</v>
      </c>
      <c r="AF123" s="8">
        <f t="shared" si="178"/>
        <v>6.9688607342541218</v>
      </c>
      <c r="AG123" s="100" t="str">
        <f t="shared" si="179"/>
        <v/>
      </c>
      <c r="AH123" s="8">
        <f t="shared" si="180"/>
        <v>11.626328811049461</v>
      </c>
      <c r="AI123" s="100" t="str">
        <f t="shared" si="181"/>
        <v/>
      </c>
      <c r="AJ123" s="8">
        <f t="shared" si="182"/>
        <v>7.5159457325935364</v>
      </c>
      <c r="AK123" s="100" t="str">
        <f t="shared" si="183"/>
        <v/>
      </c>
      <c r="AL123" s="253">
        <f>6*12+1+9/12+8/144+3/1728</f>
        <v>73.807291666666671</v>
      </c>
      <c r="AM123" s="253">
        <f t="shared" ref="AM123" si="187">-AL123*F$6*20736+D123</f>
        <v>-78.393301654778867</v>
      </c>
    </row>
    <row r="124" spans="2:39">
      <c r="B124" s="130"/>
      <c r="C124" s="621" t="s">
        <v>641</v>
      </c>
      <c r="D124" s="210">
        <v>20</v>
      </c>
      <c r="E124" s="8">
        <v>9</v>
      </c>
      <c r="F124" s="131">
        <f t="shared" si="158"/>
        <v>67.481259000379481</v>
      </c>
      <c r="G124" s="37" t="str">
        <f t="shared" si="184"/>
        <v>5;759374781</v>
      </c>
      <c r="H124" s="37"/>
      <c r="I124" s="340"/>
      <c r="J124" s="38">
        <v>1</v>
      </c>
      <c r="K124" s="132">
        <f t="shared" si="185"/>
        <v>5.6234382500316329</v>
      </c>
      <c r="L124" s="39" t="str">
        <f>INDEX(powers!$H$2:$H$75,33+J124)</f>
        <v>dirac</v>
      </c>
      <c r="M124" s="101" t="str">
        <f t="shared" si="159"/>
        <v>5</v>
      </c>
      <c r="N124" s="8">
        <f t="shared" si="160"/>
        <v>7.4812590003795947</v>
      </c>
      <c r="O124" s="100" t="str">
        <f t="shared" si="161"/>
        <v>7</v>
      </c>
      <c r="P124" s="8">
        <f t="shared" si="162"/>
        <v>5.7751080045551362</v>
      </c>
      <c r="Q124" s="100" t="str">
        <f t="shared" si="163"/>
        <v>5</v>
      </c>
      <c r="R124" s="8">
        <f t="shared" si="164"/>
        <v>9.3012960546616341</v>
      </c>
      <c r="S124" s="100" t="str">
        <f t="shared" si="165"/>
        <v>9</v>
      </c>
      <c r="T124" s="8">
        <f t="shared" si="166"/>
        <v>3.6155526559396094</v>
      </c>
      <c r="U124" s="100" t="str">
        <f t="shared" si="167"/>
        <v>3</v>
      </c>
      <c r="V124" s="8">
        <f t="shared" si="168"/>
        <v>7.3866318712753127</v>
      </c>
      <c r="W124" s="100" t="str">
        <f t="shared" si="169"/>
        <v>7</v>
      </c>
      <c r="X124" s="8">
        <f t="shared" si="170"/>
        <v>4.6395824553037528</v>
      </c>
      <c r="Y124" s="100" t="str">
        <f t="shared" si="171"/>
        <v>4</v>
      </c>
      <c r="Z124" s="8">
        <f t="shared" si="172"/>
        <v>7.6749894636450335</v>
      </c>
      <c r="AA124" s="100" t="str">
        <f t="shared" si="173"/>
        <v>7</v>
      </c>
      <c r="AB124" s="8">
        <f t="shared" si="174"/>
        <v>8.0998735637404025</v>
      </c>
      <c r="AC124" s="100" t="str">
        <f t="shared" si="175"/>
        <v>8</v>
      </c>
      <c r="AD124" s="8">
        <f t="shared" si="176"/>
        <v>1.1984827648848295</v>
      </c>
      <c r="AE124" s="100" t="str">
        <f t="shared" si="177"/>
        <v>1</v>
      </c>
      <c r="AF124" s="8">
        <f t="shared" si="178"/>
        <v>2.3817931786179543</v>
      </c>
      <c r="AG124" s="100" t="str">
        <f t="shared" si="179"/>
        <v/>
      </c>
      <c r="AH124" s="8">
        <f t="shared" si="180"/>
        <v>4.581518143415451</v>
      </c>
      <c r="AI124" s="100" t="str">
        <f t="shared" si="181"/>
        <v/>
      </c>
      <c r="AJ124" s="8">
        <f t="shared" si="182"/>
        <v>6.9782177209854126</v>
      </c>
      <c r="AK124" s="100" t="str">
        <f t="shared" si="183"/>
        <v/>
      </c>
    </row>
    <row r="125" spans="2:39">
      <c r="B125" s="130"/>
      <c r="C125" s="621" t="s">
        <v>661</v>
      </c>
      <c r="D125" s="210">
        <v>25.5</v>
      </c>
      <c r="E125" s="8">
        <v>9</v>
      </c>
      <c r="F125" s="131">
        <f t="shared" si="158"/>
        <v>71.827824513901987</v>
      </c>
      <c r="G125" s="37" t="str">
        <f t="shared" si="184"/>
        <v>5;E9E259290</v>
      </c>
      <c r="H125" s="37"/>
      <c r="I125" s="340"/>
      <c r="J125" s="38">
        <v>1</v>
      </c>
      <c r="K125" s="132">
        <f t="shared" si="185"/>
        <v>5.9856520428251754</v>
      </c>
      <c r="L125" s="39" t="str">
        <f>INDEX(powers!$H$2:$H$75,33+J125)</f>
        <v>dirac</v>
      </c>
      <c r="M125" s="101" t="str">
        <f t="shared" si="159"/>
        <v>5</v>
      </c>
      <c r="N125" s="8">
        <f t="shared" si="160"/>
        <v>11.827824513902105</v>
      </c>
      <c r="O125" s="100" t="str">
        <f t="shared" si="161"/>
        <v>E</v>
      </c>
      <c r="P125" s="8">
        <f t="shared" si="162"/>
        <v>9.9338941668252545</v>
      </c>
      <c r="Q125" s="100" t="str">
        <f t="shared" si="163"/>
        <v>9</v>
      </c>
      <c r="R125" s="8">
        <f t="shared" si="164"/>
        <v>11.206730001903054</v>
      </c>
      <c r="S125" s="100" t="str">
        <f t="shared" si="165"/>
        <v>E</v>
      </c>
      <c r="T125" s="8">
        <f t="shared" si="166"/>
        <v>2.4807600228366482</v>
      </c>
      <c r="U125" s="100" t="str">
        <f t="shared" si="167"/>
        <v>2</v>
      </c>
      <c r="V125" s="8">
        <f t="shared" si="168"/>
        <v>5.7691202740397785</v>
      </c>
      <c r="W125" s="100" t="str">
        <f t="shared" si="169"/>
        <v>5</v>
      </c>
      <c r="X125" s="8">
        <f t="shared" si="170"/>
        <v>9.2294432884773414</v>
      </c>
      <c r="Y125" s="100" t="str">
        <f t="shared" si="171"/>
        <v>9</v>
      </c>
      <c r="Z125" s="8">
        <f t="shared" si="172"/>
        <v>2.7533194617280969</v>
      </c>
      <c r="AA125" s="100" t="str">
        <f t="shared" si="173"/>
        <v>2</v>
      </c>
      <c r="AB125" s="8">
        <f t="shared" si="174"/>
        <v>9.0398335407371633</v>
      </c>
      <c r="AC125" s="100" t="str">
        <f t="shared" si="175"/>
        <v>9</v>
      </c>
      <c r="AD125" s="8">
        <f t="shared" si="176"/>
        <v>0.47800248884595931</v>
      </c>
      <c r="AE125" s="100" t="str">
        <f t="shared" si="177"/>
        <v>0</v>
      </c>
      <c r="AF125" s="8">
        <f t="shared" si="178"/>
        <v>5.7360298661515117</v>
      </c>
      <c r="AG125" s="100" t="str">
        <f t="shared" si="179"/>
        <v/>
      </c>
      <c r="AH125" s="8">
        <f t="shared" si="180"/>
        <v>8.83235839381814</v>
      </c>
      <c r="AI125" s="100" t="str">
        <f t="shared" si="181"/>
        <v/>
      </c>
      <c r="AJ125" s="8">
        <f t="shared" si="182"/>
        <v>9.9883007258176804</v>
      </c>
      <c r="AK125" s="100" t="str">
        <f t="shared" si="183"/>
        <v/>
      </c>
      <c r="AL125" s="253">
        <f>6*12+10+6/12</f>
        <v>82.5</v>
      </c>
      <c r="AM125" s="253">
        <f t="shared" ref="AM125" si="188">-AL125*F$6*20736+D125</f>
        <v>-78.892766792159833</v>
      </c>
    </row>
    <row r="126" spans="2:39">
      <c r="B126" s="95"/>
      <c r="C126" s="621" t="s">
        <v>642</v>
      </c>
      <c r="D126" s="210">
        <v>37</v>
      </c>
      <c r="E126" s="8">
        <v>9</v>
      </c>
      <c r="F126" s="131">
        <f t="shared" si="158"/>
        <v>80.91609786035815</v>
      </c>
      <c r="G126" s="37" t="str">
        <f t="shared" si="184"/>
        <v>6;8XEE02568</v>
      </c>
      <c r="H126" s="37"/>
      <c r="I126" s="340"/>
      <c r="J126" s="38">
        <v>1</v>
      </c>
      <c r="K126" s="132">
        <f t="shared" si="185"/>
        <v>6.7430081550298553</v>
      </c>
      <c r="L126" s="39" t="str">
        <f>INDEX(powers!$H$2:$H$75,33+J126)</f>
        <v>dirac</v>
      </c>
      <c r="M126" s="101" t="str">
        <f t="shared" si="159"/>
        <v>6</v>
      </c>
      <c r="N126" s="8">
        <f t="shared" si="160"/>
        <v>8.9160978603582635</v>
      </c>
      <c r="O126" s="100" t="str">
        <f t="shared" si="161"/>
        <v>8</v>
      </c>
      <c r="P126" s="8">
        <f t="shared" si="162"/>
        <v>10.993174324299162</v>
      </c>
      <c r="Q126" s="100" t="str">
        <f t="shared" si="163"/>
        <v>X</v>
      </c>
      <c r="R126" s="8">
        <f t="shared" si="164"/>
        <v>11.918091891589938</v>
      </c>
      <c r="S126" s="100" t="str">
        <f t="shared" si="165"/>
        <v>E</v>
      </c>
      <c r="T126" s="8">
        <f t="shared" si="166"/>
        <v>11.01710269907926</v>
      </c>
      <c r="U126" s="100" t="str">
        <f t="shared" si="167"/>
        <v>E</v>
      </c>
      <c r="V126" s="8">
        <f t="shared" si="168"/>
        <v>0.20523238895111717</v>
      </c>
      <c r="W126" s="100" t="str">
        <f t="shared" si="169"/>
        <v>0</v>
      </c>
      <c r="X126" s="8">
        <f t="shared" si="170"/>
        <v>2.4627886674134061</v>
      </c>
      <c r="Y126" s="100" t="str">
        <f t="shared" si="171"/>
        <v>2</v>
      </c>
      <c r="Z126" s="8">
        <f t="shared" si="172"/>
        <v>5.5534640089608729</v>
      </c>
      <c r="AA126" s="100" t="str">
        <f t="shared" si="173"/>
        <v>5</v>
      </c>
      <c r="AB126" s="8">
        <f t="shared" si="174"/>
        <v>6.6415681075304747</v>
      </c>
      <c r="AC126" s="100" t="str">
        <f t="shared" si="175"/>
        <v>6</v>
      </c>
      <c r="AD126" s="8">
        <f t="shared" si="176"/>
        <v>7.698817290365696</v>
      </c>
      <c r="AE126" s="100" t="str">
        <f t="shared" si="177"/>
        <v>8</v>
      </c>
      <c r="AF126" s="8">
        <f t="shared" si="178"/>
        <v>8.3858074843883514</v>
      </c>
      <c r="AG126" s="100" t="str">
        <f t="shared" si="179"/>
        <v/>
      </c>
      <c r="AH126" s="8">
        <f t="shared" si="180"/>
        <v>4.6296898126602173</v>
      </c>
      <c r="AI126" s="100" t="str">
        <f t="shared" si="181"/>
        <v/>
      </c>
      <c r="AJ126" s="8">
        <f t="shared" si="182"/>
        <v>7.5562777519226074</v>
      </c>
      <c r="AK126" s="100" t="str">
        <f t="shared" si="183"/>
        <v/>
      </c>
    </row>
    <row r="127" spans="2:39">
      <c r="B127" s="130"/>
      <c r="C127" s="621" t="s">
        <v>643</v>
      </c>
      <c r="D127" s="210">
        <v>37.799999999999997</v>
      </c>
      <c r="E127" s="8">
        <v>9</v>
      </c>
      <c r="F127" s="131">
        <f t="shared" si="158"/>
        <v>81.548325571415958</v>
      </c>
      <c r="G127" s="37" t="str">
        <f t="shared" si="184"/>
        <v>6;966E60E47</v>
      </c>
      <c r="H127" s="37"/>
      <c r="I127" s="340"/>
      <c r="J127" s="38">
        <v>1</v>
      </c>
      <c r="K127" s="132">
        <f t="shared" si="185"/>
        <v>6.7956937976180063</v>
      </c>
      <c r="L127" s="39" t="str">
        <f>INDEX(powers!$H$2:$H$75,33+J127)</f>
        <v>dirac</v>
      </c>
      <c r="M127" s="101" t="str">
        <f t="shared" si="159"/>
        <v>6</v>
      </c>
      <c r="N127" s="8">
        <f t="shared" si="160"/>
        <v>9.5483255714160755</v>
      </c>
      <c r="O127" s="100" t="str">
        <f t="shared" si="161"/>
        <v>9</v>
      </c>
      <c r="P127" s="8">
        <f t="shared" si="162"/>
        <v>6.5799068569929062</v>
      </c>
      <c r="Q127" s="100" t="str">
        <f t="shared" si="163"/>
        <v>6</v>
      </c>
      <c r="R127" s="8">
        <f t="shared" si="164"/>
        <v>6.9588822839148747</v>
      </c>
      <c r="S127" s="100" t="str">
        <f t="shared" si="165"/>
        <v>6</v>
      </c>
      <c r="T127" s="8">
        <f t="shared" si="166"/>
        <v>11.506587406978497</v>
      </c>
      <c r="U127" s="100" t="str">
        <f t="shared" si="167"/>
        <v>E</v>
      </c>
      <c r="V127" s="8">
        <f t="shared" si="168"/>
        <v>6.0790488837419616</v>
      </c>
      <c r="W127" s="100" t="str">
        <f t="shared" si="169"/>
        <v>6</v>
      </c>
      <c r="X127" s="8">
        <f t="shared" si="170"/>
        <v>0.94858660490353941</v>
      </c>
      <c r="Y127" s="100" t="str">
        <f t="shared" si="171"/>
        <v>0</v>
      </c>
      <c r="Z127" s="8">
        <f t="shared" si="172"/>
        <v>11.383039258842473</v>
      </c>
      <c r="AA127" s="100" t="str">
        <f t="shared" si="173"/>
        <v>E</v>
      </c>
      <c r="AB127" s="8">
        <f t="shared" si="174"/>
        <v>4.596471106109675</v>
      </c>
      <c r="AC127" s="100" t="str">
        <f t="shared" si="175"/>
        <v>4</v>
      </c>
      <c r="AD127" s="8">
        <f t="shared" si="176"/>
        <v>7.1576532733161002</v>
      </c>
      <c r="AE127" s="100" t="str">
        <f t="shared" si="177"/>
        <v>7</v>
      </c>
      <c r="AF127" s="8">
        <f t="shared" si="178"/>
        <v>1.8918392797932029</v>
      </c>
      <c r="AG127" s="100" t="str">
        <f t="shared" si="179"/>
        <v/>
      </c>
      <c r="AH127" s="8">
        <f t="shared" si="180"/>
        <v>10.702071357518435</v>
      </c>
      <c r="AI127" s="100" t="str">
        <f t="shared" si="181"/>
        <v/>
      </c>
      <c r="AJ127" s="8">
        <f t="shared" si="182"/>
        <v>8.4248562902212143</v>
      </c>
      <c r="AK127" s="100" t="str">
        <f t="shared" si="183"/>
        <v/>
      </c>
    </row>
    <row r="128" spans="2:39">
      <c r="B128" s="130" t="s">
        <v>655</v>
      </c>
      <c r="C128" s="621" t="s">
        <v>644</v>
      </c>
      <c r="D128" s="210">
        <v>58.8</v>
      </c>
      <c r="E128" s="8">
        <v>9</v>
      </c>
      <c r="F128" s="131">
        <f t="shared" si="158"/>
        <v>98.144302986683726</v>
      </c>
      <c r="G128" s="37" t="str">
        <f t="shared" si="184"/>
        <v>8;21894324E</v>
      </c>
      <c r="H128" s="37"/>
      <c r="I128" s="340"/>
      <c r="J128" s="38">
        <v>1</v>
      </c>
      <c r="K128" s="132">
        <f t="shared" si="185"/>
        <v>8.1786919155569873</v>
      </c>
      <c r="L128" s="39" t="str">
        <f>INDEX(powers!$H$2:$H$75,33+J128)</f>
        <v>dirac</v>
      </c>
      <c r="M128" s="101" t="str">
        <f t="shared" si="159"/>
        <v>8</v>
      </c>
      <c r="N128" s="8">
        <f t="shared" si="160"/>
        <v>2.1443029866838472</v>
      </c>
      <c r="O128" s="100" t="str">
        <f t="shared" si="161"/>
        <v>2</v>
      </c>
      <c r="P128" s="8">
        <f t="shared" si="162"/>
        <v>1.7316358402061667</v>
      </c>
      <c r="Q128" s="100" t="str">
        <f t="shared" si="163"/>
        <v>1</v>
      </c>
      <c r="R128" s="8">
        <f t="shared" si="164"/>
        <v>8.7796300824740001</v>
      </c>
      <c r="S128" s="100" t="str">
        <f t="shared" si="165"/>
        <v>8</v>
      </c>
      <c r="T128" s="8">
        <f t="shared" si="166"/>
        <v>9.3555609896880014</v>
      </c>
      <c r="U128" s="100" t="str">
        <f t="shared" si="167"/>
        <v>9</v>
      </c>
      <c r="V128" s="8">
        <f t="shared" si="168"/>
        <v>4.2667318762560171</v>
      </c>
      <c r="W128" s="100" t="str">
        <f t="shared" si="169"/>
        <v>4</v>
      </c>
      <c r="X128" s="8">
        <f t="shared" si="170"/>
        <v>3.2007825150722056</v>
      </c>
      <c r="Y128" s="100" t="str">
        <f t="shared" si="171"/>
        <v>3</v>
      </c>
      <c r="Z128" s="8">
        <f t="shared" si="172"/>
        <v>2.4093901808664668</v>
      </c>
      <c r="AA128" s="100" t="str">
        <f t="shared" si="173"/>
        <v>2</v>
      </c>
      <c r="AB128" s="8">
        <f t="shared" si="174"/>
        <v>4.912682170397602</v>
      </c>
      <c r="AC128" s="100" t="str">
        <f t="shared" si="175"/>
        <v>4</v>
      </c>
      <c r="AD128" s="8">
        <f t="shared" si="176"/>
        <v>10.952186044771224</v>
      </c>
      <c r="AE128" s="100" t="str">
        <f t="shared" si="177"/>
        <v>E</v>
      </c>
      <c r="AF128" s="8">
        <f t="shared" si="178"/>
        <v>11.426232537254691</v>
      </c>
      <c r="AG128" s="100" t="str">
        <f t="shared" si="179"/>
        <v/>
      </c>
      <c r="AH128" s="8">
        <f t="shared" si="180"/>
        <v>5.1147904470562935</v>
      </c>
      <c r="AI128" s="100" t="str">
        <f t="shared" si="181"/>
        <v/>
      </c>
      <c r="AJ128" s="8">
        <f t="shared" si="182"/>
        <v>1.3774853646755219</v>
      </c>
      <c r="AK128" s="100" t="str">
        <f t="shared" si="183"/>
        <v/>
      </c>
    </row>
    <row r="129" spans="2:39">
      <c r="B129" s="130"/>
      <c r="C129" s="621" t="s">
        <v>645</v>
      </c>
      <c r="D129" s="210">
        <v>60</v>
      </c>
      <c r="E129" s="8">
        <v>9</v>
      </c>
      <c r="F129" s="131">
        <f t="shared" si="158"/>
        <v>99.092644553270461</v>
      </c>
      <c r="G129" s="37" t="str">
        <f t="shared" si="184"/>
        <v>8;311410E1X</v>
      </c>
      <c r="H129" s="37"/>
      <c r="I129" s="340"/>
      <c r="J129" s="38">
        <v>1</v>
      </c>
      <c r="K129" s="132">
        <f t="shared" si="185"/>
        <v>8.2577203794392151</v>
      </c>
      <c r="L129" s="39" t="str">
        <f>INDEX(powers!$H$2:$H$75,33+J129)</f>
        <v>dirac</v>
      </c>
      <c r="M129" s="101" t="str">
        <f t="shared" si="159"/>
        <v>8</v>
      </c>
      <c r="N129" s="8">
        <f t="shared" si="160"/>
        <v>3.0926445532705813</v>
      </c>
      <c r="O129" s="100" t="str">
        <f t="shared" si="161"/>
        <v>3</v>
      </c>
      <c r="P129" s="8">
        <f t="shared" si="162"/>
        <v>1.1117346392469756</v>
      </c>
      <c r="Q129" s="100" t="str">
        <f t="shared" si="163"/>
        <v>1</v>
      </c>
      <c r="R129" s="8">
        <f t="shared" si="164"/>
        <v>1.3408156709637069</v>
      </c>
      <c r="S129" s="100" t="str">
        <f t="shared" si="165"/>
        <v>1</v>
      </c>
      <c r="T129" s="8">
        <f t="shared" si="166"/>
        <v>4.0897880515644829</v>
      </c>
      <c r="U129" s="100" t="str">
        <f t="shared" si="167"/>
        <v>4</v>
      </c>
      <c r="V129" s="8">
        <f t="shared" si="168"/>
        <v>1.0774566187737946</v>
      </c>
      <c r="W129" s="100" t="str">
        <f t="shared" si="169"/>
        <v>1</v>
      </c>
      <c r="X129" s="8">
        <f t="shared" si="170"/>
        <v>0.9294794252855354</v>
      </c>
      <c r="Y129" s="100" t="str">
        <f t="shared" si="171"/>
        <v>0</v>
      </c>
      <c r="Z129" s="8">
        <f t="shared" si="172"/>
        <v>11.153753103426425</v>
      </c>
      <c r="AA129" s="100" t="str">
        <f t="shared" si="173"/>
        <v>E</v>
      </c>
      <c r="AB129" s="8">
        <f t="shared" si="174"/>
        <v>1.8450372411170974</v>
      </c>
      <c r="AC129" s="100" t="str">
        <f t="shared" si="175"/>
        <v>1</v>
      </c>
      <c r="AD129" s="8">
        <f t="shared" si="176"/>
        <v>10.140446893405169</v>
      </c>
      <c r="AE129" s="100" t="str">
        <f t="shared" si="177"/>
        <v>X</v>
      </c>
      <c r="AF129" s="8">
        <f t="shared" si="178"/>
        <v>1.685362720862031</v>
      </c>
      <c r="AG129" s="100" t="str">
        <f t="shared" si="179"/>
        <v/>
      </c>
      <c r="AH129" s="8">
        <f t="shared" si="180"/>
        <v>8.2243526503443718</v>
      </c>
      <c r="AI129" s="100" t="str">
        <f t="shared" si="181"/>
        <v/>
      </c>
      <c r="AJ129" s="8">
        <f t="shared" si="182"/>
        <v>2.6922318041324615</v>
      </c>
      <c r="AK129" s="100" t="str">
        <f t="shared" si="183"/>
        <v/>
      </c>
    </row>
    <row r="130" spans="2:39">
      <c r="B130" s="130"/>
      <c r="C130" s="621" t="s">
        <v>646</v>
      </c>
      <c r="D130" s="210">
        <v>83</v>
      </c>
      <c r="E130" s="8">
        <v>9</v>
      </c>
      <c r="F130" s="131">
        <f t="shared" si="158"/>
        <v>117.26919124618279</v>
      </c>
      <c r="G130" s="37" t="str">
        <f t="shared" si="184"/>
        <v>9;93291E491</v>
      </c>
      <c r="H130" s="37"/>
      <c r="I130" s="340"/>
      <c r="J130" s="38">
        <v>1</v>
      </c>
      <c r="K130" s="132">
        <f t="shared" si="185"/>
        <v>9.7724326038485767</v>
      </c>
      <c r="L130" s="39" t="str">
        <f>INDEX(powers!$H$2:$H$75,33+J130)</f>
        <v>dirac</v>
      </c>
      <c r="M130" s="101" t="str">
        <f t="shared" si="159"/>
        <v>9</v>
      </c>
      <c r="N130" s="8">
        <f t="shared" si="160"/>
        <v>9.2691912461829205</v>
      </c>
      <c r="O130" s="100" t="str">
        <f t="shared" si="161"/>
        <v>9</v>
      </c>
      <c r="P130" s="8">
        <f t="shared" si="162"/>
        <v>3.2302949541950454</v>
      </c>
      <c r="Q130" s="100" t="str">
        <f t="shared" si="163"/>
        <v>3</v>
      </c>
      <c r="R130" s="8">
        <f t="shared" si="164"/>
        <v>2.763539450340545</v>
      </c>
      <c r="S130" s="100" t="str">
        <f t="shared" si="165"/>
        <v>2</v>
      </c>
      <c r="T130" s="8">
        <f t="shared" si="166"/>
        <v>9.1624734040865405</v>
      </c>
      <c r="U130" s="100" t="str">
        <f t="shared" si="167"/>
        <v>9</v>
      </c>
      <c r="V130" s="8">
        <f t="shared" si="168"/>
        <v>1.9496808490384865</v>
      </c>
      <c r="W130" s="100" t="str">
        <f t="shared" si="169"/>
        <v>1</v>
      </c>
      <c r="X130" s="8">
        <f t="shared" si="170"/>
        <v>11.396170188461838</v>
      </c>
      <c r="Y130" s="100" t="str">
        <f t="shared" si="171"/>
        <v>E</v>
      </c>
      <c r="Z130" s="8">
        <f t="shared" si="172"/>
        <v>4.7540422615420539</v>
      </c>
      <c r="AA130" s="100" t="str">
        <f t="shared" si="173"/>
        <v>4</v>
      </c>
      <c r="AB130" s="8">
        <f t="shared" si="174"/>
        <v>9.0485071385046467</v>
      </c>
      <c r="AC130" s="100" t="str">
        <f t="shared" si="175"/>
        <v>9</v>
      </c>
      <c r="AD130" s="8">
        <f t="shared" si="176"/>
        <v>0.58208566205576062</v>
      </c>
      <c r="AE130" s="100" t="str">
        <f t="shared" si="177"/>
        <v>1</v>
      </c>
      <c r="AF130" s="8">
        <f t="shared" si="178"/>
        <v>6.9850279446691275</v>
      </c>
      <c r="AG130" s="100" t="str">
        <f t="shared" si="179"/>
        <v/>
      </c>
      <c r="AH130" s="8">
        <f t="shared" si="180"/>
        <v>11.82033533602953</v>
      </c>
      <c r="AI130" s="100" t="str">
        <f t="shared" si="181"/>
        <v/>
      </c>
      <c r="AJ130" s="8">
        <f t="shared" si="182"/>
        <v>9.8440240323543549</v>
      </c>
      <c r="AK130" s="100" t="str">
        <f t="shared" si="183"/>
        <v/>
      </c>
    </row>
    <row r="131" spans="2:39">
      <c r="B131" s="95" t="s">
        <v>658</v>
      </c>
      <c r="C131" s="621" t="s">
        <v>649</v>
      </c>
      <c r="D131" s="210">
        <v>99.974000000000004</v>
      </c>
      <c r="E131" s="8">
        <v>9</v>
      </c>
      <c r="F131" s="131">
        <f t="shared" si="158"/>
        <v>130.68348270555205</v>
      </c>
      <c r="G131" s="37" t="str">
        <f t="shared" si="184"/>
        <v>0;XX8250845</v>
      </c>
      <c r="H131" s="37"/>
      <c r="I131" s="340"/>
      <c r="J131" s="38">
        <v>2</v>
      </c>
      <c r="K131" s="132">
        <f t="shared" si="185"/>
        <v>0.90752418545523261</v>
      </c>
      <c r="L131" s="39" t="str">
        <f>INDEX(powers!$H$2:$H$75,33+J131)</f>
        <v>hecty</v>
      </c>
      <c r="M131" s="101" t="str">
        <f t="shared" si="159"/>
        <v>0</v>
      </c>
      <c r="N131" s="8">
        <f t="shared" si="160"/>
        <v>10.890290225462792</v>
      </c>
      <c r="O131" s="100" t="str">
        <f t="shared" si="161"/>
        <v>X</v>
      </c>
      <c r="P131" s="8">
        <f t="shared" si="162"/>
        <v>10.683482705553502</v>
      </c>
      <c r="Q131" s="100" t="str">
        <f t="shared" si="163"/>
        <v>X</v>
      </c>
      <c r="R131" s="8">
        <f t="shared" si="164"/>
        <v>8.2017924666420186</v>
      </c>
      <c r="S131" s="100" t="str">
        <f t="shared" si="165"/>
        <v>8</v>
      </c>
      <c r="T131" s="8">
        <f t="shared" si="166"/>
        <v>2.4215095997042226</v>
      </c>
      <c r="U131" s="100" t="str">
        <f t="shared" si="167"/>
        <v>2</v>
      </c>
      <c r="V131" s="8">
        <f t="shared" si="168"/>
        <v>5.0581151964506716</v>
      </c>
      <c r="W131" s="100" t="str">
        <f t="shared" si="169"/>
        <v>5</v>
      </c>
      <c r="X131" s="8">
        <f t="shared" si="170"/>
        <v>0.69738235740805976</v>
      </c>
      <c r="Y131" s="100" t="str">
        <f t="shared" si="171"/>
        <v>0</v>
      </c>
      <c r="Z131" s="8">
        <f t="shared" si="172"/>
        <v>8.3685882888967171</v>
      </c>
      <c r="AA131" s="100" t="str">
        <f t="shared" si="173"/>
        <v>8</v>
      </c>
      <c r="AB131" s="8">
        <f t="shared" si="174"/>
        <v>4.4230594667606056</v>
      </c>
      <c r="AC131" s="100" t="str">
        <f t="shared" si="175"/>
        <v>4</v>
      </c>
      <c r="AD131" s="8">
        <f t="shared" si="176"/>
        <v>5.0767136011272669</v>
      </c>
      <c r="AE131" s="100" t="str">
        <f t="shared" si="177"/>
        <v>5</v>
      </c>
      <c r="AF131" s="8">
        <f t="shared" si="178"/>
        <v>0.92056321352720261</v>
      </c>
      <c r="AG131" s="100" t="str">
        <f t="shared" si="179"/>
        <v/>
      </c>
      <c r="AH131" s="8">
        <f t="shared" si="180"/>
        <v>11.046758562326431</v>
      </c>
      <c r="AI131" s="100" t="str">
        <f t="shared" si="181"/>
        <v/>
      </c>
      <c r="AJ131" s="8">
        <f t="shared" si="182"/>
        <v>0.56110274791717529</v>
      </c>
      <c r="AK131" s="100" t="str">
        <f t="shared" si="183"/>
        <v/>
      </c>
      <c r="AL131" s="253">
        <f>144</f>
        <v>144</v>
      </c>
      <c r="AM131" s="253">
        <f t="shared" ref="AM131:AM133" si="189">-AL131*F$6*20736+D131</f>
        <v>-82.238829309951754</v>
      </c>
    </row>
    <row r="132" spans="2:39">
      <c r="B132" s="95" t="s">
        <v>659</v>
      </c>
      <c r="C132" s="621" t="s">
        <v>657</v>
      </c>
      <c r="D132" s="210">
        <v>99.983900000000006</v>
      </c>
      <c r="E132" s="8">
        <v>9</v>
      </c>
      <c r="F132" s="131">
        <f t="shared" si="158"/>
        <v>130.69130652347641</v>
      </c>
      <c r="G132" s="37" t="str">
        <f t="shared" si="184"/>
        <v>0;XX8366E23</v>
      </c>
      <c r="H132" s="37"/>
      <c r="I132" s="340"/>
      <c r="J132" s="38">
        <v>2</v>
      </c>
      <c r="K132" s="132">
        <f t="shared" si="185"/>
        <v>0.90757851752415175</v>
      </c>
      <c r="L132" s="39" t="str">
        <f>INDEX(powers!$H$2:$H$75,33+J132)</f>
        <v>hecty</v>
      </c>
      <c r="M132" s="101" t="str">
        <f t="shared" si="159"/>
        <v>0</v>
      </c>
      <c r="N132" s="8">
        <f t="shared" si="160"/>
        <v>10.890942210289822</v>
      </c>
      <c r="O132" s="100" t="str">
        <f t="shared" si="161"/>
        <v>X</v>
      </c>
      <c r="P132" s="8">
        <f t="shared" si="162"/>
        <v>10.691306523477863</v>
      </c>
      <c r="Q132" s="100" t="str">
        <f t="shared" si="163"/>
        <v>X</v>
      </c>
      <c r="R132" s="8">
        <f t="shared" si="164"/>
        <v>8.2956782817343537</v>
      </c>
      <c r="S132" s="100" t="str">
        <f t="shared" si="165"/>
        <v>8</v>
      </c>
      <c r="T132" s="8">
        <f t="shared" si="166"/>
        <v>3.5481393808122448</v>
      </c>
      <c r="U132" s="100" t="str">
        <f t="shared" si="167"/>
        <v>3</v>
      </c>
      <c r="V132" s="8">
        <f t="shared" si="168"/>
        <v>6.5776725697469374</v>
      </c>
      <c r="W132" s="100" t="str">
        <f t="shared" si="169"/>
        <v>6</v>
      </c>
      <c r="X132" s="8">
        <f t="shared" si="170"/>
        <v>6.9320708369632484</v>
      </c>
      <c r="Y132" s="100" t="str">
        <f t="shared" si="171"/>
        <v>6</v>
      </c>
      <c r="Z132" s="8">
        <f t="shared" si="172"/>
        <v>11.184850043558981</v>
      </c>
      <c r="AA132" s="100" t="str">
        <f t="shared" si="173"/>
        <v>E</v>
      </c>
      <c r="AB132" s="8">
        <f t="shared" si="174"/>
        <v>2.2182005227077752</v>
      </c>
      <c r="AC132" s="100" t="str">
        <f t="shared" si="175"/>
        <v>2</v>
      </c>
      <c r="AD132" s="8">
        <f t="shared" si="176"/>
        <v>2.6184062724933028</v>
      </c>
      <c r="AE132" s="100" t="str">
        <f t="shared" si="177"/>
        <v>3</v>
      </c>
      <c r="AF132" s="8">
        <f t="shared" si="178"/>
        <v>7.4208752699196339</v>
      </c>
      <c r="AG132" s="100" t="str">
        <f t="shared" si="179"/>
        <v/>
      </c>
      <c r="AH132" s="8">
        <f t="shared" si="180"/>
        <v>5.0505032390356064</v>
      </c>
      <c r="AI132" s="100" t="str">
        <f t="shared" si="181"/>
        <v/>
      </c>
      <c r="AJ132" s="8">
        <f t="shared" si="182"/>
        <v>0.60603886842727661</v>
      </c>
      <c r="AK132" s="100" t="str">
        <f t="shared" si="183"/>
        <v/>
      </c>
      <c r="AL132" s="253">
        <f>144</f>
        <v>144</v>
      </c>
      <c r="AM132" s="253">
        <f t="shared" si="189"/>
        <v>-82.228929309951752</v>
      </c>
    </row>
    <row r="133" spans="2:39" ht="12.75" thickBot="1">
      <c r="B133" s="133"/>
      <c r="C133" s="256" t="s">
        <v>647</v>
      </c>
      <c r="D133" s="212">
        <v>100</v>
      </c>
      <c r="E133" s="33">
        <v>9</v>
      </c>
      <c r="F133" s="134">
        <f t="shared" si="158"/>
        <v>130.70403010616144</v>
      </c>
      <c r="G133" s="47" t="str">
        <f t="shared" si="184"/>
        <v>0;XX8546928</v>
      </c>
      <c r="H133" s="47"/>
      <c r="I133" s="342"/>
      <c r="J133" s="48">
        <v>2</v>
      </c>
      <c r="K133" s="110">
        <f t="shared" si="185"/>
        <v>0.90766687573724225</v>
      </c>
      <c r="L133" s="49" t="str">
        <f>INDEX(powers!$H$2:$H$75,33+J133)</f>
        <v>hecty</v>
      </c>
      <c r="M133" s="101" t="str">
        <f t="shared" si="159"/>
        <v>0</v>
      </c>
      <c r="N133" s="8">
        <f t="shared" si="160"/>
        <v>10.892002508846907</v>
      </c>
      <c r="O133" s="100" t="str">
        <f t="shared" si="161"/>
        <v>X</v>
      </c>
      <c r="P133" s="8">
        <f t="shared" si="162"/>
        <v>10.70403010616289</v>
      </c>
      <c r="Q133" s="100" t="str">
        <f t="shared" si="163"/>
        <v>X</v>
      </c>
      <c r="R133" s="8">
        <f t="shared" si="164"/>
        <v>8.4483612739546743</v>
      </c>
      <c r="S133" s="100" t="str">
        <f t="shared" si="165"/>
        <v>8</v>
      </c>
      <c r="T133" s="8">
        <f t="shared" si="166"/>
        <v>5.3803352874560915</v>
      </c>
      <c r="U133" s="100" t="str">
        <f t="shared" si="167"/>
        <v>5</v>
      </c>
      <c r="V133" s="8">
        <f t="shared" si="168"/>
        <v>4.5640234494730976</v>
      </c>
      <c r="W133" s="100" t="str">
        <f t="shared" si="169"/>
        <v>4</v>
      </c>
      <c r="X133" s="8">
        <f t="shared" si="170"/>
        <v>6.7682813936771709</v>
      </c>
      <c r="Y133" s="100" t="str">
        <f t="shared" si="171"/>
        <v>6</v>
      </c>
      <c r="Z133" s="8">
        <f t="shared" si="172"/>
        <v>9.2193767241260502</v>
      </c>
      <c r="AA133" s="100" t="str">
        <f t="shared" si="173"/>
        <v>9</v>
      </c>
      <c r="AB133" s="8">
        <f t="shared" si="174"/>
        <v>2.632520689512603</v>
      </c>
      <c r="AC133" s="100" t="str">
        <f t="shared" si="175"/>
        <v>2</v>
      </c>
      <c r="AD133" s="8">
        <f t="shared" si="176"/>
        <v>7.5902482741512358</v>
      </c>
      <c r="AE133" s="100" t="str">
        <f t="shared" si="177"/>
        <v>8</v>
      </c>
      <c r="AF133" s="8">
        <f t="shared" si="178"/>
        <v>7.0829792898148298</v>
      </c>
      <c r="AG133" s="100" t="str">
        <f t="shared" si="179"/>
        <v/>
      </c>
      <c r="AH133" s="8">
        <f t="shared" si="180"/>
        <v>0.99575147777795792</v>
      </c>
      <c r="AI133" s="100" t="str">
        <f t="shared" si="181"/>
        <v/>
      </c>
      <c r="AJ133" s="8">
        <f t="shared" si="182"/>
        <v>11.949017733335495</v>
      </c>
      <c r="AK133" s="100" t="str">
        <f t="shared" si="183"/>
        <v/>
      </c>
      <c r="AL133" s="253">
        <f>144</f>
        <v>144</v>
      </c>
      <c r="AM133" s="253">
        <f t="shared" si="189"/>
        <v>-82.212829309951758</v>
      </c>
    </row>
    <row r="134" spans="2:39">
      <c r="B134" s="246"/>
      <c r="C134" s="247"/>
      <c r="D134" s="258">
        <f>D110+144*F6*20736-D132</f>
        <v>16.840379810946274</v>
      </c>
      <c r="E134" s="247"/>
      <c r="F134" s="248"/>
      <c r="G134" s="249"/>
      <c r="H134" s="249"/>
      <c r="I134" s="348"/>
      <c r="J134" s="250"/>
      <c r="K134" s="251"/>
      <c r="L134" s="251"/>
      <c r="M134" s="252"/>
      <c r="N134" s="247"/>
      <c r="O134" s="252"/>
      <c r="P134" s="247"/>
      <c r="Q134" s="252"/>
      <c r="R134" s="247"/>
      <c r="S134" s="252"/>
      <c r="T134" s="247"/>
      <c r="U134" s="252"/>
      <c r="V134" s="247"/>
      <c r="W134" s="252"/>
      <c r="X134" s="247"/>
      <c r="Y134" s="252"/>
      <c r="Z134" s="247"/>
      <c r="AA134" s="252"/>
      <c r="AB134" s="247"/>
      <c r="AC134" s="252"/>
      <c r="AD134" s="247"/>
      <c r="AE134" s="252"/>
      <c r="AF134" s="247"/>
      <c r="AG134" s="252"/>
      <c r="AH134" s="247"/>
      <c r="AI134" s="252"/>
      <c r="AJ134" s="247"/>
      <c r="AK134" s="252"/>
    </row>
    <row r="135" spans="2:39">
      <c r="B135" s="145" t="s">
        <v>675</v>
      </c>
      <c r="C135" s="619"/>
      <c r="D135" s="253">
        <f>D$110+F$6*F135*20736</f>
        <v>26.983232026178385</v>
      </c>
      <c r="F135" s="261">
        <f>12*6+1</f>
        <v>73</v>
      </c>
    </row>
    <row r="136" spans="2:39">
      <c r="B136" s="145" t="s">
        <v>676</v>
      </c>
      <c r="C136" s="619"/>
      <c r="D136" s="253">
        <f>D$110+F$6*F136*20736</f>
        <v>51.025202560130353</v>
      </c>
      <c r="F136" s="261">
        <f>12*7+8</f>
        <v>92</v>
      </c>
    </row>
    <row r="137" spans="2:39">
      <c r="B137" s="145" t="s">
        <v>677</v>
      </c>
      <c r="C137" s="619"/>
      <c r="D137" s="253">
        <f>D$110+F$6*F137*20736</f>
        <v>116.82427981094628</v>
      </c>
      <c r="F137" s="261">
        <v>144</v>
      </c>
    </row>
    <row r="138" spans="2:39" ht="13.5">
      <c r="B138" s="145" t="s">
        <v>1323</v>
      </c>
      <c r="D138" s="538">
        <f>F6*POWER(12,7)*3-273.15</f>
        <v>6286.5118551582618</v>
      </c>
      <c r="E138" s="14" t="s">
        <v>1324</v>
      </c>
    </row>
  </sheetData>
  <mergeCells count="7">
    <mergeCell ref="A71:A88"/>
    <mergeCell ref="A1:A30"/>
    <mergeCell ref="M1:R1"/>
    <mergeCell ref="M2:N2"/>
    <mergeCell ref="R24:W26"/>
    <mergeCell ref="A31:A70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0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26"/>
  <sheetViews>
    <sheetView workbookViewId="0">
      <selection activeCell="D70" sqref="D70"/>
    </sheetView>
  </sheetViews>
  <sheetFormatPr defaultRowHeight="12"/>
  <cols>
    <col min="1" max="1" width="2.75" style="14" customWidth="1"/>
    <col min="2" max="2" width="26" style="14" customWidth="1"/>
    <col min="3" max="3" width="8.625" style="14" customWidth="1"/>
    <col min="4" max="4" width="14.125" style="14" customWidth="1"/>
    <col min="5" max="5" width="3.5" style="14" customWidth="1"/>
    <col min="6" max="6" width="14.625" style="14" customWidth="1"/>
    <col min="7" max="7" width="13.625" style="14" customWidth="1"/>
    <col min="8" max="8" width="7" style="14" customWidth="1"/>
    <col min="9" max="9" width="2.75" style="343" customWidth="1"/>
    <col min="10" max="10" width="3.625" style="14" customWidth="1"/>
    <col min="11" max="11" width="9.625" style="14" customWidth="1"/>
    <col min="12" max="12" width="15.75" style="14" customWidth="1"/>
    <col min="13" max="13" width="3.125" style="14" customWidth="1"/>
    <col min="14" max="14" width="8.625" style="14" customWidth="1"/>
    <col min="15" max="15" width="3.125" style="14" customWidth="1"/>
    <col min="16" max="16" width="9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32" width="9" style="14" customWidth="1"/>
    <col min="33" max="33" width="3.125" style="14" customWidth="1"/>
    <col min="34" max="34" width="9" style="14" customWidth="1"/>
    <col min="35" max="35" width="3.125" style="14" customWidth="1"/>
    <col min="36" max="36" width="9" style="14" customWidth="1"/>
    <col min="37" max="37" width="3.125" style="14" customWidth="1"/>
    <col min="38" max="38" width="10.25" style="14" customWidth="1"/>
    <col min="39" max="39" width="10.125" style="14" customWidth="1"/>
    <col min="40" max="16384" width="9" style="14"/>
  </cols>
  <sheetData>
    <row r="1" spans="1:37" ht="11.25" customHeight="1">
      <c r="A1" s="718" t="s">
        <v>26</v>
      </c>
      <c r="B1" s="369" t="s">
        <v>42</v>
      </c>
      <c r="C1" s="18" t="str">
        <f>Rydberg!C1</f>
        <v>Unit Symbol</v>
      </c>
      <c r="D1" s="369" t="s">
        <v>43</v>
      </c>
      <c r="E1" s="18" t="s">
        <v>44</v>
      </c>
      <c r="F1" s="369" t="s">
        <v>55</v>
      </c>
      <c r="G1" s="369" t="s">
        <v>203</v>
      </c>
      <c r="H1" s="18" t="str">
        <f>Rydberg!H$1</f>
        <v>difference</v>
      </c>
      <c r="I1" s="349" t="s">
        <v>767</v>
      </c>
      <c r="J1" s="19"/>
      <c r="K1" s="367" t="s">
        <v>46</v>
      </c>
      <c r="L1" s="370"/>
      <c r="M1" s="729" t="s">
        <v>116</v>
      </c>
      <c r="N1" s="730"/>
      <c r="O1" s="730"/>
      <c r="P1" s="730"/>
      <c r="Q1" s="730"/>
      <c r="R1" s="730"/>
    </row>
    <row r="2" spans="1:37" ht="13.5" customHeight="1">
      <c r="A2" s="719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727">
        <f>365.2421896698-(0.00000615359)*P2-(0.000000000729)*P2*P2+(0.000000000264)*P2*P2*P2</f>
        <v>365.24218750000171</v>
      </c>
      <c r="N2" s="728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719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-2</v>
      </c>
      <c r="F3" s="21">
        <f t="shared" ref="F3:F30" si="0">D3*POWER(12,E3)</f>
        <v>6.3340418549589244E-10</v>
      </c>
      <c r="G3" s="26" t="s">
        <v>79</v>
      </c>
      <c r="H3" s="26"/>
      <c r="I3" s="334"/>
      <c r="J3" s="375">
        <f>FLOOR(LOG10(F3)/3,1)*3</f>
        <v>-12</v>
      </c>
      <c r="K3" s="58">
        <f>F3/POWER(10,J3)</f>
        <v>633.40418549589242</v>
      </c>
      <c r="L3" s="122" t="s">
        <v>789</v>
      </c>
      <c r="M3" s="23"/>
      <c r="N3" s="82">
        <f>-LOG(F3)/(LOG(12)-LOG(10))</f>
        <v>116.16789998014079</v>
      </c>
      <c r="O3" s="24"/>
      <c r="P3" s="83">
        <f>POWER(12,N3)*F3/POWER(10,N3)</f>
        <v>0.99999999999996458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719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-2</v>
      </c>
      <c r="F4" s="21">
        <f t="shared" si="0"/>
        <v>2.112808940296598E-18</v>
      </c>
      <c r="G4" s="129">
        <f>(F4*POWER(12,16)-Clock!F4)*(365+31/128)*128*12*12*12</f>
        <v>9.2995314347224927</v>
      </c>
      <c r="H4" s="283"/>
      <c r="I4" s="335"/>
      <c r="J4" s="8">
        <f t="shared" ref="J4:J30" si="1">FLOOR(LOG10(F4)/3,1)*3</f>
        <v>-18</v>
      </c>
      <c r="K4" s="58">
        <f t="shared" ref="K4:K30" si="2">F4/POWER(10,J4)</f>
        <v>2.1128089402965977</v>
      </c>
      <c r="L4" s="122" t="s">
        <v>790</v>
      </c>
      <c r="M4" s="23"/>
      <c r="N4" s="82">
        <f t="shared" ref="N4:N30" si="3">-LOG(F4)/(LOG(12)-LOG(10))</f>
        <v>223.22381443025438</v>
      </c>
      <c r="O4" s="24"/>
      <c r="P4" s="83">
        <f t="shared" ref="P4:P30" si="4">POWER(12,N4)*F4/POWER(10,N4)</f>
        <v>0.99999999999996303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719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8</v>
      </c>
      <c r="F5" s="21">
        <f t="shared" si="0"/>
        <v>1.4904019296743176E-10</v>
      </c>
      <c r="G5" s="21"/>
      <c r="H5" s="21"/>
      <c r="I5" s="333"/>
      <c r="J5" s="8">
        <f t="shared" si="1"/>
        <v>-12</v>
      </c>
      <c r="K5" s="58">
        <f t="shared" si="2"/>
        <v>149.04019296743178</v>
      </c>
      <c r="L5" s="122" t="s">
        <v>791</v>
      </c>
      <c r="M5" s="23"/>
      <c r="N5" s="82">
        <f t="shared" si="3"/>
        <v>124.10383880426825</v>
      </c>
      <c r="O5" s="24"/>
      <c r="P5" s="83">
        <f t="shared" si="4"/>
        <v>0.99999999999999301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719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6">
        <v>8</v>
      </c>
      <c r="F6" s="139">
        <f t="shared" si="0"/>
        <v>10794940986677.172</v>
      </c>
      <c r="G6" s="21"/>
      <c r="H6" s="21"/>
      <c r="I6" s="333"/>
      <c r="J6" s="136">
        <f t="shared" si="1"/>
        <v>12</v>
      </c>
      <c r="K6" s="140">
        <f t="shared" si="2"/>
        <v>10.794940986677172</v>
      </c>
      <c r="L6" s="137" t="s">
        <v>803</v>
      </c>
      <c r="M6" s="23"/>
      <c r="N6" s="82">
        <f t="shared" si="3"/>
        <v>-164.59983800526638</v>
      </c>
      <c r="O6" s="24"/>
      <c r="P6" s="83">
        <f t="shared" si="4"/>
        <v>1.0000000000000262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719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333"/>
      <c r="J7" s="8">
        <f t="shared" si="1"/>
        <v>-24</v>
      </c>
      <c r="K7" s="58">
        <f t="shared" si="2"/>
        <v>1.660539040427164</v>
      </c>
      <c r="L7" s="122" t="str">
        <f>Rydberg!L7</f>
        <v>mol</v>
      </c>
      <c r="M7" s="23"/>
      <c r="N7" s="82">
        <f t="shared" si="3"/>
        <v>300.32049375779798</v>
      </c>
      <c r="O7" s="24"/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719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8</v>
      </c>
      <c r="F8" s="21">
        <f t="shared" si="0"/>
        <v>1.6582957905945506E-27</v>
      </c>
      <c r="G8" s="21"/>
      <c r="H8" s="21"/>
      <c r="I8" s="333"/>
      <c r="J8" s="8">
        <f t="shared" si="1"/>
        <v>-27</v>
      </c>
      <c r="K8" s="58">
        <f t="shared" si="2"/>
        <v>1.6582957905945506</v>
      </c>
      <c r="L8" s="122" t="str">
        <f>Rydberg!L8</f>
        <v>g</v>
      </c>
      <c r="M8" s="23"/>
      <c r="N8" s="82">
        <f t="shared" si="3"/>
        <v>338.2156677044955</v>
      </c>
      <c r="O8" s="24"/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719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10</v>
      </c>
      <c r="F9" s="21">
        <f t="shared" si="0"/>
        <v>70541254.40538384</v>
      </c>
      <c r="G9" s="21"/>
      <c r="H9" s="21"/>
      <c r="I9" s="333"/>
      <c r="J9" s="8">
        <f t="shared" si="1"/>
        <v>6</v>
      </c>
      <c r="K9" s="58">
        <f t="shared" si="2"/>
        <v>70.541254405383839</v>
      </c>
      <c r="L9" s="122" t="s">
        <v>792</v>
      </c>
      <c r="M9" s="23"/>
      <c r="N9" s="82">
        <f t="shared" si="3"/>
        <v>-99.119975625986157</v>
      </c>
      <c r="O9" s="24"/>
      <c r="P9" s="83">
        <f t="shared" si="4"/>
        <v>1.0000000000000298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719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333"/>
      <c r="J10" s="8">
        <f t="shared" si="1"/>
        <v>-3</v>
      </c>
      <c r="K10" s="58">
        <f t="shared" si="2"/>
        <v>235.30029699874513</v>
      </c>
      <c r="L10" s="122" t="str">
        <f>Rydberg!L10</f>
        <v>mN</v>
      </c>
      <c r="M10" s="23"/>
      <c r="N10" s="82">
        <f t="shared" si="3"/>
        <v>7.9359388241274607</v>
      </c>
      <c r="O10" s="24"/>
      <c r="P10" s="83">
        <f t="shared" si="4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719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2</v>
      </c>
      <c r="F11" s="21">
        <f t="shared" si="0"/>
        <v>65778.757394109329</v>
      </c>
      <c r="G11" s="21"/>
      <c r="H11" s="21"/>
      <c r="I11" s="333"/>
      <c r="J11" s="8">
        <f t="shared" si="1"/>
        <v>3</v>
      </c>
      <c r="K11" s="58">
        <f t="shared" si="2"/>
        <v>65.778757394109334</v>
      </c>
      <c r="L11" s="122" t="str">
        <f>Rydberg!L11</f>
        <v>Pa</v>
      </c>
      <c r="M11" s="23"/>
      <c r="N11" s="82">
        <f t="shared" si="3"/>
        <v>-60.848823497994189</v>
      </c>
      <c r="O11" s="24"/>
      <c r="P11" s="83">
        <f t="shared" si="4"/>
        <v>1.0000000000000018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719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-1</v>
      </c>
      <c r="F12" s="21">
        <f t="shared" si="0"/>
        <v>1.5629550188320415E-19</v>
      </c>
      <c r="G12" s="21"/>
      <c r="H12" s="21"/>
      <c r="I12" s="333"/>
      <c r="J12" s="8">
        <f t="shared" si="1"/>
        <v>-21</v>
      </c>
      <c r="K12" s="58">
        <f t="shared" si="2"/>
        <v>156.29550188320417</v>
      </c>
      <c r="L12" s="122" t="str">
        <f>Rydberg!L12</f>
        <v>mC</v>
      </c>
      <c r="M12" s="23"/>
      <c r="N12" s="82">
        <f t="shared" si="3"/>
        <v>237.5064104105748</v>
      </c>
      <c r="O12" s="24"/>
      <c r="P12" s="83">
        <f t="shared" si="4"/>
        <v>0.99999999999990241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719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333"/>
      <c r="J13" s="8">
        <f t="shared" si="1"/>
        <v>-3</v>
      </c>
      <c r="K13" s="58">
        <f t="shared" si="2"/>
        <v>73.975217968011464</v>
      </c>
      <c r="L13" s="122" t="str">
        <f>Rydberg!L13</f>
        <v>mA</v>
      </c>
      <c r="M13" s="23"/>
      <c r="N13" s="82">
        <f t="shared" si="3"/>
        <v>14.282595980320391</v>
      </c>
      <c r="O13" s="24"/>
      <c r="P13" s="83">
        <f t="shared" si="4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719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3</v>
      </c>
      <c r="F14" s="21">
        <f t="shared" si="0"/>
        <v>116789910.23732536</v>
      </c>
      <c r="G14" s="21"/>
      <c r="H14" s="21"/>
      <c r="I14" s="333"/>
      <c r="J14" s="8">
        <f t="shared" si="1"/>
        <v>6</v>
      </c>
      <c r="K14" s="58">
        <f t="shared" si="2"/>
        <v>116.78991023732536</v>
      </c>
      <c r="L14" s="122" t="s">
        <v>793</v>
      </c>
      <c r="M14" s="23"/>
      <c r="N14" s="82">
        <f t="shared" si="3"/>
        <v>-101.88530399982039</v>
      </c>
      <c r="O14" s="24"/>
      <c r="P14" s="83">
        <f t="shared" si="4"/>
        <v>1.0000000000000318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719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si="0"/>
        <v>0.38956920736586814</v>
      </c>
      <c r="G15" s="21"/>
      <c r="H15" s="21"/>
      <c r="I15" s="333"/>
      <c r="J15" s="8">
        <f t="shared" si="1"/>
        <v>-3</v>
      </c>
      <c r="K15" s="58">
        <f t="shared" si="2"/>
        <v>389.56920736586812</v>
      </c>
      <c r="L15" s="122" t="str">
        <f>Rydberg!L15</f>
        <v>mC/m^2</v>
      </c>
      <c r="M15" s="23"/>
      <c r="N15" s="82">
        <f t="shared" si="3"/>
        <v>5.1706104502932382</v>
      </c>
      <c r="O15" s="24"/>
      <c r="P15" s="83">
        <f t="shared" si="4"/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719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f t="shared" si="1"/>
        <v>0</v>
      </c>
      <c r="K16" s="58">
        <f t="shared" si="2"/>
        <v>29.979245800000001</v>
      </c>
      <c r="L16" s="122" t="str">
        <f>Rydberg!L16</f>
        <v>Ω</v>
      </c>
      <c r="M16" s="23"/>
      <c r="N16" s="82">
        <f t="shared" si="3"/>
        <v>-18.651142494520347</v>
      </c>
      <c r="O16" s="24"/>
      <c r="P16" s="83">
        <f t="shared" si="4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719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333"/>
      <c r="J17" s="8">
        <f t="shared" si="1"/>
        <v>0</v>
      </c>
      <c r="K17" s="58">
        <f t="shared" si="2"/>
        <v>2.2177212425715922</v>
      </c>
      <c r="L17" s="122" t="str">
        <f>Rydberg!L17</f>
        <v>V</v>
      </c>
      <c r="M17" s="23"/>
      <c r="N17" s="82">
        <f t="shared" si="3"/>
        <v>-4.368546514199954</v>
      </c>
      <c r="O17" s="24"/>
      <c r="P17" s="83">
        <f t="shared" si="4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719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-2</v>
      </c>
      <c r="F18" s="21">
        <f t="shared" si="0"/>
        <v>7.0475720249660117E-20</v>
      </c>
      <c r="G18" s="21"/>
      <c r="H18" s="21"/>
      <c r="I18" s="333"/>
      <c r="J18" s="8">
        <f t="shared" si="1"/>
        <v>-21</v>
      </c>
      <c r="K18" s="58">
        <f t="shared" si="2"/>
        <v>70.475720249660128</v>
      </c>
      <c r="L18" s="122" t="str">
        <f>Rydberg!L18</f>
        <v>mF</v>
      </c>
      <c r="M18" s="119"/>
      <c r="N18" s="120">
        <f t="shared" si="3"/>
        <v>241.87495692477478</v>
      </c>
      <c r="O18" s="76"/>
      <c r="P18" s="121">
        <f t="shared" si="4"/>
        <v>0.99999999999991485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719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-1</v>
      </c>
      <c r="F19" s="21">
        <f t="shared" si="0"/>
        <v>4.6856212683909407E-18</v>
      </c>
      <c r="G19" s="21"/>
      <c r="H19" s="21"/>
      <c r="I19" s="333"/>
      <c r="J19" s="8">
        <f t="shared" si="1"/>
        <v>-18</v>
      </c>
      <c r="K19" s="58">
        <f t="shared" si="2"/>
        <v>4.6856212683909408</v>
      </c>
      <c r="L19" s="122" t="s">
        <v>794</v>
      </c>
      <c r="M19" s="119"/>
      <c r="N19" s="120">
        <f t="shared" si="3"/>
        <v>218.85526791605446</v>
      </c>
      <c r="O19" s="76"/>
      <c r="P19" s="121">
        <f t="shared" si="4"/>
        <v>0.99999999999995082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719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333"/>
      <c r="J20" s="8">
        <f t="shared" si="1"/>
        <v>0</v>
      </c>
      <c r="K20" s="58">
        <f t="shared" si="2"/>
        <v>11.678991023732532</v>
      </c>
      <c r="L20" s="122" t="str">
        <f>Rydberg!L20</f>
        <v>T</v>
      </c>
      <c r="M20" s="119"/>
      <c r="N20" s="120">
        <f t="shared" si="3"/>
        <v>-13.480532044227107</v>
      </c>
      <c r="O20" s="76"/>
      <c r="P20" s="121">
        <f t="shared" si="4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719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-2</v>
      </c>
      <c r="F21" s="29">
        <f t="shared" si="0"/>
        <v>6.3340418549589242E-17</v>
      </c>
      <c r="G21" s="29"/>
      <c r="H21" s="29"/>
      <c r="I21" s="336"/>
      <c r="J21" s="30">
        <f t="shared" si="1"/>
        <v>-18</v>
      </c>
      <c r="K21" s="59">
        <f t="shared" si="2"/>
        <v>63.340418549589238</v>
      </c>
      <c r="L21" s="123" t="s">
        <v>795</v>
      </c>
      <c r="M21" s="119"/>
      <c r="N21" s="120">
        <f t="shared" si="3"/>
        <v>204.57267193573404</v>
      </c>
      <c r="O21" s="76"/>
      <c r="P21" s="121">
        <f t="shared" si="4"/>
        <v>0.99999999999989753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719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v>2</v>
      </c>
      <c r="F22" s="29">
        <f t="shared" si="0"/>
        <v>4.7330356329314803E+17</v>
      </c>
      <c r="G22" s="21"/>
      <c r="H22" s="21"/>
      <c r="I22" s="333"/>
      <c r="J22" s="8">
        <f t="shared" si="1"/>
        <v>15</v>
      </c>
      <c r="K22" s="58">
        <f t="shared" si="2"/>
        <v>473.30356329314804</v>
      </c>
      <c r="L22" s="122" t="s">
        <v>796</v>
      </c>
      <c r="M22" s="23"/>
      <c r="N22" s="82">
        <f t="shared" si="3"/>
        <v>-223.22381443025438</v>
      </c>
      <c r="O22" s="24"/>
      <c r="P22" s="83">
        <f t="shared" si="4"/>
        <v>1.0000000000000369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>
      <c r="A23" s="719"/>
      <c r="B23" s="2" t="str">
        <f>Rydberg!B23</f>
        <v>Luminous flux</v>
      </c>
      <c r="C23" s="2" t="str">
        <f>Rydberg!C23</f>
        <v>W_sen</v>
      </c>
      <c r="D23" s="21">
        <f>D9*683/R23</f>
        <v>0.80324451321797585</v>
      </c>
      <c r="E23" s="8">
        <f>E9</f>
        <v>10</v>
      </c>
      <c r="F23" s="21">
        <f t="shared" si="0"/>
        <v>49734783085.846992</v>
      </c>
      <c r="G23" s="21"/>
      <c r="H23" s="21"/>
      <c r="I23" s="333"/>
      <c r="J23" s="8">
        <f t="shared" si="1"/>
        <v>9</v>
      </c>
      <c r="K23" s="58">
        <f t="shared" si="2"/>
        <v>49.734783085846992</v>
      </c>
      <c r="L23" s="122" t="s">
        <v>797</v>
      </c>
      <c r="M23" s="23"/>
      <c r="N23" s="82">
        <f t="shared" si="3"/>
        <v>-135.09082973648378</v>
      </c>
      <c r="O23" s="24"/>
      <c r="P23" s="83">
        <f t="shared" si="4"/>
        <v>1.0000000000000466</v>
      </c>
      <c r="Q23" s="24"/>
      <c r="R23" s="297">
        <f>1/K57</f>
        <v>0.96873201750401583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719"/>
      <c r="B24" s="6" t="str">
        <f>Rydberg!B24</f>
        <v>Luminous intensity</v>
      </c>
      <c r="C24" s="2" t="str">
        <f>Rydberg!C24</f>
        <v>W_sen/sr</v>
      </c>
      <c r="D24" s="21">
        <f>D23</f>
        <v>0.80324451321797585</v>
      </c>
      <c r="E24" s="8">
        <f>E9</f>
        <v>10</v>
      </c>
      <c r="F24" s="21">
        <f t="shared" si="0"/>
        <v>49734783085.846992</v>
      </c>
      <c r="G24" s="21"/>
      <c r="H24" s="21"/>
      <c r="I24" s="333"/>
      <c r="J24" s="8">
        <f t="shared" si="1"/>
        <v>9</v>
      </c>
      <c r="K24" s="58">
        <f t="shared" si="2"/>
        <v>49.734783085846992</v>
      </c>
      <c r="L24" s="122" t="s">
        <v>798</v>
      </c>
      <c r="M24" s="23"/>
      <c r="N24" s="82">
        <f t="shared" si="3"/>
        <v>-135.09082973648378</v>
      </c>
      <c r="O24" s="24"/>
      <c r="P24" s="83">
        <f t="shared" si="4"/>
        <v>1.0000000000000466</v>
      </c>
      <c r="Q24" s="24"/>
      <c r="R24" s="731" t="s">
        <v>768</v>
      </c>
      <c r="S24" s="732"/>
      <c r="T24" s="732"/>
      <c r="U24" s="732"/>
      <c r="V24" s="732"/>
      <c r="W24" s="733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719"/>
      <c r="B25" s="299"/>
      <c r="C25" s="2" t="str">
        <f>Rydberg!C25</f>
        <v>W_sen/Ω_2</v>
      </c>
      <c r="D25" s="21">
        <f>D23/(4*PI())</f>
        <v>6.3920167395042055E-2</v>
      </c>
      <c r="E25" s="8">
        <f>E9</f>
        <v>10</v>
      </c>
      <c r="F25" s="21">
        <f t="shared" si="0"/>
        <v>3957768285.8578682</v>
      </c>
      <c r="G25" s="21"/>
      <c r="H25" s="21"/>
      <c r="I25" s="333"/>
      <c r="J25" s="8">
        <f t="shared" si="1"/>
        <v>9</v>
      </c>
      <c r="K25" s="58">
        <f t="shared" si="2"/>
        <v>3.9577682858578682</v>
      </c>
      <c r="L25" s="122" t="s">
        <v>798</v>
      </c>
      <c r="M25" s="23"/>
      <c r="N25" s="82">
        <f t="shared" si="3"/>
        <v>-121.20863011359637</v>
      </c>
      <c r="O25" s="24"/>
      <c r="P25" s="83">
        <f t="shared" si="4"/>
        <v>1.0000000000000084</v>
      </c>
      <c r="Q25" s="24"/>
      <c r="R25" s="734"/>
      <c r="S25" s="735"/>
      <c r="T25" s="735"/>
      <c r="U25" s="735"/>
      <c r="V25" s="735"/>
      <c r="W25" s="73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719"/>
      <c r="B26" s="2" t="str">
        <f>Rydberg!B26</f>
        <v>Illuminance and luminous emittance</v>
      </c>
      <c r="C26" s="2" t="str">
        <f>Rydberg!C26</f>
        <v>W_sen/m^2</v>
      </c>
      <c r="D26" s="21">
        <f>D23/D3/D3</f>
        <v>96551922526131.125</v>
      </c>
      <c r="E26" s="8">
        <v>14</v>
      </c>
      <c r="F26" s="21">
        <f t="shared" si="0"/>
        <v>1.2396479611899115E+29</v>
      </c>
      <c r="G26" s="21"/>
      <c r="H26" s="21"/>
      <c r="I26" s="333"/>
      <c r="J26" s="8">
        <f t="shared" si="1"/>
        <v>27</v>
      </c>
      <c r="K26" s="58">
        <f t="shared" si="2"/>
        <v>123.96479611899116</v>
      </c>
      <c r="L26" s="122" t="s">
        <v>700</v>
      </c>
      <c r="M26" s="23"/>
      <c r="N26" s="82">
        <f t="shared" si="3"/>
        <v>-367.42662969676536</v>
      </c>
      <c r="O26" s="24"/>
      <c r="P26" s="83"/>
      <c r="Q26" s="24"/>
      <c r="R26" s="737"/>
      <c r="S26" s="738"/>
      <c r="T26" s="738"/>
      <c r="U26" s="738"/>
      <c r="V26" s="738"/>
      <c r="W26" s="739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719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v>2</v>
      </c>
      <c r="F27" s="21">
        <f t="shared" si="0"/>
        <v>7.8593904482156164E-7</v>
      </c>
      <c r="G27" s="21"/>
      <c r="H27" s="21"/>
      <c r="I27" s="333"/>
      <c r="J27" s="8">
        <f t="shared" si="1"/>
        <v>-9</v>
      </c>
      <c r="K27" s="58">
        <f t="shared" si="2"/>
        <v>785.93904482156154</v>
      </c>
      <c r="L27" s="282" t="s">
        <v>799</v>
      </c>
      <c r="M27" s="23"/>
      <c r="N27" s="82">
        <f t="shared" si="3"/>
        <v>77.096679327543569</v>
      </c>
      <c r="O27" s="24"/>
      <c r="P27" s="83">
        <f t="shared" si="4"/>
        <v>0.99999999999998124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719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v>2</v>
      </c>
      <c r="F28" s="21">
        <f t="shared" si="0"/>
        <v>4.7330356329314803E+17</v>
      </c>
      <c r="G28" s="21"/>
      <c r="H28" s="21"/>
      <c r="I28" s="333"/>
      <c r="J28" s="8">
        <f t="shared" si="1"/>
        <v>15</v>
      </c>
      <c r="K28" s="58">
        <f t="shared" si="2"/>
        <v>473.30356329314804</v>
      </c>
      <c r="L28" s="122" t="s">
        <v>800</v>
      </c>
      <c r="M28" s="23"/>
      <c r="N28" s="82">
        <f t="shared" si="3"/>
        <v>-223.22381443025438</v>
      </c>
      <c r="O28" s="24"/>
      <c r="P28" s="83">
        <f t="shared" si="4"/>
        <v>1.0000000000000369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719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333"/>
      <c r="J29" s="8">
        <f t="shared" si="1"/>
        <v>15</v>
      </c>
      <c r="K29" s="58">
        <f t="shared" si="2"/>
        <v>89.875517873681758</v>
      </c>
      <c r="L29" s="122" t="s">
        <v>801</v>
      </c>
      <c r="M29" s="23"/>
      <c r="N29" s="82">
        <f t="shared" si="3"/>
        <v>-214.11182890022724</v>
      </c>
      <c r="O29" s="24"/>
      <c r="P29" s="83">
        <f t="shared" si="4"/>
        <v>1.0000000000001164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720"/>
      <c r="B30" s="4" t="str">
        <f>Rydberg!B30</f>
        <v>Equivalent dose</v>
      </c>
      <c r="C30" s="4" t="str">
        <f>Rydberg!C30</f>
        <v>J_sen/g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337"/>
      <c r="J30" s="33">
        <f t="shared" si="1"/>
        <v>15</v>
      </c>
      <c r="K30" s="60">
        <f t="shared" si="2"/>
        <v>89.875517873681758</v>
      </c>
      <c r="L30" s="128" t="s">
        <v>802</v>
      </c>
      <c r="M30" s="115"/>
      <c r="N30" s="116">
        <f t="shared" si="3"/>
        <v>-214.11182890022724</v>
      </c>
      <c r="O30" s="117"/>
      <c r="P30" s="118">
        <f t="shared" si="4"/>
        <v>1.0000000000001164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>
      <c r="A31" s="718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52" t="str">
        <f>Rydberg!H$1</f>
        <v>difference</v>
      </c>
      <c r="I31" s="338"/>
      <c r="J31" s="721" t="str">
        <f>Rydberg!J31</f>
        <v>0123456789XE</v>
      </c>
      <c r="K31" s="722">
        <f>Rydberg!K31</f>
        <v>0</v>
      </c>
      <c r="L31" s="124" t="str">
        <f>Rydberg!L31</f>
        <v>Prefix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719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centy</v>
      </c>
      <c r="M32" s="40" t="str">
        <f t="shared" ref="M32:M69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69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69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69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69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69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69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69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69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69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69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69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69" si="17">IF($E32&gt;=AK$31,MID($J$31,IF($E32&gt;AK$31,INT(AJ32),ROUND(AJ32,0))+1,1),"")</f>
        <v/>
      </c>
    </row>
    <row r="33" spans="1:37" ht="15" customHeight="1">
      <c r="A33" s="719"/>
      <c r="B33" s="368" t="str">
        <f>Rydberg!B33</f>
        <v>Avogadro constant</v>
      </c>
      <c r="C33" s="368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69" si="18">M33&amp;";"&amp;O33&amp;Q33&amp;S33&amp;U33&amp;W33&amp;Y33&amp;AA33&amp;AC33&amp;AE33&amp;AG33&amp;AI33&amp;AK33</f>
        <v>1;0000000</v>
      </c>
      <c r="H33" s="330">
        <f t="shared" ref="H33:H49" si="19">K33*POWER(12,I33)/ROUND(K33*POWER(12,I33),0)-1</f>
        <v>1.000310945187266E-12</v>
      </c>
      <c r="I33" s="333"/>
      <c r="J33" s="38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69" si="20">(K33-INT(K33))*12</f>
        <v>1.2003731342247193E-11</v>
      </c>
      <c r="O33" s="41" t="str">
        <f t="shared" si="6"/>
        <v>0</v>
      </c>
      <c r="P33" s="24">
        <f t="shared" ref="P33:P69" si="21">(N33-INT(N33))*12</f>
        <v>1.4404477610696631E-10</v>
      </c>
      <c r="Q33" s="41" t="str">
        <f t="shared" si="7"/>
        <v>0</v>
      </c>
      <c r="R33" s="24">
        <f t="shared" ref="R33:R69" si="22">(P33-INT(P33))*12</f>
        <v>1.7285373132835957E-9</v>
      </c>
      <c r="S33" s="41" t="str">
        <f t="shared" si="8"/>
        <v>0</v>
      </c>
      <c r="T33" s="24">
        <f t="shared" ref="T33:T69" si="23">(R33-INT(R33))*12</f>
        <v>2.0742447759403149E-8</v>
      </c>
      <c r="U33" s="41" t="str">
        <f t="shared" si="9"/>
        <v>0</v>
      </c>
      <c r="V33" s="24">
        <f t="shared" ref="V33:V69" si="24">(T33-INT(T33))*12</f>
        <v>2.4890937311283778E-7</v>
      </c>
      <c r="W33" s="41" t="str">
        <f t="shared" si="10"/>
        <v>0</v>
      </c>
      <c r="X33" s="24">
        <f t="shared" ref="X33:X69" si="25">(V33-INT(V33))*12</f>
        <v>2.9869124773540534E-6</v>
      </c>
      <c r="Y33" s="41" t="str">
        <f t="shared" si="11"/>
        <v>0</v>
      </c>
      <c r="Z33" s="24">
        <f t="shared" ref="Z33:Z69" si="26">(X33-INT(X33))*12</f>
        <v>3.5842949728248641E-5</v>
      </c>
      <c r="AA33" s="41" t="str">
        <f t="shared" si="12"/>
        <v>0</v>
      </c>
      <c r="AB33" s="24">
        <f t="shared" ref="AB33:AB69" si="27">(Z33-INT(Z33))*12</f>
        <v>4.3011539673898369E-4</v>
      </c>
      <c r="AC33" s="41" t="str">
        <f t="shared" si="13"/>
        <v/>
      </c>
      <c r="AD33" s="24">
        <f t="shared" ref="AD33:AD69" si="28">(AB33-INT(AB33))*12</f>
        <v>5.1613847608678043E-3</v>
      </c>
      <c r="AE33" s="41" t="str">
        <f t="shared" si="14"/>
        <v/>
      </c>
      <c r="AF33" s="24">
        <f t="shared" ref="AF33:AF69" si="29">(AD33-INT(AD33))*12</f>
        <v>6.1936617130413651E-2</v>
      </c>
      <c r="AG33" s="41" t="str">
        <f t="shared" si="15"/>
        <v/>
      </c>
      <c r="AH33" s="24">
        <f t="shared" ref="AH33:AH69" si="30">(AF33-INT(AF33))*12</f>
        <v>0.74323940556496382</v>
      </c>
      <c r="AI33" s="41" t="str">
        <f t="shared" si="16"/>
        <v/>
      </c>
      <c r="AJ33" s="24">
        <f t="shared" ref="AJ33:AJ69" si="31">(AH33-INT(AH33))*12</f>
        <v>8.9188728667795658</v>
      </c>
      <c r="AK33" s="41" t="str">
        <f t="shared" si="17"/>
        <v/>
      </c>
    </row>
    <row r="34" spans="1:37" ht="15" customHeight="1">
      <c r="A34" s="719"/>
      <c r="B34" s="368" t="str">
        <f>Rydberg!B34</f>
        <v>Rydberg constant</v>
      </c>
      <c r="C34" s="368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6.9508075060013717E-3</v>
      </c>
      <c r="G34" s="42" t="str">
        <f t="shared" si="18"/>
        <v>1;001700000000</v>
      </c>
      <c r="H34" s="330">
        <f t="shared" si="19"/>
        <v>9.1628086419759391E-4</v>
      </c>
      <c r="I34" s="333"/>
      <c r="J34" s="38">
        <f t="shared" ref="J34:J69" si="32">FLOOR(LOG(F34,12),1)</f>
        <v>-2</v>
      </c>
      <c r="K34" s="61">
        <f>F34/POWER(12,J34)</f>
        <v>1.0009162808641976</v>
      </c>
      <c r="L34" s="39" t="str">
        <f>INDEX(powers!$H$2:$H$75,33+J34)</f>
        <v>centy</v>
      </c>
      <c r="M34" s="40" t="str">
        <f t="shared" si="5"/>
        <v>1</v>
      </c>
      <c r="N34" s="24">
        <f t="shared" si="20"/>
        <v>1.0995370370371127E-2</v>
      </c>
      <c r="O34" s="41" t="str">
        <f t="shared" si="6"/>
        <v>0</v>
      </c>
      <c r="P34" s="24">
        <f t="shared" si="21"/>
        <v>0.13194444444445352</v>
      </c>
      <c r="Q34" s="41" t="str">
        <f t="shared" si="7"/>
        <v>0</v>
      </c>
      <c r="R34" s="24">
        <f t="shared" si="22"/>
        <v>1.5833333333334423</v>
      </c>
      <c r="S34" s="41" t="str">
        <f t="shared" si="8"/>
        <v>1</v>
      </c>
      <c r="T34" s="24">
        <f t="shared" si="23"/>
        <v>7.0000000000013074</v>
      </c>
      <c r="U34" s="41" t="str">
        <f t="shared" si="9"/>
        <v>7</v>
      </c>
      <c r="V34" s="24">
        <f t="shared" si="24"/>
        <v>1.5688783605583012E-11</v>
      </c>
      <c r="W34" s="41" t="str">
        <f t="shared" si="10"/>
        <v>0</v>
      </c>
      <c r="X34" s="24">
        <f t="shared" si="25"/>
        <v>1.8826540326699615E-10</v>
      </c>
      <c r="Y34" s="41" t="str">
        <f t="shared" si="11"/>
        <v>0</v>
      </c>
      <c r="Z34" s="24">
        <f t="shared" si="26"/>
        <v>2.2591848392039537E-9</v>
      </c>
      <c r="AA34" s="41" t="str">
        <f t="shared" si="12"/>
        <v>0</v>
      </c>
      <c r="AB34" s="24">
        <f t="shared" si="27"/>
        <v>2.7110218070447445E-8</v>
      </c>
      <c r="AC34" s="41" t="str">
        <f t="shared" si="13"/>
        <v>0</v>
      </c>
      <c r="AD34" s="24">
        <f t="shared" si="28"/>
        <v>3.2532261684536934E-7</v>
      </c>
      <c r="AE34" s="41" t="str">
        <f t="shared" si="14"/>
        <v>0</v>
      </c>
      <c r="AF34" s="24">
        <f t="shared" si="29"/>
        <v>3.9038714021444321E-6</v>
      </c>
      <c r="AG34" s="41" t="str">
        <f t="shared" si="15"/>
        <v>0</v>
      </c>
      <c r="AH34" s="24">
        <f t="shared" si="30"/>
        <v>4.6846456825733185E-5</v>
      </c>
      <c r="AI34" s="41" t="str">
        <f t="shared" si="16"/>
        <v>0</v>
      </c>
      <c r="AJ34" s="24">
        <f t="shared" si="31"/>
        <v>5.6215748190879822E-4</v>
      </c>
      <c r="AK34" s="41" t="str">
        <f t="shared" si="17"/>
        <v>0</v>
      </c>
    </row>
    <row r="35" spans="1:37" ht="15" customHeight="1">
      <c r="A35" s="719"/>
      <c r="B35" s="368" t="str">
        <f>Rydberg!B35</f>
        <v>Speed of light in vacuum</v>
      </c>
      <c r="C35" s="368" t="str">
        <f>Rydberg!C35</f>
        <v>m/s</v>
      </c>
      <c r="D35" s="21">
        <f>Rydberg!D35</f>
        <v>299792458</v>
      </c>
      <c r="E35" s="8">
        <v>12</v>
      </c>
      <c r="F35" s="21">
        <f>D35/(F$3/F$4)</f>
        <v>0.99999999999999978</v>
      </c>
      <c r="G35" s="37" t="e">
        <f t="shared" si="18"/>
        <v>#VALUE!</v>
      </c>
      <c r="H35" s="330">
        <f t="shared" si="19"/>
        <v>0</v>
      </c>
      <c r="I35" s="333"/>
      <c r="J35" s="38">
        <f t="shared" si="32"/>
        <v>-1</v>
      </c>
      <c r="K35" s="61">
        <f>F35/POWER(12,J35)</f>
        <v>11.999999999999998</v>
      </c>
      <c r="L35" s="39" t="str">
        <f>INDEX(powers!$H$2:$H$75,33+J35)</f>
        <v>dour</v>
      </c>
      <c r="M35" s="40" t="str">
        <f t="shared" si="5"/>
        <v/>
      </c>
      <c r="N35" s="24">
        <f t="shared" si="20"/>
        <v>-2.1316282072803006E-14</v>
      </c>
      <c r="O35" s="41" t="e">
        <f t="shared" si="6"/>
        <v>#VALUE!</v>
      </c>
      <c r="P35" s="24">
        <f t="shared" si="21"/>
        <v>11.999999999999744</v>
      </c>
      <c r="Q35" s="41" t="str">
        <f t="shared" si="7"/>
        <v>E</v>
      </c>
      <c r="R35" s="24">
        <f t="shared" si="22"/>
        <v>11.99999999999693</v>
      </c>
      <c r="S35" s="41" t="str">
        <f t="shared" si="8"/>
        <v>E</v>
      </c>
      <c r="T35" s="24">
        <f t="shared" si="23"/>
        <v>11.999999999963165</v>
      </c>
      <c r="U35" s="41" t="str">
        <f t="shared" si="9"/>
        <v>E</v>
      </c>
      <c r="V35" s="24">
        <f t="shared" si="24"/>
        <v>11.999999999557986</v>
      </c>
      <c r="W35" s="41" t="str">
        <f t="shared" si="10"/>
        <v>E</v>
      </c>
      <c r="X35" s="24">
        <f t="shared" si="25"/>
        <v>11.999999994695827</v>
      </c>
      <c r="Y35" s="41" t="str">
        <f t="shared" si="11"/>
        <v>E</v>
      </c>
      <c r="Z35" s="24">
        <f t="shared" si="26"/>
        <v>11.999999936349923</v>
      </c>
      <c r="AA35" s="41" t="str">
        <f t="shared" si="12"/>
        <v>E</v>
      </c>
      <c r="AB35" s="24">
        <f t="shared" si="27"/>
        <v>11.999999236199073</v>
      </c>
      <c r="AC35" s="41" t="str">
        <f t="shared" si="13"/>
        <v>E</v>
      </c>
      <c r="AD35" s="24">
        <f t="shared" si="28"/>
        <v>11.999990834388882</v>
      </c>
      <c r="AE35" s="41" t="str">
        <f t="shared" si="14"/>
        <v>E</v>
      </c>
      <c r="AF35" s="24">
        <f t="shared" si="29"/>
        <v>11.999890012666583</v>
      </c>
      <c r="AG35" s="41" t="str">
        <f t="shared" si="15"/>
        <v>E</v>
      </c>
      <c r="AH35" s="24">
        <f t="shared" si="30"/>
        <v>11.998680151998997</v>
      </c>
      <c r="AI35" s="41" t="str">
        <f t="shared" si="16"/>
        <v>E</v>
      </c>
      <c r="AJ35" s="24">
        <f t="shared" si="31"/>
        <v>11.984161823987961</v>
      </c>
      <c r="AK35" s="41" t="str">
        <f t="shared" si="17"/>
        <v/>
      </c>
    </row>
    <row r="36" spans="1:37" ht="15" customHeight="1">
      <c r="A36" s="719"/>
      <c r="B36" s="368" t="str">
        <f>Rydberg!B36</f>
        <v>Quantum of action</v>
      </c>
      <c r="C36" s="368" t="str">
        <f>Rydberg!C36</f>
        <v>Js</v>
      </c>
      <c r="D36" s="21">
        <f>Rydberg!D36</f>
        <v>1.0545718E-34</v>
      </c>
      <c r="E36" s="8">
        <v>7</v>
      </c>
      <c r="F36" s="21">
        <f>D36/(F$5*F$4)</f>
        <v>3.3489797668038412E-7</v>
      </c>
      <c r="G36" s="37" t="str">
        <f t="shared" si="18"/>
        <v>1;0000000</v>
      </c>
      <c r="H36" s="330">
        <f t="shared" si="19"/>
        <v>1.000310945187266E-12</v>
      </c>
      <c r="I36" s="333"/>
      <c r="J36" s="38">
        <f t="shared" si="32"/>
        <v>-6</v>
      </c>
      <c r="K36" s="61">
        <f>F36/POWER(12,J36)+0.000000000001</f>
        <v>1.0000000000010003</v>
      </c>
      <c r="L36" s="39" t="str">
        <f>INDEX(powers!$H$2:$H$75,33+J36)</f>
        <v>atomic hecty</v>
      </c>
      <c r="M36" s="40" t="str">
        <f t="shared" si="5"/>
        <v>1</v>
      </c>
      <c r="N36" s="24">
        <f t="shared" si="20"/>
        <v>1.2003731342247193E-11</v>
      </c>
      <c r="O36" s="41" t="str">
        <f t="shared" si="6"/>
        <v>0</v>
      </c>
      <c r="P36" s="24">
        <f t="shared" si="21"/>
        <v>1.4404477610696631E-10</v>
      </c>
      <c r="Q36" s="41" t="str">
        <f t="shared" si="7"/>
        <v>0</v>
      </c>
      <c r="R36" s="24">
        <f t="shared" si="22"/>
        <v>1.7285373132835957E-9</v>
      </c>
      <c r="S36" s="41" t="str">
        <f t="shared" si="8"/>
        <v>0</v>
      </c>
      <c r="T36" s="24">
        <f t="shared" si="23"/>
        <v>2.0742447759403149E-8</v>
      </c>
      <c r="U36" s="41" t="str">
        <f t="shared" si="9"/>
        <v>0</v>
      </c>
      <c r="V36" s="24">
        <f t="shared" si="24"/>
        <v>2.4890937311283778E-7</v>
      </c>
      <c r="W36" s="41" t="str">
        <f t="shared" si="10"/>
        <v>0</v>
      </c>
      <c r="X36" s="24">
        <f t="shared" si="25"/>
        <v>2.9869124773540534E-6</v>
      </c>
      <c r="Y36" s="41" t="str">
        <f t="shared" si="11"/>
        <v>0</v>
      </c>
      <c r="Z36" s="24">
        <f t="shared" si="26"/>
        <v>3.5842949728248641E-5</v>
      </c>
      <c r="AA36" s="41" t="str">
        <f t="shared" si="12"/>
        <v>0</v>
      </c>
      <c r="AB36" s="24">
        <f t="shared" si="27"/>
        <v>4.3011539673898369E-4</v>
      </c>
      <c r="AC36" s="41" t="str">
        <f t="shared" si="13"/>
        <v/>
      </c>
      <c r="AD36" s="24">
        <f t="shared" si="28"/>
        <v>5.1613847608678043E-3</v>
      </c>
      <c r="AE36" s="41" t="str">
        <f t="shared" si="14"/>
        <v/>
      </c>
      <c r="AF36" s="24">
        <f t="shared" si="29"/>
        <v>6.1936617130413651E-2</v>
      </c>
      <c r="AG36" s="41" t="str">
        <f t="shared" si="15"/>
        <v/>
      </c>
      <c r="AH36" s="24">
        <f t="shared" si="30"/>
        <v>0.74323940556496382</v>
      </c>
      <c r="AI36" s="41" t="str">
        <f t="shared" si="16"/>
        <v/>
      </c>
      <c r="AJ36" s="24">
        <f t="shared" si="31"/>
        <v>8.9188728667795658</v>
      </c>
      <c r="AK36" s="41" t="str">
        <f t="shared" si="17"/>
        <v/>
      </c>
    </row>
    <row r="37" spans="1:37" ht="15" customHeight="1">
      <c r="A37" s="719"/>
      <c r="B37" s="368" t="str">
        <f>Rydberg!B37</f>
        <v>Boltzmann constant</v>
      </c>
      <c r="C37" s="368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</v>
      </c>
      <c r="G37" s="37" t="str">
        <f t="shared" si="18"/>
        <v>1;000000</v>
      </c>
      <c r="H37" s="330">
        <f t="shared" si="19"/>
        <v>0</v>
      </c>
      <c r="I37" s="333"/>
      <c r="J37" s="135">
        <f t="shared" si="32"/>
        <v>0</v>
      </c>
      <c r="K37" s="61">
        <f t="shared" ref="K37:K69" si="33">F37/POWER(12,J37)</f>
        <v>1</v>
      </c>
      <c r="L37" s="138" t="str">
        <f>INDEX(powers!$H$2:$H$75,33+J37)</f>
        <v xml:space="preserve"> </v>
      </c>
      <c r="M37" s="40" t="str">
        <f t="shared" si="5"/>
        <v>1</v>
      </c>
      <c r="N37" s="24">
        <f t="shared" si="20"/>
        <v>0</v>
      </c>
      <c r="O37" s="41" t="str">
        <f t="shared" si="6"/>
        <v>0</v>
      </c>
      <c r="P37" s="24">
        <f t="shared" si="21"/>
        <v>0</v>
      </c>
      <c r="Q37" s="41" t="str">
        <f t="shared" si="7"/>
        <v>0</v>
      </c>
      <c r="R37" s="24">
        <f t="shared" si="22"/>
        <v>0</v>
      </c>
      <c r="S37" s="41" t="str">
        <f t="shared" si="8"/>
        <v>0</v>
      </c>
      <c r="T37" s="24">
        <f t="shared" si="23"/>
        <v>0</v>
      </c>
      <c r="U37" s="41" t="str">
        <f t="shared" si="9"/>
        <v>0</v>
      </c>
      <c r="V37" s="24">
        <f t="shared" si="24"/>
        <v>0</v>
      </c>
      <c r="W37" s="41" t="str">
        <f t="shared" si="10"/>
        <v>0</v>
      </c>
      <c r="X37" s="24">
        <f t="shared" si="25"/>
        <v>0</v>
      </c>
      <c r="Y37" s="41" t="str">
        <f t="shared" si="11"/>
        <v>0</v>
      </c>
      <c r="Z37" s="24">
        <f t="shared" si="26"/>
        <v>0</v>
      </c>
      <c r="AA37" s="41" t="str">
        <f t="shared" si="12"/>
        <v/>
      </c>
      <c r="AB37" s="24">
        <f t="shared" si="27"/>
        <v>0</v>
      </c>
      <c r="AC37" s="41" t="str">
        <f t="shared" si="13"/>
        <v/>
      </c>
      <c r="AD37" s="24">
        <f t="shared" si="28"/>
        <v>0</v>
      </c>
      <c r="AE37" s="41" t="str">
        <f t="shared" si="14"/>
        <v/>
      </c>
      <c r="AF37" s="24">
        <f t="shared" si="29"/>
        <v>0</v>
      </c>
      <c r="AG37" s="41" t="str">
        <f t="shared" si="15"/>
        <v/>
      </c>
      <c r="AH37" s="24">
        <f t="shared" si="30"/>
        <v>0</v>
      </c>
      <c r="AI37" s="41" t="str">
        <f t="shared" si="16"/>
        <v/>
      </c>
      <c r="AJ37" s="24">
        <f t="shared" si="31"/>
        <v>0</v>
      </c>
      <c r="AK37" s="41" t="str">
        <f t="shared" si="17"/>
        <v/>
      </c>
    </row>
    <row r="38" spans="1:37" ht="15" customHeight="1">
      <c r="A38" s="719"/>
      <c r="B38" s="368" t="str">
        <f>Rydberg!B38</f>
        <v>Gas constant</v>
      </c>
      <c r="C38" s="368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</v>
      </c>
      <c r="G38" s="37" t="str">
        <f t="shared" si="18"/>
        <v>1;000000</v>
      </c>
      <c r="H38" s="330">
        <f t="shared" si="19"/>
        <v>0</v>
      </c>
      <c r="I38" s="333"/>
      <c r="J38" s="135">
        <f t="shared" si="32"/>
        <v>0</v>
      </c>
      <c r="K38" s="61">
        <f t="shared" si="33"/>
        <v>1</v>
      </c>
      <c r="L38" s="138" t="str">
        <f>INDEX(powers!$H$2:$H$75,33+J38)</f>
        <v xml:space="preserve"> </v>
      </c>
      <c r="M38" s="40" t="str">
        <f t="shared" si="5"/>
        <v>1</v>
      </c>
      <c r="N38" s="24">
        <f t="shared" si="20"/>
        <v>0</v>
      </c>
      <c r="O38" s="41" t="str">
        <f t="shared" si="6"/>
        <v>0</v>
      </c>
      <c r="P38" s="24">
        <f t="shared" si="21"/>
        <v>0</v>
      </c>
      <c r="Q38" s="41" t="str">
        <f t="shared" si="7"/>
        <v>0</v>
      </c>
      <c r="R38" s="24">
        <f t="shared" si="22"/>
        <v>0</v>
      </c>
      <c r="S38" s="41" t="str">
        <f t="shared" si="8"/>
        <v>0</v>
      </c>
      <c r="T38" s="24">
        <f t="shared" si="23"/>
        <v>0</v>
      </c>
      <c r="U38" s="41" t="str">
        <f t="shared" si="9"/>
        <v>0</v>
      </c>
      <c r="V38" s="24">
        <f t="shared" si="24"/>
        <v>0</v>
      </c>
      <c r="W38" s="41" t="str">
        <f t="shared" si="10"/>
        <v>0</v>
      </c>
      <c r="X38" s="24">
        <f t="shared" si="25"/>
        <v>0</v>
      </c>
      <c r="Y38" s="41" t="str">
        <f t="shared" si="11"/>
        <v>0</v>
      </c>
      <c r="Z38" s="24">
        <f t="shared" si="26"/>
        <v>0</v>
      </c>
      <c r="AA38" s="41" t="str">
        <f t="shared" si="12"/>
        <v/>
      </c>
      <c r="AB38" s="24">
        <f t="shared" si="27"/>
        <v>0</v>
      </c>
      <c r="AC38" s="41" t="str">
        <f t="shared" si="13"/>
        <v/>
      </c>
      <c r="AD38" s="24">
        <f t="shared" si="28"/>
        <v>0</v>
      </c>
      <c r="AE38" s="41" t="str">
        <f t="shared" si="14"/>
        <v/>
      </c>
      <c r="AF38" s="24">
        <f t="shared" si="29"/>
        <v>0</v>
      </c>
      <c r="AG38" s="41" t="str">
        <f t="shared" si="15"/>
        <v/>
      </c>
      <c r="AH38" s="24">
        <f t="shared" si="30"/>
        <v>0</v>
      </c>
      <c r="AI38" s="41" t="str">
        <f t="shared" si="16"/>
        <v/>
      </c>
      <c r="AJ38" s="24">
        <f t="shared" si="31"/>
        <v>0</v>
      </c>
      <c r="AK38" s="41" t="str">
        <f t="shared" si="17"/>
        <v/>
      </c>
    </row>
    <row r="39" spans="1:37" ht="15" customHeight="1">
      <c r="A39" s="719"/>
      <c r="B39" s="368" t="str">
        <f>Rydberg!B39</f>
        <v>Unified atomic mass unit</v>
      </c>
      <c r="C39" s="368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1.0013527438338639</v>
      </c>
      <c r="G39" s="37" t="str">
        <f t="shared" si="18"/>
        <v>1;0024073</v>
      </c>
      <c r="H39" s="330">
        <f t="shared" si="19"/>
        <v>1.3527438338638564E-3</v>
      </c>
      <c r="I39" s="333"/>
      <c r="J39" s="38">
        <f t="shared" si="32"/>
        <v>0</v>
      </c>
      <c r="K39" s="61">
        <f t="shared" si="33"/>
        <v>1.0013527438338639</v>
      </c>
      <c r="L39" s="39" t="str">
        <f>INDEX(powers!$H$2:$H$75,33+J39)</f>
        <v xml:space="preserve"> </v>
      </c>
      <c r="M39" s="40" t="str">
        <f t="shared" si="5"/>
        <v>1</v>
      </c>
      <c r="N39" s="24">
        <f t="shared" si="20"/>
        <v>1.6232926006366277E-2</v>
      </c>
      <c r="O39" s="41" t="str">
        <f t="shared" si="6"/>
        <v>0</v>
      </c>
      <c r="P39" s="24">
        <f t="shared" si="21"/>
        <v>0.19479511207639533</v>
      </c>
      <c r="Q39" s="41" t="str">
        <f t="shared" si="7"/>
        <v>0</v>
      </c>
      <c r="R39" s="24">
        <f t="shared" si="22"/>
        <v>2.3375413449167439</v>
      </c>
      <c r="S39" s="41" t="str">
        <f t="shared" si="8"/>
        <v>2</v>
      </c>
      <c r="T39" s="24">
        <f t="shared" si="23"/>
        <v>4.0504961390009271</v>
      </c>
      <c r="U39" s="41" t="str">
        <f t="shared" si="9"/>
        <v>4</v>
      </c>
      <c r="V39" s="24">
        <f t="shared" si="24"/>
        <v>0.60595366801112505</v>
      </c>
      <c r="W39" s="41" t="str">
        <f t="shared" si="10"/>
        <v>0</v>
      </c>
      <c r="X39" s="24">
        <f t="shared" si="25"/>
        <v>7.2714440161335006</v>
      </c>
      <c r="Y39" s="41" t="str">
        <f t="shared" si="11"/>
        <v>7</v>
      </c>
      <c r="Z39" s="24">
        <f t="shared" si="26"/>
        <v>3.2573281936020066</v>
      </c>
      <c r="AA39" s="41" t="str">
        <f t="shared" si="12"/>
        <v>3</v>
      </c>
      <c r="AB39" s="24">
        <f t="shared" si="27"/>
        <v>3.0879383232240798</v>
      </c>
      <c r="AC39" s="41" t="str">
        <f t="shared" si="13"/>
        <v/>
      </c>
      <c r="AD39" s="24">
        <f t="shared" si="28"/>
        <v>1.0552598786889575</v>
      </c>
      <c r="AE39" s="41" t="str">
        <f t="shared" si="14"/>
        <v/>
      </c>
      <c r="AF39" s="24">
        <f t="shared" si="29"/>
        <v>0.66311854426749051</v>
      </c>
      <c r="AG39" s="41" t="str">
        <f t="shared" si="15"/>
        <v/>
      </c>
      <c r="AH39" s="24">
        <f t="shared" si="30"/>
        <v>7.9574225312098861</v>
      </c>
      <c r="AI39" s="41" t="str">
        <f t="shared" si="16"/>
        <v/>
      </c>
      <c r="AJ39" s="24">
        <f t="shared" si="31"/>
        <v>11.489070374518633</v>
      </c>
      <c r="AK39" s="41" t="str">
        <f t="shared" si="17"/>
        <v/>
      </c>
    </row>
    <row r="40" spans="1:37" ht="15" customHeight="1">
      <c r="A40" s="719"/>
      <c r="B40" s="368" t="str">
        <f>Rydberg!B40</f>
        <v>Bohr Radius</v>
      </c>
      <c r="C40" s="368" t="str">
        <f>Rydberg!C40</f>
        <v>m</v>
      </c>
      <c r="D40" s="21">
        <f>Rydberg!D40</f>
        <v>5.2917721067E-11</v>
      </c>
      <c r="E40" s="8">
        <v>9</v>
      </c>
      <c r="F40" s="21">
        <f>D40/F$3</f>
        <v>8.354495009465511E-2</v>
      </c>
      <c r="G40" s="37" t="str">
        <f t="shared" si="18"/>
        <v>1;00447X740</v>
      </c>
      <c r="H40" s="330">
        <f t="shared" si="19"/>
        <v>2.5394011358614854E-3</v>
      </c>
      <c r="I40" s="333"/>
      <c r="J40" s="38">
        <f t="shared" si="32"/>
        <v>-1</v>
      </c>
      <c r="K40" s="61">
        <f t="shared" si="33"/>
        <v>1.0025394011358615</v>
      </c>
      <c r="L40" s="39" t="str">
        <f>INDEX(powers!$H$2:$H$75,33+J40)</f>
        <v>dour</v>
      </c>
      <c r="M40" s="40" t="str">
        <f t="shared" si="5"/>
        <v>1</v>
      </c>
      <c r="N40" s="24">
        <f t="shared" si="20"/>
        <v>3.0472813630337825E-2</v>
      </c>
      <c r="O40" s="41" t="str">
        <f t="shared" si="6"/>
        <v>0</v>
      </c>
      <c r="P40" s="24">
        <f t="shared" si="21"/>
        <v>0.3656737635640539</v>
      </c>
      <c r="Q40" s="41" t="str">
        <f t="shared" si="7"/>
        <v>0</v>
      </c>
      <c r="R40" s="24">
        <f t="shared" si="22"/>
        <v>4.3880851627686468</v>
      </c>
      <c r="S40" s="41" t="str">
        <f t="shared" si="8"/>
        <v>4</v>
      </c>
      <c r="T40" s="24">
        <f t="shared" si="23"/>
        <v>4.6570219532237616</v>
      </c>
      <c r="U40" s="41" t="str">
        <f t="shared" si="9"/>
        <v>4</v>
      </c>
      <c r="V40" s="24">
        <f t="shared" si="24"/>
        <v>7.8842634386851387</v>
      </c>
      <c r="W40" s="41" t="str">
        <f t="shared" si="10"/>
        <v>7</v>
      </c>
      <c r="X40" s="24">
        <f t="shared" si="25"/>
        <v>10.611161264221664</v>
      </c>
      <c r="Y40" s="41" t="str">
        <f t="shared" si="11"/>
        <v>X</v>
      </c>
      <c r="Z40" s="24">
        <f t="shared" si="26"/>
        <v>7.33393517065997</v>
      </c>
      <c r="AA40" s="41" t="str">
        <f t="shared" si="12"/>
        <v>7</v>
      </c>
      <c r="AB40" s="24">
        <f t="shared" si="27"/>
        <v>4.0072220479196403</v>
      </c>
      <c r="AC40" s="41" t="str">
        <f t="shared" si="13"/>
        <v>4</v>
      </c>
      <c r="AD40" s="24">
        <f t="shared" si="28"/>
        <v>8.6664575035683811E-2</v>
      </c>
      <c r="AE40" s="41" t="str">
        <f t="shared" si="14"/>
        <v>0</v>
      </c>
      <c r="AF40" s="24">
        <f t="shared" si="29"/>
        <v>1.0399749004282057</v>
      </c>
      <c r="AG40" s="41" t="str">
        <f t="shared" si="15"/>
        <v/>
      </c>
      <c r="AH40" s="24">
        <f t="shared" si="30"/>
        <v>0.47969880513846874</v>
      </c>
      <c r="AI40" s="41" t="str">
        <f t="shared" si="16"/>
        <v/>
      </c>
      <c r="AJ40" s="24">
        <f t="shared" si="31"/>
        <v>5.7563856616616249</v>
      </c>
      <c r="AK40" s="41" t="str">
        <f t="shared" si="17"/>
        <v/>
      </c>
    </row>
    <row r="41" spans="1:37" ht="15" customHeight="1">
      <c r="A41" s="719"/>
      <c r="B41" s="368" t="str">
        <f>Rydberg!B41</f>
        <v>Elementary electric charge</v>
      </c>
      <c r="C41" s="368" t="str">
        <f>Rydberg!C41</f>
        <v>C</v>
      </c>
      <c r="D41" s="21">
        <f>Rydberg!D41</f>
        <v>1.6021766207155676E-19</v>
      </c>
      <c r="E41" s="8">
        <v>9</v>
      </c>
      <c r="F41" s="21">
        <f>D41/F$12</f>
        <v>1.025094517379544</v>
      </c>
      <c r="G41" s="37" t="str">
        <f t="shared" si="18"/>
        <v>1;0374439E2</v>
      </c>
      <c r="H41" s="330">
        <f t="shared" si="19"/>
        <v>2.5094517379544046E-2</v>
      </c>
      <c r="I41" s="333"/>
      <c r="J41" s="38">
        <f t="shared" si="32"/>
        <v>0</v>
      </c>
      <c r="K41" s="61">
        <f t="shared" si="33"/>
        <v>1.025094517379544</v>
      </c>
      <c r="L41" s="39" t="str">
        <f>INDEX(powers!$H$2:$H$75,33+J41)</f>
        <v xml:space="preserve"> 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>
      <c r="A42" s="719"/>
      <c r="B42" s="368" t="str">
        <f>Rydberg!B42</f>
        <v>Electron mass</v>
      </c>
      <c r="C42" s="368" t="str">
        <f>Rydberg!C42</f>
        <v>kg</v>
      </c>
      <c r="D42" s="21">
        <f>Rydberg!D42</f>
        <v>9.1093835599999998E-31</v>
      </c>
      <c r="E42" s="8">
        <v>7</v>
      </c>
      <c r="F42" s="21">
        <f>D42/F$8</f>
        <v>5.493219974184462E-4</v>
      </c>
      <c r="G42" s="37" t="str">
        <f t="shared" si="18"/>
        <v>0;E48324X</v>
      </c>
      <c r="H42" s="330">
        <f t="shared" si="19"/>
        <v>-5.0771588460924888E-2</v>
      </c>
      <c r="I42" s="333"/>
      <c r="J42" s="38">
        <v>-3</v>
      </c>
      <c r="K42" s="61">
        <f t="shared" si="33"/>
        <v>0.94922841153907511</v>
      </c>
      <c r="L42" s="39" t="str">
        <f>INDEX(powers!$H$2:$H$75,33+J42)</f>
        <v>milly</v>
      </c>
      <c r="M42" s="40" t="str">
        <f t="shared" si="5"/>
        <v>0</v>
      </c>
      <c r="N42" s="24">
        <f t="shared" si="20"/>
        <v>11.390740938468902</v>
      </c>
      <c r="O42" s="41" t="str">
        <f t="shared" si="6"/>
        <v>E</v>
      </c>
      <c r="P42" s="24">
        <f t="shared" si="21"/>
        <v>4.6888912616268215</v>
      </c>
      <c r="Q42" s="41" t="str">
        <f t="shared" si="7"/>
        <v>4</v>
      </c>
      <c r="R42" s="24">
        <f t="shared" si="22"/>
        <v>8.2666951395218575</v>
      </c>
      <c r="S42" s="41" t="str">
        <f t="shared" si="8"/>
        <v>8</v>
      </c>
      <c r="T42" s="24">
        <f t="shared" si="23"/>
        <v>3.2003416742622903</v>
      </c>
      <c r="U42" s="41" t="str">
        <f t="shared" si="9"/>
        <v>3</v>
      </c>
      <c r="V42" s="24">
        <f t="shared" si="24"/>
        <v>2.4041000911474839</v>
      </c>
      <c r="W42" s="41" t="str">
        <f t="shared" si="10"/>
        <v>2</v>
      </c>
      <c r="X42" s="24">
        <f t="shared" si="25"/>
        <v>4.8492010937698069</v>
      </c>
      <c r="Y42" s="41" t="str">
        <f t="shared" si="11"/>
        <v>4</v>
      </c>
      <c r="Z42" s="24">
        <f t="shared" si="26"/>
        <v>10.190413125237683</v>
      </c>
      <c r="AA42" s="41" t="str">
        <f t="shared" si="12"/>
        <v>X</v>
      </c>
      <c r="AB42" s="24">
        <f t="shared" si="27"/>
        <v>2.284957502852194</v>
      </c>
      <c r="AC42" s="41" t="str">
        <f t="shared" si="13"/>
        <v/>
      </c>
      <c r="AD42" s="24">
        <f t="shared" si="28"/>
        <v>3.4194900342263281</v>
      </c>
      <c r="AE42" s="41" t="str">
        <f t="shared" si="14"/>
        <v/>
      </c>
      <c r="AF42" s="24">
        <f t="shared" si="29"/>
        <v>5.0338804107159376</v>
      </c>
      <c r="AG42" s="41" t="str">
        <f t="shared" si="15"/>
        <v/>
      </c>
      <c r="AH42" s="24">
        <f t="shared" si="30"/>
        <v>0.40656492859125137</v>
      </c>
      <c r="AI42" s="41" t="str">
        <f t="shared" si="16"/>
        <v/>
      </c>
      <c r="AJ42" s="24">
        <f t="shared" si="31"/>
        <v>4.8787791430950165</v>
      </c>
      <c r="AK42" s="41" t="str">
        <f t="shared" si="17"/>
        <v/>
      </c>
    </row>
    <row r="43" spans="1:37" ht="15" customHeight="1">
      <c r="A43" s="719"/>
      <c r="B43" s="368" t="str">
        <f>Rydberg!B44</f>
        <v>Newtonian constant of gravitation</v>
      </c>
      <c r="C43" s="368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1.9441558287588654E-45</v>
      </c>
      <c r="G43" s="37" t="str">
        <f t="shared" si="18"/>
        <v>4;1463</v>
      </c>
      <c r="H43" s="330">
        <f t="shared" si="19"/>
        <v>2.8687385892016248E-2</v>
      </c>
      <c r="I43" s="333"/>
      <c r="J43" s="38">
        <f t="shared" si="32"/>
        <v>-42</v>
      </c>
      <c r="K43" s="61">
        <f t="shared" si="33"/>
        <v>4.114749543568065</v>
      </c>
      <c r="L43" s="39"/>
      <c r="M43" s="40" t="str">
        <f t="shared" si="5"/>
        <v>4</v>
      </c>
      <c r="N43" s="24">
        <f t="shared" si="20"/>
        <v>1.3769945228167799</v>
      </c>
      <c r="O43" s="41" t="str">
        <f t="shared" si="6"/>
        <v>1</v>
      </c>
      <c r="P43" s="24">
        <f t="shared" si="21"/>
        <v>4.523934273801359</v>
      </c>
      <c r="Q43" s="41" t="str">
        <f t="shared" si="7"/>
        <v>4</v>
      </c>
      <c r="R43" s="24">
        <f t="shared" si="22"/>
        <v>6.2872112856163085</v>
      </c>
      <c r="S43" s="41" t="str">
        <f t="shared" si="8"/>
        <v>6</v>
      </c>
      <c r="T43" s="24">
        <f t="shared" si="23"/>
        <v>3.4465354273957018</v>
      </c>
      <c r="U43" s="41" t="str">
        <f t="shared" si="9"/>
        <v>3</v>
      </c>
      <c r="V43" s="24">
        <f t="shared" si="24"/>
        <v>5.3584251287484221</v>
      </c>
      <c r="W43" s="41" t="str">
        <f t="shared" si="10"/>
        <v/>
      </c>
      <c r="X43" s="24">
        <f t="shared" si="25"/>
        <v>4.3011015449810657</v>
      </c>
      <c r="Y43" s="41" t="str">
        <f t="shared" si="11"/>
        <v/>
      </c>
      <c r="Z43" s="24">
        <f t="shared" si="26"/>
        <v>3.6132185397727881</v>
      </c>
      <c r="AA43" s="41" t="str">
        <f t="shared" si="12"/>
        <v/>
      </c>
      <c r="AB43" s="24">
        <f t="shared" si="27"/>
        <v>7.3586224772734568</v>
      </c>
      <c r="AC43" s="41" t="str">
        <f t="shared" si="13"/>
        <v/>
      </c>
      <c r="AD43" s="24">
        <f t="shared" si="28"/>
        <v>4.303469727281481</v>
      </c>
      <c r="AE43" s="41" t="str">
        <f t="shared" si="14"/>
        <v/>
      </c>
      <c r="AF43" s="24">
        <f t="shared" si="29"/>
        <v>3.6416367273777723</v>
      </c>
      <c r="AG43" s="41" t="str">
        <f t="shared" si="15"/>
        <v/>
      </c>
      <c r="AH43" s="24">
        <f t="shared" si="30"/>
        <v>7.699640728533268</v>
      </c>
      <c r="AI43" s="41" t="str">
        <f t="shared" si="16"/>
        <v/>
      </c>
      <c r="AJ43" s="24">
        <f t="shared" si="31"/>
        <v>8.3956887423992157</v>
      </c>
      <c r="AK43" s="41" t="str">
        <f t="shared" si="17"/>
        <v/>
      </c>
    </row>
    <row r="44" spans="1:37" ht="15" customHeight="1">
      <c r="A44" s="719"/>
      <c r="B44" s="368" t="str">
        <f>Rydberg!B45</f>
        <v>Planck force</v>
      </c>
      <c r="C44" s="368" t="str">
        <f>Rydberg!C45</f>
        <v>N</v>
      </c>
      <c r="D44" s="21">
        <f>Rydberg!D45</f>
        <v>1.2102954584096223E+44</v>
      </c>
      <c r="E44" s="8">
        <v>4</v>
      </c>
      <c r="F44" s="21">
        <f>D44/F$10</f>
        <v>5.1436206152178244E+44</v>
      </c>
      <c r="G44" s="37" t="str">
        <f t="shared" si="18"/>
        <v>2;XEE5</v>
      </c>
      <c r="H44" s="331">
        <f t="shared" si="19"/>
        <v>-1.1272357586811221E-4</v>
      </c>
      <c r="I44" s="339">
        <v>1</v>
      </c>
      <c r="J44" s="38">
        <f t="shared" si="32"/>
        <v>41</v>
      </c>
      <c r="K44" s="61">
        <f t="shared" si="33"/>
        <v>2.9163378895703844</v>
      </c>
      <c r="L44" s="39" t="str">
        <f>INDEX(powers!$H$2:$H$75,33+J44)</f>
        <v>penta-cosmic dirac</v>
      </c>
      <c r="M44" s="40" t="str">
        <f t="shared" si="5"/>
        <v>2</v>
      </c>
      <c r="N44" s="24">
        <f t="shared" si="20"/>
        <v>10.996054674844613</v>
      </c>
      <c r="O44" s="41" t="str">
        <f t="shared" si="6"/>
        <v>X</v>
      </c>
      <c r="P44" s="24">
        <f t="shared" si="21"/>
        <v>11.952656098135357</v>
      </c>
      <c r="Q44" s="41" t="str">
        <f t="shared" si="7"/>
        <v>E</v>
      </c>
      <c r="R44" s="24">
        <f t="shared" si="22"/>
        <v>11.431873177624283</v>
      </c>
      <c r="S44" s="41" t="str">
        <f t="shared" si="8"/>
        <v>E</v>
      </c>
      <c r="T44" s="24">
        <f t="shared" si="23"/>
        <v>5.1824781314913935</v>
      </c>
      <c r="U44" s="41" t="str">
        <f t="shared" si="9"/>
        <v>5</v>
      </c>
      <c r="V44" s="24">
        <f t="shared" si="24"/>
        <v>2.1897375778967216</v>
      </c>
      <c r="W44" s="41" t="str">
        <f t="shared" si="10"/>
        <v/>
      </c>
      <c r="X44" s="24">
        <f t="shared" si="25"/>
        <v>2.2768509347606596</v>
      </c>
      <c r="Y44" s="41" t="str">
        <f t="shared" si="11"/>
        <v/>
      </c>
      <c r="Z44" s="24">
        <f t="shared" si="26"/>
        <v>3.322211217127915</v>
      </c>
      <c r="AA44" s="41" t="str">
        <f t="shared" si="12"/>
        <v/>
      </c>
      <c r="AB44" s="24">
        <f t="shared" si="27"/>
        <v>3.8665346055349801</v>
      </c>
      <c r="AC44" s="41" t="str">
        <f t="shared" si="13"/>
        <v/>
      </c>
      <c r="AD44" s="24">
        <f t="shared" si="28"/>
        <v>10.398415266419761</v>
      </c>
      <c r="AE44" s="41" t="str">
        <f t="shared" si="14"/>
        <v/>
      </c>
      <c r="AF44" s="24">
        <f t="shared" si="29"/>
        <v>4.7809831970371306</v>
      </c>
      <c r="AG44" s="41" t="str">
        <f t="shared" si="15"/>
        <v/>
      </c>
      <c r="AH44" s="24">
        <f t="shared" si="30"/>
        <v>9.3717983644455671</v>
      </c>
      <c r="AI44" s="41" t="str">
        <f t="shared" si="16"/>
        <v/>
      </c>
      <c r="AJ44" s="24">
        <f t="shared" si="31"/>
        <v>4.4615803733468056</v>
      </c>
      <c r="AK44" s="41" t="str">
        <f t="shared" si="17"/>
        <v/>
      </c>
    </row>
    <row r="45" spans="1:37" ht="15" customHeight="1">
      <c r="A45" s="719"/>
      <c r="B45" s="368" t="str">
        <f>Rydberg!B46</f>
        <v>Gravitic meter</v>
      </c>
      <c r="C45" s="368" t="str">
        <f>Rydberg!C46</f>
        <v>m</v>
      </c>
      <c r="D45" s="21">
        <f>Rydberg!D46</f>
        <v>9.5617360022251509E-35</v>
      </c>
      <c r="E45" s="8">
        <v>4</v>
      </c>
      <c r="F45" s="21">
        <f>D45/F$3</f>
        <v>1.5095789104612979E-25</v>
      </c>
      <c r="G45" s="37" t="str">
        <f t="shared" si="18"/>
        <v>1;0001</v>
      </c>
      <c r="H45" s="330">
        <f t="shared" si="19"/>
        <v>5.6366553358389027E-5</v>
      </c>
      <c r="I45" s="333"/>
      <c r="J45" s="38">
        <f t="shared" si="32"/>
        <v>-23</v>
      </c>
      <c r="K45" s="61">
        <f t="shared" si="33"/>
        <v>1.0000563665533584</v>
      </c>
      <c r="L45" s="39" t="str">
        <f>INDEX(powers!$H$2:$H$75,33+J45)</f>
        <v>tri-atomic dirac</v>
      </c>
      <c r="M45" s="40" t="str">
        <f t="shared" si="5"/>
        <v>1</v>
      </c>
      <c r="N45" s="24">
        <f t="shared" si="20"/>
        <v>6.7639864030066832E-4</v>
      </c>
      <c r="O45" s="41" t="str">
        <f t="shared" si="6"/>
        <v>0</v>
      </c>
      <c r="P45" s="24">
        <f t="shared" si="21"/>
        <v>8.1167836836080198E-3</v>
      </c>
      <c r="Q45" s="41" t="str">
        <f t="shared" si="7"/>
        <v>0</v>
      </c>
      <c r="R45" s="24">
        <f t="shared" si="22"/>
        <v>9.7401404203296238E-2</v>
      </c>
      <c r="S45" s="41" t="str">
        <f t="shared" si="8"/>
        <v>0</v>
      </c>
      <c r="T45" s="24">
        <f t="shared" si="23"/>
        <v>1.1688168504395549</v>
      </c>
      <c r="U45" s="41" t="str">
        <f t="shared" si="9"/>
        <v>1</v>
      </c>
      <c r="V45" s="24">
        <f t="shared" si="24"/>
        <v>2.0258022052746583</v>
      </c>
      <c r="W45" s="41" t="str">
        <f t="shared" si="10"/>
        <v/>
      </c>
      <c r="X45" s="24">
        <f t="shared" si="25"/>
        <v>0.30962646329589916</v>
      </c>
      <c r="Y45" s="41" t="str">
        <f t="shared" si="11"/>
        <v/>
      </c>
      <c r="Z45" s="24">
        <f t="shared" si="26"/>
        <v>3.7155175595507899</v>
      </c>
      <c r="AA45" s="41" t="str">
        <f t="shared" si="12"/>
        <v/>
      </c>
      <c r="AB45" s="24">
        <f t="shared" si="27"/>
        <v>8.5862107146094786</v>
      </c>
      <c r="AC45" s="41" t="str">
        <f t="shared" si="13"/>
        <v/>
      </c>
      <c r="AD45" s="24">
        <f t="shared" si="28"/>
        <v>7.0345285753137432</v>
      </c>
      <c r="AE45" s="41" t="str">
        <f t="shared" si="14"/>
        <v/>
      </c>
      <c r="AF45" s="24">
        <f t="shared" si="29"/>
        <v>0.41434290376491845</v>
      </c>
      <c r="AG45" s="41" t="str">
        <f t="shared" si="15"/>
        <v/>
      </c>
      <c r="AH45" s="24">
        <f t="shared" si="30"/>
        <v>4.9721148451790214</v>
      </c>
      <c r="AI45" s="41" t="str">
        <f t="shared" si="16"/>
        <v/>
      </c>
      <c r="AJ45" s="24">
        <f t="shared" si="31"/>
        <v>11.665378142148256</v>
      </c>
      <c r="AK45" s="41" t="str">
        <f t="shared" si="17"/>
        <v/>
      </c>
    </row>
    <row r="46" spans="1:37" ht="15" customHeight="1">
      <c r="A46" s="719"/>
      <c r="B46" s="368" t="str">
        <f>Rydberg!B47</f>
        <v>Planck length</v>
      </c>
      <c r="C46" s="368" t="str">
        <f>Rydberg!C47</f>
        <v>m</v>
      </c>
      <c r="D46" s="21">
        <f>Rydberg!D47</f>
        <v>1.6162283729742846E-35</v>
      </c>
      <c r="E46" s="8">
        <v>4</v>
      </c>
      <c r="F46" s="21">
        <f>D46/F$3</f>
        <v>2.5516540780496085E-26</v>
      </c>
      <c r="G46" s="37" t="str">
        <f t="shared" si="18"/>
        <v>2;0413</v>
      </c>
      <c r="H46" s="330">
        <f t="shared" si="19"/>
        <v>1.4242271793094341E-2</v>
      </c>
      <c r="I46" s="333"/>
      <c r="J46" s="38">
        <f t="shared" si="32"/>
        <v>-24</v>
      </c>
      <c r="K46" s="61">
        <f t="shared" si="33"/>
        <v>2.0284845435861887</v>
      </c>
      <c r="L46" s="39" t="str">
        <f>INDEX(powers!$H$2:$H$75,33+J46)</f>
        <v>tri-atomic</v>
      </c>
      <c r="M46" s="40" t="str">
        <f t="shared" si="5"/>
        <v>2</v>
      </c>
      <c r="N46" s="24">
        <f t="shared" si="20"/>
        <v>0.34181452303426418</v>
      </c>
      <c r="O46" s="41" t="str">
        <f t="shared" si="6"/>
        <v>0</v>
      </c>
      <c r="P46" s="24">
        <f t="shared" si="21"/>
        <v>4.1017742764111702</v>
      </c>
      <c r="Q46" s="41" t="str">
        <f t="shared" si="7"/>
        <v>4</v>
      </c>
      <c r="R46" s="24">
        <f t="shared" si="22"/>
        <v>1.2212913169340425</v>
      </c>
      <c r="S46" s="41" t="str">
        <f t="shared" si="8"/>
        <v>1</v>
      </c>
      <c r="T46" s="24">
        <f t="shared" si="23"/>
        <v>2.6554958032085096</v>
      </c>
      <c r="U46" s="41" t="str">
        <f t="shared" si="9"/>
        <v>3</v>
      </c>
      <c r="V46" s="24">
        <f t="shared" si="24"/>
        <v>7.8659496385021157</v>
      </c>
      <c r="W46" s="41" t="str">
        <f t="shared" si="10"/>
        <v/>
      </c>
      <c r="X46" s="24">
        <f t="shared" si="25"/>
        <v>10.391395662025388</v>
      </c>
      <c r="Y46" s="41" t="str">
        <f t="shared" si="11"/>
        <v/>
      </c>
      <c r="Z46" s="24">
        <f t="shared" si="26"/>
        <v>4.6967479443046614</v>
      </c>
      <c r="AA46" s="41" t="str">
        <f t="shared" si="12"/>
        <v/>
      </c>
      <c r="AB46" s="24">
        <f t="shared" si="27"/>
        <v>8.3609753316559363</v>
      </c>
      <c r="AC46" s="41" t="str">
        <f t="shared" si="13"/>
        <v/>
      </c>
      <c r="AD46" s="24">
        <f t="shared" si="28"/>
        <v>4.3317039798712358</v>
      </c>
      <c r="AE46" s="41" t="str">
        <f t="shared" si="14"/>
        <v/>
      </c>
      <c r="AF46" s="24">
        <f t="shared" si="29"/>
        <v>3.9804477584548295</v>
      </c>
      <c r="AG46" s="41" t="str">
        <f t="shared" si="15"/>
        <v/>
      </c>
      <c r="AH46" s="24">
        <f t="shared" si="30"/>
        <v>11.765373101457953</v>
      </c>
      <c r="AI46" s="41" t="str">
        <f t="shared" si="16"/>
        <v/>
      </c>
      <c r="AJ46" s="24">
        <f t="shared" si="31"/>
        <v>9.1844772174954414</v>
      </c>
      <c r="AK46" s="41" t="str">
        <f t="shared" si="17"/>
        <v/>
      </c>
    </row>
    <row r="47" spans="1:37" ht="15" customHeight="1">
      <c r="A47" s="719"/>
      <c r="B47" s="368" t="str">
        <f>Rydberg!B48</f>
        <v>Adjusted Planck length</v>
      </c>
      <c r="C47" s="368" t="str">
        <f>Rydberg!C48</f>
        <v>m</v>
      </c>
      <c r="D47" s="21">
        <f>Rydberg!D48</f>
        <v>1.8919953376855748E-34</v>
      </c>
      <c r="E47" s="8">
        <v>4</v>
      </c>
      <c r="F47" s="21">
        <f>D47/F$3</f>
        <v>2.9870268953217145E-25</v>
      </c>
      <c r="G47" s="37" t="str">
        <f t="shared" si="18"/>
        <v>1;E8E5</v>
      </c>
      <c r="H47" s="330">
        <f t="shared" si="19"/>
        <v>-1.0586580459128081E-2</v>
      </c>
      <c r="I47" s="333"/>
      <c r="J47" s="38">
        <f t="shared" si="32"/>
        <v>-23</v>
      </c>
      <c r="K47" s="61">
        <f t="shared" si="33"/>
        <v>1.9788268390817438</v>
      </c>
      <c r="L47" s="39" t="str">
        <f>INDEX(powers!$H$2:$H$75,33+J47)</f>
        <v>tri-atomic dirac</v>
      </c>
      <c r="M47" s="40" t="str">
        <f t="shared" si="5"/>
        <v>1</v>
      </c>
      <c r="N47" s="24">
        <f t="shared" si="20"/>
        <v>11.745922068980926</v>
      </c>
      <c r="O47" s="41" t="str">
        <f t="shared" si="6"/>
        <v>E</v>
      </c>
      <c r="P47" s="24">
        <f t="shared" si="21"/>
        <v>8.9510648277711127</v>
      </c>
      <c r="Q47" s="41" t="str">
        <f t="shared" si="7"/>
        <v>8</v>
      </c>
      <c r="R47" s="24">
        <f t="shared" si="22"/>
        <v>11.412777933253352</v>
      </c>
      <c r="S47" s="41" t="str">
        <f t="shared" si="8"/>
        <v>E</v>
      </c>
      <c r="T47" s="24">
        <f t="shared" si="23"/>
        <v>4.9533351990402252</v>
      </c>
      <c r="U47" s="41" t="str">
        <f t="shared" si="9"/>
        <v>5</v>
      </c>
      <c r="V47" s="24">
        <f t="shared" si="24"/>
        <v>11.440022388482703</v>
      </c>
      <c r="W47" s="41" t="str">
        <f t="shared" si="10"/>
        <v/>
      </c>
      <c r="X47" s="24">
        <f t="shared" si="25"/>
        <v>5.2802686617924337</v>
      </c>
      <c r="Y47" s="41" t="str">
        <f t="shared" si="11"/>
        <v/>
      </c>
      <c r="Z47" s="24">
        <f t="shared" si="26"/>
        <v>3.3632239415092045</v>
      </c>
      <c r="AA47" s="41" t="str">
        <f t="shared" si="12"/>
        <v/>
      </c>
      <c r="AB47" s="24">
        <f t="shared" si="27"/>
        <v>4.3586872981104534</v>
      </c>
      <c r="AC47" s="41" t="str">
        <f t="shared" si="13"/>
        <v/>
      </c>
      <c r="AD47" s="24">
        <f t="shared" si="28"/>
        <v>4.3042475773254409</v>
      </c>
      <c r="AE47" s="41" t="str">
        <f t="shared" si="14"/>
        <v/>
      </c>
      <c r="AF47" s="24">
        <f t="shared" si="29"/>
        <v>3.6509709279052913</v>
      </c>
      <c r="AG47" s="41" t="str">
        <f t="shared" si="15"/>
        <v/>
      </c>
      <c r="AH47" s="24">
        <f t="shared" si="30"/>
        <v>7.8116511348634958</v>
      </c>
      <c r="AI47" s="41" t="str">
        <f t="shared" si="16"/>
        <v/>
      </c>
      <c r="AJ47" s="24">
        <f t="shared" si="31"/>
        <v>9.7398136183619499</v>
      </c>
      <c r="AK47" s="41" t="str">
        <f t="shared" si="17"/>
        <v/>
      </c>
    </row>
    <row r="48" spans="1:37" ht="15" customHeight="1">
      <c r="A48" s="719"/>
      <c r="B48" s="368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4.37936278867823E+18</v>
      </c>
      <c r="G48" s="37" t="str">
        <f t="shared" si="18"/>
        <v>1;E82E28</v>
      </c>
      <c r="H48" s="330">
        <f t="shared" si="19"/>
        <v>-1.303955989106409E-2</v>
      </c>
      <c r="I48" s="333"/>
      <c r="J48" s="135">
        <f t="shared" si="32"/>
        <v>17</v>
      </c>
      <c r="K48" s="61">
        <f t="shared" si="33"/>
        <v>1.9739208802178718</v>
      </c>
      <c r="L48" s="138" t="str">
        <f>INDEX(powers!$H$2:$H$75,33+J48)</f>
        <v>di-cosmic dirac</v>
      </c>
      <c r="M48" s="40" t="str">
        <f t="shared" si="5"/>
        <v>1</v>
      </c>
      <c r="N48" s="24">
        <f t="shared" si="20"/>
        <v>11.687050562614463</v>
      </c>
      <c r="O48" s="41" t="str">
        <f t="shared" si="6"/>
        <v>E</v>
      </c>
      <c r="P48" s="24">
        <f t="shared" si="21"/>
        <v>8.2446067513735528</v>
      </c>
      <c r="Q48" s="41" t="str">
        <f t="shared" si="7"/>
        <v>8</v>
      </c>
      <c r="R48" s="24">
        <f t="shared" si="22"/>
        <v>2.9352810164826337</v>
      </c>
      <c r="S48" s="41" t="str">
        <f t="shared" si="8"/>
        <v>2</v>
      </c>
      <c r="T48" s="24">
        <f t="shared" si="23"/>
        <v>11.223372197791605</v>
      </c>
      <c r="U48" s="41" t="str">
        <f t="shared" si="9"/>
        <v>E</v>
      </c>
      <c r="V48" s="24">
        <f t="shared" si="24"/>
        <v>2.6804663734992573</v>
      </c>
      <c r="W48" s="41" t="str">
        <f t="shared" si="10"/>
        <v>2</v>
      </c>
      <c r="X48" s="24">
        <f t="shared" si="25"/>
        <v>8.1655964819910878</v>
      </c>
      <c r="Y48" s="41" t="str">
        <f t="shared" si="11"/>
        <v>8</v>
      </c>
      <c r="Z48" s="24">
        <f t="shared" si="26"/>
        <v>1.9871577838930534</v>
      </c>
      <c r="AA48" s="41" t="str">
        <f t="shared" si="12"/>
        <v/>
      </c>
      <c r="AB48" s="24">
        <f t="shared" si="27"/>
        <v>11.845893406716641</v>
      </c>
      <c r="AC48" s="41" t="str">
        <f t="shared" si="13"/>
        <v/>
      </c>
      <c r="AD48" s="24">
        <f t="shared" si="28"/>
        <v>10.150720880599692</v>
      </c>
      <c r="AE48" s="41" t="str">
        <f t="shared" si="14"/>
        <v/>
      </c>
      <c r="AF48" s="24">
        <f t="shared" si="29"/>
        <v>1.8086505671963096</v>
      </c>
      <c r="AG48" s="41" t="str">
        <f t="shared" si="15"/>
        <v/>
      </c>
      <c r="AH48" s="24">
        <f t="shared" si="30"/>
        <v>9.7038068063557148</v>
      </c>
      <c r="AI48" s="41" t="str">
        <f t="shared" si="16"/>
        <v/>
      </c>
      <c r="AJ48" s="24">
        <f t="shared" si="31"/>
        <v>8.4456816762685776</v>
      </c>
      <c r="AK48" s="41" t="str">
        <f t="shared" si="17"/>
        <v/>
      </c>
    </row>
    <row r="49" spans="1:37" ht="15" customHeight="1">
      <c r="A49" s="719"/>
      <c r="B49" s="368" t="str">
        <f>Rydberg!B50</f>
        <v>Black-body radiation at the ice point</v>
      </c>
      <c r="C49" s="368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1.7952901714386714E-24</v>
      </c>
      <c r="G49" s="37" t="str">
        <f t="shared" si="18"/>
        <v>E;X87800</v>
      </c>
      <c r="H49" s="330">
        <f t="shared" si="19"/>
        <v>-8.8895246902125358E-3</v>
      </c>
      <c r="I49" s="333"/>
      <c r="J49" s="38">
        <f t="shared" si="32"/>
        <v>-23</v>
      </c>
      <c r="K49" s="61">
        <f t="shared" si="33"/>
        <v>11.89332570371745</v>
      </c>
      <c r="L49" s="39" t="str">
        <f>INDEX(powers!$H$2:$H$75,33+J49)</f>
        <v>tri-atomic dirac</v>
      </c>
      <c r="M49" s="40" t="str">
        <f t="shared" si="5"/>
        <v>E</v>
      </c>
      <c r="N49" s="24">
        <f t="shared" si="20"/>
        <v>10.719908444609395</v>
      </c>
      <c r="O49" s="41" t="str">
        <f t="shared" si="6"/>
        <v>X</v>
      </c>
      <c r="P49" s="24">
        <f t="shared" si="21"/>
        <v>8.6389013353127382</v>
      </c>
      <c r="Q49" s="41" t="str">
        <f t="shared" si="7"/>
        <v>8</v>
      </c>
      <c r="R49" s="24">
        <f t="shared" si="22"/>
        <v>7.6668160237528582</v>
      </c>
      <c r="S49" s="41" t="str">
        <f t="shared" si="8"/>
        <v>7</v>
      </c>
      <c r="T49" s="24">
        <f t="shared" si="23"/>
        <v>8.0017922850342984</v>
      </c>
      <c r="U49" s="41" t="str">
        <f t="shared" si="9"/>
        <v>8</v>
      </c>
      <c r="V49" s="24">
        <f t="shared" si="24"/>
        <v>2.1507420411580824E-2</v>
      </c>
      <c r="W49" s="41" t="str">
        <f t="shared" si="10"/>
        <v>0</v>
      </c>
      <c r="X49" s="24">
        <f t="shared" si="25"/>
        <v>0.25808904493896989</v>
      </c>
      <c r="Y49" s="41" t="str">
        <f t="shared" si="11"/>
        <v>0</v>
      </c>
      <c r="Z49" s="24">
        <f t="shared" si="26"/>
        <v>3.0970685392676387</v>
      </c>
      <c r="AA49" s="41" t="str">
        <f t="shared" si="12"/>
        <v/>
      </c>
      <c r="AB49" s="24">
        <f t="shared" si="27"/>
        <v>1.1648224712116644</v>
      </c>
      <c r="AC49" s="41" t="str">
        <f t="shared" si="13"/>
        <v/>
      </c>
      <c r="AD49" s="24">
        <f t="shared" si="28"/>
        <v>1.9778696545399725</v>
      </c>
      <c r="AE49" s="41" t="str">
        <f t="shared" si="14"/>
        <v/>
      </c>
      <c r="AF49" s="24">
        <f t="shared" si="29"/>
        <v>11.734435854479671</v>
      </c>
      <c r="AG49" s="41" t="str">
        <f t="shared" si="15"/>
        <v/>
      </c>
      <c r="AH49" s="24">
        <f t="shared" si="30"/>
        <v>8.8132302537560463</v>
      </c>
      <c r="AI49" s="41" t="str">
        <f t="shared" si="16"/>
        <v/>
      </c>
      <c r="AJ49" s="24">
        <f t="shared" si="31"/>
        <v>9.7587630450725555</v>
      </c>
      <c r="AK49" s="41" t="str">
        <f t="shared" si="17"/>
        <v/>
      </c>
    </row>
    <row r="50" spans="1:37" ht="15" customHeight="1">
      <c r="A50" s="719"/>
      <c r="B50" s="368" t="str">
        <f>Rydberg!B51</f>
        <v>Temperature of the triple point of water</v>
      </c>
      <c r="C50" s="368" t="str">
        <f>Rydberg!C51</f>
        <v>K</v>
      </c>
      <c r="D50" s="21">
        <f>Rydberg!D51</f>
        <v>273.16000000000003</v>
      </c>
      <c r="E50" s="8">
        <v>6</v>
      </c>
      <c r="F50" s="21">
        <f>D50/F$6</f>
        <v>2.5304445882300497E-11</v>
      </c>
      <c r="G50" s="37" t="str">
        <f t="shared" si="18"/>
        <v>1;6974X2</v>
      </c>
      <c r="H50" s="330"/>
      <c r="I50" s="333"/>
      <c r="J50" s="135">
        <f t="shared" si="32"/>
        <v>-10</v>
      </c>
      <c r="K50" s="61">
        <f t="shared" si="33"/>
        <v>1.5667845921808969</v>
      </c>
      <c r="L50" s="138" t="str">
        <f>INDEX(powers!$H$2:$H$75,33+J50)</f>
        <v>atomic centy</v>
      </c>
      <c r="M50" s="40" t="str">
        <f t="shared" si="5"/>
        <v>1</v>
      </c>
      <c r="N50" s="24">
        <f t="shared" si="20"/>
        <v>6.8014151061707633</v>
      </c>
      <c r="O50" s="41" t="str">
        <f t="shared" si="6"/>
        <v>6</v>
      </c>
      <c r="P50" s="24">
        <f t="shared" si="21"/>
        <v>9.6169812740491594</v>
      </c>
      <c r="Q50" s="41" t="str">
        <f t="shared" si="7"/>
        <v>9</v>
      </c>
      <c r="R50" s="24">
        <f t="shared" si="22"/>
        <v>7.4037752885899124</v>
      </c>
      <c r="S50" s="41" t="str">
        <f t="shared" si="8"/>
        <v>7</v>
      </c>
      <c r="T50" s="24">
        <f t="shared" si="23"/>
        <v>4.8453034630789489</v>
      </c>
      <c r="U50" s="41" t="str">
        <f t="shared" si="9"/>
        <v>4</v>
      </c>
      <c r="V50" s="24">
        <f t="shared" si="24"/>
        <v>10.143641556947387</v>
      </c>
      <c r="W50" s="41" t="str">
        <f t="shared" si="10"/>
        <v>X</v>
      </c>
      <c r="X50" s="24">
        <f t="shared" si="25"/>
        <v>1.7236986833686387</v>
      </c>
      <c r="Y50" s="41" t="str">
        <f t="shared" si="11"/>
        <v>2</v>
      </c>
      <c r="Z50" s="24">
        <f t="shared" si="26"/>
        <v>8.6843842004236649</v>
      </c>
      <c r="AA50" s="41" t="str">
        <f t="shared" si="12"/>
        <v/>
      </c>
      <c r="AB50" s="24">
        <f t="shared" si="27"/>
        <v>8.2126104050839785</v>
      </c>
      <c r="AC50" s="41" t="str">
        <f t="shared" si="13"/>
        <v/>
      </c>
      <c r="AD50" s="24">
        <f t="shared" si="28"/>
        <v>2.5513248610077426</v>
      </c>
      <c r="AE50" s="41" t="str">
        <f t="shared" si="14"/>
        <v/>
      </c>
      <c r="AF50" s="24">
        <f t="shared" si="29"/>
        <v>6.615898332092911</v>
      </c>
      <c r="AG50" s="41" t="str">
        <f t="shared" si="15"/>
        <v/>
      </c>
      <c r="AH50" s="24">
        <f t="shared" si="30"/>
        <v>7.3907799851149321</v>
      </c>
      <c r="AI50" s="41" t="str">
        <f t="shared" si="16"/>
        <v/>
      </c>
      <c r="AJ50" s="24">
        <f t="shared" si="31"/>
        <v>4.6893598213791847</v>
      </c>
      <c r="AK50" s="41" t="str">
        <f t="shared" si="17"/>
        <v/>
      </c>
    </row>
    <row r="51" spans="1:37" ht="15" customHeight="1">
      <c r="A51" s="719"/>
      <c r="B51" s="368" t="str">
        <f>Rydberg!B52</f>
        <v>Molar volume of an ideal gas</v>
      </c>
      <c r="C51" s="368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146.46199160365052</v>
      </c>
      <c r="G51" s="37" t="str">
        <f t="shared" si="18"/>
        <v>1;025664</v>
      </c>
      <c r="H51" s="330">
        <f>K51*POWER(12,I51)/ROUND(K51*POWER(12,I51),0)-1</f>
        <v>1.7097163914239655E-2</v>
      </c>
      <c r="I51" s="333"/>
      <c r="J51" s="38">
        <f t="shared" si="32"/>
        <v>2</v>
      </c>
      <c r="K51" s="61">
        <f t="shared" si="33"/>
        <v>1.0170971639142397</v>
      </c>
      <c r="L51" s="39" t="str">
        <f>INDEX(powers!$H$2:$H$75,33+J51)</f>
        <v>hecty</v>
      </c>
      <c r="M51" s="40" t="str">
        <f t="shared" si="5"/>
        <v>1</v>
      </c>
      <c r="N51" s="24">
        <f t="shared" si="20"/>
        <v>0.20516596697087586</v>
      </c>
      <c r="O51" s="41" t="str">
        <f t="shared" si="6"/>
        <v>0</v>
      </c>
      <c r="P51" s="24">
        <f t="shared" si="21"/>
        <v>2.4619916036505103</v>
      </c>
      <c r="Q51" s="41" t="str">
        <f t="shared" si="7"/>
        <v>2</v>
      </c>
      <c r="R51" s="24">
        <f t="shared" si="22"/>
        <v>5.5438992438061234</v>
      </c>
      <c r="S51" s="41" t="str">
        <f t="shared" si="8"/>
        <v>5</v>
      </c>
      <c r="T51" s="24">
        <f t="shared" si="23"/>
        <v>6.5267909256734811</v>
      </c>
      <c r="U51" s="41" t="str">
        <f t="shared" si="9"/>
        <v>6</v>
      </c>
      <c r="V51" s="24">
        <f t="shared" si="24"/>
        <v>6.3214911080817728</v>
      </c>
      <c r="W51" s="41" t="str">
        <f t="shared" si="10"/>
        <v>6</v>
      </c>
      <c r="X51" s="24">
        <f t="shared" si="25"/>
        <v>3.857893296981274</v>
      </c>
      <c r="Y51" s="41" t="str">
        <f t="shared" si="11"/>
        <v>4</v>
      </c>
      <c r="Z51" s="24">
        <f t="shared" si="26"/>
        <v>10.294719563775288</v>
      </c>
      <c r="AA51" s="41" t="str">
        <f t="shared" si="12"/>
        <v/>
      </c>
      <c r="AB51" s="24">
        <f t="shared" si="27"/>
        <v>3.5366347653034609</v>
      </c>
      <c r="AC51" s="41" t="str">
        <f t="shared" si="13"/>
        <v/>
      </c>
      <c r="AD51" s="24">
        <f t="shared" si="28"/>
        <v>6.4396171836415306</v>
      </c>
      <c r="AE51" s="41" t="str">
        <f t="shared" si="14"/>
        <v/>
      </c>
      <c r="AF51" s="24">
        <f t="shared" si="29"/>
        <v>5.2754062036983669</v>
      </c>
      <c r="AG51" s="41" t="str">
        <f t="shared" si="15"/>
        <v/>
      </c>
      <c r="AH51" s="24">
        <f t="shared" si="30"/>
        <v>3.3048744443804026</v>
      </c>
      <c r="AI51" s="41" t="str">
        <f t="shared" si="16"/>
        <v/>
      </c>
      <c r="AJ51" s="24">
        <f t="shared" si="31"/>
        <v>3.6584933325648308</v>
      </c>
      <c r="AK51" s="41" t="str">
        <f t="shared" si="17"/>
        <v/>
      </c>
    </row>
    <row r="52" spans="1:37" ht="15" customHeight="1">
      <c r="A52" s="719"/>
      <c r="B52" s="67" t="str">
        <f>Rydberg!B53</f>
        <v>-log(Sqrt([H+][OH-])/(mol/m^3))</v>
      </c>
      <c r="C52" s="368" t="str">
        <f>Rydberg!C53</f>
        <v>log(12)</v>
      </c>
      <c r="D52" s="21">
        <f>Rydberg!D53</f>
        <v>1.0039920318408906E-4</v>
      </c>
      <c r="E52" s="8">
        <v>4</v>
      </c>
      <c r="F52" s="21">
        <f>-LOG(D$52/(F$7*POWER(F$3,-3)))/LOG(12)</f>
        <v>7.2401888623166952</v>
      </c>
      <c r="G52" s="37" t="str">
        <f t="shared" si="18"/>
        <v>7;2X71</v>
      </c>
      <c r="H52" s="330"/>
      <c r="I52" s="333"/>
      <c r="J52" s="38">
        <f t="shared" si="32"/>
        <v>0</v>
      </c>
      <c r="K52" s="61">
        <f t="shared" si="33"/>
        <v>7.2401888623166952</v>
      </c>
      <c r="L52" s="39" t="str">
        <f>INDEX(powers!$H$2:$H$75,33+J52)</f>
        <v xml:space="preserve"> </v>
      </c>
      <c r="M52" s="40" t="str">
        <f t="shared" si="5"/>
        <v>7</v>
      </c>
      <c r="N52" s="24">
        <f t="shared" si="20"/>
        <v>2.8822663478003427</v>
      </c>
      <c r="O52" s="41" t="str">
        <f t="shared" si="6"/>
        <v>2</v>
      </c>
      <c r="P52" s="24">
        <f t="shared" si="21"/>
        <v>10.587196173604113</v>
      </c>
      <c r="Q52" s="41" t="str">
        <f t="shared" si="7"/>
        <v>X</v>
      </c>
      <c r="R52" s="24">
        <f t="shared" si="22"/>
        <v>7.046354083249355</v>
      </c>
      <c r="S52" s="41" t="str">
        <f t="shared" si="8"/>
        <v>7</v>
      </c>
      <c r="T52" s="24">
        <f t="shared" si="23"/>
        <v>0.55624899899225966</v>
      </c>
      <c r="U52" s="41" t="str">
        <f t="shared" si="9"/>
        <v>1</v>
      </c>
      <c r="V52" s="24">
        <f t="shared" si="24"/>
        <v>6.6749879879071159</v>
      </c>
      <c r="W52" s="41" t="str">
        <f t="shared" si="10"/>
        <v/>
      </c>
      <c r="X52" s="24">
        <f t="shared" si="25"/>
        <v>8.0998558548853907</v>
      </c>
      <c r="Y52" s="41" t="str">
        <f t="shared" si="11"/>
        <v/>
      </c>
      <c r="Z52" s="24">
        <f t="shared" si="26"/>
        <v>1.1982702586246887</v>
      </c>
      <c r="AA52" s="41" t="str">
        <f t="shared" si="12"/>
        <v/>
      </c>
      <c r="AB52" s="24">
        <f t="shared" si="27"/>
        <v>2.3792431034962647</v>
      </c>
      <c r="AC52" s="41" t="str">
        <f t="shared" si="13"/>
        <v/>
      </c>
      <c r="AD52" s="24">
        <f t="shared" si="28"/>
        <v>4.550917241955176</v>
      </c>
      <c r="AE52" s="41" t="str">
        <f t="shared" si="14"/>
        <v/>
      </c>
      <c r="AF52" s="24">
        <f t="shared" si="29"/>
        <v>6.6110069034621119</v>
      </c>
      <c r="AG52" s="41" t="str">
        <f t="shared" si="15"/>
        <v/>
      </c>
      <c r="AH52" s="24">
        <f t="shared" si="30"/>
        <v>7.3320828415453434</v>
      </c>
      <c r="AI52" s="41" t="str">
        <f t="shared" si="16"/>
        <v/>
      </c>
      <c r="AJ52" s="24">
        <f t="shared" si="31"/>
        <v>3.9849940985441208</v>
      </c>
      <c r="AK52" s="41" t="str">
        <f t="shared" si="17"/>
        <v/>
      </c>
    </row>
    <row r="53" spans="1:37" ht="15" customHeight="1">
      <c r="A53" s="719"/>
      <c r="B53" s="368" t="str">
        <f>Rydberg!B54</f>
        <v>Maximum density of water</v>
      </c>
      <c r="C53" s="368" t="str">
        <f>Rydberg!C54</f>
        <v>kg/m^3</v>
      </c>
      <c r="D53" s="21">
        <f>Rydberg!D54</f>
        <v>999.97199999999998</v>
      </c>
      <c r="E53" s="8">
        <v>6</v>
      </c>
      <c r="F53" s="21">
        <f>D53/(F$8*POWER(F$3,-3))</f>
        <v>153.23875955129571</v>
      </c>
      <c r="G53" s="37" t="str">
        <f t="shared" si="18"/>
        <v>1;092X47</v>
      </c>
      <c r="H53" s="351">
        <f t="shared" ref="H53:H61" si="34">K53*POWER(12,I53)/ROUND(K53*POWER(12,I53),0)-1</f>
        <v>6.4158052439553526E-2</v>
      </c>
      <c r="I53" s="352"/>
      <c r="J53" s="38">
        <f t="shared" si="32"/>
        <v>2</v>
      </c>
      <c r="K53" s="61">
        <f t="shared" si="33"/>
        <v>1.0641580524395535</v>
      </c>
      <c r="L53" s="39" t="str">
        <f>INDEX(powers!$H$2:$H$75,33+J53)</f>
        <v>hecty</v>
      </c>
      <c r="M53" s="40" t="str">
        <f t="shared" si="5"/>
        <v>1</v>
      </c>
      <c r="N53" s="24">
        <f t="shared" si="20"/>
        <v>0.76989662927464231</v>
      </c>
      <c r="O53" s="41" t="str">
        <f t="shared" si="6"/>
        <v>0</v>
      </c>
      <c r="P53" s="24">
        <f t="shared" si="21"/>
        <v>9.2387595512957077</v>
      </c>
      <c r="Q53" s="41" t="str">
        <f t="shared" si="7"/>
        <v>9</v>
      </c>
      <c r="R53" s="24">
        <f t="shared" si="22"/>
        <v>2.8651146155484923</v>
      </c>
      <c r="S53" s="41" t="str">
        <f t="shared" si="8"/>
        <v>2</v>
      </c>
      <c r="T53" s="24">
        <f t="shared" si="23"/>
        <v>10.381375386581908</v>
      </c>
      <c r="U53" s="41" t="str">
        <f t="shared" si="9"/>
        <v>X</v>
      </c>
      <c r="V53" s="24">
        <f t="shared" si="24"/>
        <v>4.5765046389828967</v>
      </c>
      <c r="W53" s="41" t="str">
        <f t="shared" si="10"/>
        <v>4</v>
      </c>
      <c r="X53" s="24">
        <f t="shared" si="25"/>
        <v>6.9180556677947607</v>
      </c>
      <c r="Y53" s="41" t="str">
        <f t="shared" si="11"/>
        <v>7</v>
      </c>
      <c r="Z53" s="24">
        <f t="shared" si="26"/>
        <v>11.016668013537128</v>
      </c>
      <c r="AA53" s="41" t="str">
        <f t="shared" si="12"/>
        <v/>
      </c>
      <c r="AB53" s="24">
        <f t="shared" si="27"/>
        <v>0.20001616244553588</v>
      </c>
      <c r="AC53" s="41" t="str">
        <f t="shared" si="13"/>
        <v/>
      </c>
      <c r="AD53" s="24">
        <f t="shared" si="28"/>
        <v>2.4001939493464306</v>
      </c>
      <c r="AE53" s="41" t="str">
        <f t="shared" si="14"/>
        <v/>
      </c>
      <c r="AF53" s="24">
        <f t="shared" si="29"/>
        <v>4.8023273921571672</v>
      </c>
      <c r="AG53" s="41" t="str">
        <f t="shared" si="15"/>
        <v/>
      </c>
      <c r="AH53" s="24">
        <f t="shared" si="30"/>
        <v>9.6279287058860064</v>
      </c>
      <c r="AI53" s="41" t="str">
        <f t="shared" si="16"/>
        <v/>
      </c>
      <c r="AJ53" s="24">
        <f t="shared" si="31"/>
        <v>7.5351444706320763</v>
      </c>
      <c r="AK53" s="41" t="str">
        <f t="shared" si="17"/>
        <v/>
      </c>
    </row>
    <row r="54" spans="1:37" ht="15" customHeight="1">
      <c r="A54" s="719"/>
      <c r="B54" s="368" t="str">
        <f>Rydberg!B55</f>
        <v>Density of ice at the ice point</v>
      </c>
      <c r="C54" s="368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140.49322856702778</v>
      </c>
      <c r="G54" s="37" t="str">
        <f t="shared" si="18"/>
        <v>E;85E0</v>
      </c>
      <c r="H54" s="330">
        <f t="shared" si="34"/>
        <v>-2.4352579395640395E-2</v>
      </c>
      <c r="I54" s="333"/>
      <c r="J54" s="38">
        <f t="shared" si="32"/>
        <v>1</v>
      </c>
      <c r="K54" s="61">
        <f t="shared" si="33"/>
        <v>11.707769047252315</v>
      </c>
      <c r="L54" s="39" t="str">
        <f>INDEX(powers!$H$2:$H$75,33+J54)</f>
        <v>dirac</v>
      </c>
      <c r="M54" s="40" t="str">
        <f t="shared" si="5"/>
        <v>E</v>
      </c>
      <c r="N54" s="24">
        <f t="shared" si="20"/>
        <v>8.4932285670277778</v>
      </c>
      <c r="O54" s="41" t="str">
        <f t="shared" si="6"/>
        <v>8</v>
      </c>
      <c r="P54" s="24">
        <f t="shared" si="21"/>
        <v>5.9187428043333341</v>
      </c>
      <c r="Q54" s="41" t="str">
        <f t="shared" si="7"/>
        <v>5</v>
      </c>
      <c r="R54" s="24">
        <f t="shared" si="22"/>
        <v>11.024913652000009</v>
      </c>
      <c r="S54" s="41" t="str">
        <f t="shared" si="8"/>
        <v>E</v>
      </c>
      <c r="T54" s="24">
        <f t="shared" si="23"/>
        <v>0.29896382400011134</v>
      </c>
      <c r="U54" s="41" t="str">
        <f t="shared" si="9"/>
        <v>0</v>
      </c>
      <c r="V54" s="24">
        <f t="shared" si="24"/>
        <v>3.5875658880013361</v>
      </c>
      <c r="W54" s="41" t="str">
        <f t="shared" si="10"/>
        <v/>
      </c>
      <c r="X54" s="24">
        <f t="shared" si="25"/>
        <v>7.0507906560160336</v>
      </c>
      <c r="Y54" s="41" t="str">
        <f t="shared" si="11"/>
        <v/>
      </c>
      <c r="Z54" s="24">
        <f t="shared" si="26"/>
        <v>0.6094878721924033</v>
      </c>
      <c r="AA54" s="41" t="str">
        <f t="shared" si="12"/>
        <v/>
      </c>
      <c r="AB54" s="24">
        <f t="shared" si="27"/>
        <v>7.3138544663088396</v>
      </c>
      <c r="AC54" s="41" t="str">
        <f t="shared" si="13"/>
        <v/>
      </c>
      <c r="AD54" s="24">
        <f t="shared" si="28"/>
        <v>3.7662535957060754</v>
      </c>
      <c r="AE54" s="41" t="str">
        <f t="shared" si="14"/>
        <v/>
      </c>
      <c r="AF54" s="24">
        <f t="shared" si="29"/>
        <v>9.1950431484729052</v>
      </c>
      <c r="AG54" s="41" t="str">
        <f t="shared" si="15"/>
        <v/>
      </c>
      <c r="AH54" s="24">
        <f t="shared" si="30"/>
        <v>2.3405177816748619</v>
      </c>
      <c r="AI54" s="41" t="str">
        <f t="shared" si="16"/>
        <v/>
      </c>
      <c r="AJ54" s="24">
        <f t="shared" si="31"/>
        <v>4.0862133800983429</v>
      </c>
      <c r="AK54" s="41" t="str">
        <f t="shared" si="17"/>
        <v/>
      </c>
    </row>
    <row r="55" spans="1:37" ht="15" customHeight="1">
      <c r="A55" s="719"/>
      <c r="B55" s="368" t="str">
        <f>Rydberg!B56</f>
        <v>Specific heat of water</v>
      </c>
      <c r="C55" s="368" t="str">
        <f>Rydberg!C56</f>
        <v>J/kg/K</v>
      </c>
      <c r="D55" s="21">
        <f>Rydberg!D56</f>
        <v>4184</v>
      </c>
      <c r="E55" s="8">
        <v>4</v>
      </c>
      <c r="F55" s="21">
        <f>D55/(F$5/F$8/F$6)</f>
        <v>0.50253989247369057</v>
      </c>
      <c r="G55" s="37" t="str">
        <f t="shared" si="18"/>
        <v>6;0448</v>
      </c>
      <c r="H55" s="351">
        <f t="shared" si="34"/>
        <v>5.0797849473811496E-3</v>
      </c>
      <c r="I55" s="352"/>
      <c r="J55" s="135">
        <f t="shared" si="32"/>
        <v>-1</v>
      </c>
      <c r="K55" s="61">
        <f t="shared" si="33"/>
        <v>6.0304787096842869</v>
      </c>
      <c r="L55" s="138" t="str">
        <f>INDEX(powers!$H$2:$H$75,33+J55)</f>
        <v>dour</v>
      </c>
      <c r="M55" s="40" t="str">
        <f t="shared" si="5"/>
        <v>6</v>
      </c>
      <c r="N55" s="24">
        <f t="shared" si="20"/>
        <v>0.36574451621144277</v>
      </c>
      <c r="O55" s="41" t="str">
        <f t="shared" si="6"/>
        <v>0</v>
      </c>
      <c r="P55" s="24">
        <f t="shared" si="21"/>
        <v>4.3889341945373133</v>
      </c>
      <c r="Q55" s="41" t="str">
        <f t="shared" si="7"/>
        <v>4</v>
      </c>
      <c r="R55" s="24">
        <f t="shared" si="22"/>
        <v>4.6672103344477591</v>
      </c>
      <c r="S55" s="41" t="str">
        <f t="shared" si="8"/>
        <v>4</v>
      </c>
      <c r="T55" s="24">
        <f t="shared" si="23"/>
        <v>8.0065240133731095</v>
      </c>
      <c r="U55" s="41" t="str">
        <f t="shared" si="9"/>
        <v>8</v>
      </c>
      <c r="V55" s="24">
        <f t="shared" si="24"/>
        <v>7.8288160477313795E-2</v>
      </c>
      <c r="W55" s="41" t="str">
        <f t="shared" si="10"/>
        <v/>
      </c>
      <c r="X55" s="24">
        <f t="shared" si="25"/>
        <v>0.93945792572776554</v>
      </c>
      <c r="Y55" s="41" t="str">
        <f t="shared" si="11"/>
        <v/>
      </c>
      <c r="Z55" s="24">
        <f t="shared" si="26"/>
        <v>11.273495108733186</v>
      </c>
      <c r="AA55" s="41" t="str">
        <f t="shared" si="12"/>
        <v/>
      </c>
      <c r="AB55" s="24">
        <f t="shared" si="27"/>
        <v>3.281941304798238</v>
      </c>
      <c r="AC55" s="41" t="str">
        <f t="shared" si="13"/>
        <v/>
      </c>
      <c r="AD55" s="24">
        <f t="shared" si="28"/>
        <v>3.3832956575788558</v>
      </c>
      <c r="AE55" s="41" t="str">
        <f t="shared" si="14"/>
        <v/>
      </c>
      <c r="AF55" s="24">
        <f t="shared" si="29"/>
        <v>4.599547890946269</v>
      </c>
      <c r="AG55" s="41" t="str">
        <f t="shared" si="15"/>
        <v/>
      </c>
      <c r="AH55" s="24">
        <f t="shared" si="30"/>
        <v>7.1945746913552284</v>
      </c>
      <c r="AI55" s="41" t="str">
        <f t="shared" si="16"/>
        <v/>
      </c>
      <c r="AJ55" s="24">
        <f t="shared" si="31"/>
        <v>2.3348962962627411</v>
      </c>
      <c r="AK55" s="41" t="str">
        <f t="shared" si="17"/>
        <v/>
      </c>
    </row>
    <row r="56" spans="1:37" ht="15" customHeight="1">
      <c r="A56" s="719"/>
      <c r="B56" s="368" t="str">
        <f>Rydberg!B57</f>
        <v>Surface tension of water at 25℃</v>
      </c>
      <c r="C56" s="368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1.9373583379022465E-10</v>
      </c>
      <c r="G56" s="37" t="str">
        <f t="shared" si="18"/>
        <v>E;EE45</v>
      </c>
      <c r="H56" s="330">
        <f t="shared" si="34"/>
        <v>-3.6565133086108315E-4</v>
      </c>
      <c r="I56" s="333"/>
      <c r="J56" s="38">
        <f t="shared" si="32"/>
        <v>-10</v>
      </c>
      <c r="K56" s="61">
        <f t="shared" si="33"/>
        <v>11.995612184029667</v>
      </c>
      <c r="L56" s="39" t="str">
        <f>INDEX(powers!$H$2:$H$75,33+J56)</f>
        <v>atomic centy</v>
      </c>
      <c r="M56" s="40" t="str">
        <f t="shared" si="5"/>
        <v>E</v>
      </c>
      <c r="N56" s="24">
        <f t="shared" si="20"/>
        <v>11.947346208356009</v>
      </c>
      <c r="O56" s="41" t="str">
        <f t="shared" si="6"/>
        <v>E</v>
      </c>
      <c r="P56" s="24">
        <f t="shared" si="21"/>
        <v>11.368154500272112</v>
      </c>
      <c r="Q56" s="41" t="str">
        <f t="shared" si="7"/>
        <v>E</v>
      </c>
      <c r="R56" s="24">
        <f t="shared" si="22"/>
        <v>4.4178540032653473</v>
      </c>
      <c r="S56" s="41" t="str">
        <f t="shared" si="8"/>
        <v>4</v>
      </c>
      <c r="T56" s="24">
        <f t="shared" si="23"/>
        <v>5.0142480391841673</v>
      </c>
      <c r="U56" s="41" t="str">
        <f t="shared" si="9"/>
        <v>5</v>
      </c>
      <c r="V56" s="24">
        <f t="shared" si="24"/>
        <v>0.17097647021000739</v>
      </c>
      <c r="W56" s="41" t="str">
        <f t="shared" si="10"/>
        <v/>
      </c>
      <c r="X56" s="24">
        <f t="shared" si="25"/>
        <v>2.0517176425200887</v>
      </c>
      <c r="Y56" s="41" t="str">
        <f t="shared" si="11"/>
        <v/>
      </c>
      <c r="Z56" s="24">
        <f t="shared" si="26"/>
        <v>0.62061171024106443</v>
      </c>
      <c r="AA56" s="41" t="str">
        <f t="shared" si="12"/>
        <v/>
      </c>
      <c r="AB56" s="24">
        <f t="shared" si="27"/>
        <v>7.4473405228927732</v>
      </c>
      <c r="AC56" s="41" t="str">
        <f t="shared" si="13"/>
        <v/>
      </c>
      <c r="AD56" s="24">
        <f t="shared" si="28"/>
        <v>5.3680862747132778</v>
      </c>
      <c r="AE56" s="41" t="str">
        <f t="shared" si="14"/>
        <v/>
      </c>
      <c r="AF56" s="24">
        <f t="shared" si="29"/>
        <v>4.4170352965593338</v>
      </c>
      <c r="AG56" s="41" t="str">
        <f t="shared" si="15"/>
        <v/>
      </c>
      <c r="AH56" s="24">
        <f t="shared" si="30"/>
        <v>5.0044235587120056</v>
      </c>
      <c r="AI56" s="41" t="str">
        <f t="shared" si="16"/>
        <v/>
      </c>
      <c r="AJ56" s="24">
        <f t="shared" si="31"/>
        <v>5.3082704544067383E-2</v>
      </c>
      <c r="AK56" s="41" t="str">
        <f t="shared" si="17"/>
        <v/>
      </c>
    </row>
    <row r="57" spans="1:37" ht="15" customHeight="1">
      <c r="A57" s="719"/>
      <c r="B57" s="5" t="str">
        <f>Rydberg!B58</f>
        <v>photon energy at 540THz</v>
      </c>
      <c r="C57" s="368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2.4007469058429646E-9</v>
      </c>
      <c r="G57" s="37" t="str">
        <f t="shared" si="18"/>
        <v>1;0479373</v>
      </c>
      <c r="H57" s="330">
        <f t="shared" si="34"/>
        <v>3.227722624111018E-2</v>
      </c>
      <c r="I57" s="333"/>
      <c r="J57" s="38">
        <f t="shared" si="32"/>
        <v>-8</v>
      </c>
      <c r="K57" s="61">
        <f t="shared" si="33"/>
        <v>1.0322772262411102</v>
      </c>
      <c r="L57" s="39" t="str">
        <f>INDEX(powers!$H$2:$H$75,33+J57)</f>
        <v>atomic</v>
      </c>
      <c r="M57" s="40" t="str">
        <f t="shared" si="5"/>
        <v>1</v>
      </c>
      <c r="N57" s="24">
        <f t="shared" si="20"/>
        <v>0.38732671489332215</v>
      </c>
      <c r="O57" s="41" t="str">
        <f t="shared" si="6"/>
        <v>0</v>
      </c>
      <c r="P57" s="24">
        <f t="shared" si="21"/>
        <v>4.6479205787198659</v>
      </c>
      <c r="Q57" s="41" t="str">
        <f t="shared" si="7"/>
        <v>4</v>
      </c>
      <c r="R57" s="24">
        <f t="shared" si="22"/>
        <v>7.7750469446383903</v>
      </c>
      <c r="S57" s="41" t="str">
        <f t="shared" si="8"/>
        <v>7</v>
      </c>
      <c r="T57" s="24">
        <f t="shared" si="23"/>
        <v>9.3005633356606836</v>
      </c>
      <c r="U57" s="41" t="str">
        <f t="shared" si="9"/>
        <v>9</v>
      </c>
      <c r="V57" s="24">
        <f t="shared" si="24"/>
        <v>3.6067600279282033</v>
      </c>
      <c r="W57" s="41" t="str">
        <f t="shared" si="10"/>
        <v>3</v>
      </c>
      <c r="X57" s="24">
        <f t="shared" si="25"/>
        <v>7.2811203351384393</v>
      </c>
      <c r="Y57" s="41" t="str">
        <f t="shared" si="11"/>
        <v>7</v>
      </c>
      <c r="Z57" s="24">
        <f t="shared" si="26"/>
        <v>3.3734440216612711</v>
      </c>
      <c r="AA57" s="41" t="str">
        <f t="shared" si="12"/>
        <v>3</v>
      </c>
      <c r="AB57" s="24">
        <f t="shared" si="27"/>
        <v>4.4813282599352533</v>
      </c>
      <c r="AC57" s="41" t="str">
        <f t="shared" si="13"/>
        <v/>
      </c>
      <c r="AD57" s="24">
        <f t="shared" si="28"/>
        <v>5.7759391192230396</v>
      </c>
      <c r="AE57" s="41" t="str">
        <f t="shared" si="14"/>
        <v/>
      </c>
      <c r="AF57" s="24">
        <f t="shared" si="29"/>
        <v>9.3112694306764752</v>
      </c>
      <c r="AG57" s="41" t="str">
        <f t="shared" si="15"/>
        <v/>
      </c>
      <c r="AH57" s="24">
        <f t="shared" si="30"/>
        <v>3.735233168117702</v>
      </c>
      <c r="AI57" s="41" t="str">
        <f t="shared" si="16"/>
        <v/>
      </c>
      <c r="AJ57" s="24">
        <f t="shared" si="31"/>
        <v>8.8227980174124241</v>
      </c>
      <c r="AK57" s="41" t="str">
        <f t="shared" si="17"/>
        <v/>
      </c>
    </row>
    <row r="58" spans="1:37" ht="15" customHeight="1">
      <c r="A58" s="719"/>
      <c r="B58" s="237" t="str">
        <f>Rydberg!B59</f>
        <v>(according to the definition of candela)</v>
      </c>
      <c r="C58" s="368" t="str">
        <f>Rydberg!C59</f>
        <v>eΩA</v>
      </c>
      <c r="D58" s="21">
        <f>D57/D41</f>
        <v>2.2332605374867804</v>
      </c>
      <c r="E58" s="8">
        <v>7</v>
      </c>
      <c r="F58" s="21">
        <f>D58/F$17</f>
        <v>1.0070068747220771</v>
      </c>
      <c r="G58" s="37" t="str">
        <f t="shared" si="18"/>
        <v>1;0101365</v>
      </c>
      <c r="H58" s="330">
        <f t="shared" si="34"/>
        <v>7.0068747220770611E-3</v>
      </c>
      <c r="I58" s="333"/>
      <c r="J58" s="38">
        <f t="shared" si="32"/>
        <v>0</v>
      </c>
      <c r="K58" s="61">
        <f t="shared" si="33"/>
        <v>1.0070068747220771</v>
      </c>
      <c r="L58" s="293">
        <f>540/K58</f>
        <v>536.24261517483103</v>
      </c>
      <c r="M58" s="40" t="str">
        <f t="shared" si="5"/>
        <v>1</v>
      </c>
      <c r="N58" s="24">
        <f t="shared" si="20"/>
        <v>8.4082496664924733E-2</v>
      </c>
      <c r="O58" s="41" t="str">
        <f t="shared" si="6"/>
        <v>0</v>
      </c>
      <c r="P58" s="24">
        <f t="shared" si="21"/>
        <v>1.0089899599790968</v>
      </c>
      <c r="Q58" s="41" t="str">
        <f t="shared" si="7"/>
        <v>1</v>
      </c>
      <c r="R58" s="24">
        <f t="shared" si="22"/>
        <v>0.10787951974916155</v>
      </c>
      <c r="S58" s="41" t="str">
        <f t="shared" si="8"/>
        <v>0</v>
      </c>
      <c r="T58" s="24">
        <f t="shared" si="23"/>
        <v>1.2945542369899385</v>
      </c>
      <c r="U58" s="41" t="str">
        <f t="shared" si="9"/>
        <v>1</v>
      </c>
      <c r="V58" s="24">
        <f t="shared" si="24"/>
        <v>3.5346508438792625</v>
      </c>
      <c r="W58" s="41" t="str">
        <f t="shared" si="10"/>
        <v>3</v>
      </c>
      <c r="X58" s="24">
        <f t="shared" si="25"/>
        <v>6.4158101265511505</v>
      </c>
      <c r="Y58" s="41" t="str">
        <f t="shared" si="11"/>
        <v>6</v>
      </c>
      <c r="Z58" s="24">
        <f t="shared" si="26"/>
        <v>4.9897215186138055</v>
      </c>
      <c r="AA58" s="41" t="str">
        <f t="shared" si="12"/>
        <v>5</v>
      </c>
      <c r="AB58" s="24">
        <f t="shared" si="27"/>
        <v>11.876658223365666</v>
      </c>
      <c r="AC58" s="41" t="str">
        <f t="shared" si="13"/>
        <v/>
      </c>
      <c r="AD58" s="24">
        <f t="shared" si="28"/>
        <v>10.519898680387996</v>
      </c>
      <c r="AE58" s="41" t="str">
        <f t="shared" si="14"/>
        <v/>
      </c>
      <c r="AF58" s="24">
        <f t="shared" si="29"/>
        <v>6.2387841646559536</v>
      </c>
      <c r="AG58" s="41" t="str">
        <f t="shared" si="15"/>
        <v/>
      </c>
      <c r="AH58" s="24">
        <f t="shared" si="30"/>
        <v>2.8654099758714437</v>
      </c>
      <c r="AI58" s="41" t="str">
        <f t="shared" si="16"/>
        <v/>
      </c>
      <c r="AJ58" s="24">
        <f t="shared" si="31"/>
        <v>10.384919710457325</v>
      </c>
      <c r="AK58" s="41" t="str">
        <f t="shared" si="17"/>
        <v/>
      </c>
    </row>
    <row r="59" spans="1:37" ht="15" customHeight="1">
      <c r="A59" s="719"/>
      <c r="B59" s="315">
        <f>Rydberg!B60</f>
        <v>1.024</v>
      </c>
      <c r="C59" s="368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9.6694937167876775E-11</v>
      </c>
      <c r="G59" s="37" t="str">
        <f t="shared" si="18"/>
        <v>5;EX184</v>
      </c>
      <c r="H59" s="330">
        <f t="shared" si="34"/>
        <v>-2.1507261266296984E-3</v>
      </c>
      <c r="I59" s="333"/>
      <c r="J59" s="38">
        <f t="shared" si="32"/>
        <v>-10</v>
      </c>
      <c r="K59" s="61">
        <f t="shared" si="33"/>
        <v>5.987095643240222</v>
      </c>
      <c r="L59" s="39" t="str">
        <f>INDEX(powers!$H$2:$H$75,33+J59)</f>
        <v>atomic centy</v>
      </c>
      <c r="M59" s="40" t="str">
        <f t="shared" si="5"/>
        <v>5</v>
      </c>
      <c r="N59" s="24">
        <f t="shared" si="20"/>
        <v>11.845147718882664</v>
      </c>
      <c r="O59" s="41" t="str">
        <f t="shared" si="6"/>
        <v>E</v>
      </c>
      <c r="P59" s="24">
        <f t="shared" si="21"/>
        <v>10.141772626591973</v>
      </c>
      <c r="Q59" s="41" t="str">
        <f t="shared" si="7"/>
        <v>X</v>
      </c>
      <c r="R59" s="24">
        <f t="shared" si="22"/>
        <v>1.7012715191036705</v>
      </c>
      <c r="S59" s="41" t="str">
        <f t="shared" si="8"/>
        <v>1</v>
      </c>
      <c r="T59" s="24">
        <f t="shared" si="23"/>
        <v>8.4152582292440457</v>
      </c>
      <c r="U59" s="41" t="str">
        <f t="shared" si="9"/>
        <v>8</v>
      </c>
      <c r="V59" s="24">
        <f t="shared" si="24"/>
        <v>4.9830987509285478</v>
      </c>
      <c r="W59" s="41" t="str">
        <f t="shared" si="10"/>
        <v>4</v>
      </c>
      <c r="X59" s="24">
        <f t="shared" si="25"/>
        <v>11.797185011142574</v>
      </c>
      <c r="Y59" s="41" t="str">
        <f t="shared" si="11"/>
        <v/>
      </c>
      <c r="Z59" s="24">
        <f t="shared" si="26"/>
        <v>9.5662201337108854</v>
      </c>
      <c r="AA59" s="41" t="str">
        <f t="shared" si="12"/>
        <v/>
      </c>
      <c r="AB59" s="24">
        <f t="shared" si="27"/>
        <v>6.794641604530625</v>
      </c>
      <c r="AC59" s="41" t="str">
        <f t="shared" si="13"/>
        <v/>
      </c>
      <c r="AD59" s="24">
        <f t="shared" si="28"/>
        <v>9.5356992543675005</v>
      </c>
      <c r="AE59" s="41" t="str">
        <f t="shared" si="14"/>
        <v/>
      </c>
      <c r="AF59" s="24">
        <f t="shared" si="29"/>
        <v>6.4283910524100065</v>
      </c>
      <c r="AG59" s="41" t="str">
        <f t="shared" si="15"/>
        <v/>
      </c>
      <c r="AH59" s="24">
        <f t="shared" si="30"/>
        <v>5.1406926289200783</v>
      </c>
      <c r="AI59" s="41" t="str">
        <f t="shared" si="16"/>
        <v/>
      </c>
      <c r="AJ59" s="24">
        <f t="shared" si="31"/>
        <v>1.6883115470409393</v>
      </c>
      <c r="AK59" s="41" t="str">
        <f t="shared" si="17"/>
        <v/>
      </c>
    </row>
    <row r="60" spans="1:37" ht="15" customHeight="1">
      <c r="A60" s="719"/>
      <c r="B60" s="368" t="str">
        <f>Rydberg!B61</f>
        <v>Sea depth at standard atmosphere</v>
      </c>
      <c r="C60" s="368" t="str">
        <f>Rydberg!C61</f>
        <v>m</v>
      </c>
      <c r="D60" s="21">
        <f>D61/D59</f>
        <v>10.090394374791382</v>
      </c>
      <c r="E60" s="8">
        <v>6</v>
      </c>
      <c r="F60" s="21">
        <f>D60/F$3</f>
        <v>15930419479.138123</v>
      </c>
      <c r="G60" s="37" t="str">
        <f t="shared" si="18"/>
        <v>3;107095</v>
      </c>
      <c r="H60" s="331">
        <f t="shared" si="34"/>
        <v>1.3260606668799024E-3</v>
      </c>
      <c r="I60" s="339">
        <v>1</v>
      </c>
      <c r="J60" s="38">
        <f t="shared" si="32"/>
        <v>9</v>
      </c>
      <c r="K60" s="61">
        <f t="shared" si="33"/>
        <v>3.0874220203895462</v>
      </c>
      <c r="L60" s="39" t="str">
        <f>INDEX(powers!$H$2:$H$75,33+J60)</f>
        <v>cosmic dirac</v>
      </c>
      <c r="M60" s="40" t="str">
        <f t="shared" si="5"/>
        <v>3</v>
      </c>
      <c r="N60" s="24">
        <f t="shared" si="20"/>
        <v>1.0490642446745539</v>
      </c>
      <c r="O60" s="41" t="str">
        <f t="shared" si="6"/>
        <v>1</v>
      </c>
      <c r="P60" s="24">
        <f t="shared" si="21"/>
        <v>0.58877093609464737</v>
      </c>
      <c r="Q60" s="41" t="str">
        <f t="shared" si="7"/>
        <v>0</v>
      </c>
      <c r="R60" s="24">
        <f t="shared" si="22"/>
        <v>7.0652512331357684</v>
      </c>
      <c r="S60" s="41" t="str">
        <f t="shared" si="8"/>
        <v>7</v>
      </c>
      <c r="T60" s="24">
        <f t="shared" si="23"/>
        <v>0.78301479762922099</v>
      </c>
      <c r="U60" s="41" t="str">
        <f t="shared" si="9"/>
        <v>0</v>
      </c>
      <c r="V60" s="24">
        <f t="shared" si="24"/>
        <v>9.3961775715506519</v>
      </c>
      <c r="W60" s="41" t="str">
        <f t="shared" si="10"/>
        <v>9</v>
      </c>
      <c r="X60" s="24">
        <f t="shared" si="25"/>
        <v>4.754130858607823</v>
      </c>
      <c r="Y60" s="41" t="str">
        <f t="shared" si="11"/>
        <v>5</v>
      </c>
      <c r="Z60" s="24">
        <f t="shared" si="26"/>
        <v>9.0495703032938763</v>
      </c>
      <c r="AA60" s="41" t="str">
        <f t="shared" si="12"/>
        <v/>
      </c>
      <c r="AB60" s="24">
        <f t="shared" si="27"/>
        <v>0.5948436395265162</v>
      </c>
      <c r="AC60" s="41" t="str">
        <f t="shared" si="13"/>
        <v/>
      </c>
      <c r="AD60" s="24">
        <f t="shared" si="28"/>
        <v>7.1381236743181944</v>
      </c>
      <c r="AE60" s="41" t="str">
        <f t="shared" si="14"/>
        <v/>
      </c>
      <c r="AF60" s="24">
        <f t="shared" si="29"/>
        <v>1.6574840918183327</v>
      </c>
      <c r="AG60" s="41" t="str">
        <f t="shared" si="15"/>
        <v/>
      </c>
      <c r="AH60" s="24">
        <f t="shared" si="30"/>
        <v>7.8898091018199921</v>
      </c>
      <c r="AI60" s="41" t="str">
        <f t="shared" si="16"/>
        <v/>
      </c>
      <c r="AJ60" s="24">
        <f t="shared" si="31"/>
        <v>10.677709221839905</v>
      </c>
      <c r="AK60" s="41" t="str">
        <f t="shared" si="17"/>
        <v/>
      </c>
    </row>
    <row r="61" spans="1:37" ht="15" customHeight="1">
      <c r="A61" s="719"/>
      <c r="B61" s="368" t="str">
        <f>Rydberg!B62</f>
        <v>Standard atmosphere</v>
      </c>
      <c r="C61" s="368" t="str">
        <f>Rydberg!C62</f>
        <v>P</v>
      </c>
      <c r="D61" s="21">
        <f>Rydberg!D62</f>
        <v>101325</v>
      </c>
      <c r="E61" s="8">
        <v>6</v>
      </c>
      <c r="F61" s="21">
        <f>D61/F$11</f>
        <v>1.540390910593181</v>
      </c>
      <c r="G61" s="37" t="str">
        <f t="shared" si="18"/>
        <v>1;659967</v>
      </c>
      <c r="H61" s="331">
        <f t="shared" si="34"/>
        <v>-8.2751745307174662E-4</v>
      </c>
      <c r="I61" s="339">
        <v>2</v>
      </c>
      <c r="J61" s="38">
        <f t="shared" si="32"/>
        <v>0</v>
      </c>
      <c r="K61" s="61">
        <f t="shared" si="33"/>
        <v>1.540390910593181</v>
      </c>
      <c r="L61" s="39" t="str">
        <f>INDEX(powers!$H$2:$H$75,33+J61)</f>
        <v xml:space="preserve"> </v>
      </c>
      <c r="M61" s="40" t="str">
        <f t="shared" si="5"/>
        <v>1</v>
      </c>
      <c r="N61" s="24">
        <f t="shared" si="20"/>
        <v>6.4846909271181721</v>
      </c>
      <c r="O61" s="41" t="str">
        <f t="shared" si="6"/>
        <v>6</v>
      </c>
      <c r="P61" s="24">
        <f t="shared" si="21"/>
        <v>5.8162911254180649</v>
      </c>
      <c r="Q61" s="41" t="str">
        <f t="shared" si="7"/>
        <v>5</v>
      </c>
      <c r="R61" s="24">
        <f t="shared" si="22"/>
        <v>9.7954935050167791</v>
      </c>
      <c r="S61" s="41" t="str">
        <f t="shared" si="8"/>
        <v>9</v>
      </c>
      <c r="T61" s="24">
        <f t="shared" si="23"/>
        <v>9.5459220602013488</v>
      </c>
      <c r="U61" s="41" t="str">
        <f t="shared" si="9"/>
        <v>9</v>
      </c>
      <c r="V61" s="24">
        <f t="shared" si="24"/>
        <v>6.5510647224161858</v>
      </c>
      <c r="W61" s="41" t="str">
        <f t="shared" si="10"/>
        <v>6</v>
      </c>
      <c r="X61" s="24">
        <f t="shared" si="25"/>
        <v>6.6127766689942291</v>
      </c>
      <c r="Y61" s="41" t="str">
        <f t="shared" si="11"/>
        <v>7</v>
      </c>
      <c r="Z61" s="24">
        <f t="shared" si="26"/>
        <v>7.3533200279307493</v>
      </c>
      <c r="AA61" s="41" t="str">
        <f t="shared" si="12"/>
        <v/>
      </c>
      <c r="AB61" s="24">
        <f t="shared" si="27"/>
        <v>4.2398403351689922</v>
      </c>
      <c r="AC61" s="41" t="str">
        <f t="shared" si="13"/>
        <v/>
      </c>
      <c r="AD61" s="24">
        <f t="shared" si="28"/>
        <v>2.878084022027906</v>
      </c>
      <c r="AE61" s="41" t="str">
        <f t="shared" si="14"/>
        <v/>
      </c>
      <c r="AF61" s="24">
        <f t="shared" si="29"/>
        <v>10.537008264334872</v>
      </c>
      <c r="AG61" s="41" t="str">
        <f t="shared" si="15"/>
        <v/>
      </c>
      <c r="AH61" s="24">
        <f t="shared" si="30"/>
        <v>6.4440991720184684</v>
      </c>
      <c r="AI61" s="41" t="str">
        <f t="shared" si="16"/>
        <v/>
      </c>
      <c r="AJ61" s="24">
        <f t="shared" si="31"/>
        <v>5.3291900642216206</v>
      </c>
      <c r="AK61" s="41" t="str">
        <f t="shared" si="17"/>
        <v/>
      </c>
    </row>
    <row r="62" spans="1:37" ht="15" customHeight="1">
      <c r="A62" s="719"/>
      <c r="B62" s="368" t="str">
        <f>Rydberg!B63</f>
        <v>Standard gravitational acceleration</v>
      </c>
      <c r="C62" s="368" t="str">
        <f>Rydberg!C63</f>
        <v>m/s^2</v>
      </c>
      <c r="D62" s="21">
        <f>Rydberg!D63</f>
        <v>9.8066499999999994</v>
      </c>
      <c r="E62" s="8">
        <v>7</v>
      </c>
      <c r="F62" s="21">
        <f>D62/(F$3/F$4/F$4)</f>
        <v>6.9113072198632923E-26</v>
      </c>
      <c r="G62" s="37" t="str">
        <f t="shared" si="18"/>
        <v>5;5E21264</v>
      </c>
      <c r="H62" s="353">
        <f>K62*POWER(12,I62)/ROUND(K62*POWER(12,I62)+1,0)-1</f>
        <v>-8.4288109944726464E-2</v>
      </c>
      <c r="I62" s="354">
        <v>0</v>
      </c>
      <c r="J62" s="38">
        <f t="shared" si="32"/>
        <v>-24</v>
      </c>
      <c r="K62" s="61">
        <f t="shared" si="33"/>
        <v>5.4942713403316414</v>
      </c>
      <c r="L62" s="39" t="str">
        <f>INDEX(powers!$H$2:$H$75,33+J62)</f>
        <v>tri-atomic</v>
      </c>
      <c r="M62" s="40" t="str">
        <f t="shared" si="5"/>
        <v>5</v>
      </c>
      <c r="N62" s="24">
        <f t="shared" si="20"/>
        <v>5.9312560839796973</v>
      </c>
      <c r="O62" s="41" t="str">
        <f t="shared" si="6"/>
        <v>5</v>
      </c>
      <c r="P62" s="24">
        <f t="shared" si="21"/>
        <v>11.175073007756367</v>
      </c>
      <c r="Q62" s="41" t="str">
        <f t="shared" si="7"/>
        <v>E</v>
      </c>
      <c r="R62" s="24">
        <f t="shared" si="22"/>
        <v>2.1008760930764083</v>
      </c>
      <c r="S62" s="41" t="str">
        <f t="shared" si="8"/>
        <v>2</v>
      </c>
      <c r="T62" s="24">
        <f t="shared" si="23"/>
        <v>1.2105131169168999</v>
      </c>
      <c r="U62" s="41" t="str">
        <f t="shared" si="9"/>
        <v>1</v>
      </c>
      <c r="V62" s="24">
        <f t="shared" si="24"/>
        <v>2.5261574030027987</v>
      </c>
      <c r="W62" s="41" t="str">
        <f t="shared" si="10"/>
        <v>2</v>
      </c>
      <c r="X62" s="24">
        <f t="shared" si="25"/>
        <v>6.3138888360335841</v>
      </c>
      <c r="Y62" s="41" t="str">
        <f t="shared" si="11"/>
        <v>6</v>
      </c>
      <c r="Z62" s="24">
        <f t="shared" si="26"/>
        <v>3.766666032403009</v>
      </c>
      <c r="AA62" s="41" t="str">
        <f t="shared" si="12"/>
        <v>4</v>
      </c>
      <c r="AB62" s="24">
        <f t="shared" si="27"/>
        <v>9.1999923888361081</v>
      </c>
      <c r="AC62" s="41" t="str">
        <f t="shared" si="13"/>
        <v/>
      </c>
      <c r="AD62" s="24">
        <f t="shared" si="28"/>
        <v>2.3999086660332978</v>
      </c>
      <c r="AE62" s="41" t="str">
        <f t="shared" si="14"/>
        <v/>
      </c>
      <c r="AF62" s="24">
        <f t="shared" si="29"/>
        <v>4.7989039923995733</v>
      </c>
      <c r="AG62" s="41" t="str">
        <f t="shared" si="15"/>
        <v/>
      </c>
      <c r="AH62" s="24">
        <f t="shared" si="30"/>
        <v>9.5868479087948799</v>
      </c>
      <c r="AI62" s="41" t="str">
        <f t="shared" si="16"/>
        <v/>
      </c>
      <c r="AJ62" s="24">
        <f t="shared" si="31"/>
        <v>7.042174905538559</v>
      </c>
      <c r="AK62" s="41" t="str">
        <f t="shared" si="17"/>
        <v/>
      </c>
    </row>
    <row r="63" spans="1:37" ht="15" customHeight="1">
      <c r="A63" s="719"/>
      <c r="B63" s="368" t="str">
        <f>Rydberg!B64</f>
        <v>Gravitational radius of the Earth</v>
      </c>
      <c r="C63" s="368" t="str">
        <f>Rydberg!C64</f>
        <v>m</v>
      </c>
      <c r="D63" s="21">
        <f>Rydberg!D64</f>
        <v>4.4350280391176706E-3</v>
      </c>
      <c r="E63" s="8">
        <v>7</v>
      </c>
      <c r="F63" s="21">
        <f>D63/F$3</f>
        <v>7001892.5366675388</v>
      </c>
      <c r="G63" s="37" t="str">
        <f t="shared" si="18"/>
        <v>2;4180306</v>
      </c>
      <c r="H63" s="330"/>
      <c r="I63" s="333"/>
      <c r="J63" s="38">
        <f t="shared" si="32"/>
        <v>6</v>
      </c>
      <c r="K63" s="61">
        <f t="shared" si="33"/>
        <v>2.3449196434634407</v>
      </c>
      <c r="L63" s="39" t="str">
        <f>INDEX(powers!$H$2:$H$75,33+J63)</f>
        <v>cosmic centy</v>
      </c>
      <c r="M63" s="40" t="str">
        <f t="shared" si="5"/>
        <v>2</v>
      </c>
      <c r="N63" s="24">
        <f t="shared" si="20"/>
        <v>4.1390357215612887</v>
      </c>
      <c r="O63" s="41" t="str">
        <f t="shared" si="6"/>
        <v>4</v>
      </c>
      <c r="P63" s="24">
        <f t="shared" si="21"/>
        <v>1.6684286587354649</v>
      </c>
      <c r="Q63" s="41" t="str">
        <f t="shared" si="7"/>
        <v>1</v>
      </c>
      <c r="R63" s="24">
        <f t="shared" si="22"/>
        <v>8.0211439048255784</v>
      </c>
      <c r="S63" s="41" t="str">
        <f t="shared" si="8"/>
        <v>8</v>
      </c>
      <c r="T63" s="24">
        <f t="shared" si="23"/>
        <v>0.2537268579069405</v>
      </c>
      <c r="U63" s="41" t="str">
        <f t="shared" si="9"/>
        <v>0</v>
      </c>
      <c r="V63" s="24">
        <f t="shared" si="24"/>
        <v>3.0447222948832859</v>
      </c>
      <c r="W63" s="41" t="str">
        <f t="shared" si="10"/>
        <v>3</v>
      </c>
      <c r="X63" s="24">
        <f t="shared" si="25"/>
        <v>0.53666753859943128</v>
      </c>
      <c r="Y63" s="41" t="str">
        <f t="shared" si="11"/>
        <v>0</v>
      </c>
      <c r="Z63" s="24">
        <f t="shared" si="26"/>
        <v>6.4400104631931754</v>
      </c>
      <c r="AA63" s="41" t="str">
        <f t="shared" si="12"/>
        <v>6</v>
      </c>
      <c r="AB63" s="24">
        <f t="shared" si="27"/>
        <v>5.2801255583181046</v>
      </c>
      <c r="AC63" s="41" t="str">
        <f t="shared" si="13"/>
        <v/>
      </c>
      <c r="AD63" s="24">
        <f t="shared" si="28"/>
        <v>3.3615066998172551</v>
      </c>
      <c r="AE63" s="41" t="str">
        <f t="shared" si="14"/>
        <v/>
      </c>
      <c r="AF63" s="24">
        <f t="shared" si="29"/>
        <v>4.3380803978070617</v>
      </c>
      <c r="AG63" s="41" t="str">
        <f t="shared" si="15"/>
        <v/>
      </c>
      <c r="AH63" s="24">
        <f t="shared" si="30"/>
        <v>4.0569647736847401</v>
      </c>
      <c r="AI63" s="41" t="str">
        <f t="shared" si="16"/>
        <v/>
      </c>
      <c r="AJ63" s="24">
        <f t="shared" si="31"/>
        <v>0.6835772842168808</v>
      </c>
      <c r="AK63" s="41" t="str">
        <f t="shared" si="17"/>
        <v/>
      </c>
    </row>
    <row r="64" spans="1:37" ht="15" customHeight="1">
      <c r="A64" s="719"/>
      <c r="B64" s="368" t="str">
        <f>Rydberg!B65</f>
        <v>Equatorial radius of the Earth</v>
      </c>
      <c r="C64" s="368" t="str">
        <f>Rydberg!C65</f>
        <v>m</v>
      </c>
      <c r="D64" s="21">
        <f>Rydberg!D65</f>
        <v>6378140</v>
      </c>
      <c r="E64" s="8">
        <v>7</v>
      </c>
      <c r="F64" s="21">
        <f>D64/F$3</f>
        <v>1.0069620861451288E+16</v>
      </c>
      <c r="G64" s="37" t="str">
        <f t="shared" si="18"/>
        <v>7;X145EEX</v>
      </c>
      <c r="H64" s="330"/>
      <c r="I64" s="333"/>
      <c r="J64" s="38">
        <f t="shared" si="32"/>
        <v>14</v>
      </c>
      <c r="K64" s="61">
        <f t="shared" si="33"/>
        <v>7.8428818803454892</v>
      </c>
      <c r="L64" s="39" t="str">
        <f>INDEX(powers!$H$2:$H$75,33+J64)</f>
        <v>di-cosmic centy</v>
      </c>
      <c r="M64" s="40" t="str">
        <f t="shared" si="5"/>
        <v>7</v>
      </c>
      <c r="N64" s="24">
        <f t="shared" si="20"/>
        <v>10.11458256414587</v>
      </c>
      <c r="O64" s="41" t="str">
        <f t="shared" si="6"/>
        <v>X</v>
      </c>
      <c r="P64" s="24">
        <f t="shared" si="21"/>
        <v>1.3749907697504398</v>
      </c>
      <c r="Q64" s="41" t="str">
        <f t="shared" si="7"/>
        <v>1</v>
      </c>
      <c r="R64" s="24">
        <f t="shared" si="22"/>
        <v>4.4998892370052772</v>
      </c>
      <c r="S64" s="41" t="str">
        <f t="shared" si="8"/>
        <v>4</v>
      </c>
      <c r="T64" s="24">
        <f t="shared" si="23"/>
        <v>5.9986708440633265</v>
      </c>
      <c r="U64" s="41" t="str">
        <f t="shared" si="9"/>
        <v>5</v>
      </c>
      <c r="V64" s="24">
        <f t="shared" si="24"/>
        <v>11.984050128759918</v>
      </c>
      <c r="W64" s="41" t="str">
        <f t="shared" si="10"/>
        <v>E</v>
      </c>
      <c r="X64" s="24">
        <f t="shared" si="25"/>
        <v>11.808601545119018</v>
      </c>
      <c r="Y64" s="41" t="str">
        <f t="shared" si="11"/>
        <v>E</v>
      </c>
      <c r="Z64" s="24">
        <f t="shared" si="26"/>
        <v>9.7032185414282139</v>
      </c>
      <c r="AA64" s="41" t="str">
        <f t="shared" si="12"/>
        <v>X</v>
      </c>
      <c r="AB64" s="24">
        <f t="shared" si="27"/>
        <v>8.4386224971385673</v>
      </c>
      <c r="AC64" s="41" t="str">
        <f t="shared" si="13"/>
        <v/>
      </c>
      <c r="AD64" s="24">
        <f t="shared" si="28"/>
        <v>5.2634699656628072</v>
      </c>
      <c r="AE64" s="41" t="str">
        <f t="shared" si="14"/>
        <v/>
      </c>
      <c r="AF64" s="24">
        <f t="shared" si="29"/>
        <v>3.1616395879536867</v>
      </c>
      <c r="AG64" s="41" t="str">
        <f t="shared" si="15"/>
        <v/>
      </c>
      <c r="AH64" s="24">
        <f t="shared" si="30"/>
        <v>1.9396750554442406</v>
      </c>
      <c r="AI64" s="41" t="str">
        <f t="shared" si="16"/>
        <v/>
      </c>
      <c r="AJ64" s="24">
        <f t="shared" si="31"/>
        <v>11.276100665330887</v>
      </c>
      <c r="AK64" s="41" t="str">
        <f t="shared" si="17"/>
        <v/>
      </c>
    </row>
    <row r="65" spans="1:37" ht="15" customHeight="1">
      <c r="A65" s="719"/>
      <c r="B65" s="368" t="str">
        <f>Rydberg!B66</f>
        <v>Meridian length of the Earth / 4</v>
      </c>
      <c r="C65" s="368" t="str">
        <f>Rydberg!C66</f>
        <v>m</v>
      </c>
      <c r="D65" s="21">
        <f>Rydberg!D66</f>
        <v>10001965</v>
      </c>
      <c r="E65" s="8">
        <v>7</v>
      </c>
      <c r="F65" s="21">
        <f>D65/F$3</f>
        <v>1.5790809768914704E+16</v>
      </c>
      <c r="G65" s="37" t="str">
        <f t="shared" si="18"/>
        <v>1;0370649</v>
      </c>
      <c r="H65" s="330"/>
      <c r="I65" s="333"/>
      <c r="J65" s="38">
        <f t="shared" si="32"/>
        <v>15</v>
      </c>
      <c r="K65" s="61">
        <f t="shared" si="33"/>
        <v>1.024909953716258</v>
      </c>
      <c r="L65" s="39" t="str">
        <f>INDEX(powers!$H$2:$H$75,33+J65)</f>
        <v>di-cosmic dour</v>
      </c>
      <c r="M65" s="40" t="str">
        <f t="shared" si="5"/>
        <v>1</v>
      </c>
      <c r="N65" s="24">
        <f t="shared" si="20"/>
        <v>0.29891944459509645</v>
      </c>
      <c r="O65" s="41" t="str">
        <f t="shared" si="6"/>
        <v>0</v>
      </c>
      <c r="P65" s="24">
        <f t="shared" si="21"/>
        <v>3.5870333351411574</v>
      </c>
      <c r="Q65" s="41" t="str">
        <f t="shared" si="7"/>
        <v>3</v>
      </c>
      <c r="R65" s="24">
        <f t="shared" si="22"/>
        <v>7.0444000216938889</v>
      </c>
      <c r="S65" s="41" t="str">
        <f t="shared" si="8"/>
        <v>7</v>
      </c>
      <c r="T65" s="24">
        <f t="shared" si="23"/>
        <v>0.53280026032666683</v>
      </c>
      <c r="U65" s="41" t="str">
        <f t="shared" si="9"/>
        <v>0</v>
      </c>
      <c r="V65" s="24">
        <f t="shared" si="24"/>
        <v>6.393603123920002</v>
      </c>
      <c r="W65" s="41" t="str">
        <f t="shared" si="10"/>
        <v>6</v>
      </c>
      <c r="X65" s="24">
        <f t="shared" si="25"/>
        <v>4.7232374870400236</v>
      </c>
      <c r="Y65" s="41" t="str">
        <f t="shared" si="11"/>
        <v>4</v>
      </c>
      <c r="Z65" s="24">
        <f t="shared" si="26"/>
        <v>8.6788498444802826</v>
      </c>
      <c r="AA65" s="41" t="str">
        <f t="shared" si="12"/>
        <v>9</v>
      </c>
      <c r="AB65" s="24">
        <f t="shared" si="27"/>
        <v>8.1461981337633915</v>
      </c>
      <c r="AC65" s="41" t="str">
        <f t="shared" si="13"/>
        <v/>
      </c>
      <c r="AD65" s="24">
        <f t="shared" si="28"/>
        <v>1.7543776051606983</v>
      </c>
      <c r="AE65" s="41" t="str">
        <f t="shared" si="14"/>
        <v/>
      </c>
      <c r="AF65" s="24">
        <f t="shared" si="29"/>
        <v>9.0525312619283795</v>
      </c>
      <c r="AG65" s="41" t="str">
        <f t="shared" si="15"/>
        <v/>
      </c>
      <c r="AH65" s="24">
        <f t="shared" si="30"/>
        <v>0.63037514314055443</v>
      </c>
      <c r="AI65" s="41" t="str">
        <f t="shared" si="16"/>
        <v/>
      </c>
      <c r="AJ65" s="24">
        <f t="shared" si="31"/>
        <v>7.5645017176866531</v>
      </c>
      <c r="AK65" s="41" t="str">
        <f t="shared" si="17"/>
        <v/>
      </c>
    </row>
    <row r="66" spans="1:37" ht="15" customHeight="1">
      <c r="A66" s="719"/>
      <c r="B66" s="368" t="str">
        <f>Rydberg!B67</f>
        <v>Gravitational radius of the Sun</v>
      </c>
      <c r="C66" s="368" t="str">
        <f>Rydberg!C67</f>
        <v>m</v>
      </c>
      <c r="D66" s="21">
        <f>Rydberg!D67</f>
        <v>1476.6250157971238</v>
      </c>
      <c r="E66" s="8">
        <v>8</v>
      </c>
      <c r="F66" s="21">
        <f>D66/F$3</f>
        <v>2331252381354.3691</v>
      </c>
      <c r="G66" s="37" t="str">
        <f t="shared" si="18"/>
        <v>3;1798E857</v>
      </c>
      <c r="H66" s="330"/>
      <c r="I66" s="333"/>
      <c r="J66" s="38">
        <f t="shared" si="32"/>
        <v>11</v>
      </c>
      <c r="K66" s="61">
        <f t="shared" si="33"/>
        <v>3.137585622616486</v>
      </c>
      <c r="L66" s="39" t="str">
        <f>INDEX(powers!$H$2:$H$75,33+J66)</f>
        <v>cosmic kily</v>
      </c>
      <c r="M66" s="40" t="str">
        <f t="shared" si="5"/>
        <v>3</v>
      </c>
      <c r="N66" s="24">
        <f t="shared" si="20"/>
        <v>1.6510274713978319</v>
      </c>
      <c r="O66" s="41" t="str">
        <f t="shared" si="6"/>
        <v>1</v>
      </c>
      <c r="P66" s="24">
        <f t="shared" si="21"/>
        <v>7.8123296567739828</v>
      </c>
      <c r="Q66" s="41" t="str">
        <f t="shared" si="7"/>
        <v>7</v>
      </c>
      <c r="R66" s="24">
        <f t="shared" si="22"/>
        <v>9.747955881287794</v>
      </c>
      <c r="S66" s="41" t="str">
        <f t="shared" si="8"/>
        <v>9</v>
      </c>
      <c r="T66" s="24">
        <f t="shared" si="23"/>
        <v>8.975470575453528</v>
      </c>
      <c r="U66" s="41" t="str">
        <f t="shared" si="9"/>
        <v>8</v>
      </c>
      <c r="V66" s="24">
        <f t="shared" si="24"/>
        <v>11.705646905442336</v>
      </c>
      <c r="W66" s="41" t="str">
        <f t="shared" si="10"/>
        <v>E</v>
      </c>
      <c r="X66" s="24">
        <f t="shared" si="25"/>
        <v>8.4677628653080319</v>
      </c>
      <c r="Y66" s="41" t="str">
        <f t="shared" si="11"/>
        <v>8</v>
      </c>
      <c r="Z66" s="24">
        <f t="shared" si="26"/>
        <v>5.6131543836963829</v>
      </c>
      <c r="AA66" s="41" t="str">
        <f t="shared" si="12"/>
        <v>5</v>
      </c>
      <c r="AB66" s="24">
        <f t="shared" si="27"/>
        <v>7.3578526043565944</v>
      </c>
      <c r="AC66" s="41" t="str">
        <f t="shared" si="13"/>
        <v>7</v>
      </c>
      <c r="AD66" s="24">
        <f t="shared" si="28"/>
        <v>4.2942312522791326</v>
      </c>
      <c r="AE66" s="41" t="str">
        <f t="shared" si="14"/>
        <v/>
      </c>
      <c r="AF66" s="24">
        <f t="shared" si="29"/>
        <v>3.5307750273495913</v>
      </c>
      <c r="AG66" s="41" t="str">
        <f t="shared" si="15"/>
        <v/>
      </c>
      <c r="AH66" s="24">
        <f t="shared" si="30"/>
        <v>6.3693003281950951</v>
      </c>
      <c r="AI66" s="41" t="str">
        <f t="shared" si="16"/>
        <v/>
      </c>
      <c r="AJ66" s="24">
        <f t="shared" si="31"/>
        <v>4.4316039383411407</v>
      </c>
      <c r="AK66" s="41" t="str">
        <f t="shared" si="17"/>
        <v/>
      </c>
    </row>
    <row r="67" spans="1:37" ht="15" customHeight="1">
      <c r="A67" s="719"/>
      <c r="B67" s="5" t="str">
        <f>Rydberg!B68</f>
        <v>Astronomical unit</v>
      </c>
      <c r="C67" s="5" t="str">
        <f>Rydberg!C68</f>
        <v>m</v>
      </c>
      <c r="D67" s="21">
        <f>Rydberg!D68</f>
        <v>149597870000</v>
      </c>
      <c r="E67" s="30">
        <v>9</v>
      </c>
      <c r="F67" s="29">
        <f>D67/F$3</f>
        <v>2.3618074118484037E+20</v>
      </c>
      <c r="G67" s="37" t="str">
        <f t="shared" si="18"/>
        <v>8;X55509X33</v>
      </c>
      <c r="H67" s="330"/>
      <c r="I67" s="336"/>
      <c r="J67" s="43">
        <f t="shared" si="32"/>
        <v>18</v>
      </c>
      <c r="K67" s="62">
        <f t="shared" si="33"/>
        <v>8.8711935013190502</v>
      </c>
      <c r="L67" s="39" t="str">
        <f>INDEX(powers!$H$2:$H$75,33+J67)</f>
        <v>di-cosmic hecty</v>
      </c>
      <c r="M67" s="40" t="str">
        <f t="shared" si="5"/>
        <v>8</v>
      </c>
      <c r="N67" s="24">
        <f t="shared" si="20"/>
        <v>10.454322015828602</v>
      </c>
      <c r="O67" s="41" t="str">
        <f t="shared" si="6"/>
        <v>X</v>
      </c>
      <c r="P67" s="24">
        <f t="shared" si="21"/>
        <v>5.4518641899432225</v>
      </c>
      <c r="Q67" s="41" t="str">
        <f t="shared" si="7"/>
        <v>5</v>
      </c>
      <c r="R67" s="24">
        <f t="shared" si="22"/>
        <v>5.4223702793186703</v>
      </c>
      <c r="S67" s="41" t="str">
        <f t="shared" si="8"/>
        <v>5</v>
      </c>
      <c r="T67" s="24">
        <f t="shared" si="23"/>
        <v>5.0684433518240439</v>
      </c>
      <c r="U67" s="41" t="str">
        <f t="shared" si="9"/>
        <v>5</v>
      </c>
      <c r="V67" s="24">
        <f t="shared" si="24"/>
        <v>0.82132022188852716</v>
      </c>
      <c r="W67" s="41" t="str">
        <f t="shared" si="10"/>
        <v>0</v>
      </c>
      <c r="X67" s="24">
        <f t="shared" si="25"/>
        <v>9.8558426626623259</v>
      </c>
      <c r="Y67" s="41" t="str">
        <f t="shared" si="11"/>
        <v>9</v>
      </c>
      <c r="Z67" s="24">
        <f t="shared" si="26"/>
        <v>10.270111951947911</v>
      </c>
      <c r="AA67" s="41" t="str">
        <f t="shared" si="12"/>
        <v>X</v>
      </c>
      <c r="AB67" s="24">
        <f t="shared" si="27"/>
        <v>3.2413434233749285</v>
      </c>
      <c r="AC67" s="41" t="str">
        <f t="shared" si="13"/>
        <v>3</v>
      </c>
      <c r="AD67" s="24">
        <f t="shared" si="28"/>
        <v>2.8961210804991424</v>
      </c>
      <c r="AE67" s="41" t="str">
        <f t="shared" si="14"/>
        <v>3</v>
      </c>
      <c r="AF67" s="24">
        <f t="shared" si="29"/>
        <v>10.753452965989709</v>
      </c>
      <c r="AG67" s="41" t="str">
        <f t="shared" si="15"/>
        <v/>
      </c>
      <c r="AH67" s="24">
        <f t="shared" si="30"/>
        <v>9.0414355918765068</v>
      </c>
      <c r="AI67" s="41" t="str">
        <f t="shared" si="16"/>
        <v/>
      </c>
      <c r="AJ67" s="24">
        <f t="shared" si="31"/>
        <v>0.49722710251808167</v>
      </c>
      <c r="AK67" s="41" t="str">
        <f t="shared" si="17"/>
        <v/>
      </c>
    </row>
    <row r="68" spans="1:37" ht="15" customHeight="1">
      <c r="A68" s="719"/>
      <c r="B68" s="5" t="str">
        <f>Rydberg!B69</f>
        <v>Astronomical unit / c0</v>
      </c>
      <c r="C68" s="5" t="str">
        <f>Rydberg!C69</f>
        <v>s</v>
      </c>
      <c r="D68" s="29">
        <f>Rydberg!D69</f>
        <v>499.00478150120773</v>
      </c>
      <c r="E68" s="30">
        <v>9</v>
      </c>
      <c r="F68" s="29">
        <f>D68/F$4</f>
        <v>2.361807411848404E+20</v>
      </c>
      <c r="G68" s="37" t="str">
        <f t="shared" si="18"/>
        <v>8;X55509X33</v>
      </c>
      <c r="H68" s="330"/>
      <c r="I68" s="336"/>
      <c r="J68" s="43">
        <f t="shared" si="32"/>
        <v>18</v>
      </c>
      <c r="K68" s="62">
        <f t="shared" si="33"/>
        <v>8.8711935013190519</v>
      </c>
      <c r="L68" s="39" t="str">
        <f>INDEX(powers!$H$2:$H$75,33+J68)</f>
        <v>di-cosmic hecty</v>
      </c>
      <c r="M68" s="40" t="str">
        <f t="shared" si="5"/>
        <v>8</v>
      </c>
      <c r="N68" s="24">
        <f t="shared" si="20"/>
        <v>10.454322015828623</v>
      </c>
      <c r="O68" s="41" t="str">
        <f t="shared" si="6"/>
        <v>X</v>
      </c>
      <c r="P68" s="24">
        <f t="shared" si="21"/>
        <v>5.4518641899434783</v>
      </c>
      <c r="Q68" s="41" t="str">
        <f t="shared" si="7"/>
        <v>5</v>
      </c>
      <c r="R68" s="24">
        <f t="shared" si="22"/>
        <v>5.4223702793217399</v>
      </c>
      <c r="S68" s="41" t="str">
        <f t="shared" si="8"/>
        <v>5</v>
      </c>
      <c r="T68" s="24">
        <f t="shared" si="23"/>
        <v>5.0684433518608785</v>
      </c>
      <c r="U68" s="41" t="str">
        <f t="shared" si="9"/>
        <v>5</v>
      </c>
      <c r="V68" s="24">
        <f t="shared" si="24"/>
        <v>0.82132022233054158</v>
      </c>
      <c r="W68" s="41" t="str">
        <f t="shared" si="10"/>
        <v>0</v>
      </c>
      <c r="X68" s="24">
        <f t="shared" si="25"/>
        <v>9.855842667966499</v>
      </c>
      <c r="Y68" s="41" t="str">
        <f t="shared" si="11"/>
        <v>9</v>
      </c>
      <c r="Z68" s="24">
        <f t="shared" si="26"/>
        <v>10.270112015597988</v>
      </c>
      <c r="AA68" s="41" t="str">
        <f t="shared" si="12"/>
        <v>X</v>
      </c>
      <c r="AB68" s="24">
        <f t="shared" si="27"/>
        <v>3.241344187175855</v>
      </c>
      <c r="AC68" s="41" t="str">
        <f t="shared" si="13"/>
        <v>3</v>
      </c>
      <c r="AD68" s="24">
        <f t="shared" si="28"/>
        <v>2.8961302461102605</v>
      </c>
      <c r="AE68" s="41" t="str">
        <f t="shared" si="14"/>
        <v>3</v>
      </c>
      <c r="AF68" s="24">
        <f t="shared" si="29"/>
        <v>10.753562953323126</v>
      </c>
      <c r="AG68" s="41" t="str">
        <f t="shared" si="15"/>
        <v/>
      </c>
      <c r="AH68" s="24">
        <f t="shared" si="30"/>
        <v>9.0427554398775101</v>
      </c>
      <c r="AI68" s="41" t="str">
        <f t="shared" si="16"/>
        <v/>
      </c>
      <c r="AJ68" s="24">
        <f t="shared" si="31"/>
        <v>0.51306527853012085</v>
      </c>
      <c r="AK68" s="41" t="str">
        <f t="shared" si="17"/>
        <v/>
      </c>
    </row>
    <row r="69" spans="1:37" ht="15" customHeight="1" thickBot="1">
      <c r="A69" s="720"/>
      <c r="B69" s="5" t="s">
        <v>117</v>
      </c>
      <c r="C69" s="5" t="str">
        <f>Rydberg!C70</f>
        <v>-</v>
      </c>
      <c r="D69" s="29">
        <f>Rydberg!D70</f>
        <v>9.9800956300241541</v>
      </c>
      <c r="E69" s="30">
        <v>9</v>
      </c>
      <c r="F69" s="29">
        <f>D69</f>
        <v>9.9800956300241541</v>
      </c>
      <c r="G69" s="81" t="str">
        <f t="shared" si="18"/>
        <v>9;E91731X53</v>
      </c>
      <c r="H69" s="330"/>
      <c r="I69" s="336"/>
      <c r="J69" s="43">
        <f t="shared" si="32"/>
        <v>0</v>
      </c>
      <c r="K69" s="62">
        <f t="shared" si="33"/>
        <v>9.9800956300241541</v>
      </c>
      <c r="L69" s="44" t="str">
        <f>INDEX(powers!$H$2:$H$75,33+J69)</f>
        <v xml:space="preserve"> </v>
      </c>
      <c r="M69" s="40" t="str">
        <f t="shared" si="5"/>
        <v>9</v>
      </c>
      <c r="N69" s="24">
        <f t="shared" si="20"/>
        <v>11.761147560289849</v>
      </c>
      <c r="O69" s="41" t="str">
        <f t="shared" si="6"/>
        <v>E</v>
      </c>
      <c r="P69" s="24">
        <f t="shared" si="21"/>
        <v>9.1337707234781931</v>
      </c>
      <c r="Q69" s="41" t="str">
        <f t="shared" si="7"/>
        <v>9</v>
      </c>
      <c r="R69" s="24">
        <f t="shared" si="22"/>
        <v>1.6052486817383169</v>
      </c>
      <c r="S69" s="41" t="str">
        <f t="shared" si="8"/>
        <v>1</v>
      </c>
      <c r="T69" s="24">
        <f t="shared" si="23"/>
        <v>7.262984180859803</v>
      </c>
      <c r="U69" s="41" t="str">
        <f t="shared" si="9"/>
        <v>7</v>
      </c>
      <c r="V69" s="24">
        <f t="shared" si="24"/>
        <v>3.1558101703176362</v>
      </c>
      <c r="W69" s="41" t="str">
        <f t="shared" si="10"/>
        <v>3</v>
      </c>
      <c r="X69" s="24">
        <f t="shared" si="25"/>
        <v>1.8697220438116346</v>
      </c>
      <c r="Y69" s="41" t="str">
        <f t="shared" si="11"/>
        <v>1</v>
      </c>
      <c r="Z69" s="24">
        <f t="shared" si="26"/>
        <v>10.436664525739616</v>
      </c>
      <c r="AA69" s="41" t="str">
        <f t="shared" si="12"/>
        <v>X</v>
      </c>
      <c r="AB69" s="24">
        <f t="shared" si="27"/>
        <v>5.2399743088753894</v>
      </c>
      <c r="AC69" s="41" t="str">
        <f t="shared" si="13"/>
        <v>5</v>
      </c>
      <c r="AD69" s="24">
        <f t="shared" si="28"/>
        <v>2.8796917065046728</v>
      </c>
      <c r="AE69" s="41" t="str">
        <f t="shared" si="14"/>
        <v>3</v>
      </c>
      <c r="AF69" s="24">
        <f t="shared" si="29"/>
        <v>10.556300478056073</v>
      </c>
      <c r="AG69" s="41" t="str">
        <f t="shared" si="15"/>
        <v/>
      </c>
      <c r="AH69" s="24">
        <f t="shared" si="30"/>
        <v>6.6756057366728783</v>
      </c>
      <c r="AI69" s="41" t="str">
        <f t="shared" si="16"/>
        <v/>
      </c>
      <c r="AJ69" s="24">
        <f t="shared" si="31"/>
        <v>8.1072688400745392</v>
      </c>
      <c r="AK69" s="41" t="str">
        <f t="shared" si="17"/>
        <v/>
      </c>
    </row>
    <row r="70" spans="1:37" ht="12" customHeight="1">
      <c r="A70" s="715" t="s">
        <v>49</v>
      </c>
      <c r="B70" s="369" t="s">
        <v>42</v>
      </c>
      <c r="C70" s="369"/>
      <c r="D70" s="369"/>
      <c r="E70" s="18" t="s">
        <v>54</v>
      </c>
      <c r="F70" s="369" t="s">
        <v>43</v>
      </c>
      <c r="G70" s="369" t="s">
        <v>92</v>
      </c>
      <c r="H70" s="369"/>
      <c r="I70" s="332"/>
      <c r="J70" s="18" t="s">
        <v>44</v>
      </c>
      <c r="K70" s="367" t="s">
        <v>46</v>
      </c>
      <c r="L70" s="370" t="str">
        <f>Rydberg!L71</f>
        <v>Prefix</v>
      </c>
    </row>
    <row r="71" spans="1:37" ht="11.25" customHeight="1">
      <c r="A71" s="716"/>
      <c r="B71" s="8" t="s">
        <v>40</v>
      </c>
      <c r="C71" s="8"/>
      <c r="D71" s="21"/>
      <c r="E71" s="8">
        <v>9</v>
      </c>
      <c r="F71" s="21">
        <f>$D$32</f>
        <v>7.2973525663999998E-3</v>
      </c>
      <c r="G71" s="37" t="str">
        <f t="shared" ref="G71:G72" si="35">M71&amp;";"&amp;O71&amp;Q71&amp;S71&amp;U71&amp;W71&amp;Y71&amp;AA71&amp;AC71&amp;AE71&amp;AG71&amp;AI71&amp;AK71</f>
        <v>1;073994049</v>
      </c>
      <c r="H71" s="37"/>
      <c r="I71" s="340"/>
      <c r="J71" s="38">
        <v>-2</v>
      </c>
      <c r="K71" s="61">
        <f t="shared" ref="K71:K87" si="36">F71/POWER(12,J71)</f>
        <v>1.0508187695616</v>
      </c>
      <c r="L71" s="39" t="str">
        <f>INDEX(powers!$H$2:$H$75,33+J71)</f>
        <v>centy</v>
      </c>
      <c r="M71" s="40" t="str">
        <f t="shared" ref="M71:M87" si="37">IF($E71&gt;=M$31,MID($J$31,IF($E71&gt;M$31,INT(K71),ROUND(K71,0))+1,1),"")</f>
        <v>1</v>
      </c>
      <c r="N71" s="24">
        <f>(K71-INT(K71))*12</f>
        <v>0.60982523473920036</v>
      </c>
      <c r="O71" s="41" t="str">
        <f t="shared" ref="O71:O87" si="38">IF($E71&gt;=O$31,MID($J$31,IF($E71&gt;O$31,INT(N71),ROUND(N71,0))+1,1),"")</f>
        <v>0</v>
      </c>
      <c r="P71" s="24">
        <f>(N71-INT(N71))*12</f>
        <v>7.3179028168704043</v>
      </c>
      <c r="Q71" s="41" t="str">
        <f t="shared" ref="Q71:Q87" si="39">IF($E71&gt;=Q$31,MID($J$31,IF($E71&gt;Q$31,INT(P71),ROUND(P71,0))+1,1),"")</f>
        <v>7</v>
      </c>
      <c r="R71" s="24">
        <f>(P71-INT(P71))*12</f>
        <v>3.814833802444852</v>
      </c>
      <c r="S71" s="41" t="str">
        <f t="shared" ref="S71:S87" si="40">IF($E71&gt;=S$31,MID($J$31,IF($E71&gt;S$31,INT(R71),ROUND(R71,0))+1,1),"")</f>
        <v>3</v>
      </c>
      <c r="T71" s="24">
        <f>(R71-INT(R71))*12</f>
        <v>9.7780056293382245</v>
      </c>
      <c r="U71" s="41" t="str">
        <f t="shared" ref="U71:U87" si="41">IF($E71&gt;=U$31,MID($J$31,IF($E71&gt;U$31,INT(T71),ROUND(T71,0))+1,1),"")</f>
        <v>9</v>
      </c>
      <c r="V71" s="24">
        <f>(T71-INT(T71))*12</f>
        <v>9.3360675520586938</v>
      </c>
      <c r="W71" s="41" t="str">
        <f t="shared" ref="W71:W87" si="42">IF($E71&gt;=W$31,MID($J$31,IF($E71&gt;W$31,INT(V71),ROUND(V71,0))+1,1),"")</f>
        <v>9</v>
      </c>
      <c r="X71" s="24">
        <f>(V71-INT(V71))*12</f>
        <v>4.0328106247043252</v>
      </c>
      <c r="Y71" s="41" t="str">
        <f t="shared" ref="Y71:Y87" si="43">IF($E71&gt;=Y$31,MID($J$31,IF($E71&gt;Y$31,INT(X71),ROUND(X71,0))+1,1),"")</f>
        <v>4</v>
      </c>
      <c r="Z71" s="24">
        <f>(X71-INT(X71))*12</f>
        <v>0.39372749645190197</v>
      </c>
      <c r="AA71" s="41" t="str">
        <f t="shared" ref="AA71:AA87" si="44">IF($E71&gt;=AA$31,MID($J$31,IF($E71&gt;AA$31,INT(Z71),ROUND(Z71,0))+1,1),"")</f>
        <v>0</v>
      </c>
      <c r="AB71" s="24">
        <f>(Z71-INT(Z71))*12</f>
        <v>4.7247299574228236</v>
      </c>
      <c r="AC71" s="41" t="str">
        <f t="shared" ref="AC71:AC87" si="45">IF($E71&gt;=AC$31,MID($J$31,IF($E71&gt;AC$31,INT(AB71),ROUND(AB71,0))+1,1),"")</f>
        <v>4</v>
      </c>
      <c r="AD71" s="24">
        <f>(AB71-INT(AB71))*12</f>
        <v>8.6967594890738837</v>
      </c>
      <c r="AE71" s="41" t="str">
        <f t="shared" ref="AE71:AE87" si="46">IF($E71&gt;=AE$31,MID($J$31,IF($E71&gt;AE$31,INT(AD71),ROUND(AD71,0))+1,1),"")</f>
        <v>9</v>
      </c>
      <c r="AF71" s="24">
        <f>(AD71-INT(AD71))*12</f>
        <v>8.3611138688866049</v>
      </c>
      <c r="AG71" s="41" t="str">
        <f t="shared" ref="AG71:AG87" si="47">IF($E71&gt;=AG$31,MID($J$31,IF($E71&gt;AG$31,INT(AF71),ROUND(AF71,0))+1,1),"")</f>
        <v/>
      </c>
      <c r="AH71" s="24">
        <f>(AF71-INT(AF71))*12</f>
        <v>4.3333664266392589</v>
      </c>
      <c r="AI71" s="41" t="str">
        <f t="shared" ref="AI71:AI87" si="48">IF($E71&gt;=AI$31,MID($J$31,IF($E71&gt;AI$31,INT(AH71),ROUND(AH71,0))+1,1),"")</f>
        <v/>
      </c>
      <c r="AJ71" s="24">
        <f>(AH71-INT(AH71))*12</f>
        <v>4.0003971196711063</v>
      </c>
      <c r="AK71" s="41" t="str">
        <f t="shared" ref="AK71:AK87" si="49">IF($E71&gt;=AK$31,MID($J$31,IF($E71&gt;AK$31,INT(AJ71),ROUND(AJ71,0))+1,1),"")</f>
        <v/>
      </c>
    </row>
    <row r="72" spans="1:37" ht="13.5" customHeight="1">
      <c r="A72" s="716"/>
      <c r="B72" s="30" t="s">
        <v>34</v>
      </c>
      <c r="C72" s="30"/>
      <c r="D72" s="29"/>
      <c r="E72" s="8">
        <v>9</v>
      </c>
      <c r="F72" s="21">
        <f>1/$D$32</f>
        <v>137.03599913815452</v>
      </c>
      <c r="G72" s="37" t="str">
        <f t="shared" si="35"/>
        <v>0;E5052258X</v>
      </c>
      <c r="H72" s="37"/>
      <c r="I72" s="340"/>
      <c r="J72" s="38">
        <v>2</v>
      </c>
      <c r="K72" s="61">
        <f t="shared" si="36"/>
        <v>0.9516388829038509</v>
      </c>
      <c r="L72" s="39" t="str">
        <f>INDEX(powers!$H$2:$H$75,33+J72)</f>
        <v>hecty</v>
      </c>
      <c r="M72" s="40" t="str">
        <f t="shared" si="37"/>
        <v>0</v>
      </c>
      <c r="N72" s="24">
        <f t="shared" ref="N72:N87" si="50">(K72-INT(K72))*12</f>
        <v>11.419666594846211</v>
      </c>
      <c r="O72" s="41" t="str">
        <f t="shared" si="38"/>
        <v>E</v>
      </c>
      <c r="P72" s="24">
        <f t="shared" ref="P72:P87" si="51">(N72-INT(N72))*12</f>
        <v>5.0359991381545299</v>
      </c>
      <c r="Q72" s="41" t="str">
        <f t="shared" si="39"/>
        <v>5</v>
      </c>
      <c r="R72" s="24">
        <f t="shared" ref="R72:R87" si="52">(P72-INT(P72))*12</f>
        <v>0.43198965785435917</v>
      </c>
      <c r="S72" s="41" t="str">
        <f t="shared" si="40"/>
        <v>0</v>
      </c>
      <c r="T72" s="24">
        <f t="shared" ref="T72:T87" si="53">(R72-INT(R72))*12</f>
        <v>5.18387589425231</v>
      </c>
      <c r="U72" s="41" t="str">
        <f t="shared" si="41"/>
        <v>5</v>
      </c>
      <c r="V72" s="24">
        <f t="shared" ref="V72:V87" si="54">(T72-INT(T72))*12</f>
        <v>2.2065107310277199</v>
      </c>
      <c r="W72" s="41" t="str">
        <f t="shared" si="42"/>
        <v>2</v>
      </c>
      <c r="X72" s="24">
        <f t="shared" ref="X72:X87" si="55">(V72-INT(V72))*12</f>
        <v>2.4781287723326386</v>
      </c>
      <c r="Y72" s="41" t="str">
        <f t="shared" si="43"/>
        <v>2</v>
      </c>
      <c r="Z72" s="24">
        <f t="shared" ref="Z72:Z87" si="56">(X72-INT(X72))*12</f>
        <v>5.7375452679916634</v>
      </c>
      <c r="AA72" s="41" t="str">
        <f t="shared" si="44"/>
        <v>5</v>
      </c>
      <c r="AB72" s="24">
        <f t="shared" ref="AB72:AB87" si="57">(Z72-INT(Z72))*12</f>
        <v>8.8505432158999611</v>
      </c>
      <c r="AC72" s="41" t="str">
        <f t="shared" si="45"/>
        <v>8</v>
      </c>
      <c r="AD72" s="24">
        <f t="shared" ref="AD72:AD87" si="58">(AB72-INT(AB72))*12</f>
        <v>10.206518590799533</v>
      </c>
      <c r="AE72" s="41" t="str">
        <f t="shared" si="46"/>
        <v>X</v>
      </c>
      <c r="AF72" s="24">
        <f t="shared" ref="AF72:AF87" si="59">(AD72-INT(AD72))*12</f>
        <v>2.478223089594394</v>
      </c>
      <c r="AG72" s="41" t="str">
        <f t="shared" si="47"/>
        <v/>
      </c>
      <c r="AH72" s="24">
        <f t="shared" ref="AH72:AH87" si="60">(AF72-INT(AF72))*12</f>
        <v>5.7386770751327276</v>
      </c>
      <c r="AI72" s="41" t="str">
        <f t="shared" si="48"/>
        <v/>
      </c>
      <c r="AJ72" s="24">
        <f t="shared" ref="AJ72:AJ87" si="61">(AH72-INT(AH72))*12</f>
        <v>8.8641249015927315</v>
      </c>
      <c r="AK72" s="41" t="str">
        <f t="shared" si="49"/>
        <v/>
      </c>
    </row>
    <row r="73" spans="1:37" ht="13.5" customHeight="1">
      <c r="A73" s="716"/>
      <c r="B73" s="45"/>
      <c r="C73" s="45"/>
      <c r="D73" s="46"/>
      <c r="E73" s="8">
        <v>9</v>
      </c>
      <c r="F73" s="21">
        <f>1/$D$32</f>
        <v>137.03599913815452</v>
      </c>
      <c r="G73" s="37" t="str">
        <f>"B5;"&amp;O73&amp;Q73&amp;S73&amp;U73&amp;W73&amp;Y73&amp;AA73&amp;AC73&amp;AE73&amp;AG73&amp;AI73&amp;AK73</f>
        <v>B5;052258X26</v>
      </c>
      <c r="H73" s="37"/>
      <c r="I73" s="340"/>
      <c r="J73" s="38">
        <v>0</v>
      </c>
      <c r="K73" s="61">
        <f t="shared" si="36"/>
        <v>137.03599913815452</v>
      </c>
      <c r="L73" s="39" t="str">
        <f>INDEX(powers!$H$2:$H$75,33+J73)</f>
        <v xml:space="preserve"> </v>
      </c>
      <c r="M73" s="40" t="str">
        <f t="shared" si="37"/>
        <v/>
      </c>
      <c r="N73" s="24">
        <f t="shared" si="50"/>
        <v>0.4319896578542739</v>
      </c>
      <c r="O73" s="41" t="str">
        <f t="shared" si="38"/>
        <v>0</v>
      </c>
      <c r="P73" s="24">
        <f t="shared" si="51"/>
        <v>5.1838758942512868</v>
      </c>
      <c r="Q73" s="41" t="str">
        <f t="shared" si="39"/>
        <v>5</v>
      </c>
      <c r="R73" s="24">
        <f t="shared" si="52"/>
        <v>2.2065107310154417</v>
      </c>
      <c r="S73" s="41" t="str">
        <f t="shared" si="40"/>
        <v>2</v>
      </c>
      <c r="T73" s="24">
        <f t="shared" si="53"/>
        <v>2.4781287721853005</v>
      </c>
      <c r="U73" s="41" t="str">
        <f t="shared" si="41"/>
        <v>2</v>
      </c>
      <c r="V73" s="24">
        <f t="shared" si="54"/>
        <v>5.7375452662236057</v>
      </c>
      <c r="W73" s="41" t="str">
        <f t="shared" si="42"/>
        <v>5</v>
      </c>
      <c r="X73" s="24">
        <f t="shared" si="55"/>
        <v>8.8505431946832687</v>
      </c>
      <c r="Y73" s="41" t="str">
        <f t="shared" si="43"/>
        <v>8</v>
      </c>
      <c r="Z73" s="24">
        <f t="shared" si="56"/>
        <v>10.206518336199224</v>
      </c>
      <c r="AA73" s="41" t="str">
        <f t="shared" si="44"/>
        <v>X</v>
      </c>
      <c r="AB73" s="24">
        <f t="shared" si="57"/>
        <v>2.4782200343906879</v>
      </c>
      <c r="AC73" s="41" t="str">
        <f t="shared" si="45"/>
        <v>2</v>
      </c>
      <c r="AD73" s="24">
        <f t="shared" si="58"/>
        <v>5.7386404126882553</v>
      </c>
      <c r="AE73" s="41" t="str">
        <f t="shared" si="46"/>
        <v>6</v>
      </c>
      <c r="AF73" s="24">
        <f t="shared" si="59"/>
        <v>8.8636849522590637</v>
      </c>
      <c r="AG73" s="41" t="str">
        <f t="shared" si="47"/>
        <v/>
      </c>
      <c r="AH73" s="24">
        <f t="shared" si="60"/>
        <v>10.364219427108765</v>
      </c>
      <c r="AI73" s="41" t="str">
        <f t="shared" si="48"/>
        <v/>
      </c>
      <c r="AJ73" s="24">
        <f t="shared" si="61"/>
        <v>4.3706331253051758</v>
      </c>
      <c r="AK73" s="41" t="str">
        <f t="shared" si="49"/>
        <v/>
      </c>
    </row>
    <row r="74" spans="1:37" ht="13.5" customHeight="1">
      <c r="A74" s="716"/>
      <c r="B74" s="8" t="s">
        <v>39</v>
      </c>
      <c r="C74" s="8"/>
      <c r="D74" s="21"/>
      <c r="E74" s="8">
        <v>9</v>
      </c>
      <c r="F74" s="21">
        <f t="shared" ref="F74" si="62">SQRT($D$32)</f>
        <v>8.542454311496199E-2</v>
      </c>
      <c r="G74" s="37" t="str">
        <f t="shared" ref="G74:G77" si="63">M74&amp;";"&amp;O74&amp;Q74&amp;S74&amp;U74&amp;W74&amp;Y74&amp;AA74&amp;AC74&amp;AE74&amp;AG74&amp;AI74&amp;AK74</f>
        <v>1;0374439E2</v>
      </c>
      <c r="H74" s="37"/>
      <c r="I74" s="340"/>
      <c r="J74" s="38">
        <v>-1</v>
      </c>
      <c r="K74" s="61">
        <f t="shared" si="36"/>
        <v>1.025094517379544</v>
      </c>
      <c r="L74" s="39" t="str">
        <f>INDEX(powers!$H$2:$H$75,33+J74)</f>
        <v>dour</v>
      </c>
      <c r="M74" s="40" t="str">
        <f t="shared" si="37"/>
        <v>1</v>
      </c>
      <c r="N74" s="24">
        <f t="shared" si="50"/>
        <v>0.30113420855452855</v>
      </c>
      <c r="O74" s="41" t="str">
        <f t="shared" si="38"/>
        <v>0</v>
      </c>
      <c r="P74" s="24">
        <f t="shared" si="51"/>
        <v>3.6136105026543426</v>
      </c>
      <c r="Q74" s="41" t="str">
        <f t="shared" si="39"/>
        <v>3</v>
      </c>
      <c r="R74" s="24">
        <f t="shared" si="52"/>
        <v>7.363326031852111</v>
      </c>
      <c r="S74" s="41" t="str">
        <f t="shared" si="40"/>
        <v>7</v>
      </c>
      <c r="T74" s="24">
        <f t="shared" si="53"/>
        <v>4.3599123822253318</v>
      </c>
      <c r="U74" s="41" t="str">
        <f t="shared" si="41"/>
        <v>4</v>
      </c>
      <c r="V74" s="24">
        <f t="shared" si="54"/>
        <v>4.3189485867039821</v>
      </c>
      <c r="W74" s="41" t="str">
        <f t="shared" si="42"/>
        <v>4</v>
      </c>
      <c r="X74" s="24">
        <f t="shared" si="55"/>
        <v>3.8273830404477849</v>
      </c>
      <c r="Y74" s="41" t="str">
        <f t="shared" si="43"/>
        <v>3</v>
      </c>
      <c r="Z74" s="24">
        <f t="shared" si="56"/>
        <v>9.9285964853734185</v>
      </c>
      <c r="AA74" s="41" t="str">
        <f t="shared" si="44"/>
        <v>9</v>
      </c>
      <c r="AB74" s="24">
        <f t="shared" si="57"/>
        <v>11.143157824481023</v>
      </c>
      <c r="AC74" s="41" t="str">
        <f t="shared" si="45"/>
        <v>E</v>
      </c>
      <c r="AD74" s="24">
        <f t="shared" si="58"/>
        <v>1.7178938937722705</v>
      </c>
      <c r="AE74" s="41" t="str">
        <f t="shared" si="46"/>
        <v>2</v>
      </c>
      <c r="AF74" s="24">
        <f t="shared" si="59"/>
        <v>8.6147267252672464</v>
      </c>
      <c r="AG74" s="41" t="str">
        <f t="shared" si="47"/>
        <v/>
      </c>
      <c r="AH74" s="24">
        <f t="shared" si="60"/>
        <v>7.3767207032069564</v>
      </c>
      <c r="AI74" s="41" t="str">
        <f t="shared" si="48"/>
        <v/>
      </c>
      <c r="AJ74" s="24">
        <f t="shared" si="61"/>
        <v>4.5206484384834766</v>
      </c>
      <c r="AK74" s="41" t="str">
        <f t="shared" si="49"/>
        <v/>
      </c>
    </row>
    <row r="75" spans="1:37" ht="13.5" customHeight="1">
      <c r="A75" s="716"/>
      <c r="B75" s="8" t="s">
        <v>35</v>
      </c>
      <c r="C75" s="8"/>
      <c r="D75" s="21"/>
      <c r="E75" s="8">
        <v>9</v>
      </c>
      <c r="F75" s="21">
        <f>1/SQRT($D$32)</f>
        <v>11.706237616679173</v>
      </c>
      <c r="G75" s="37" t="str">
        <f t="shared" si="63"/>
        <v>0;E85846628</v>
      </c>
      <c r="H75" s="37"/>
      <c r="I75" s="340"/>
      <c r="J75" s="38">
        <v>1</v>
      </c>
      <c r="K75" s="61">
        <f t="shared" si="36"/>
        <v>0.97551980138993111</v>
      </c>
      <c r="L75" s="39" t="str">
        <f>INDEX(powers!$H$2:$H$75,33+J75)</f>
        <v>dirac</v>
      </c>
      <c r="M75" s="40" t="str">
        <f t="shared" si="37"/>
        <v>0</v>
      </c>
      <c r="N75" s="24">
        <f t="shared" si="50"/>
        <v>11.706237616679173</v>
      </c>
      <c r="O75" s="41" t="str">
        <f t="shared" si="38"/>
        <v>E</v>
      </c>
      <c r="P75" s="24">
        <f t="shared" si="51"/>
        <v>8.4748514001500794</v>
      </c>
      <c r="Q75" s="41" t="str">
        <f t="shared" si="39"/>
        <v>8</v>
      </c>
      <c r="R75" s="24">
        <f t="shared" si="52"/>
        <v>5.6982168018009531</v>
      </c>
      <c r="S75" s="41" t="str">
        <f t="shared" si="40"/>
        <v>5</v>
      </c>
      <c r="T75" s="24">
        <f t="shared" si="53"/>
        <v>8.3786016216114376</v>
      </c>
      <c r="U75" s="41" t="str">
        <f t="shared" si="41"/>
        <v>8</v>
      </c>
      <c r="V75" s="24">
        <f t="shared" si="54"/>
        <v>4.5432194593372515</v>
      </c>
      <c r="W75" s="41" t="str">
        <f t="shared" si="42"/>
        <v>4</v>
      </c>
      <c r="X75" s="24">
        <f t="shared" si="55"/>
        <v>6.5186335120470176</v>
      </c>
      <c r="Y75" s="41" t="str">
        <f t="shared" si="43"/>
        <v>6</v>
      </c>
      <c r="Z75" s="24">
        <f t="shared" si="56"/>
        <v>6.2236021445642109</v>
      </c>
      <c r="AA75" s="41" t="str">
        <f t="shared" si="44"/>
        <v>6</v>
      </c>
      <c r="AB75" s="24">
        <f t="shared" si="57"/>
        <v>2.6832257347705308</v>
      </c>
      <c r="AC75" s="41" t="str">
        <f t="shared" si="45"/>
        <v>2</v>
      </c>
      <c r="AD75" s="24">
        <f t="shared" si="58"/>
        <v>8.19870881724637</v>
      </c>
      <c r="AE75" s="41" t="str">
        <f t="shared" si="46"/>
        <v>8</v>
      </c>
      <c r="AF75" s="24">
        <f t="shared" si="59"/>
        <v>2.3845058069564402</v>
      </c>
      <c r="AG75" s="41" t="str">
        <f t="shared" si="47"/>
        <v/>
      </c>
      <c r="AH75" s="24">
        <f t="shared" si="60"/>
        <v>4.6140696834772825</v>
      </c>
      <c r="AI75" s="41" t="str">
        <f t="shared" si="48"/>
        <v/>
      </c>
      <c r="AJ75" s="24">
        <f t="shared" si="61"/>
        <v>7.3688362017273903</v>
      </c>
      <c r="AK75" s="41" t="str">
        <f t="shared" si="49"/>
        <v/>
      </c>
    </row>
    <row r="76" spans="1:37" ht="13.5" customHeight="1">
      <c r="A76" s="716"/>
      <c r="B76" s="8" t="s">
        <v>36</v>
      </c>
      <c r="C76" s="8"/>
      <c r="D76" s="21"/>
      <c r="E76" s="8">
        <v>12</v>
      </c>
      <c r="F76" s="21">
        <f>4*PI()</f>
        <v>12.566370614359172</v>
      </c>
      <c r="G76" s="37" t="str">
        <f t="shared" si="63"/>
        <v>1;0696831713E1</v>
      </c>
      <c r="H76" s="37"/>
      <c r="I76" s="340"/>
      <c r="J76" s="38">
        <v>1</v>
      </c>
      <c r="K76" s="61">
        <f t="shared" si="36"/>
        <v>1.0471975511965976</v>
      </c>
      <c r="L76" s="39" t="str">
        <f>INDEX(powers!$H$2:$H$75,33+J76)</f>
        <v>dirac</v>
      </c>
      <c r="M76" s="40" t="str">
        <f t="shared" si="37"/>
        <v>1</v>
      </c>
      <c r="N76" s="24">
        <f t="shared" si="50"/>
        <v>0.56637061435917158</v>
      </c>
      <c r="O76" s="41" t="str">
        <f t="shared" si="38"/>
        <v>0</v>
      </c>
      <c r="P76" s="24">
        <f t="shared" si="51"/>
        <v>6.7964473723100589</v>
      </c>
      <c r="Q76" s="41" t="str">
        <f t="shared" si="39"/>
        <v>6</v>
      </c>
      <c r="R76" s="24">
        <f t="shared" si="52"/>
        <v>9.5573684677207069</v>
      </c>
      <c r="S76" s="41" t="str">
        <f t="shared" si="40"/>
        <v>9</v>
      </c>
      <c r="T76" s="24">
        <f t="shared" si="53"/>
        <v>6.688421612648483</v>
      </c>
      <c r="U76" s="41" t="str">
        <f t="shared" si="41"/>
        <v>6</v>
      </c>
      <c r="V76" s="24">
        <f t="shared" si="54"/>
        <v>8.2610593517817961</v>
      </c>
      <c r="W76" s="41" t="str">
        <f t="shared" si="42"/>
        <v>8</v>
      </c>
      <c r="X76" s="24">
        <f t="shared" si="55"/>
        <v>3.1327122213815528</v>
      </c>
      <c r="Y76" s="41" t="str">
        <f t="shared" si="43"/>
        <v>3</v>
      </c>
      <c r="Z76" s="24">
        <f t="shared" si="56"/>
        <v>1.5925466565786337</v>
      </c>
      <c r="AA76" s="41" t="str">
        <f t="shared" si="44"/>
        <v>1</v>
      </c>
      <c r="AB76" s="24">
        <f t="shared" si="57"/>
        <v>7.1105598789436044</v>
      </c>
      <c r="AC76" s="41" t="str">
        <f t="shared" si="45"/>
        <v>7</v>
      </c>
      <c r="AD76" s="24">
        <f t="shared" si="58"/>
        <v>1.326718547323253</v>
      </c>
      <c r="AE76" s="41" t="str">
        <f t="shared" si="46"/>
        <v>1</v>
      </c>
      <c r="AF76" s="24">
        <f t="shared" si="59"/>
        <v>3.9206225678790361</v>
      </c>
      <c r="AG76" s="41" t="str">
        <f t="shared" si="47"/>
        <v>3</v>
      </c>
      <c r="AH76" s="24">
        <f t="shared" si="60"/>
        <v>11.047470814548433</v>
      </c>
      <c r="AI76" s="41" t="str">
        <f t="shared" si="48"/>
        <v>E</v>
      </c>
      <c r="AJ76" s="24">
        <f t="shared" si="61"/>
        <v>0.56964977458119392</v>
      </c>
      <c r="AK76" s="41" t="str">
        <f t="shared" si="49"/>
        <v>1</v>
      </c>
    </row>
    <row r="77" spans="1:37" ht="13.5" customHeight="1">
      <c r="A77" s="716"/>
      <c r="B77" s="30" t="s">
        <v>37</v>
      </c>
      <c r="C77" s="30"/>
      <c r="D77" s="29"/>
      <c r="E77" s="8">
        <v>12</v>
      </c>
      <c r="F77" s="21">
        <f>1/(4*PI())</f>
        <v>7.9577471545947673E-2</v>
      </c>
      <c r="G77" s="37" t="str">
        <f t="shared" si="63"/>
        <v>0;E5615082189E</v>
      </c>
      <c r="H77" s="37"/>
      <c r="I77" s="340"/>
      <c r="J77" s="38">
        <v>-1</v>
      </c>
      <c r="K77" s="61">
        <f t="shared" si="36"/>
        <v>0.95492965855137213</v>
      </c>
      <c r="L77" s="39" t="str">
        <f>INDEX(powers!$H$2:$H$75,33+J77)</f>
        <v>dour</v>
      </c>
      <c r="M77" s="40" t="str">
        <f t="shared" si="37"/>
        <v>0</v>
      </c>
      <c r="N77" s="24">
        <f t="shared" si="50"/>
        <v>11.459155902616466</v>
      </c>
      <c r="O77" s="41" t="str">
        <f t="shared" si="38"/>
        <v>E</v>
      </c>
      <c r="P77" s="24">
        <f t="shared" si="51"/>
        <v>5.5098708313975919</v>
      </c>
      <c r="Q77" s="41" t="str">
        <f t="shared" si="39"/>
        <v>5</v>
      </c>
      <c r="R77" s="24">
        <f t="shared" si="52"/>
        <v>6.1184499767711031</v>
      </c>
      <c r="S77" s="41" t="str">
        <f t="shared" si="40"/>
        <v>6</v>
      </c>
      <c r="T77" s="24">
        <f t="shared" si="53"/>
        <v>1.4213997212532377</v>
      </c>
      <c r="U77" s="41" t="str">
        <f t="shared" si="41"/>
        <v>1</v>
      </c>
      <c r="V77" s="24">
        <f t="shared" si="54"/>
        <v>5.0567966550388519</v>
      </c>
      <c r="W77" s="41" t="str">
        <f t="shared" si="42"/>
        <v>5</v>
      </c>
      <c r="X77" s="24">
        <f t="shared" si="55"/>
        <v>0.68155986046622274</v>
      </c>
      <c r="Y77" s="41" t="str">
        <f t="shared" si="43"/>
        <v>0</v>
      </c>
      <c r="Z77" s="24">
        <f t="shared" si="56"/>
        <v>8.1787183255946729</v>
      </c>
      <c r="AA77" s="41" t="str">
        <f t="shared" si="44"/>
        <v>8</v>
      </c>
      <c r="AB77" s="24">
        <f t="shared" si="57"/>
        <v>2.1446199071360752</v>
      </c>
      <c r="AC77" s="41" t="str">
        <f t="shared" si="45"/>
        <v>2</v>
      </c>
      <c r="AD77" s="24">
        <f t="shared" si="58"/>
        <v>1.7354388856329024</v>
      </c>
      <c r="AE77" s="41" t="str">
        <f t="shared" si="46"/>
        <v>1</v>
      </c>
      <c r="AF77" s="24">
        <f t="shared" si="59"/>
        <v>8.8252666275948286</v>
      </c>
      <c r="AG77" s="41" t="str">
        <f t="shared" si="47"/>
        <v>8</v>
      </c>
      <c r="AH77" s="24">
        <f t="shared" si="60"/>
        <v>9.9031995311379433</v>
      </c>
      <c r="AI77" s="41" t="str">
        <f t="shared" si="48"/>
        <v>9</v>
      </c>
      <c r="AJ77" s="24">
        <f t="shared" si="61"/>
        <v>10.838394373655319</v>
      </c>
      <c r="AK77" s="41" t="str">
        <f t="shared" si="49"/>
        <v>E</v>
      </c>
    </row>
    <row r="78" spans="1:37" ht="13.5" customHeight="1">
      <c r="A78" s="716"/>
      <c r="B78" s="45"/>
      <c r="C78" s="45"/>
      <c r="D78" s="46"/>
      <c r="E78" s="8">
        <v>9</v>
      </c>
      <c r="F78" s="21">
        <f>1/(4*PI())</f>
        <v>7.9577471545947673E-2</v>
      </c>
      <c r="G78" s="37" t="str">
        <f>"B5:"&amp;O78&amp;Q78&amp;S78&amp;U78&amp;W78&amp;Y78&amp;AA78&amp;AC78&amp;AE78&amp;AG78&amp;AI78&amp;AK78</f>
        <v>B5:61508218X</v>
      </c>
      <c r="H78" s="37"/>
      <c r="I78" s="340"/>
      <c r="J78" s="38">
        <v>-3</v>
      </c>
      <c r="K78" s="61">
        <f t="shared" si="36"/>
        <v>137.50987083139759</v>
      </c>
      <c r="L78" s="39" t="str">
        <f>INDEX(powers!$H$2:$H$75,33+J78)</f>
        <v>milly</v>
      </c>
      <c r="M78" s="40" t="str">
        <f t="shared" si="37"/>
        <v/>
      </c>
      <c r="N78" s="24">
        <f t="shared" si="50"/>
        <v>6.1184499767711031</v>
      </c>
      <c r="O78" s="41" t="str">
        <f t="shared" si="38"/>
        <v>6</v>
      </c>
      <c r="P78" s="24">
        <f t="shared" si="51"/>
        <v>1.4213997212532377</v>
      </c>
      <c r="Q78" s="41" t="str">
        <f t="shared" si="39"/>
        <v>1</v>
      </c>
      <c r="R78" s="24">
        <f t="shared" si="52"/>
        <v>5.0567966550388519</v>
      </c>
      <c r="S78" s="41" t="str">
        <f t="shared" si="40"/>
        <v>5</v>
      </c>
      <c r="T78" s="24">
        <f t="shared" si="53"/>
        <v>0.68155986046622274</v>
      </c>
      <c r="U78" s="41" t="str">
        <f t="shared" si="41"/>
        <v>0</v>
      </c>
      <c r="V78" s="24">
        <f t="shared" si="54"/>
        <v>8.1787183255946729</v>
      </c>
      <c r="W78" s="41" t="str">
        <f t="shared" si="42"/>
        <v>8</v>
      </c>
      <c r="X78" s="24">
        <f t="shared" si="55"/>
        <v>2.1446199071360752</v>
      </c>
      <c r="Y78" s="41" t="str">
        <f t="shared" si="43"/>
        <v>2</v>
      </c>
      <c r="Z78" s="24">
        <f t="shared" si="56"/>
        <v>1.7354388856329024</v>
      </c>
      <c r="AA78" s="41" t="str">
        <f t="shared" si="44"/>
        <v>1</v>
      </c>
      <c r="AB78" s="24">
        <f t="shared" si="57"/>
        <v>8.8252666275948286</v>
      </c>
      <c r="AC78" s="41" t="str">
        <f t="shared" si="45"/>
        <v>8</v>
      </c>
      <c r="AD78" s="24">
        <f t="shared" si="58"/>
        <v>9.9031995311379433</v>
      </c>
      <c r="AE78" s="41" t="str">
        <f t="shared" si="46"/>
        <v>X</v>
      </c>
      <c r="AF78" s="24">
        <f t="shared" si="59"/>
        <v>10.838394373655319</v>
      </c>
      <c r="AG78" s="41" t="str">
        <f t="shared" si="47"/>
        <v/>
      </c>
      <c r="AH78" s="24">
        <f t="shared" si="60"/>
        <v>10.060732483863831</v>
      </c>
      <c r="AI78" s="41" t="str">
        <f t="shared" si="48"/>
        <v/>
      </c>
      <c r="AJ78" s="24">
        <f t="shared" si="61"/>
        <v>0.7287898063659668</v>
      </c>
      <c r="AK78" s="41" t="str">
        <f t="shared" si="49"/>
        <v/>
      </c>
    </row>
    <row r="79" spans="1:37" ht="13.5" customHeight="1">
      <c r="A79" s="716"/>
      <c r="B79" s="8" t="s">
        <v>32</v>
      </c>
      <c r="C79" s="8"/>
      <c r="D79" s="21"/>
      <c r="E79" s="8">
        <v>9</v>
      </c>
      <c r="F79" s="21">
        <f>4*PI()/$D$32</f>
        <v>1722.0451526790537</v>
      </c>
      <c r="G79" s="37" t="str">
        <f t="shared" ref="G79:G87" si="64">M79&amp;";"&amp;O79&amp;Q79&amp;S79&amp;U79&amp;W79&amp;Y79&amp;AA79&amp;AC79&amp;AE79&amp;AG79&amp;AI79&amp;AK79</f>
        <v>0;EE6066035</v>
      </c>
      <c r="H79" s="37"/>
      <c r="I79" s="340"/>
      <c r="J79" s="38">
        <v>3</v>
      </c>
      <c r="K79" s="61">
        <f t="shared" si="36"/>
        <v>0.99655390780037834</v>
      </c>
      <c r="L79" s="39" t="str">
        <f>INDEX(powers!$H$2:$H$75,33+J79)</f>
        <v>kily</v>
      </c>
      <c r="M79" s="40" t="str">
        <f t="shared" si="37"/>
        <v>0</v>
      </c>
      <c r="N79" s="24">
        <f t="shared" si="50"/>
        <v>11.95864689360454</v>
      </c>
      <c r="O79" s="41" t="str">
        <f t="shared" si="38"/>
        <v>E</v>
      </c>
      <c r="P79" s="24">
        <f t="shared" si="51"/>
        <v>11.503762723254475</v>
      </c>
      <c r="Q79" s="41" t="str">
        <f t="shared" si="39"/>
        <v>E</v>
      </c>
      <c r="R79" s="24">
        <f t="shared" si="52"/>
        <v>6.0451526790537002</v>
      </c>
      <c r="S79" s="41" t="str">
        <f t="shared" si="40"/>
        <v>6</v>
      </c>
      <c r="T79" s="24">
        <f t="shared" si="53"/>
        <v>0.54183214864440288</v>
      </c>
      <c r="U79" s="41" t="str">
        <f t="shared" si="41"/>
        <v>0</v>
      </c>
      <c r="V79" s="24">
        <f t="shared" si="54"/>
        <v>6.5019857837328345</v>
      </c>
      <c r="W79" s="41" t="str">
        <f t="shared" si="42"/>
        <v>6</v>
      </c>
      <c r="X79" s="24">
        <f t="shared" si="55"/>
        <v>6.0238294047940144</v>
      </c>
      <c r="Y79" s="41" t="str">
        <f t="shared" si="43"/>
        <v>6</v>
      </c>
      <c r="Z79" s="24">
        <f t="shared" si="56"/>
        <v>0.2859528575281729</v>
      </c>
      <c r="AA79" s="41" t="str">
        <f t="shared" si="44"/>
        <v>0</v>
      </c>
      <c r="AB79" s="24">
        <f t="shared" si="57"/>
        <v>3.4314342903380748</v>
      </c>
      <c r="AC79" s="41" t="str">
        <f t="shared" si="45"/>
        <v>3</v>
      </c>
      <c r="AD79" s="24">
        <f t="shared" si="58"/>
        <v>5.1772114840568975</v>
      </c>
      <c r="AE79" s="41" t="str">
        <f t="shared" si="46"/>
        <v>5</v>
      </c>
      <c r="AF79" s="24">
        <f t="shared" si="59"/>
        <v>2.1265378086827695</v>
      </c>
      <c r="AG79" s="41" t="str">
        <f t="shared" si="47"/>
        <v/>
      </c>
      <c r="AH79" s="24">
        <f t="shared" si="60"/>
        <v>1.5184537041932344</v>
      </c>
      <c r="AI79" s="41" t="str">
        <f t="shared" si="48"/>
        <v/>
      </c>
      <c r="AJ79" s="24">
        <f t="shared" si="61"/>
        <v>6.2214444503188133</v>
      </c>
      <c r="AK79" s="41" t="str">
        <f t="shared" si="49"/>
        <v/>
      </c>
    </row>
    <row r="80" spans="1:37" ht="13.5" customHeight="1">
      <c r="A80" s="716"/>
      <c r="B80" s="8" t="s">
        <v>38</v>
      </c>
      <c r="C80" s="8"/>
      <c r="D80" s="21"/>
      <c r="E80" s="8">
        <v>9</v>
      </c>
      <c r="F80" s="21">
        <f>$D$32/(4*PI())</f>
        <v>5.8070486621344421E-4</v>
      </c>
      <c r="G80" s="37" t="str">
        <f t="shared" si="64"/>
        <v>1;005E85686</v>
      </c>
      <c r="H80" s="37"/>
      <c r="I80" s="340"/>
      <c r="J80" s="38">
        <v>-3</v>
      </c>
      <c r="K80" s="61">
        <f t="shared" si="36"/>
        <v>1.0034580088168317</v>
      </c>
      <c r="L80" s="39" t="str">
        <f>INDEX(powers!$H$2:$H$75,33+J80)</f>
        <v>milly</v>
      </c>
      <c r="M80" s="40" t="str">
        <f t="shared" si="37"/>
        <v>1</v>
      </c>
      <c r="N80" s="24">
        <f t="shared" si="50"/>
        <v>4.1496105801980043E-2</v>
      </c>
      <c r="O80" s="41" t="str">
        <f t="shared" si="38"/>
        <v>0</v>
      </c>
      <c r="P80" s="24">
        <f t="shared" si="51"/>
        <v>0.49795326962376052</v>
      </c>
      <c r="Q80" s="41" t="str">
        <f t="shared" si="39"/>
        <v>0</v>
      </c>
      <c r="R80" s="24">
        <f t="shared" si="52"/>
        <v>5.9754392354851262</v>
      </c>
      <c r="S80" s="41" t="str">
        <f t="shared" si="40"/>
        <v>5</v>
      </c>
      <c r="T80" s="24">
        <f t="shared" si="53"/>
        <v>11.705270825821515</v>
      </c>
      <c r="U80" s="41" t="str">
        <f t="shared" si="41"/>
        <v>E</v>
      </c>
      <c r="V80" s="24">
        <f t="shared" si="54"/>
        <v>8.4632499098581775</v>
      </c>
      <c r="W80" s="41" t="str">
        <f t="shared" si="42"/>
        <v>8</v>
      </c>
      <c r="X80" s="24">
        <f t="shared" si="55"/>
        <v>5.5589989182981299</v>
      </c>
      <c r="Y80" s="41" t="str">
        <f t="shared" si="43"/>
        <v>5</v>
      </c>
      <c r="Z80" s="24">
        <f t="shared" si="56"/>
        <v>6.7079870195775584</v>
      </c>
      <c r="AA80" s="41" t="str">
        <f t="shared" si="44"/>
        <v>6</v>
      </c>
      <c r="AB80" s="24">
        <f t="shared" si="57"/>
        <v>8.4958442349307006</v>
      </c>
      <c r="AC80" s="41" t="str">
        <f t="shared" si="45"/>
        <v>8</v>
      </c>
      <c r="AD80" s="24">
        <f t="shared" si="58"/>
        <v>5.9501308191684075</v>
      </c>
      <c r="AE80" s="41" t="str">
        <f t="shared" si="46"/>
        <v>6</v>
      </c>
      <c r="AF80" s="24">
        <f t="shared" si="59"/>
        <v>11.40156983002089</v>
      </c>
      <c r="AG80" s="41" t="str">
        <f t="shared" si="47"/>
        <v/>
      </c>
      <c r="AH80" s="24">
        <f t="shared" si="60"/>
        <v>4.8188379602506757</v>
      </c>
      <c r="AI80" s="41" t="str">
        <f t="shared" si="48"/>
        <v/>
      </c>
      <c r="AJ80" s="24">
        <f t="shared" si="61"/>
        <v>9.8260555230081081</v>
      </c>
      <c r="AK80" s="41" t="str">
        <f t="shared" si="49"/>
        <v/>
      </c>
    </row>
    <row r="81" spans="1:37" ht="13.5" customHeight="1">
      <c r="A81" s="716"/>
      <c r="B81" s="8" t="s">
        <v>33</v>
      </c>
      <c r="C81" s="8"/>
      <c r="D81" s="21"/>
      <c r="E81" s="8">
        <v>9</v>
      </c>
      <c r="F81" s="21">
        <f>4*PI()/($D$32*$D$32)</f>
        <v>235982.17805838998</v>
      </c>
      <c r="G81" s="37" t="str">
        <f t="shared" si="64"/>
        <v>0;E46922178</v>
      </c>
      <c r="H81" s="37"/>
      <c r="I81" s="340"/>
      <c r="J81" s="38">
        <v>5</v>
      </c>
      <c r="K81" s="61">
        <f t="shared" si="36"/>
        <v>0.94835944757261925</v>
      </c>
      <c r="L81" s="39" t="str">
        <f>INDEX(powers!$H$2:$H$75,33+J81)</f>
        <v>cosmic milly</v>
      </c>
      <c r="M81" s="40" t="str">
        <f t="shared" si="37"/>
        <v>0</v>
      </c>
      <c r="N81" s="24">
        <f t="shared" si="50"/>
        <v>11.380313370871431</v>
      </c>
      <c r="O81" s="41" t="str">
        <f t="shared" si="38"/>
        <v>E</v>
      </c>
      <c r="P81" s="24">
        <f t="shared" si="51"/>
        <v>4.5637604504571669</v>
      </c>
      <c r="Q81" s="41" t="str">
        <f t="shared" si="39"/>
        <v>4</v>
      </c>
      <c r="R81" s="24">
        <f t="shared" si="52"/>
        <v>6.7651254054860033</v>
      </c>
      <c r="S81" s="41" t="str">
        <f t="shared" si="40"/>
        <v>6</v>
      </c>
      <c r="T81" s="24">
        <f t="shared" si="53"/>
        <v>9.1815048658320393</v>
      </c>
      <c r="U81" s="41" t="str">
        <f t="shared" si="41"/>
        <v>9</v>
      </c>
      <c r="V81" s="24">
        <f t="shared" si="54"/>
        <v>2.1780583899844714</v>
      </c>
      <c r="W81" s="41" t="str">
        <f t="shared" si="42"/>
        <v>2</v>
      </c>
      <c r="X81" s="24">
        <f t="shared" si="55"/>
        <v>2.1367006798136572</v>
      </c>
      <c r="Y81" s="41" t="str">
        <f t="shared" si="43"/>
        <v>2</v>
      </c>
      <c r="Z81" s="24">
        <f t="shared" si="56"/>
        <v>1.6404081577638863</v>
      </c>
      <c r="AA81" s="41" t="str">
        <f t="shared" si="44"/>
        <v>1</v>
      </c>
      <c r="AB81" s="24">
        <f t="shared" si="57"/>
        <v>7.6848978931666352</v>
      </c>
      <c r="AC81" s="41" t="str">
        <f t="shared" si="45"/>
        <v>7</v>
      </c>
      <c r="AD81" s="24">
        <f t="shared" si="58"/>
        <v>8.2187747179996222</v>
      </c>
      <c r="AE81" s="41" t="str">
        <f t="shared" si="46"/>
        <v>8</v>
      </c>
      <c r="AF81" s="24">
        <f t="shared" si="59"/>
        <v>2.6252966159954667</v>
      </c>
      <c r="AG81" s="41" t="str">
        <f t="shared" si="47"/>
        <v/>
      </c>
      <c r="AH81" s="24">
        <f t="shared" si="60"/>
        <v>7.5035593919456005</v>
      </c>
      <c r="AI81" s="41" t="str">
        <f t="shared" si="48"/>
        <v/>
      </c>
      <c r="AJ81" s="24">
        <f t="shared" si="61"/>
        <v>6.0427127033472061</v>
      </c>
      <c r="AK81" s="41" t="str">
        <f t="shared" si="49"/>
        <v/>
      </c>
    </row>
    <row r="82" spans="1:37" ht="14.25" customHeight="1">
      <c r="A82" s="716"/>
      <c r="B82" s="30" t="s">
        <v>41</v>
      </c>
      <c r="C82" s="30"/>
      <c r="D82" s="29"/>
      <c r="E82" s="30">
        <v>9</v>
      </c>
      <c r="F82" s="29">
        <f>($D$32*$D$32)/(4*PI())</f>
        <v>4.2376081457836453E-6</v>
      </c>
      <c r="G82" s="112" t="str">
        <f t="shared" si="64"/>
        <v>1;07X1163X8</v>
      </c>
      <c r="H82" s="112"/>
      <c r="I82" s="341"/>
      <c r="J82" s="43">
        <v>-5</v>
      </c>
      <c r="K82" s="62">
        <f t="shared" si="36"/>
        <v>1.054452510131636</v>
      </c>
      <c r="L82" s="44" t="str">
        <f>INDEX(powers!$H$2:$H$75,33+J82)</f>
        <v>atomic kily</v>
      </c>
      <c r="M82" s="40" t="str">
        <f t="shared" si="37"/>
        <v>1</v>
      </c>
      <c r="N82" s="24">
        <f t="shared" si="50"/>
        <v>0.65343012157963187</v>
      </c>
      <c r="O82" s="41" t="str">
        <f t="shared" si="38"/>
        <v>0</v>
      </c>
      <c r="P82" s="24">
        <f t="shared" si="51"/>
        <v>7.8411614589555825</v>
      </c>
      <c r="Q82" s="41" t="str">
        <f t="shared" si="39"/>
        <v>7</v>
      </c>
      <c r="R82" s="24">
        <f t="shared" si="52"/>
        <v>10.09393750746699</v>
      </c>
      <c r="S82" s="41" t="str">
        <f t="shared" si="40"/>
        <v>X</v>
      </c>
      <c r="T82" s="24">
        <f t="shared" si="53"/>
        <v>1.1272500896038764</v>
      </c>
      <c r="U82" s="41" t="str">
        <f t="shared" si="41"/>
        <v>1</v>
      </c>
      <c r="V82" s="24">
        <f t="shared" si="54"/>
        <v>1.5270010752465168</v>
      </c>
      <c r="W82" s="41" t="str">
        <f t="shared" si="42"/>
        <v>1</v>
      </c>
      <c r="X82" s="24">
        <f t="shared" si="55"/>
        <v>6.3240129029582022</v>
      </c>
      <c r="Y82" s="41" t="str">
        <f t="shared" si="43"/>
        <v>6</v>
      </c>
      <c r="Z82" s="24">
        <f t="shared" si="56"/>
        <v>3.8881548354984261</v>
      </c>
      <c r="AA82" s="41" t="str">
        <f t="shared" si="44"/>
        <v>3</v>
      </c>
      <c r="AB82" s="24">
        <f t="shared" si="57"/>
        <v>10.657858025981113</v>
      </c>
      <c r="AC82" s="41" t="str">
        <f t="shared" si="45"/>
        <v>X</v>
      </c>
      <c r="AD82" s="24">
        <f t="shared" si="58"/>
        <v>7.8942963117733598</v>
      </c>
      <c r="AE82" s="41" t="str">
        <f t="shared" si="46"/>
        <v>8</v>
      </c>
      <c r="AF82" s="24">
        <f t="shared" si="59"/>
        <v>10.731555741280317</v>
      </c>
      <c r="AG82" s="41" t="str">
        <f t="shared" si="47"/>
        <v/>
      </c>
      <c r="AH82" s="24">
        <f t="shared" si="60"/>
        <v>8.7786688953638077</v>
      </c>
      <c r="AI82" s="41" t="str">
        <f t="shared" si="48"/>
        <v/>
      </c>
      <c r="AJ82" s="24">
        <f t="shared" si="61"/>
        <v>9.3440267443656921</v>
      </c>
      <c r="AK82" s="41" t="str">
        <f t="shared" si="49"/>
        <v/>
      </c>
    </row>
    <row r="83" spans="1:37" ht="14.25" customHeight="1">
      <c r="A83" s="716"/>
      <c r="B83" s="30"/>
      <c r="C83" s="30"/>
      <c r="D83" s="29"/>
      <c r="E83" s="30"/>
      <c r="F83" s="29"/>
      <c r="G83" s="112"/>
      <c r="H83" s="112"/>
      <c r="I83" s="341"/>
      <c r="J83" s="43"/>
      <c r="K83" s="62"/>
      <c r="L83" s="44"/>
      <c r="M83" s="40"/>
      <c r="N83" s="24"/>
      <c r="O83" s="41"/>
      <c r="P83" s="24"/>
      <c r="Q83" s="41"/>
      <c r="R83" s="24"/>
      <c r="S83" s="41"/>
      <c r="T83" s="24"/>
      <c r="U83" s="41"/>
      <c r="V83" s="24"/>
      <c r="W83" s="41"/>
      <c r="X83" s="24"/>
      <c r="Y83" s="41"/>
      <c r="Z83" s="24"/>
      <c r="AA83" s="41"/>
      <c r="AB83" s="24"/>
      <c r="AC83" s="41"/>
      <c r="AD83" s="24"/>
      <c r="AE83" s="41"/>
      <c r="AF83" s="24"/>
      <c r="AG83" s="41"/>
      <c r="AH83" s="24"/>
      <c r="AI83" s="41"/>
      <c r="AJ83" s="24"/>
      <c r="AK83" s="41"/>
    </row>
    <row r="84" spans="1:37" ht="14.25" customHeight="1">
      <c r="A84" s="716"/>
      <c r="B84" s="30"/>
      <c r="C84" s="30"/>
      <c r="D84" s="29"/>
      <c r="E84" s="30"/>
      <c r="F84" s="29"/>
      <c r="G84" s="112"/>
      <c r="H84" s="112"/>
      <c r="I84" s="341"/>
      <c r="J84" s="43"/>
      <c r="K84" s="62"/>
      <c r="L84" s="44"/>
      <c r="M84" s="40"/>
      <c r="N84" s="24"/>
      <c r="O84" s="41"/>
      <c r="P84" s="24"/>
      <c r="Q84" s="41"/>
      <c r="R84" s="24"/>
      <c r="S84" s="41"/>
      <c r="T84" s="24"/>
      <c r="U84" s="41"/>
      <c r="V84" s="24"/>
      <c r="W84" s="41"/>
      <c r="X84" s="24"/>
      <c r="Y84" s="41"/>
      <c r="Z84" s="24"/>
      <c r="AA84" s="41"/>
      <c r="AB84" s="24"/>
      <c r="AC84" s="41"/>
      <c r="AD84" s="24"/>
      <c r="AE84" s="41"/>
      <c r="AF84" s="24"/>
      <c r="AG84" s="41"/>
      <c r="AH84" s="24"/>
      <c r="AI84" s="41"/>
      <c r="AJ84" s="24"/>
      <c r="AK84" s="41"/>
    </row>
    <row r="85" spans="1:37" ht="14.25" customHeight="1">
      <c r="A85" s="716"/>
      <c r="B85" s="30" t="s">
        <v>372</v>
      </c>
      <c r="C85" s="30"/>
      <c r="D85" s="29"/>
      <c r="E85" s="30">
        <v>12</v>
      </c>
      <c r="F85" s="29">
        <f>POWER(2,43)</f>
        <v>8796093022208</v>
      </c>
      <c r="G85" s="112" t="str">
        <f t="shared" si="64"/>
        <v>0;EX08X990X0X8</v>
      </c>
      <c r="H85" s="112"/>
      <c r="I85" s="341"/>
      <c r="J85" s="43">
        <v>12</v>
      </c>
      <c r="K85" s="62">
        <f t="shared" si="36"/>
        <v>0.98654036854514426</v>
      </c>
      <c r="L85" s="44" t="str">
        <f>INDEX(powers!$H$2:$H$75,33+J85)</f>
        <v>cosmic super</v>
      </c>
      <c r="M85" s="40" t="str">
        <f t="shared" si="37"/>
        <v>0</v>
      </c>
      <c r="N85" s="24">
        <f t="shared" si="50"/>
        <v>11.838484422541731</v>
      </c>
      <c r="O85" s="41" t="str">
        <f t="shared" si="38"/>
        <v>E</v>
      </c>
      <c r="P85" s="24">
        <f t="shared" si="51"/>
        <v>10.061813070500769</v>
      </c>
      <c r="Q85" s="41" t="str">
        <f t="shared" si="39"/>
        <v>X</v>
      </c>
      <c r="R85" s="24">
        <f t="shared" si="52"/>
        <v>0.74175684600922409</v>
      </c>
      <c r="S85" s="41" t="str">
        <f t="shared" si="40"/>
        <v>0</v>
      </c>
      <c r="T85" s="24">
        <f t="shared" si="53"/>
        <v>8.9010821521106891</v>
      </c>
      <c r="U85" s="41" t="str">
        <f t="shared" si="41"/>
        <v>8</v>
      </c>
      <c r="V85" s="24">
        <f t="shared" si="54"/>
        <v>10.812985825328269</v>
      </c>
      <c r="W85" s="41" t="str">
        <f t="shared" si="42"/>
        <v>X</v>
      </c>
      <c r="X85" s="24">
        <f t="shared" si="55"/>
        <v>9.7558299039392296</v>
      </c>
      <c r="Y85" s="41" t="str">
        <f t="shared" si="43"/>
        <v>9</v>
      </c>
      <c r="Z85" s="24">
        <f t="shared" si="56"/>
        <v>9.0699588472707546</v>
      </c>
      <c r="AA85" s="41" t="str">
        <f t="shared" si="44"/>
        <v>9</v>
      </c>
      <c r="AB85" s="24">
        <f t="shared" si="57"/>
        <v>0.83950616724905558</v>
      </c>
      <c r="AC85" s="41" t="str">
        <f t="shared" si="45"/>
        <v>0</v>
      </c>
      <c r="AD85" s="24">
        <f t="shared" si="58"/>
        <v>10.074074006988667</v>
      </c>
      <c r="AE85" s="41" t="str">
        <f t="shared" si="46"/>
        <v>X</v>
      </c>
      <c r="AF85" s="24">
        <f t="shared" si="59"/>
        <v>0.88888808386400342</v>
      </c>
      <c r="AG85" s="41" t="str">
        <f t="shared" si="47"/>
        <v>0</v>
      </c>
      <c r="AH85" s="24">
        <f t="shared" si="60"/>
        <v>10.666657006368041</v>
      </c>
      <c r="AI85" s="41" t="str">
        <f t="shared" si="48"/>
        <v>X</v>
      </c>
      <c r="AJ85" s="24">
        <f t="shared" si="61"/>
        <v>7.9998840764164925</v>
      </c>
      <c r="AK85" s="41" t="str">
        <f t="shared" si="49"/>
        <v>8</v>
      </c>
    </row>
    <row r="86" spans="1:37" ht="14.25" customHeight="1">
      <c r="A86" s="716"/>
      <c r="B86" s="30" t="s">
        <v>682</v>
      </c>
      <c r="C86" s="30"/>
      <c r="D86" s="29"/>
      <c r="E86" s="30">
        <v>12</v>
      </c>
      <c r="F86" s="29">
        <f>POWER(12,16)/POWER(2,48)</f>
        <v>656.84083557128906</v>
      </c>
      <c r="G86" s="112" t="str">
        <f t="shared" si="64"/>
        <v>4;68X10E696900</v>
      </c>
      <c r="H86" s="112"/>
      <c r="I86" s="341"/>
      <c r="J86" s="43">
        <v>2</v>
      </c>
      <c r="K86" s="62">
        <f t="shared" si="36"/>
        <v>4.5613946914672852</v>
      </c>
      <c r="L86" s="44" t="str">
        <f>INDEX(powers!$H$2:$H$75,33+J86)</f>
        <v>hecty</v>
      </c>
      <c r="M86" s="40" t="str">
        <f t="shared" si="37"/>
        <v>4</v>
      </c>
      <c r="N86" s="24">
        <f t="shared" si="50"/>
        <v>6.7367362976074219</v>
      </c>
      <c r="O86" s="41" t="str">
        <f t="shared" si="38"/>
        <v>6</v>
      </c>
      <c r="P86" s="24">
        <f t="shared" si="51"/>
        <v>8.8408355712890625</v>
      </c>
      <c r="Q86" s="41" t="str">
        <f t="shared" si="39"/>
        <v>8</v>
      </c>
      <c r="R86" s="24">
        <f t="shared" si="52"/>
        <v>10.09002685546875</v>
      </c>
      <c r="S86" s="41" t="str">
        <f t="shared" si="40"/>
        <v>X</v>
      </c>
      <c r="T86" s="24">
        <f t="shared" si="53"/>
        <v>1.080322265625</v>
      </c>
      <c r="U86" s="41" t="str">
        <f t="shared" si="41"/>
        <v>1</v>
      </c>
      <c r="V86" s="24">
        <f t="shared" si="54"/>
        <v>0.9638671875</v>
      </c>
      <c r="W86" s="41" t="str">
        <f t="shared" si="42"/>
        <v>0</v>
      </c>
      <c r="X86" s="24">
        <f t="shared" si="55"/>
        <v>11.56640625</v>
      </c>
      <c r="Y86" s="41" t="str">
        <f t="shared" si="43"/>
        <v>E</v>
      </c>
      <c r="Z86" s="24">
        <f t="shared" si="56"/>
        <v>6.796875</v>
      </c>
      <c r="AA86" s="41" t="str">
        <f t="shared" si="44"/>
        <v>6</v>
      </c>
      <c r="AB86" s="24">
        <f t="shared" si="57"/>
        <v>9.5625</v>
      </c>
      <c r="AC86" s="41" t="str">
        <f t="shared" si="45"/>
        <v>9</v>
      </c>
      <c r="AD86" s="24">
        <f t="shared" si="58"/>
        <v>6.75</v>
      </c>
      <c r="AE86" s="41" t="str">
        <f t="shared" si="46"/>
        <v>6</v>
      </c>
      <c r="AF86" s="24">
        <f t="shared" si="59"/>
        <v>9</v>
      </c>
      <c r="AG86" s="41" t="str">
        <f t="shared" si="47"/>
        <v>9</v>
      </c>
      <c r="AH86" s="24">
        <f t="shared" si="60"/>
        <v>0</v>
      </c>
      <c r="AI86" s="41" t="str">
        <f t="shared" si="48"/>
        <v>0</v>
      </c>
      <c r="AJ86" s="24">
        <f t="shared" si="61"/>
        <v>0</v>
      </c>
      <c r="AK86" s="41" t="str">
        <f t="shared" si="49"/>
        <v>0</v>
      </c>
    </row>
    <row r="87" spans="1:37" ht="14.25" customHeight="1" thickBot="1">
      <c r="A87" s="717"/>
      <c r="B87" s="33" t="s">
        <v>373</v>
      </c>
      <c r="C87" s="33"/>
      <c r="D87" s="32"/>
      <c r="E87" s="33">
        <v>12</v>
      </c>
      <c r="F87" s="32">
        <f>POWER(2,-17)*(2*PI())</f>
        <v>4.7936899621426287E-5</v>
      </c>
      <c r="G87" s="47" t="str">
        <f t="shared" si="64"/>
        <v>0;EE17EX582521</v>
      </c>
      <c r="H87" s="47"/>
      <c r="I87" s="342"/>
      <c r="J87" s="48">
        <v>-4</v>
      </c>
      <c r="K87" s="63">
        <f t="shared" si="36"/>
        <v>0.99401955054989555</v>
      </c>
      <c r="L87" s="49" t="str">
        <f>INDEX(powers!$H$2:$H$75,33+J87)</f>
        <v>sub</v>
      </c>
      <c r="M87" s="40" t="str">
        <f t="shared" si="37"/>
        <v>0</v>
      </c>
      <c r="N87" s="24">
        <f t="shared" si="50"/>
        <v>11.928234606598746</v>
      </c>
      <c r="O87" s="41" t="str">
        <f t="shared" si="38"/>
        <v>E</v>
      </c>
      <c r="P87" s="24">
        <f t="shared" si="51"/>
        <v>11.138815279184954</v>
      </c>
      <c r="Q87" s="41" t="str">
        <f t="shared" si="39"/>
        <v>E</v>
      </c>
      <c r="R87" s="24">
        <f t="shared" si="52"/>
        <v>1.6657833502194421</v>
      </c>
      <c r="S87" s="41" t="str">
        <f t="shared" si="40"/>
        <v>1</v>
      </c>
      <c r="T87" s="24">
        <f t="shared" si="53"/>
        <v>7.9894002026333055</v>
      </c>
      <c r="U87" s="41" t="str">
        <f t="shared" si="41"/>
        <v>7</v>
      </c>
      <c r="V87" s="24">
        <f t="shared" si="54"/>
        <v>11.872802431599666</v>
      </c>
      <c r="W87" s="41" t="str">
        <f t="shared" si="42"/>
        <v>E</v>
      </c>
      <c r="X87" s="24">
        <f t="shared" si="55"/>
        <v>10.473629179195996</v>
      </c>
      <c r="Y87" s="41" t="str">
        <f t="shared" si="43"/>
        <v>X</v>
      </c>
      <c r="Z87" s="24">
        <f t="shared" si="56"/>
        <v>5.6835501503519481</v>
      </c>
      <c r="AA87" s="41" t="str">
        <f t="shared" si="44"/>
        <v>5</v>
      </c>
      <c r="AB87" s="24">
        <f t="shared" si="57"/>
        <v>8.2026018042233773</v>
      </c>
      <c r="AC87" s="41" t="str">
        <f t="shared" si="45"/>
        <v>8</v>
      </c>
      <c r="AD87" s="24">
        <f t="shared" si="58"/>
        <v>2.4312216506805271</v>
      </c>
      <c r="AE87" s="41" t="str">
        <f t="shared" si="46"/>
        <v>2</v>
      </c>
      <c r="AF87" s="24">
        <f t="shared" si="59"/>
        <v>5.1746598081663251</v>
      </c>
      <c r="AG87" s="41" t="str">
        <f t="shared" si="47"/>
        <v>5</v>
      </c>
      <c r="AH87" s="24">
        <f t="shared" si="60"/>
        <v>2.0959176979959011</v>
      </c>
      <c r="AI87" s="41" t="str">
        <f t="shared" si="48"/>
        <v>2</v>
      </c>
      <c r="AJ87" s="24">
        <f t="shared" si="61"/>
        <v>1.1510123759508133</v>
      </c>
      <c r="AK87" s="41" t="str">
        <f t="shared" si="49"/>
        <v>1</v>
      </c>
    </row>
    <row r="88" spans="1:37">
      <c r="K88" s="79"/>
      <c r="L88" s="79"/>
      <c r="M88" s="79"/>
    </row>
    <row r="89" spans="1:37" ht="15" customHeight="1">
      <c r="B89" s="368" t="s">
        <v>269</v>
      </c>
      <c r="C89" s="368" t="str">
        <f>Rydberg!C34</f>
        <v>Ω_1/m</v>
      </c>
      <c r="D89" s="21">
        <f>Rydberg!D34*D90</f>
        <v>10967758.340625035</v>
      </c>
      <c r="E89" s="8">
        <v>12</v>
      </c>
      <c r="F89" s="21">
        <f>D89/(1/F$3)</f>
        <v>6.9470240384593811E-3</v>
      </c>
      <c r="G89" s="142" t="str">
        <f t="shared" ref="G89" si="65">M89&amp;";"&amp;O89&amp;Q89&amp;S89&amp;U89&amp;W89&amp;Y89&amp;AA89&amp;AC89&amp;AE89&amp;AG89&amp;AI89&amp;AK89</f>
        <v>0;000000010008</v>
      </c>
      <c r="H89" s="142"/>
      <c r="I89" s="344"/>
      <c r="J89" s="38">
        <v>6</v>
      </c>
      <c r="K89" s="61">
        <f>F89/POWER(12,J89)</f>
        <v>2.3265442944300373E-9</v>
      </c>
      <c r="L89" s="39" t="str">
        <f>INDEX(powers!$H$2:$H$75,33+J89)</f>
        <v>cosmic centy</v>
      </c>
      <c r="M89" s="40" t="str">
        <f t="shared" ref="M89" si="66">IF($E89&gt;=M$31,MID($J$31,IF($E89&gt;M$31,INT(K89),ROUND(K89,0))+1,1),"")</f>
        <v>0</v>
      </c>
      <c r="N89" s="24">
        <f t="shared" ref="N89" si="67">(K89-INT(K89))*12</f>
        <v>2.7918531533160448E-8</v>
      </c>
      <c r="O89" s="41" t="str">
        <f t="shared" ref="O89" si="68">IF($E89&gt;=O$31,MID($J$31,IF($E89&gt;O$31,INT(N89),ROUND(N89,0))+1,1),"")</f>
        <v>0</v>
      </c>
      <c r="P89" s="24">
        <f t="shared" ref="P89" si="69">(N89-INT(N89))*12</f>
        <v>3.3502237839792537E-7</v>
      </c>
      <c r="Q89" s="41" t="str">
        <f t="shared" ref="Q89" si="70">IF($E89&gt;=Q$31,MID($J$31,IF($E89&gt;Q$31,INT(P89),ROUND(P89,0))+1,1),"")</f>
        <v>0</v>
      </c>
      <c r="R89" s="24">
        <f t="shared" ref="R89" si="71">(P89-INT(P89))*12</f>
        <v>4.0202685407751047E-6</v>
      </c>
      <c r="S89" s="41" t="str">
        <f t="shared" ref="S89" si="72">IF($E89&gt;=S$31,MID($J$31,IF($E89&gt;S$31,INT(R89),ROUND(R89,0))+1,1),"")</f>
        <v>0</v>
      </c>
      <c r="T89" s="24">
        <f t="shared" ref="T89" si="73">(R89-INT(R89))*12</f>
        <v>4.8243222489301253E-5</v>
      </c>
      <c r="U89" s="41" t="str">
        <f t="shared" ref="U89" si="74">IF($E89&gt;=U$31,MID($J$31,IF($E89&gt;U$31,INT(T89),ROUND(T89,0))+1,1),"")</f>
        <v>0</v>
      </c>
      <c r="V89" s="24">
        <f t="shared" ref="V89" si="75">(T89-INT(T89))*12</f>
        <v>5.7891866987161509E-4</v>
      </c>
      <c r="W89" s="41" t="str">
        <f t="shared" ref="W89" si="76">IF($E89&gt;=W$31,MID($J$31,IF($E89&gt;W$31,INT(V89),ROUND(V89,0))+1,1),"")</f>
        <v>0</v>
      </c>
      <c r="X89" s="24">
        <f t="shared" ref="X89" si="77">(V89-INT(V89))*12</f>
        <v>6.9470240384593811E-3</v>
      </c>
      <c r="Y89" s="41" t="str">
        <f t="shared" ref="Y89" si="78">IF($E89&gt;=Y$31,MID($J$31,IF($E89&gt;Y$31,INT(X89),ROUND(X89,0))+1,1),"")</f>
        <v>0</v>
      </c>
      <c r="Z89" s="24">
        <f t="shared" ref="Z89" si="79">(X89-INT(X89))*12</f>
        <v>8.3364288461512573E-2</v>
      </c>
      <c r="AA89" s="41" t="str">
        <f t="shared" ref="AA89" si="80">IF($E89&gt;=AA$31,MID($J$31,IF($E89&gt;AA$31,INT(Z89),ROUND(Z89,0))+1,1),"")</f>
        <v>0</v>
      </c>
      <c r="AB89" s="24">
        <f t="shared" ref="AB89" si="81">(Z89-INT(Z89))*12</f>
        <v>1.0003714615381509</v>
      </c>
      <c r="AC89" s="41" t="str">
        <f t="shared" ref="AC89" si="82">IF($E89&gt;=AC$31,MID($J$31,IF($E89&gt;AC$31,INT(AB89),ROUND(AB89,0))+1,1),"")</f>
        <v>1</v>
      </c>
      <c r="AD89" s="24">
        <f t="shared" ref="AD89" si="83">(AB89-INT(AB89))*12</f>
        <v>4.457538457811161E-3</v>
      </c>
      <c r="AE89" s="41" t="str">
        <f t="shared" ref="AE89" si="84">IF($E89&gt;=AE$31,MID($J$31,IF($E89&gt;AE$31,INT(AD89),ROUND(AD89,0))+1,1),"")</f>
        <v>0</v>
      </c>
      <c r="AF89" s="24">
        <f t="shared" ref="AF89" si="85">(AD89-INT(AD89))*12</f>
        <v>5.3490461493733932E-2</v>
      </c>
      <c r="AG89" s="41" t="str">
        <f t="shared" ref="AG89" si="86">IF($E89&gt;=AG$31,MID($J$31,IF($E89&gt;AG$31,INT(AF89),ROUND(AF89,0))+1,1),"")</f>
        <v>0</v>
      </c>
      <c r="AH89" s="24">
        <f t="shared" ref="AH89" si="87">(AF89-INT(AF89))*12</f>
        <v>0.64188553792480718</v>
      </c>
      <c r="AI89" s="41" t="str">
        <f t="shared" ref="AI89" si="88">IF($E89&gt;=AI$31,MID($J$31,IF($E89&gt;AI$31,INT(AH89),ROUND(AH89,0))+1,1),"")</f>
        <v>0</v>
      </c>
      <c r="AJ89" s="24">
        <f t="shared" ref="AJ89" si="89">(AH89-INT(AH89))*12</f>
        <v>7.7026264550976862</v>
      </c>
      <c r="AK89" s="41" t="str">
        <f t="shared" ref="AK89" si="90">IF($E89&gt;=AK$31,MID($J$31,IF($E89&gt;AK$31,INT(AJ89),ROUND(AJ89,0))+1,1),"")</f>
        <v>8</v>
      </c>
    </row>
    <row r="90" spans="1:37">
      <c r="B90" s="141" t="s">
        <v>270</v>
      </c>
      <c r="D90" s="14">
        <f>1/(1+0.00054461702177)</f>
        <v>0.99945567942448077</v>
      </c>
    </row>
    <row r="91" spans="1:37">
      <c r="B91" s="368" t="s">
        <v>739</v>
      </c>
      <c r="C91" s="368"/>
      <c r="D91" s="21">
        <f>R23</f>
        <v>0.96873201750401583</v>
      </c>
      <c r="E91" s="8">
        <v>7</v>
      </c>
      <c r="F91" s="21">
        <f>D91</f>
        <v>0.96873201750401583</v>
      </c>
      <c r="G91" s="142" t="str">
        <f t="shared" ref="G91:G92" si="91">M91&amp;";"&amp;O91&amp;Q91&amp;S91&amp;U91&amp;W91&amp;Y91&amp;AA91&amp;AC91&amp;AE91&amp;AG91&amp;AI91&amp;AK91</f>
        <v>0;E75E764</v>
      </c>
      <c r="H91" s="142"/>
      <c r="I91" s="344"/>
      <c r="J91" s="38">
        <v>0</v>
      </c>
      <c r="K91" s="61">
        <f>F91/POWER(12,J91)</f>
        <v>0.96873201750401583</v>
      </c>
      <c r="L91" s="39" t="str">
        <f>INDEX(powers!$H$2:$H$75,33+J91)</f>
        <v xml:space="preserve"> </v>
      </c>
      <c r="M91" s="40" t="str">
        <f t="shared" ref="M91" si="92">IF($E91&gt;=M$31,MID($J$31,IF($E91&gt;M$31,INT(K91),ROUND(K91,0))+1,1),"")</f>
        <v>0</v>
      </c>
      <c r="N91" s="24">
        <f t="shared" ref="N91:N92" si="93">(K91-INT(K91))*12</f>
        <v>11.62478421004819</v>
      </c>
      <c r="O91" s="41" t="str">
        <f t="shared" ref="O91" si="94">IF($E91&gt;=O$31,MID($J$31,IF($E91&gt;O$31,INT(N91),ROUND(N91,0))+1,1),"")</f>
        <v>E</v>
      </c>
      <c r="P91" s="24">
        <f t="shared" ref="P91:P92" si="95">(N91-INT(N91))*12</f>
        <v>7.4974105205782848</v>
      </c>
      <c r="Q91" s="41" t="str">
        <f t="shared" ref="Q91" si="96">IF($E91&gt;=Q$31,MID($J$31,IF($E91&gt;Q$31,INT(P91),ROUND(P91,0))+1,1),"")</f>
        <v>7</v>
      </c>
      <c r="R91" s="24">
        <f t="shared" ref="R91:R92" si="97">(P91-INT(P91))*12</f>
        <v>5.968926246939418</v>
      </c>
      <c r="S91" s="41" t="str">
        <f t="shared" ref="S91" si="98">IF($E91&gt;=S$31,MID($J$31,IF($E91&gt;S$31,INT(R91),ROUND(R91,0))+1,1),"")</f>
        <v>5</v>
      </c>
      <c r="T91" s="24">
        <f t="shared" ref="T91:T92" si="99">(R91-INT(R91))*12</f>
        <v>11.627114963273016</v>
      </c>
      <c r="U91" s="41" t="str">
        <f t="shared" ref="U91" si="100">IF($E91&gt;=U$31,MID($J$31,IF($E91&gt;U$31,INT(T91),ROUND(T91,0))+1,1),"")</f>
        <v>E</v>
      </c>
      <c r="V91" s="24">
        <f t="shared" ref="V91:V92" si="101">(T91-INT(T91))*12</f>
        <v>7.525379559276189</v>
      </c>
      <c r="W91" s="41" t="str">
        <f t="shared" ref="W91" si="102">IF($E91&gt;=W$31,MID($J$31,IF($E91&gt;W$31,INT(V91),ROUND(V91,0))+1,1),"")</f>
        <v>7</v>
      </c>
      <c r="X91" s="24">
        <f t="shared" ref="X91:X92" si="103">(V91-INT(V91))*12</f>
        <v>6.3045547113142675</v>
      </c>
      <c r="Y91" s="41" t="str">
        <f t="shared" ref="Y91" si="104">IF($E91&gt;=Y$31,MID($J$31,IF($E91&gt;Y$31,INT(X91),ROUND(X91,0))+1,1),"")</f>
        <v>6</v>
      </c>
      <c r="Z91" s="24">
        <f t="shared" ref="Z91:Z92" si="105">(X91-INT(X91))*12</f>
        <v>3.6546565357712097</v>
      </c>
      <c r="AA91" s="41" t="str">
        <f t="shared" ref="AA91" si="106">IF($E91&gt;=AA$31,MID($J$31,IF($E91&gt;AA$31,INT(Z91),ROUND(Z91,0))+1,1),"")</f>
        <v>4</v>
      </c>
      <c r="AB91" s="24">
        <f t="shared" ref="AB91:AB92" si="107">(Z91-INT(Z91))*12</f>
        <v>7.855878429254517</v>
      </c>
      <c r="AC91" s="41" t="str">
        <f t="shared" ref="AC91" si="108">IF($E91&gt;=AC$31,MID($J$31,IF($E91&gt;AC$31,INT(AB91),ROUND(AB91,0))+1,1),"")</f>
        <v/>
      </c>
      <c r="AD91" s="24">
        <f t="shared" ref="AD91:AD92" si="109">(AB91-INT(AB91))*12</f>
        <v>10.270541151054204</v>
      </c>
      <c r="AE91" s="41" t="str">
        <f t="shared" ref="AE91" si="110">IF($E91&gt;=AE$31,MID($J$31,IF($E91&gt;AE$31,INT(AD91),ROUND(AD91,0))+1,1),"")</f>
        <v/>
      </c>
      <c r="AF91" s="24">
        <f t="shared" ref="AF91:AF92" si="111">(AD91-INT(AD91))*12</f>
        <v>3.2464938126504421</v>
      </c>
      <c r="AG91" s="41" t="str">
        <f t="shared" ref="AG91" si="112">IF($E91&gt;=AG$31,MID($J$31,IF($E91&gt;AG$31,INT(AF91),ROUND(AF91,0))+1,1),"")</f>
        <v/>
      </c>
      <c r="AH91" s="24">
        <f t="shared" ref="AH91:AH92" si="113">(AF91-INT(AF91))*12</f>
        <v>2.9579257518053055</v>
      </c>
      <c r="AI91" s="41" t="str">
        <f t="shared" ref="AI91" si="114">IF($E91&gt;=AI$31,MID($J$31,IF($E91&gt;AI$31,INT(AH91),ROUND(AH91,0))+1,1),"")</f>
        <v/>
      </c>
      <c r="AJ91" s="24">
        <f t="shared" ref="AJ91:AJ92" si="115">(AH91-INT(AH91))*12</f>
        <v>11.495109021663666</v>
      </c>
      <c r="AK91" s="41" t="str">
        <f t="shared" ref="AK91" si="116">IF($E91&gt;=AK$31,MID($J$31,IF($E91&gt;AK$31,INT(AJ91),ROUND(AJ91,0))+1,1),"")</f>
        <v/>
      </c>
    </row>
    <row r="92" spans="1:37">
      <c r="B92" s="368" t="s">
        <v>769</v>
      </c>
      <c r="C92" s="368"/>
      <c r="D92" s="21">
        <v>540000000000000</v>
      </c>
      <c r="E92" s="8">
        <v>7</v>
      </c>
      <c r="F92" s="21">
        <f>D92/F22</f>
        <v>1.140916827760163E-3</v>
      </c>
      <c r="G92" s="142" t="str">
        <f t="shared" si="91"/>
        <v>0;0000000</v>
      </c>
      <c r="H92" s="142"/>
      <c r="I92" s="344"/>
      <c r="J92" s="38">
        <v>13</v>
      </c>
      <c r="K92" s="61">
        <f>F92/POWER(12,J92)</f>
        <v>1.0663451232421228E-17</v>
      </c>
      <c r="L92" s="39" t="str">
        <f>INDEX(powers!$H$2:$H$75,33+J92)</f>
        <v>di-cosmic milly</v>
      </c>
      <c r="M92" s="40" t="str">
        <f>IF($E92&gt;=M$31,MID($J$31,IF($E92&gt;M$31,INT(K92),ROUND(K92,0))+1,1),"")</f>
        <v>0</v>
      </c>
      <c r="N92" s="24">
        <f t="shared" si="93"/>
        <v>1.2796141478905475E-16</v>
      </c>
      <c r="O92" s="41" t="str">
        <f>IF($E92&gt;=O$31,MID($J$31,IF($E92&gt;O$31,INT(N92),ROUND(N92,0))+1,1),"")</f>
        <v>0</v>
      </c>
      <c r="P92" s="24">
        <f t="shared" si="95"/>
        <v>1.535536977468657E-15</v>
      </c>
      <c r="Q92" s="41" t="str">
        <f>IF($E92&gt;=Q$31,MID($J$31,IF($E92&gt;Q$31,INT(P92),ROUND(P92,0))+1,1),"")</f>
        <v>0</v>
      </c>
      <c r="R92" s="24">
        <f t="shared" si="97"/>
        <v>1.8426443729623885E-14</v>
      </c>
      <c r="S92" s="41" t="str">
        <f>IF($E92&gt;=S$31,MID($J$31,IF($E92&gt;S$31,INT(R92),ROUND(R92,0))+1,1),"")</f>
        <v>0</v>
      </c>
      <c r="T92" s="24">
        <f t="shared" si="99"/>
        <v>2.2111732475548663E-13</v>
      </c>
      <c r="U92" s="41" t="str">
        <f>IF($E92&gt;=U$31,MID($J$31,IF($E92&gt;U$31,INT(T92),ROUND(T92,0))+1,1),"")</f>
        <v>0</v>
      </c>
      <c r="V92" s="24">
        <f t="shared" si="101"/>
        <v>2.6534078970658398E-12</v>
      </c>
      <c r="W92" s="41" t="str">
        <f>IF($E92&gt;=W$31,MID($J$31,IF($E92&gt;W$31,INT(V92),ROUND(V92,0))+1,1),"")</f>
        <v>0</v>
      </c>
      <c r="X92" s="24">
        <f t="shared" si="103"/>
        <v>3.1840894764790078E-11</v>
      </c>
      <c r="Y92" s="41" t="str">
        <f>IF($E92&gt;=Y$31,MID($J$31,IF($E92&gt;Y$31,INT(X92),ROUND(X92,0))+1,1),"")</f>
        <v>0</v>
      </c>
      <c r="Z92" s="24">
        <f t="shared" si="105"/>
        <v>3.8209073717748093E-10</v>
      </c>
      <c r="AA92" s="41" t="str">
        <f>IF($E92&gt;=AA$31,MID($J$31,IF($E92&gt;AA$31,INT(Z92),ROUND(Z92,0))+1,1),"")</f>
        <v>0</v>
      </c>
      <c r="AB92" s="24">
        <f t="shared" si="107"/>
        <v>4.5850888461297712E-9</v>
      </c>
      <c r="AC92" s="41" t="str">
        <f>IF($E92&gt;=AC$31,MID($J$31,IF($E92&gt;AC$31,INT(AB92),ROUND(AB92,0))+1,1),"")</f>
        <v/>
      </c>
      <c r="AD92" s="24">
        <f t="shared" si="109"/>
        <v>5.5021066153557254E-8</v>
      </c>
      <c r="AE92" s="41" t="str">
        <f>IF($E92&gt;=AE$31,MID($J$31,IF($E92&gt;AE$31,INT(AD92),ROUND(AD92,0))+1,1),"")</f>
        <v/>
      </c>
      <c r="AF92" s="24">
        <f t="shared" si="111"/>
        <v>6.6025279384268705E-7</v>
      </c>
      <c r="AG92" s="41" t="str">
        <f>IF($E92&gt;=AG$31,MID($J$31,IF($E92&gt;AG$31,INT(AF92),ROUND(AF92,0))+1,1),"")</f>
        <v/>
      </c>
      <c r="AH92" s="24">
        <f t="shared" si="113"/>
        <v>7.9230335261122438E-6</v>
      </c>
      <c r="AI92" s="41" t="str">
        <f>IF($E92&gt;=AI$31,MID($J$31,IF($E92&gt;AI$31,INT(AH92),ROUND(AH92,0))+1,1),"")</f>
        <v/>
      </c>
      <c r="AJ92" s="24">
        <f t="shared" si="115"/>
        <v>9.5076402313346925E-5</v>
      </c>
      <c r="AK92" s="41" t="str">
        <f>IF($E92&gt;=AK$31,MID($J$31,IF($E92&gt;AK$31,INT(AJ92),ROUND(AJ92,0))+1,1),"")</f>
        <v/>
      </c>
    </row>
    <row r="93" spans="1:37">
      <c r="B93" s="14" t="s">
        <v>1281</v>
      </c>
      <c r="D93" s="204">
        <f>F22*F93</f>
        <v>1.0128053070814078E+32</v>
      </c>
      <c r="F93" s="204">
        <f>G93*POWER(12,J93)</f>
        <v>213986410758144</v>
      </c>
      <c r="G93" s="222">
        <v>2</v>
      </c>
      <c r="J93" s="14">
        <v>13</v>
      </c>
      <c r="K93" s="79"/>
      <c r="L93" s="79"/>
      <c r="M93" s="79"/>
    </row>
    <row r="94" spans="1:37" ht="12.75" thickBot="1">
      <c r="K94" s="79"/>
      <c r="L94" s="79"/>
      <c r="M94" s="79"/>
    </row>
    <row r="95" spans="1:37">
      <c r="B95" s="102" t="s">
        <v>115</v>
      </c>
      <c r="C95" s="103"/>
      <c r="D95" s="104"/>
      <c r="E95" s="103">
        <v>9</v>
      </c>
      <c r="F95" s="104">
        <f>Clock!F96</f>
        <v>1.0020361796982167</v>
      </c>
      <c r="G95" s="105" t="str">
        <f t="shared" ref="G95:G97" si="117">M95&amp;";"&amp;O95&amp;Q95&amp;S95&amp;U95&amp;W95&amp;Y95&amp;AA95&amp;AC95&amp;AE95&amp;AG95&amp;AI95&amp;AK95</f>
        <v>1;003628000</v>
      </c>
      <c r="H95" s="105"/>
      <c r="I95" s="345"/>
      <c r="J95" s="106">
        <v>0</v>
      </c>
      <c r="K95" s="107">
        <f>F95/POWER(12,J95)+0.00000000000001</f>
        <v>1.0020361796982267</v>
      </c>
      <c r="L95" s="108" t="str">
        <f>INDEX(powers!$H$2:$H$75,33+J95)</f>
        <v xml:space="preserve"> </v>
      </c>
      <c r="M95" s="75" t="str">
        <f t="shared" ref="M95:M97" si="118">IF($E95&gt;=M$31,MID($J$31,IF($E95&gt;M$31,INT(K95),ROUND(K95,0))+1,1),"")</f>
        <v>1</v>
      </c>
      <c r="N95" s="76">
        <f>(K95-INT(K95))*12</f>
        <v>2.443415637872004E-2</v>
      </c>
      <c r="O95" s="77" t="str">
        <f t="shared" ref="O95:O97" si="119">IF($E95&gt;=O$31,MID($J$31,IF($E95&gt;O$31,INT(N95),ROUND(N95,0))+1,1),"")</f>
        <v>0</v>
      </c>
      <c r="P95" s="76">
        <f>(N95-INT(N95))*12</f>
        <v>0.29320987654464048</v>
      </c>
      <c r="Q95" s="77" t="str">
        <f t="shared" ref="Q95:Q97" si="120">IF($E95&gt;=Q$31,MID($J$31,IF($E95&gt;Q$31,INT(P95),ROUND(P95,0))+1,1),"")</f>
        <v>0</v>
      </c>
      <c r="R95" s="76">
        <f>(P95-INT(P95))*12</f>
        <v>3.5185185185356858</v>
      </c>
      <c r="S95" s="77" t="str">
        <f t="shared" ref="S95:S97" si="121">IF($E95&gt;=S$31,MID($J$31,IF($E95&gt;S$31,INT(R95),ROUND(R95,0))+1,1),"")</f>
        <v>3</v>
      </c>
      <c r="T95" s="76">
        <f>(R95-INT(R95))*12</f>
        <v>6.2222222224282291</v>
      </c>
      <c r="U95" s="77" t="str">
        <f t="shared" ref="U95:U97" si="122">IF($E95&gt;=U$31,MID($J$31,IF($E95&gt;U$31,INT(T95),ROUND(T95,0))+1,1),"")</f>
        <v>6</v>
      </c>
      <c r="V95" s="76">
        <f>(T95-INT(T95))*12</f>
        <v>2.6666666691387491</v>
      </c>
      <c r="W95" s="77" t="str">
        <f t="shared" ref="W95:W97" si="123">IF($E95&gt;=W$31,MID($J$31,IF($E95&gt;W$31,INT(V95),ROUND(V95,0))+1,1),"")</f>
        <v>2</v>
      </c>
      <c r="X95" s="76">
        <f>(V95-INT(V95))*12</f>
        <v>8.0000000296649887</v>
      </c>
      <c r="Y95" s="77" t="str">
        <f t="shared" ref="Y95:Y97" si="124">IF($E95&gt;=Y$31,MID($J$31,IF($E95&gt;Y$31,INT(X95),ROUND(X95,0))+1,1),"")</f>
        <v>8</v>
      </c>
      <c r="Z95" s="76">
        <f>(X95-INT(X95))*12</f>
        <v>3.559798642527312E-7</v>
      </c>
      <c r="AA95" s="77" t="str">
        <f t="shared" ref="AA95:AA97" si="125">IF($E95&gt;=AA$31,MID($J$31,IF($E95&gt;AA$31,INT(Z95),ROUND(Z95,0))+1,1),"")</f>
        <v>0</v>
      </c>
      <c r="AB95" s="76">
        <f>(Z95-INT(Z95))*12</f>
        <v>4.2717583710327744E-6</v>
      </c>
      <c r="AC95" s="77" t="str">
        <f t="shared" ref="AC95:AC97" si="126">IF($E95&gt;=AC$31,MID($J$31,IF($E95&gt;AC$31,INT(AB95),ROUND(AB95,0))+1,1),"")</f>
        <v>0</v>
      </c>
      <c r="AD95" s="76">
        <f>(AB95-INT(AB95))*12</f>
        <v>5.1261100452393293E-5</v>
      </c>
      <c r="AE95" s="77" t="str">
        <f t="shared" ref="AE95:AE97" si="127">IF($E95&gt;=AE$31,MID($J$31,IF($E95&gt;AE$31,INT(AD95),ROUND(AD95,0))+1,1),"")</f>
        <v>0</v>
      </c>
      <c r="AF95" s="76">
        <f>(AD95-INT(AD95))*12</f>
        <v>6.1513320542871952E-4</v>
      </c>
      <c r="AG95" s="77" t="str">
        <f t="shared" ref="AG95:AG97" si="128">IF($E95&gt;=AG$31,MID($J$31,IF($E95&gt;AG$31,INT(AF95),ROUND(AF95,0))+1,1),"")</f>
        <v/>
      </c>
      <c r="AH95" s="76">
        <f>(AF95-INT(AF95))*12</f>
        <v>7.3815984651446342E-3</v>
      </c>
      <c r="AI95" s="77" t="str">
        <f t="shared" ref="AI95:AI97" si="129">IF($E95&gt;=AI$31,MID($J$31,IF($E95&gt;AI$31,INT(AH95),ROUND(AH95,0))+1,1),"")</f>
        <v/>
      </c>
      <c r="AJ95" s="76">
        <f>(AH95-INT(AH95))*12</f>
        <v>8.8579181581735611E-2</v>
      </c>
      <c r="AK95" s="78" t="str">
        <f t="shared" ref="AK95:AK97" si="130">IF($E95&gt;=AK$31,MID($J$31,IF($E95&gt;AK$31,INT(AJ95),ROUND(AJ95,0))+1,1),"")</f>
        <v/>
      </c>
    </row>
    <row r="96" spans="1:37">
      <c r="B96" s="111" t="s">
        <v>204</v>
      </c>
      <c r="C96" s="30"/>
      <c r="D96" s="30"/>
      <c r="E96" s="30">
        <v>12</v>
      </c>
      <c r="F96" s="29">
        <f>F4/Clock!F4*POWER(12,16)</f>
        <v>1.0000002946906721</v>
      </c>
      <c r="G96" s="112" t="str">
        <f t="shared" si="117"/>
        <v>1;000000X68658</v>
      </c>
      <c r="H96" s="112"/>
      <c r="I96" s="341"/>
      <c r="J96" s="43">
        <v>0</v>
      </c>
      <c r="K96" s="113">
        <f>F96/POWER(12,J96)+0.00000000000001</f>
        <v>1.0000002946906821</v>
      </c>
      <c r="L96" s="44" t="str">
        <f>INDEX(powers!$H$2:$H$75,33+J96)</f>
        <v xml:space="preserve"> </v>
      </c>
      <c r="M96" s="101" t="str">
        <f t="shared" si="118"/>
        <v>1</v>
      </c>
      <c r="N96" s="8">
        <f>(K96-INT(K96))*12</f>
        <v>3.5362881849465566E-6</v>
      </c>
      <c r="O96" s="100" t="str">
        <f t="shared" si="119"/>
        <v>0</v>
      </c>
      <c r="P96" s="8">
        <f>(N96-INT(N96))*12</f>
        <v>4.2435458219358679E-5</v>
      </c>
      <c r="Q96" s="100" t="str">
        <f t="shared" si="120"/>
        <v>0</v>
      </c>
      <c r="R96" s="8">
        <f>(P96-INT(P96))*12</f>
        <v>5.0922549863230415E-4</v>
      </c>
      <c r="S96" s="100" t="str">
        <f t="shared" si="121"/>
        <v>0</v>
      </c>
      <c r="T96" s="8">
        <f>(R96-INT(R96))*12</f>
        <v>6.1107059835876498E-3</v>
      </c>
      <c r="U96" s="100" t="str">
        <f t="shared" si="122"/>
        <v>0</v>
      </c>
      <c r="V96" s="8">
        <f>(T96-INT(T96))*12</f>
        <v>7.3328471803051798E-2</v>
      </c>
      <c r="W96" s="100" t="str">
        <f t="shared" si="123"/>
        <v>0</v>
      </c>
      <c r="X96" s="8">
        <f>(V96-INT(V96))*12</f>
        <v>0.87994166163662157</v>
      </c>
      <c r="Y96" s="100" t="str">
        <f t="shared" si="124"/>
        <v>0</v>
      </c>
      <c r="Z96" s="8">
        <f>(X96-INT(X96))*12</f>
        <v>10.559299939639459</v>
      </c>
      <c r="AA96" s="100" t="str">
        <f t="shared" si="125"/>
        <v>X</v>
      </c>
      <c r="AB96" s="8">
        <f>(Z96-INT(Z96))*12</f>
        <v>6.7115992756735068</v>
      </c>
      <c r="AC96" s="100" t="str">
        <f t="shared" si="126"/>
        <v>6</v>
      </c>
      <c r="AD96" s="8">
        <f>(AB96-INT(AB96))*12</f>
        <v>8.5391913080820814</v>
      </c>
      <c r="AE96" s="100" t="str">
        <f t="shared" si="127"/>
        <v>8</v>
      </c>
      <c r="AF96" s="8">
        <f>(AD96-INT(AD96))*12</f>
        <v>6.4702956969849765</v>
      </c>
      <c r="AG96" s="100" t="str">
        <f t="shared" si="128"/>
        <v>6</v>
      </c>
      <c r="AH96" s="8">
        <f>(AF96-INT(AF96))*12</f>
        <v>5.6435483638197184</v>
      </c>
      <c r="AI96" s="100" t="str">
        <f t="shared" si="129"/>
        <v>5</v>
      </c>
      <c r="AJ96" s="8">
        <f>(AH96-INT(AH96))*12</f>
        <v>7.7225803658366203</v>
      </c>
      <c r="AK96" s="100" t="str">
        <f t="shared" si="130"/>
        <v>8</v>
      </c>
    </row>
    <row r="97" spans="2:39" ht="12.75" thickBot="1">
      <c r="B97" s="109" t="s">
        <v>205</v>
      </c>
      <c r="C97" s="33"/>
      <c r="D97" s="33"/>
      <c r="E97" s="33">
        <v>12</v>
      </c>
      <c r="F97" s="32">
        <f>F5/Clock!F5*POWER(12,8)</f>
        <v>0.99999970530941484</v>
      </c>
      <c r="G97" s="47" t="str">
        <f t="shared" si="117"/>
        <v>0;EEEEEE153565</v>
      </c>
      <c r="H97" s="47"/>
      <c r="I97" s="342"/>
      <c r="J97" s="48">
        <v>0</v>
      </c>
      <c r="K97" s="110">
        <f>F97/POWER(12,J97)+0.00000000000001</f>
        <v>0.99999970530942484</v>
      </c>
      <c r="L97" s="49" t="str">
        <f>INDEX(powers!$H$2:$H$75,33+J97)</f>
        <v xml:space="preserve"> </v>
      </c>
      <c r="M97" s="101" t="str">
        <f t="shared" si="118"/>
        <v>0</v>
      </c>
      <c r="N97" s="8">
        <f>(K97-INT(K97))*12</f>
        <v>11.999996463713098</v>
      </c>
      <c r="O97" s="100" t="str">
        <f t="shared" si="119"/>
        <v>E</v>
      </c>
      <c r="P97" s="8">
        <f>(N97-INT(N97))*12</f>
        <v>11.999957564557171</v>
      </c>
      <c r="Q97" s="100" t="str">
        <f t="shared" si="120"/>
        <v>E</v>
      </c>
      <c r="R97" s="8">
        <f>(P97-INT(P97))*12</f>
        <v>11.999490774686052</v>
      </c>
      <c r="S97" s="100" t="str">
        <f t="shared" si="121"/>
        <v>E</v>
      </c>
      <c r="T97" s="8">
        <f>(R97-INT(R97))*12</f>
        <v>11.993889296232624</v>
      </c>
      <c r="U97" s="100" t="str">
        <f t="shared" si="122"/>
        <v>E</v>
      </c>
      <c r="V97" s="8">
        <f>(T97-INT(T97))*12</f>
        <v>11.926671554791483</v>
      </c>
      <c r="W97" s="100" t="str">
        <f t="shared" si="123"/>
        <v>E</v>
      </c>
      <c r="X97" s="8">
        <f>(V97-INT(V97))*12</f>
        <v>11.120058657497793</v>
      </c>
      <c r="Y97" s="100" t="str">
        <f t="shared" si="124"/>
        <v>E</v>
      </c>
      <c r="Z97" s="8">
        <f>(X97-INT(X97))*12</f>
        <v>1.4407038899735198</v>
      </c>
      <c r="AA97" s="100" t="str">
        <f t="shared" si="125"/>
        <v>1</v>
      </c>
      <c r="AB97" s="8">
        <f>(Z97-INT(Z97))*12</f>
        <v>5.288446679682238</v>
      </c>
      <c r="AC97" s="100" t="str">
        <f t="shared" si="126"/>
        <v>5</v>
      </c>
      <c r="AD97" s="8">
        <f>(AB97-INT(AB97))*12</f>
        <v>3.4613601561868563</v>
      </c>
      <c r="AE97" s="100" t="str">
        <f t="shared" si="127"/>
        <v>3</v>
      </c>
      <c r="AF97" s="8">
        <f>(AD97-INT(AD97))*12</f>
        <v>5.536321874242276</v>
      </c>
      <c r="AG97" s="100" t="str">
        <f t="shared" si="128"/>
        <v>5</v>
      </c>
      <c r="AH97" s="8">
        <f>(AF97-INT(AF97))*12</f>
        <v>6.4358624909073114</v>
      </c>
      <c r="AI97" s="100" t="str">
        <f t="shared" si="129"/>
        <v>6</v>
      </c>
      <c r="AJ97" s="8">
        <f>(AH97-INT(AH97))*12</f>
        <v>5.2303498908877373</v>
      </c>
      <c r="AK97" s="100" t="str">
        <f t="shared" si="130"/>
        <v>5</v>
      </c>
    </row>
    <row r="99" spans="2:39" ht="12.75" thickBot="1">
      <c r="C99" s="54" t="s">
        <v>664</v>
      </c>
      <c r="D99" s="253">
        <f>AM100</f>
        <v>-74.360322558157833</v>
      </c>
      <c r="F99" s="245"/>
      <c r="G99" s="204"/>
      <c r="H99" s="204"/>
    </row>
    <row r="100" spans="2:39">
      <c r="B100" s="102" t="s">
        <v>652</v>
      </c>
      <c r="C100" s="255" t="s">
        <v>632</v>
      </c>
      <c r="D100" s="257">
        <v>-273.14999999999998</v>
      </c>
      <c r="E100" s="103">
        <v>9</v>
      </c>
      <c r="F100" s="238">
        <f>(D100-D$99)/F$6/POWER(12,-12)</f>
        <v>-164.19068287037035</v>
      </c>
      <c r="G100" s="254" t="str">
        <f>"-"&amp;M100&amp;";"&amp;O100&amp;Q100&amp;S100&amp;U100&amp;W100&amp;Y100&amp;AA100&amp;AC100&amp;AE100&amp;AG100&amp;AI100&amp;AK100</f>
        <v>-1;182356000</v>
      </c>
      <c r="H100" s="254"/>
      <c r="I100" s="346"/>
      <c r="J100" s="239">
        <v>2</v>
      </c>
      <c r="K100" s="240">
        <f>-F100/POWER(12,J100)+0.00000000000001</f>
        <v>1.140213075488693</v>
      </c>
      <c r="L100" s="108" t="str">
        <f>INDEX(powers!$H$2:$H$75,33+J100)</f>
        <v>hecty</v>
      </c>
      <c r="M100" s="101" t="str">
        <f t="shared" ref="M100:M122" si="131">IF($E100&gt;=M$31,MID($J$31,IF($E100&gt;M$31,INT(K100),ROUND(K100,0))+1,1),"")</f>
        <v>1</v>
      </c>
      <c r="N100" s="8">
        <f t="shared" ref="N100:N122" si="132">(K100-INT(K100))*12</f>
        <v>1.6825569058643159</v>
      </c>
      <c r="O100" s="100" t="str">
        <f t="shared" ref="O100:O122" si="133">IF($E100&gt;=O$31,MID($J$31,IF($E100&gt;O$31,INT(N100),ROUND(N100,0))+1,1),"")</f>
        <v>1</v>
      </c>
      <c r="P100" s="8">
        <f t="shared" ref="P100:P122" si="134">(N100-INT(N100))*12</f>
        <v>8.1906828703717913</v>
      </c>
      <c r="Q100" s="100" t="str">
        <f t="shared" ref="Q100:Q122" si="135">IF($E100&gt;=Q$31,MID($J$31,IF($E100&gt;Q$31,INT(P100),ROUND(P100,0))+1,1),"")</f>
        <v>8</v>
      </c>
      <c r="R100" s="8">
        <f t="shared" ref="R100:R122" si="136">(P100-INT(P100))*12</f>
        <v>2.2881944444614959</v>
      </c>
      <c r="S100" s="100" t="str">
        <f t="shared" ref="S100:S122" si="137">IF($E100&gt;=S$31,MID($J$31,IF($E100&gt;S$31,INT(R100),ROUND(R100,0))+1,1),"")</f>
        <v>2</v>
      </c>
      <c r="T100" s="8">
        <f t="shared" ref="T100:T122" si="138">(R100-INT(R100))*12</f>
        <v>3.4583333335379507</v>
      </c>
      <c r="U100" s="100" t="str">
        <f t="shared" ref="U100:U122" si="139">IF($E100&gt;=U$31,MID($J$31,IF($E100&gt;U$31,INT(T100),ROUND(T100,0))+1,1),"")</f>
        <v>3</v>
      </c>
      <c r="V100" s="8">
        <f t="shared" ref="V100:V122" si="140">(T100-INT(T100))*12</f>
        <v>5.5000000024554083</v>
      </c>
      <c r="W100" s="100" t="str">
        <f t="shared" ref="W100:W122" si="141">IF($E100&gt;=W$31,MID($J$31,IF($E100&gt;W$31,INT(V100),ROUND(V100,0))+1,1),"")</f>
        <v>5</v>
      </c>
      <c r="X100" s="8">
        <f t="shared" ref="X100:X122" si="142">(V100-INT(V100))*12</f>
        <v>6.0000000294648999</v>
      </c>
      <c r="Y100" s="100" t="str">
        <f t="shared" ref="Y100:Y122" si="143">IF($E100&gt;=Y$31,MID($J$31,IF($E100&gt;Y$31,INT(X100),ROUND(X100,0))+1,1),"")</f>
        <v>6</v>
      </c>
      <c r="Z100" s="8">
        <f t="shared" ref="Z100:Z122" si="144">(X100-INT(X100))*12</f>
        <v>3.5357879824005067E-7</v>
      </c>
      <c r="AA100" s="100" t="str">
        <f t="shared" ref="AA100:AA122" si="145">IF($E100&gt;=AA$31,MID($J$31,IF($E100&gt;AA$31,INT(Z100),ROUND(Z100,0))+1,1),"")</f>
        <v>0</v>
      </c>
      <c r="AB100" s="8">
        <f t="shared" ref="AB100:AB122" si="146">(Z100-INT(Z100))*12</f>
        <v>4.2429455788806081E-6</v>
      </c>
      <c r="AC100" s="100" t="str">
        <f t="shared" ref="AC100:AC122" si="147">IF($E100&gt;=AC$31,MID($J$31,IF($E100&gt;AC$31,INT(AB100),ROUND(AB100,0))+1,1),"")</f>
        <v>0</v>
      </c>
      <c r="AD100" s="8">
        <f t="shared" ref="AD100:AD122" si="148">(AB100-INT(AB100))*12</f>
        <v>5.0915346946567297E-5</v>
      </c>
      <c r="AE100" s="100" t="str">
        <f t="shared" ref="AE100:AE122" si="149">IF($E100&gt;=AE$31,MID($J$31,IF($E100&gt;AE$31,INT(AD100),ROUND(AD100,0))+1,1),"")</f>
        <v>0</v>
      </c>
      <c r="AF100" s="8">
        <f t="shared" ref="AF100:AF122" si="150">(AD100-INT(AD100))*12</f>
        <v>6.1098416335880756E-4</v>
      </c>
      <c r="AG100" s="100" t="str">
        <f t="shared" ref="AG100:AG122" si="151">IF($E100&gt;=AG$31,MID($J$31,IF($E100&gt;AG$31,INT(AF100),ROUND(AF100,0))+1,1),"")</f>
        <v/>
      </c>
      <c r="AH100" s="8">
        <f t="shared" ref="AH100:AH122" si="152">(AF100-INT(AF100))*12</f>
        <v>7.3318099603056908E-3</v>
      </c>
      <c r="AI100" s="100" t="str">
        <f t="shared" ref="AI100:AI122" si="153">IF($E100&gt;=AI$31,MID($J$31,IF($E100&gt;AI$31,INT(AH100),ROUND(AH100,0))+1,1),"")</f>
        <v/>
      </c>
      <c r="AJ100" s="8">
        <f t="shared" ref="AJ100:AJ122" si="154">(AH100-INT(AH100))*12</f>
        <v>8.7981719523668289E-2</v>
      </c>
      <c r="AK100" s="100" t="str">
        <f t="shared" ref="AK100:AK122" si="155">IF($E100&gt;=AK$31,MID($J$31,IF($E100&gt;AK$31,INT(AJ100),ROUND(AJ100,0))+1,1),"")</f>
        <v/>
      </c>
      <c r="AL100" s="253">
        <f>-(144*1+1*12+8+2/12+3/144+5/1728+6/20736)</f>
        <v>-164.19068287037035</v>
      </c>
      <c r="AM100" s="253">
        <f>-AL100*F$6*POWER(12,-12)+D100</f>
        <v>-74.360322558157833</v>
      </c>
    </row>
    <row r="101" spans="2:39">
      <c r="B101" s="130" t="s">
        <v>650</v>
      </c>
      <c r="C101" s="10" t="s">
        <v>651</v>
      </c>
      <c r="D101" s="210">
        <v>-89.4</v>
      </c>
      <c r="E101" s="8">
        <v>9</v>
      </c>
      <c r="F101" s="241">
        <f>(D101-D$99)/F$6/POWER(12,-12)</f>
        <v>-12.42204797102008</v>
      </c>
      <c r="G101" s="242" t="str">
        <f>"-"&amp;M101&amp;";"&amp;O101&amp;Q101&amp;S101&amp;U101&amp;W101&amp;Y101&amp;AA101&amp;AC101&amp;AE101&amp;AG101&amp;AI101&amp;AK101</f>
        <v>-1;05093705X</v>
      </c>
      <c r="H101" s="242"/>
      <c r="I101" s="347"/>
      <c r="J101" s="243">
        <v>1</v>
      </c>
      <c r="K101" s="244">
        <f>-F101/POWER(12,J101)+0.00000000000001</f>
        <v>1.0351706642516834</v>
      </c>
      <c r="L101" s="39" t="str">
        <f>INDEX(powers!$H$2:$H$75,33+J101)</f>
        <v>dirac</v>
      </c>
      <c r="M101" s="101" t="str">
        <f t="shared" si="131"/>
        <v>1</v>
      </c>
      <c r="N101" s="8">
        <f t="shared" si="132"/>
        <v>0.42204797102020031</v>
      </c>
      <c r="O101" s="100" t="str">
        <f t="shared" si="133"/>
        <v>0</v>
      </c>
      <c r="P101" s="8">
        <f t="shared" si="134"/>
        <v>5.0645756522424037</v>
      </c>
      <c r="Q101" s="100" t="str">
        <f t="shared" si="135"/>
        <v>5</v>
      </c>
      <c r="R101" s="8">
        <f t="shared" si="136"/>
        <v>0.7749078269088443</v>
      </c>
      <c r="S101" s="100" t="str">
        <f t="shared" si="137"/>
        <v>0</v>
      </c>
      <c r="T101" s="8">
        <f t="shared" si="138"/>
        <v>9.2988939229061316</v>
      </c>
      <c r="U101" s="100" t="str">
        <f t="shared" si="139"/>
        <v>9</v>
      </c>
      <c r="V101" s="8">
        <f t="shared" si="140"/>
        <v>3.5867270748735791</v>
      </c>
      <c r="W101" s="100" t="str">
        <f t="shared" si="141"/>
        <v>3</v>
      </c>
      <c r="X101" s="8">
        <f t="shared" si="142"/>
        <v>7.0407248984829494</v>
      </c>
      <c r="Y101" s="100" t="str">
        <f t="shared" si="143"/>
        <v>7</v>
      </c>
      <c r="Z101" s="8">
        <f t="shared" si="144"/>
        <v>0.48869878179539228</v>
      </c>
      <c r="AA101" s="100" t="str">
        <f t="shared" si="145"/>
        <v>0</v>
      </c>
      <c r="AB101" s="8">
        <f t="shared" si="146"/>
        <v>5.8643853815447073</v>
      </c>
      <c r="AC101" s="100" t="str">
        <f t="shared" si="147"/>
        <v>5</v>
      </c>
      <c r="AD101" s="8">
        <f t="shared" si="148"/>
        <v>10.372624578536488</v>
      </c>
      <c r="AE101" s="100" t="str">
        <f t="shared" si="149"/>
        <v>X</v>
      </c>
      <c r="AF101" s="8">
        <f t="shared" si="150"/>
        <v>4.4714949424378574</v>
      </c>
      <c r="AG101" s="100" t="str">
        <f t="shared" si="151"/>
        <v/>
      </c>
      <c r="AH101" s="8">
        <f t="shared" si="152"/>
        <v>5.6579393092542887</v>
      </c>
      <c r="AI101" s="100" t="str">
        <f t="shared" si="153"/>
        <v/>
      </c>
      <c r="AJ101" s="8">
        <f t="shared" si="154"/>
        <v>7.8952717110514641</v>
      </c>
      <c r="AK101" s="100" t="str">
        <f t="shared" si="155"/>
        <v/>
      </c>
    </row>
    <row r="102" spans="2:39">
      <c r="B102" s="130"/>
      <c r="C102" s="9" t="s">
        <v>633</v>
      </c>
      <c r="D102" s="210">
        <v>-78</v>
      </c>
      <c r="E102" s="8">
        <v>9</v>
      </c>
      <c r="F102" s="241">
        <f t="shared" ref="F102:F122" si="156">(D102-D$99)/F$6/POWER(12,-12)</f>
        <v>-3.0061979691011982</v>
      </c>
      <c r="G102" s="242" t="str">
        <f>"-"&amp;M102&amp;";"&amp;O102&amp;Q102&amp;S102&amp;U102&amp;W102&amp;Y102&amp;AA102&amp;AC102&amp;AE102&amp;AG102&amp;AI102&amp;AK102</f>
        <v>-3;00X863053</v>
      </c>
      <c r="H102" s="242"/>
      <c r="I102" s="347"/>
      <c r="J102" s="243">
        <v>0</v>
      </c>
      <c r="K102" s="244">
        <f>-F102/POWER(12,J102)+0.00000000000001</f>
        <v>3.0061979691012084</v>
      </c>
      <c r="L102" s="39" t="str">
        <f>INDEX(powers!$H$2:$H$75,33+J102)</f>
        <v xml:space="preserve"> </v>
      </c>
      <c r="M102" s="101" t="str">
        <f t="shared" si="131"/>
        <v>3</v>
      </c>
      <c r="N102" s="8">
        <f t="shared" si="132"/>
        <v>7.4375629214500805E-2</v>
      </c>
      <c r="O102" s="100" t="str">
        <f t="shared" si="133"/>
        <v>0</v>
      </c>
      <c r="P102" s="8">
        <f t="shared" si="134"/>
        <v>0.89250755057400966</v>
      </c>
      <c r="Q102" s="100" t="str">
        <f t="shared" si="135"/>
        <v>0</v>
      </c>
      <c r="R102" s="8">
        <f t="shared" si="136"/>
        <v>10.710090606888116</v>
      </c>
      <c r="S102" s="100" t="str">
        <f t="shared" si="137"/>
        <v>X</v>
      </c>
      <c r="T102" s="8">
        <f t="shared" si="138"/>
        <v>8.5210872826573905</v>
      </c>
      <c r="U102" s="100" t="str">
        <f t="shared" si="139"/>
        <v>8</v>
      </c>
      <c r="V102" s="8">
        <f t="shared" si="140"/>
        <v>6.2530473918886855</v>
      </c>
      <c r="W102" s="100" t="str">
        <f t="shared" si="141"/>
        <v>6</v>
      </c>
      <c r="X102" s="8">
        <f t="shared" si="142"/>
        <v>3.0365687026642263</v>
      </c>
      <c r="Y102" s="100" t="str">
        <f t="shared" si="143"/>
        <v>3</v>
      </c>
      <c r="Z102" s="8">
        <f t="shared" si="144"/>
        <v>0.43882443197071552</v>
      </c>
      <c r="AA102" s="100" t="str">
        <f t="shared" si="145"/>
        <v>0</v>
      </c>
      <c r="AB102" s="8">
        <f t="shared" si="146"/>
        <v>5.2658931836485863</v>
      </c>
      <c r="AC102" s="100" t="str">
        <f t="shared" si="147"/>
        <v>5</v>
      </c>
      <c r="AD102" s="8">
        <f t="shared" si="148"/>
        <v>3.1907182037830353</v>
      </c>
      <c r="AE102" s="100" t="str">
        <f t="shared" si="149"/>
        <v>3</v>
      </c>
      <c r="AF102" s="8">
        <f t="shared" si="150"/>
        <v>2.2886184453964233</v>
      </c>
      <c r="AG102" s="100" t="str">
        <f t="shared" si="151"/>
        <v/>
      </c>
      <c r="AH102" s="8">
        <f t="shared" si="152"/>
        <v>3.4634213447570801</v>
      </c>
      <c r="AI102" s="100" t="str">
        <f t="shared" si="153"/>
        <v/>
      </c>
      <c r="AJ102" s="8">
        <f t="shared" si="154"/>
        <v>5.5610561370849609</v>
      </c>
      <c r="AK102" s="100" t="str">
        <f t="shared" si="155"/>
        <v/>
      </c>
    </row>
    <row r="103" spans="2:39">
      <c r="B103" s="130"/>
      <c r="C103" s="9" t="s">
        <v>634</v>
      </c>
      <c r="D103" s="210">
        <v>-55</v>
      </c>
      <c r="E103" s="8">
        <v>9</v>
      </c>
      <c r="F103" s="131">
        <f t="shared" si="156"/>
        <v>15.99069238564741</v>
      </c>
      <c r="G103" s="37" t="str">
        <f t="shared" ref="G103:G122" si="157">M103&amp;";"&amp;O103&amp;Q103&amp;S103&amp;U103&amp;W103&amp;Y103&amp;AA103&amp;AC103&amp;AE103&amp;AG103&amp;AI103&amp;AK103</f>
        <v>1;3EX7XEE74</v>
      </c>
      <c r="H103" s="37"/>
      <c r="I103" s="340"/>
      <c r="J103" s="38">
        <v>1</v>
      </c>
      <c r="K103" s="132">
        <f t="shared" ref="K103:K122" si="158">F103/POWER(12,J103)+0.00000000000001</f>
        <v>1.3325576988039609</v>
      </c>
      <c r="L103" s="39" t="str">
        <f>INDEX(powers!$H$2:$H$75,33+J103)</f>
        <v>dirac</v>
      </c>
      <c r="M103" s="101" t="str">
        <f t="shared" si="131"/>
        <v>1</v>
      </c>
      <c r="N103" s="8">
        <f t="shared" si="132"/>
        <v>3.9906923856475309</v>
      </c>
      <c r="O103" s="100" t="str">
        <f t="shared" si="133"/>
        <v>3</v>
      </c>
      <c r="P103" s="8">
        <f t="shared" si="134"/>
        <v>11.888308627770371</v>
      </c>
      <c r="Q103" s="100" t="str">
        <f t="shared" si="135"/>
        <v>E</v>
      </c>
      <c r="R103" s="8">
        <f t="shared" si="136"/>
        <v>10.659703533244453</v>
      </c>
      <c r="S103" s="100" t="str">
        <f t="shared" si="137"/>
        <v>X</v>
      </c>
      <c r="T103" s="8">
        <f t="shared" si="138"/>
        <v>7.9164423989334409</v>
      </c>
      <c r="U103" s="100" t="str">
        <f t="shared" si="139"/>
        <v>7</v>
      </c>
      <c r="V103" s="8">
        <f t="shared" si="140"/>
        <v>10.997308787201291</v>
      </c>
      <c r="W103" s="100" t="str">
        <f t="shared" si="141"/>
        <v>X</v>
      </c>
      <c r="X103" s="8">
        <f t="shared" si="142"/>
        <v>11.967705446415493</v>
      </c>
      <c r="Y103" s="100" t="str">
        <f t="shared" si="143"/>
        <v>E</v>
      </c>
      <c r="Z103" s="8">
        <f t="shared" si="144"/>
        <v>11.612465356985922</v>
      </c>
      <c r="AA103" s="100" t="str">
        <f t="shared" si="145"/>
        <v>E</v>
      </c>
      <c r="AB103" s="8">
        <f t="shared" si="146"/>
        <v>7.3495842838310637</v>
      </c>
      <c r="AC103" s="100" t="str">
        <f t="shared" si="147"/>
        <v>7</v>
      </c>
      <c r="AD103" s="8">
        <f t="shared" si="148"/>
        <v>4.1950114059727639</v>
      </c>
      <c r="AE103" s="100" t="str">
        <f t="shared" si="149"/>
        <v>4</v>
      </c>
      <c r="AF103" s="8">
        <f t="shared" si="150"/>
        <v>2.3401368716731668</v>
      </c>
      <c r="AG103" s="100" t="str">
        <f t="shared" si="151"/>
        <v/>
      </c>
      <c r="AH103" s="8">
        <f t="shared" si="152"/>
        <v>4.081642460078001</v>
      </c>
      <c r="AI103" s="100" t="str">
        <f t="shared" si="153"/>
        <v/>
      </c>
      <c r="AJ103" s="8">
        <f t="shared" si="154"/>
        <v>0.97970952093601227</v>
      </c>
      <c r="AK103" s="100" t="str">
        <f t="shared" si="155"/>
        <v/>
      </c>
    </row>
    <row r="104" spans="2:39">
      <c r="B104" s="130"/>
      <c r="C104" s="9" t="s">
        <v>635</v>
      </c>
      <c r="D104" s="210">
        <v>-32</v>
      </c>
      <c r="E104" s="8">
        <v>9</v>
      </c>
      <c r="F104" s="131">
        <f t="shared" si="156"/>
        <v>34.987582740396014</v>
      </c>
      <c r="G104" s="37" t="str">
        <f t="shared" si="157"/>
        <v>2;XEX266232</v>
      </c>
      <c r="H104" s="37"/>
      <c r="I104" s="340"/>
      <c r="J104" s="38">
        <v>1</v>
      </c>
      <c r="K104" s="132">
        <f t="shared" si="158"/>
        <v>2.9156318950330116</v>
      </c>
      <c r="L104" s="39" t="str">
        <f>INDEX(powers!$H$2:$H$75,33+J104)</f>
        <v>dirac</v>
      </c>
      <c r="M104" s="101" t="str">
        <f t="shared" si="131"/>
        <v>2</v>
      </c>
      <c r="N104" s="8">
        <f t="shared" si="132"/>
        <v>10.987582740396139</v>
      </c>
      <c r="O104" s="100" t="str">
        <f t="shared" si="133"/>
        <v>X</v>
      </c>
      <c r="P104" s="8">
        <f t="shared" si="134"/>
        <v>11.850992884753666</v>
      </c>
      <c r="Q104" s="100" t="str">
        <f t="shared" si="135"/>
        <v>E</v>
      </c>
      <c r="R104" s="8">
        <f t="shared" si="136"/>
        <v>10.211914617043988</v>
      </c>
      <c r="S104" s="100" t="str">
        <f t="shared" si="137"/>
        <v>X</v>
      </c>
      <c r="T104" s="8">
        <f t="shared" si="138"/>
        <v>2.5429754045278514</v>
      </c>
      <c r="U104" s="100" t="str">
        <f t="shared" si="139"/>
        <v>2</v>
      </c>
      <c r="V104" s="8">
        <f t="shared" si="140"/>
        <v>6.5157048543342171</v>
      </c>
      <c r="W104" s="100" t="str">
        <f t="shared" si="141"/>
        <v>6</v>
      </c>
      <c r="X104" s="8">
        <f t="shared" si="142"/>
        <v>6.1884582520106051</v>
      </c>
      <c r="Y104" s="100" t="str">
        <f t="shared" si="143"/>
        <v>6</v>
      </c>
      <c r="Z104" s="8">
        <f t="shared" si="144"/>
        <v>2.2614990241272608</v>
      </c>
      <c r="AA104" s="100" t="str">
        <f t="shared" si="145"/>
        <v>2</v>
      </c>
      <c r="AB104" s="8">
        <f t="shared" si="146"/>
        <v>3.1379882895271294</v>
      </c>
      <c r="AC104" s="100" t="str">
        <f t="shared" si="147"/>
        <v>3</v>
      </c>
      <c r="AD104" s="8">
        <f t="shared" si="148"/>
        <v>1.6558594743255526</v>
      </c>
      <c r="AE104" s="100" t="str">
        <f t="shared" si="149"/>
        <v>2</v>
      </c>
      <c r="AF104" s="8">
        <f t="shared" si="150"/>
        <v>7.870313691906631</v>
      </c>
      <c r="AG104" s="100" t="str">
        <f t="shared" si="151"/>
        <v/>
      </c>
      <c r="AH104" s="8">
        <f t="shared" si="152"/>
        <v>10.443764302879572</v>
      </c>
      <c r="AI104" s="100" t="str">
        <f t="shared" si="153"/>
        <v/>
      </c>
      <c r="AJ104" s="8">
        <f t="shared" si="154"/>
        <v>5.325171634554863</v>
      </c>
      <c r="AK104" s="100" t="str">
        <f t="shared" si="155"/>
        <v/>
      </c>
    </row>
    <row r="105" spans="2:39">
      <c r="B105" s="130"/>
      <c r="C105" s="9" t="s">
        <v>636</v>
      </c>
      <c r="D105" s="210">
        <v>-17.8</v>
      </c>
      <c r="E105" s="8">
        <v>9</v>
      </c>
      <c r="F105" s="131">
        <f t="shared" si="156"/>
        <v>46.716097655066903</v>
      </c>
      <c r="G105" s="37" t="str">
        <f t="shared" si="157"/>
        <v>3;X87150018</v>
      </c>
      <c r="H105" s="37"/>
      <c r="I105" s="340"/>
      <c r="J105" s="38">
        <v>1</v>
      </c>
      <c r="K105" s="132">
        <f t="shared" si="158"/>
        <v>3.8930081379222523</v>
      </c>
      <c r="L105" s="39" t="str">
        <f>INDEX(powers!$H$2:$H$75,33+J105)</f>
        <v>dirac</v>
      </c>
      <c r="M105" s="101" t="str">
        <f t="shared" si="131"/>
        <v>3</v>
      </c>
      <c r="N105" s="8">
        <f t="shared" si="132"/>
        <v>10.716097655067028</v>
      </c>
      <c r="O105" s="100" t="str">
        <f t="shared" si="133"/>
        <v>X</v>
      </c>
      <c r="P105" s="8">
        <f t="shared" si="134"/>
        <v>8.5931718608043326</v>
      </c>
      <c r="Q105" s="100" t="str">
        <f t="shared" si="135"/>
        <v>8</v>
      </c>
      <c r="R105" s="8">
        <f t="shared" si="136"/>
        <v>7.1180623296519911</v>
      </c>
      <c r="S105" s="100" t="str">
        <f t="shared" si="137"/>
        <v>7</v>
      </c>
      <c r="T105" s="8">
        <f t="shared" si="138"/>
        <v>1.4167479558238938</v>
      </c>
      <c r="U105" s="100" t="str">
        <f t="shared" si="139"/>
        <v>1</v>
      </c>
      <c r="V105" s="8">
        <f t="shared" si="140"/>
        <v>5.0009754698867255</v>
      </c>
      <c r="W105" s="100" t="str">
        <f t="shared" si="141"/>
        <v>5</v>
      </c>
      <c r="X105" s="8">
        <f t="shared" si="142"/>
        <v>1.1705638640705729E-2</v>
      </c>
      <c r="Y105" s="100" t="str">
        <f t="shared" si="143"/>
        <v>0</v>
      </c>
      <c r="Z105" s="8">
        <f t="shared" si="144"/>
        <v>0.14046766368846875</v>
      </c>
      <c r="AA105" s="100" t="str">
        <f t="shared" si="145"/>
        <v>0</v>
      </c>
      <c r="AB105" s="8">
        <f t="shared" si="146"/>
        <v>1.685611964261625</v>
      </c>
      <c r="AC105" s="100" t="str">
        <f t="shared" si="147"/>
        <v>1</v>
      </c>
      <c r="AD105" s="8">
        <f t="shared" si="148"/>
        <v>8.2273435711394995</v>
      </c>
      <c r="AE105" s="100" t="str">
        <f t="shared" si="149"/>
        <v>8</v>
      </c>
      <c r="AF105" s="8">
        <f t="shared" si="150"/>
        <v>2.7281228536739945</v>
      </c>
      <c r="AG105" s="100" t="str">
        <f t="shared" si="151"/>
        <v/>
      </c>
      <c r="AH105" s="8">
        <f t="shared" si="152"/>
        <v>8.7374742440879345</v>
      </c>
      <c r="AI105" s="100" t="str">
        <f t="shared" si="153"/>
        <v/>
      </c>
      <c r="AJ105" s="8">
        <f t="shared" si="154"/>
        <v>8.8496909290552139</v>
      </c>
      <c r="AK105" s="100" t="str">
        <f t="shared" si="155"/>
        <v/>
      </c>
    </row>
    <row r="106" spans="2:39">
      <c r="B106" s="130"/>
      <c r="C106" s="9" t="s">
        <v>637</v>
      </c>
      <c r="D106" s="210">
        <v>-9</v>
      </c>
      <c r="E106" s="8">
        <v>9</v>
      </c>
      <c r="F106" s="131">
        <f t="shared" si="156"/>
        <v>53.984473095144629</v>
      </c>
      <c r="G106" s="37" t="str">
        <f t="shared" si="157"/>
        <v>4;5E99204XE</v>
      </c>
      <c r="H106" s="37"/>
      <c r="I106" s="340"/>
      <c r="J106" s="38">
        <v>1</v>
      </c>
      <c r="K106" s="132">
        <f t="shared" si="158"/>
        <v>4.4987060912620622</v>
      </c>
      <c r="L106" s="39" t="str">
        <f>INDEX(powers!$H$2:$H$75,33+J106)</f>
        <v>dirac</v>
      </c>
      <c r="M106" s="101" t="str">
        <f t="shared" si="131"/>
        <v>4</v>
      </c>
      <c r="N106" s="8">
        <f t="shared" si="132"/>
        <v>5.9844730951447467</v>
      </c>
      <c r="O106" s="100" t="str">
        <f t="shared" si="133"/>
        <v>5</v>
      </c>
      <c r="P106" s="8">
        <f t="shared" si="134"/>
        <v>11.81367714173696</v>
      </c>
      <c r="Q106" s="100" t="str">
        <f t="shared" si="135"/>
        <v>E</v>
      </c>
      <c r="R106" s="8">
        <f t="shared" si="136"/>
        <v>9.7641257008435218</v>
      </c>
      <c r="S106" s="100" t="str">
        <f t="shared" si="137"/>
        <v>9</v>
      </c>
      <c r="T106" s="8">
        <f t="shared" si="138"/>
        <v>9.1695084101222619</v>
      </c>
      <c r="U106" s="100" t="str">
        <f t="shared" si="139"/>
        <v>9</v>
      </c>
      <c r="V106" s="8">
        <f t="shared" si="140"/>
        <v>2.0341009214671431</v>
      </c>
      <c r="W106" s="100" t="str">
        <f t="shared" si="141"/>
        <v>2</v>
      </c>
      <c r="X106" s="8">
        <f t="shared" si="142"/>
        <v>0.40921105760571663</v>
      </c>
      <c r="Y106" s="100" t="str">
        <f t="shared" si="143"/>
        <v>0</v>
      </c>
      <c r="Z106" s="8">
        <f t="shared" si="144"/>
        <v>4.9105326912685996</v>
      </c>
      <c r="AA106" s="100" t="str">
        <f t="shared" si="145"/>
        <v>4</v>
      </c>
      <c r="AB106" s="8">
        <f t="shared" si="146"/>
        <v>10.926392295223195</v>
      </c>
      <c r="AC106" s="100" t="str">
        <f t="shared" si="147"/>
        <v>X</v>
      </c>
      <c r="AD106" s="8">
        <f t="shared" si="148"/>
        <v>11.116707542678341</v>
      </c>
      <c r="AE106" s="100" t="str">
        <f t="shared" si="149"/>
        <v>E</v>
      </c>
      <c r="AF106" s="8">
        <f t="shared" si="150"/>
        <v>1.4004905121400952</v>
      </c>
      <c r="AG106" s="100" t="str">
        <f t="shared" si="151"/>
        <v/>
      </c>
      <c r="AH106" s="8">
        <f t="shared" si="152"/>
        <v>4.8058861456811428</v>
      </c>
      <c r="AI106" s="100" t="str">
        <f t="shared" si="153"/>
        <v/>
      </c>
      <c r="AJ106" s="8">
        <f t="shared" si="154"/>
        <v>9.6706337481737137</v>
      </c>
      <c r="AK106" s="100" t="str">
        <f t="shared" si="155"/>
        <v/>
      </c>
    </row>
    <row r="107" spans="2:39">
      <c r="B107" s="130" t="s">
        <v>653</v>
      </c>
      <c r="C107" s="9" t="s">
        <v>638</v>
      </c>
      <c r="D107" s="210">
        <v>0</v>
      </c>
      <c r="E107" s="8">
        <v>9</v>
      </c>
      <c r="F107" s="131">
        <f t="shared" si="156"/>
        <v>61.418038886133218</v>
      </c>
      <c r="G107" s="37" t="str">
        <f t="shared" si="157"/>
        <v>5;150245551</v>
      </c>
      <c r="H107" s="37"/>
      <c r="I107" s="340"/>
      <c r="J107" s="38">
        <v>1</v>
      </c>
      <c r="K107" s="132">
        <f t="shared" si="158"/>
        <v>5.1181699071777782</v>
      </c>
      <c r="L107" s="39" t="str">
        <f>INDEX(powers!$H$2:$H$75,33+J107)</f>
        <v>dirac</v>
      </c>
      <c r="M107" s="101" t="str">
        <f t="shared" si="131"/>
        <v>5</v>
      </c>
      <c r="N107" s="8">
        <f t="shared" si="132"/>
        <v>1.4180388861333384</v>
      </c>
      <c r="O107" s="100" t="str">
        <f t="shared" si="133"/>
        <v>1</v>
      </c>
      <c r="P107" s="8">
        <f t="shared" si="134"/>
        <v>5.0164666336000607</v>
      </c>
      <c r="Q107" s="100" t="str">
        <f t="shared" si="135"/>
        <v>5</v>
      </c>
      <c r="R107" s="8">
        <f t="shared" si="136"/>
        <v>0.19759960320072878</v>
      </c>
      <c r="S107" s="100" t="str">
        <f t="shared" si="137"/>
        <v>0</v>
      </c>
      <c r="T107" s="8">
        <f t="shared" si="138"/>
        <v>2.3711952384087454</v>
      </c>
      <c r="U107" s="100" t="str">
        <f t="shared" si="139"/>
        <v>2</v>
      </c>
      <c r="V107" s="8">
        <f t="shared" si="140"/>
        <v>4.4543428609049442</v>
      </c>
      <c r="W107" s="100" t="str">
        <f t="shared" si="141"/>
        <v>4</v>
      </c>
      <c r="X107" s="8">
        <f t="shared" si="142"/>
        <v>5.4521143308593309</v>
      </c>
      <c r="Y107" s="100" t="str">
        <f t="shared" si="143"/>
        <v>5</v>
      </c>
      <c r="Z107" s="8">
        <f t="shared" si="144"/>
        <v>5.4253719703119714</v>
      </c>
      <c r="AA107" s="100" t="str">
        <f t="shared" si="145"/>
        <v>5</v>
      </c>
      <c r="AB107" s="8">
        <f t="shared" si="146"/>
        <v>5.1044636437436566</v>
      </c>
      <c r="AC107" s="100" t="str">
        <f t="shared" si="147"/>
        <v>5</v>
      </c>
      <c r="AD107" s="8">
        <f t="shared" si="148"/>
        <v>1.2535637249238789</v>
      </c>
      <c r="AE107" s="100" t="str">
        <f t="shared" si="149"/>
        <v>1</v>
      </c>
      <c r="AF107" s="8">
        <f t="shared" si="150"/>
        <v>3.0427646990865469</v>
      </c>
      <c r="AG107" s="100" t="str">
        <f t="shared" si="151"/>
        <v/>
      </c>
      <c r="AH107" s="8">
        <f t="shared" si="152"/>
        <v>0.51317638903856277</v>
      </c>
      <c r="AI107" s="100" t="str">
        <f t="shared" si="153"/>
        <v/>
      </c>
      <c r="AJ107" s="8">
        <f t="shared" si="154"/>
        <v>6.1581166684627533</v>
      </c>
      <c r="AK107" s="100" t="str">
        <f t="shared" si="155"/>
        <v/>
      </c>
      <c r="AL107" s="253">
        <f>5*12+1+5/12</f>
        <v>61.416666666666664</v>
      </c>
      <c r="AM107" s="253">
        <f t="shared" ref="AM107:AM109" si="159">-AL107*F$6*POWER(12,-12)+D107</f>
        <v>-74.358661178471934</v>
      </c>
    </row>
    <row r="108" spans="2:39">
      <c r="B108" s="130" t="s">
        <v>662</v>
      </c>
      <c r="C108" s="9" t="s">
        <v>663</v>
      </c>
      <c r="D108" s="210">
        <v>8.8999999999999995E-5</v>
      </c>
      <c r="E108" s="8">
        <v>9</v>
      </c>
      <c r="F108" s="131">
        <f t="shared" si="156"/>
        <v>61.418112395839373</v>
      </c>
      <c r="G108" s="37" t="str">
        <f t="shared" si="157"/>
        <v>5;15025E8E1</v>
      </c>
      <c r="H108" s="37"/>
      <c r="I108" s="340"/>
      <c r="J108" s="38">
        <v>1</v>
      </c>
      <c r="K108" s="132">
        <f t="shared" si="158"/>
        <v>5.1181760329866242</v>
      </c>
      <c r="L108" s="39" t="str">
        <f>INDEX(powers!$H$2:$H$75,33+J108)</f>
        <v>dirac</v>
      </c>
      <c r="M108" s="101" t="str">
        <f t="shared" si="131"/>
        <v>5</v>
      </c>
      <c r="N108" s="8">
        <f t="shared" si="132"/>
        <v>1.4181123958394899</v>
      </c>
      <c r="O108" s="100" t="str">
        <f t="shared" si="133"/>
        <v>1</v>
      </c>
      <c r="P108" s="8">
        <f t="shared" si="134"/>
        <v>5.0173487500738787</v>
      </c>
      <c r="Q108" s="100" t="str">
        <f t="shared" si="135"/>
        <v>5</v>
      </c>
      <c r="R108" s="8">
        <f t="shared" si="136"/>
        <v>0.20818500088654446</v>
      </c>
      <c r="S108" s="100" t="str">
        <f t="shared" si="137"/>
        <v>0</v>
      </c>
      <c r="T108" s="8">
        <f t="shared" si="138"/>
        <v>2.4982200106385335</v>
      </c>
      <c r="U108" s="100" t="str">
        <f t="shared" si="139"/>
        <v>2</v>
      </c>
      <c r="V108" s="8">
        <f t="shared" si="140"/>
        <v>5.9786401276624019</v>
      </c>
      <c r="W108" s="100" t="str">
        <f t="shared" si="141"/>
        <v>5</v>
      </c>
      <c r="X108" s="8">
        <f t="shared" si="142"/>
        <v>11.743681531948823</v>
      </c>
      <c r="Y108" s="100" t="str">
        <f t="shared" si="143"/>
        <v>E</v>
      </c>
      <c r="Z108" s="8">
        <f t="shared" si="144"/>
        <v>8.924178383385879</v>
      </c>
      <c r="AA108" s="100" t="str">
        <f t="shared" si="145"/>
        <v>8</v>
      </c>
      <c r="AB108" s="8">
        <f t="shared" si="146"/>
        <v>11.090140600630548</v>
      </c>
      <c r="AC108" s="100" t="str">
        <f t="shared" si="147"/>
        <v>E</v>
      </c>
      <c r="AD108" s="8">
        <f t="shared" si="148"/>
        <v>1.0816872075665742</v>
      </c>
      <c r="AE108" s="100" t="str">
        <f t="shared" si="149"/>
        <v>1</v>
      </c>
      <c r="AF108" s="8">
        <f t="shared" si="150"/>
        <v>0.98024649079889059</v>
      </c>
      <c r="AG108" s="100" t="str">
        <f t="shared" si="151"/>
        <v/>
      </c>
      <c r="AH108" s="8">
        <f t="shared" si="152"/>
        <v>11.762957889586687</v>
      </c>
      <c r="AI108" s="100" t="str">
        <f t="shared" si="153"/>
        <v/>
      </c>
      <c r="AJ108" s="8">
        <f t="shared" si="154"/>
        <v>9.1554946750402451</v>
      </c>
      <c r="AK108" s="100" t="str">
        <f t="shared" si="155"/>
        <v/>
      </c>
      <c r="AL108" s="253">
        <f>5*12+1+5/12</f>
        <v>61.416666666666664</v>
      </c>
      <c r="AM108" s="253">
        <f t="shared" si="159"/>
        <v>-74.358572178471931</v>
      </c>
    </row>
    <row r="109" spans="2:39">
      <c r="B109" s="130" t="s">
        <v>654</v>
      </c>
      <c r="C109" s="9" t="s">
        <v>648</v>
      </c>
      <c r="D109" s="210">
        <v>0.01</v>
      </c>
      <c r="E109" s="8">
        <v>9</v>
      </c>
      <c r="F109" s="131">
        <f t="shared" si="156"/>
        <v>61.426298403678764</v>
      </c>
      <c r="G109" s="37" t="str">
        <f t="shared" si="157"/>
        <v>5;151478827</v>
      </c>
      <c r="H109" s="37"/>
      <c r="I109" s="340"/>
      <c r="J109" s="38">
        <v>1</v>
      </c>
      <c r="K109" s="132">
        <f t="shared" si="158"/>
        <v>5.1188582003065735</v>
      </c>
      <c r="L109" s="39" t="str">
        <f>INDEX(powers!$H$2:$H$75,33+J109)</f>
        <v>dirac</v>
      </c>
      <c r="M109" s="101" t="str">
        <f t="shared" si="131"/>
        <v>5</v>
      </c>
      <c r="N109" s="8">
        <f t="shared" si="132"/>
        <v>1.4262984036788815</v>
      </c>
      <c r="O109" s="100" t="str">
        <f t="shared" si="133"/>
        <v>1</v>
      </c>
      <c r="P109" s="8">
        <f t="shared" si="134"/>
        <v>5.115580844146578</v>
      </c>
      <c r="Q109" s="100" t="str">
        <f t="shared" si="135"/>
        <v>5</v>
      </c>
      <c r="R109" s="8">
        <f t="shared" si="136"/>
        <v>1.3869701297589359</v>
      </c>
      <c r="S109" s="100" t="str">
        <f t="shared" si="137"/>
        <v>1</v>
      </c>
      <c r="T109" s="8">
        <f t="shared" si="138"/>
        <v>4.6436415571072303</v>
      </c>
      <c r="U109" s="100" t="str">
        <f t="shared" si="139"/>
        <v>4</v>
      </c>
      <c r="V109" s="8">
        <f t="shared" si="140"/>
        <v>7.7236986852867631</v>
      </c>
      <c r="W109" s="100" t="str">
        <f t="shared" si="141"/>
        <v>7</v>
      </c>
      <c r="X109" s="8">
        <f t="shared" si="142"/>
        <v>8.6843842234411568</v>
      </c>
      <c r="Y109" s="100" t="str">
        <f t="shared" si="143"/>
        <v>8</v>
      </c>
      <c r="Z109" s="8">
        <f t="shared" si="144"/>
        <v>8.2126106812938815</v>
      </c>
      <c r="AA109" s="100" t="str">
        <f t="shared" si="145"/>
        <v>8</v>
      </c>
      <c r="AB109" s="8">
        <f t="shared" si="146"/>
        <v>2.551328175526578</v>
      </c>
      <c r="AC109" s="100" t="str">
        <f t="shared" si="147"/>
        <v>2</v>
      </c>
      <c r="AD109" s="8">
        <f t="shared" si="148"/>
        <v>6.6159381063189358</v>
      </c>
      <c r="AE109" s="100" t="str">
        <f t="shared" si="149"/>
        <v>7</v>
      </c>
      <c r="AF109" s="8">
        <f t="shared" si="150"/>
        <v>7.391257275827229</v>
      </c>
      <c r="AG109" s="100" t="str">
        <f t="shared" si="151"/>
        <v/>
      </c>
      <c r="AH109" s="8">
        <f t="shared" si="152"/>
        <v>4.6950873099267483</v>
      </c>
      <c r="AI109" s="100" t="str">
        <f t="shared" si="153"/>
        <v/>
      </c>
      <c r="AJ109" s="8">
        <f t="shared" si="154"/>
        <v>8.3410477191209793</v>
      </c>
      <c r="AK109" s="100" t="str">
        <f t="shared" si="155"/>
        <v/>
      </c>
      <c r="AL109" s="253">
        <f>5*12+1+5/12</f>
        <v>61.416666666666664</v>
      </c>
      <c r="AM109" s="253">
        <f t="shared" si="159"/>
        <v>-74.348661178471929</v>
      </c>
    </row>
    <row r="110" spans="2:39">
      <c r="B110" s="130" t="s">
        <v>656</v>
      </c>
      <c r="C110" s="9" t="s">
        <v>639</v>
      </c>
      <c r="D110" s="210">
        <v>3.98</v>
      </c>
      <c r="E110" s="8">
        <v>9</v>
      </c>
      <c r="F110" s="131">
        <f t="shared" si="156"/>
        <v>64.705326869259281</v>
      </c>
      <c r="G110" s="37" t="str">
        <f t="shared" si="157"/>
        <v>5;485697X8E</v>
      </c>
      <c r="H110" s="37"/>
      <c r="I110" s="340"/>
      <c r="J110" s="38">
        <v>1</v>
      </c>
      <c r="K110" s="132">
        <f t="shared" si="158"/>
        <v>5.3921105724382832</v>
      </c>
      <c r="L110" s="39" t="str">
        <f>INDEX(powers!$H$2:$H$75,33+J110)</f>
        <v>dirac</v>
      </c>
      <c r="M110" s="101" t="str">
        <f t="shared" si="131"/>
        <v>5</v>
      </c>
      <c r="N110" s="8">
        <f t="shared" si="132"/>
        <v>4.7053268692593981</v>
      </c>
      <c r="O110" s="100" t="str">
        <f t="shared" si="133"/>
        <v>4</v>
      </c>
      <c r="P110" s="8">
        <f t="shared" si="134"/>
        <v>8.4639224311127776</v>
      </c>
      <c r="Q110" s="100" t="str">
        <f t="shared" si="135"/>
        <v>8</v>
      </c>
      <c r="R110" s="8">
        <f t="shared" si="136"/>
        <v>5.5670691733533317</v>
      </c>
      <c r="S110" s="100" t="str">
        <f t="shared" si="137"/>
        <v>5</v>
      </c>
      <c r="T110" s="8">
        <f t="shared" si="138"/>
        <v>6.8048300802399808</v>
      </c>
      <c r="U110" s="100" t="str">
        <f t="shared" si="139"/>
        <v>6</v>
      </c>
      <c r="V110" s="8">
        <f t="shared" si="140"/>
        <v>9.6579609628797698</v>
      </c>
      <c r="W110" s="100" t="str">
        <f t="shared" si="141"/>
        <v>9</v>
      </c>
      <c r="X110" s="8">
        <f t="shared" si="142"/>
        <v>7.8955315545572375</v>
      </c>
      <c r="Y110" s="100" t="str">
        <f t="shared" si="143"/>
        <v>7</v>
      </c>
      <c r="Z110" s="8">
        <f t="shared" si="144"/>
        <v>10.74637865468685</v>
      </c>
      <c r="AA110" s="100" t="str">
        <f t="shared" si="145"/>
        <v>X</v>
      </c>
      <c r="AB110" s="8">
        <f t="shared" si="146"/>
        <v>8.9565438562422059</v>
      </c>
      <c r="AC110" s="100" t="str">
        <f t="shared" si="147"/>
        <v>8</v>
      </c>
      <c r="AD110" s="8">
        <f t="shared" si="148"/>
        <v>11.478526274906471</v>
      </c>
      <c r="AE110" s="100" t="str">
        <f t="shared" si="149"/>
        <v>E</v>
      </c>
      <c r="AF110" s="8">
        <f t="shared" si="150"/>
        <v>5.7423152988776565</v>
      </c>
      <c r="AG110" s="100" t="str">
        <f t="shared" si="151"/>
        <v/>
      </c>
      <c r="AH110" s="8">
        <f t="shared" si="152"/>
        <v>8.9077835865318775</v>
      </c>
      <c r="AI110" s="100" t="str">
        <f t="shared" si="153"/>
        <v/>
      </c>
      <c r="AJ110" s="8">
        <f t="shared" si="154"/>
        <v>10.89340303838253</v>
      </c>
      <c r="AK110" s="100" t="str">
        <f t="shared" si="155"/>
        <v/>
      </c>
    </row>
    <row r="111" spans="2:39">
      <c r="B111" s="130"/>
      <c r="C111" s="9" t="s">
        <v>640</v>
      </c>
      <c r="D111" s="210">
        <v>14</v>
      </c>
      <c r="E111" s="8">
        <v>9</v>
      </c>
      <c r="F111" s="131">
        <f t="shared" si="156"/>
        <v>72.981363449893237</v>
      </c>
      <c r="G111" s="37" t="str">
        <f t="shared" si="157"/>
        <v>6;0E9396769</v>
      </c>
      <c r="H111" s="37"/>
      <c r="I111" s="340"/>
      <c r="J111" s="38">
        <v>1</v>
      </c>
      <c r="K111" s="132">
        <f t="shared" si="158"/>
        <v>6.0817802874911129</v>
      </c>
      <c r="L111" s="39" t="str">
        <f>INDEX(powers!$H$2:$H$75,33+J111)</f>
        <v>dirac</v>
      </c>
      <c r="M111" s="101" t="str">
        <f t="shared" si="131"/>
        <v>6</v>
      </c>
      <c r="N111" s="8">
        <f t="shared" si="132"/>
        <v>0.98136344989335456</v>
      </c>
      <c r="O111" s="100" t="str">
        <f t="shared" si="133"/>
        <v>0</v>
      </c>
      <c r="P111" s="8">
        <f t="shared" si="134"/>
        <v>11.776361398720255</v>
      </c>
      <c r="Q111" s="100" t="str">
        <f t="shared" si="135"/>
        <v>E</v>
      </c>
      <c r="R111" s="8">
        <f t="shared" si="136"/>
        <v>9.316336784643056</v>
      </c>
      <c r="S111" s="100" t="str">
        <f t="shared" si="137"/>
        <v>9</v>
      </c>
      <c r="T111" s="8">
        <f t="shared" si="138"/>
        <v>3.7960414157166724</v>
      </c>
      <c r="U111" s="100" t="str">
        <f t="shared" si="139"/>
        <v>3</v>
      </c>
      <c r="V111" s="8">
        <f t="shared" si="140"/>
        <v>9.552496988600069</v>
      </c>
      <c r="W111" s="100" t="str">
        <f t="shared" si="141"/>
        <v>9</v>
      </c>
      <c r="X111" s="8">
        <f t="shared" si="142"/>
        <v>6.6299638632008282</v>
      </c>
      <c r="Y111" s="100" t="str">
        <f t="shared" si="143"/>
        <v>6</v>
      </c>
      <c r="Z111" s="8">
        <f t="shared" si="144"/>
        <v>7.5595663584099384</v>
      </c>
      <c r="AA111" s="100" t="str">
        <f t="shared" si="145"/>
        <v>7</v>
      </c>
      <c r="AB111" s="8">
        <f t="shared" si="146"/>
        <v>6.7147963009192608</v>
      </c>
      <c r="AC111" s="100" t="str">
        <f t="shared" si="147"/>
        <v>6</v>
      </c>
      <c r="AD111" s="8">
        <f t="shared" si="148"/>
        <v>8.57755561103113</v>
      </c>
      <c r="AE111" s="100" t="str">
        <f t="shared" si="149"/>
        <v>9</v>
      </c>
      <c r="AF111" s="8">
        <f t="shared" si="150"/>
        <v>6.9306673323735595</v>
      </c>
      <c r="AG111" s="100" t="str">
        <f t="shared" si="151"/>
        <v/>
      </c>
      <c r="AH111" s="8">
        <f t="shared" si="152"/>
        <v>11.168007988482714</v>
      </c>
      <c r="AI111" s="100" t="str">
        <f t="shared" si="153"/>
        <v/>
      </c>
      <c r="AJ111" s="8">
        <f t="shared" si="154"/>
        <v>2.0160958617925644</v>
      </c>
      <c r="AK111" s="100" t="str">
        <f t="shared" si="155"/>
        <v/>
      </c>
    </row>
    <row r="112" spans="2:39">
      <c r="B112" s="130"/>
      <c r="C112" s="9" t="s">
        <v>660</v>
      </c>
      <c r="D112" s="210">
        <v>15</v>
      </c>
      <c r="E112" s="8">
        <v>9</v>
      </c>
      <c r="F112" s="131">
        <f t="shared" si="156"/>
        <v>73.807315204447519</v>
      </c>
      <c r="G112" s="37" t="str">
        <f t="shared" si="157"/>
        <v>6;198305X35</v>
      </c>
      <c r="H112" s="37"/>
      <c r="I112" s="340"/>
      <c r="J112" s="38">
        <v>1</v>
      </c>
      <c r="K112" s="132">
        <f t="shared" si="158"/>
        <v>6.1506096003706361</v>
      </c>
      <c r="L112" s="39" t="str">
        <f>INDEX(powers!$H$2:$H$75,33+J112)</f>
        <v>dirac</v>
      </c>
      <c r="M112" s="101" t="str">
        <f t="shared" si="131"/>
        <v>6</v>
      </c>
      <c r="N112" s="8">
        <f t="shared" si="132"/>
        <v>1.8073152044476331</v>
      </c>
      <c r="O112" s="100" t="str">
        <f t="shared" si="133"/>
        <v>1</v>
      </c>
      <c r="P112" s="8">
        <f t="shared" si="134"/>
        <v>9.6877824533715966</v>
      </c>
      <c r="Q112" s="100" t="str">
        <f t="shared" si="135"/>
        <v>9</v>
      </c>
      <c r="R112" s="8">
        <f t="shared" si="136"/>
        <v>8.2533894404591592</v>
      </c>
      <c r="S112" s="100" t="str">
        <f t="shared" si="137"/>
        <v>8</v>
      </c>
      <c r="T112" s="8">
        <f t="shared" si="138"/>
        <v>3.0406732855099108</v>
      </c>
      <c r="U112" s="100" t="str">
        <f t="shared" si="139"/>
        <v>3</v>
      </c>
      <c r="V112" s="8">
        <f t="shared" si="140"/>
        <v>0.4880794261189294</v>
      </c>
      <c r="W112" s="100" t="str">
        <f t="shared" si="141"/>
        <v>0</v>
      </c>
      <c r="X112" s="8">
        <f t="shared" si="142"/>
        <v>5.8569531134271529</v>
      </c>
      <c r="Y112" s="100" t="str">
        <f t="shared" si="143"/>
        <v>5</v>
      </c>
      <c r="Z112" s="8">
        <f t="shared" si="144"/>
        <v>10.283437361125834</v>
      </c>
      <c r="AA112" s="100" t="str">
        <f t="shared" si="145"/>
        <v>X</v>
      </c>
      <c r="AB112" s="8">
        <f t="shared" si="146"/>
        <v>3.4012483335100114</v>
      </c>
      <c r="AC112" s="100" t="str">
        <f t="shared" si="147"/>
        <v>3</v>
      </c>
      <c r="AD112" s="8">
        <f t="shared" si="148"/>
        <v>4.8149800021201372</v>
      </c>
      <c r="AE112" s="100" t="str">
        <f t="shared" si="149"/>
        <v>5</v>
      </c>
      <c r="AF112" s="8">
        <f t="shared" si="150"/>
        <v>9.7797600254416466</v>
      </c>
      <c r="AG112" s="100" t="str">
        <f t="shared" si="151"/>
        <v/>
      </c>
      <c r="AH112" s="8">
        <f t="shared" si="152"/>
        <v>9.3571203052997589</v>
      </c>
      <c r="AI112" s="100" t="str">
        <f t="shared" si="153"/>
        <v/>
      </c>
      <c r="AJ112" s="8">
        <f t="shared" si="154"/>
        <v>4.2854436635971069</v>
      </c>
      <c r="AK112" s="100" t="str">
        <f t="shared" si="155"/>
        <v/>
      </c>
      <c r="AL112" s="253">
        <f>6*12+1+9/12+8/144+3/1728</f>
        <v>73.807291666666671</v>
      </c>
      <c r="AM112" s="253">
        <f>-AL112*F$6*POWER(12,-12)+D112</f>
        <v>-74.360294060390586</v>
      </c>
    </row>
    <row r="113" spans="2:39">
      <c r="B113" s="130"/>
      <c r="C113" s="9" t="s">
        <v>641</v>
      </c>
      <c r="D113" s="210">
        <v>20</v>
      </c>
      <c r="E113" s="8">
        <v>9</v>
      </c>
      <c r="F113" s="131">
        <f t="shared" si="156"/>
        <v>77.937073977218958</v>
      </c>
      <c r="G113" s="37" t="str">
        <f t="shared" si="157"/>
        <v>6;5E2E31EXX</v>
      </c>
      <c r="H113" s="37"/>
      <c r="I113" s="340"/>
      <c r="J113" s="38">
        <v>1</v>
      </c>
      <c r="K113" s="132">
        <f t="shared" si="158"/>
        <v>6.4947561647682566</v>
      </c>
      <c r="L113" s="39" t="str">
        <f>INDEX(powers!$H$2:$H$75,33+J113)</f>
        <v>dirac</v>
      </c>
      <c r="M113" s="101" t="str">
        <f t="shared" si="131"/>
        <v>6</v>
      </c>
      <c r="N113" s="8">
        <f t="shared" si="132"/>
        <v>5.9370739772190788</v>
      </c>
      <c r="O113" s="100" t="str">
        <f t="shared" si="133"/>
        <v>5</v>
      </c>
      <c r="P113" s="8">
        <f t="shared" si="134"/>
        <v>11.244887726628946</v>
      </c>
      <c r="Q113" s="100" t="str">
        <f t="shared" si="135"/>
        <v>E</v>
      </c>
      <c r="R113" s="8">
        <f t="shared" si="136"/>
        <v>2.9386527195473491</v>
      </c>
      <c r="S113" s="100" t="str">
        <f t="shared" si="137"/>
        <v>2</v>
      </c>
      <c r="T113" s="8">
        <f t="shared" si="138"/>
        <v>11.263832634568189</v>
      </c>
      <c r="U113" s="100" t="str">
        <f t="shared" si="139"/>
        <v>E</v>
      </c>
      <c r="V113" s="8">
        <f t="shared" si="140"/>
        <v>3.1659916148182674</v>
      </c>
      <c r="W113" s="100" t="str">
        <f t="shared" si="141"/>
        <v>3</v>
      </c>
      <c r="X113" s="8">
        <f t="shared" si="142"/>
        <v>1.9918993778192089</v>
      </c>
      <c r="Y113" s="100" t="str">
        <f t="shared" si="143"/>
        <v>1</v>
      </c>
      <c r="Z113" s="8">
        <f t="shared" si="144"/>
        <v>11.902792533830507</v>
      </c>
      <c r="AA113" s="100" t="str">
        <f t="shared" si="145"/>
        <v>E</v>
      </c>
      <c r="AB113" s="8">
        <f t="shared" si="146"/>
        <v>10.833510405966081</v>
      </c>
      <c r="AC113" s="100" t="str">
        <f t="shared" si="147"/>
        <v>X</v>
      </c>
      <c r="AD113" s="8">
        <f t="shared" si="148"/>
        <v>10.002124871592969</v>
      </c>
      <c r="AE113" s="100" t="str">
        <f t="shared" si="149"/>
        <v>X</v>
      </c>
      <c r="AF113" s="8">
        <f t="shared" si="150"/>
        <v>2.5498459115624428E-2</v>
      </c>
      <c r="AG113" s="100" t="str">
        <f t="shared" si="151"/>
        <v/>
      </c>
      <c r="AH113" s="8">
        <f t="shared" si="152"/>
        <v>0.30598150938749313</v>
      </c>
      <c r="AI113" s="100" t="str">
        <f t="shared" si="153"/>
        <v/>
      </c>
      <c r="AJ113" s="8">
        <f t="shared" si="154"/>
        <v>3.6717781126499176</v>
      </c>
      <c r="AK113" s="100" t="str">
        <f t="shared" si="155"/>
        <v/>
      </c>
    </row>
    <row r="114" spans="2:39">
      <c r="B114" s="130"/>
      <c r="C114" s="9" t="s">
        <v>661</v>
      </c>
      <c r="D114" s="210">
        <v>25.5</v>
      </c>
      <c r="E114" s="8">
        <v>9</v>
      </c>
      <c r="F114" s="131">
        <f t="shared" si="156"/>
        <v>82.479808627267545</v>
      </c>
      <c r="G114" s="37" t="str">
        <f t="shared" si="157"/>
        <v>6;X591138X7</v>
      </c>
      <c r="H114" s="37"/>
      <c r="I114" s="340"/>
      <c r="J114" s="38">
        <v>1</v>
      </c>
      <c r="K114" s="132">
        <f t="shared" si="158"/>
        <v>6.8733173856056382</v>
      </c>
      <c r="L114" s="39" t="str">
        <f>INDEX(powers!$H$2:$H$75,33+J114)</f>
        <v>dirac</v>
      </c>
      <c r="M114" s="101" t="str">
        <f t="shared" si="131"/>
        <v>6</v>
      </c>
      <c r="N114" s="8">
        <f t="shared" si="132"/>
        <v>10.479808627267658</v>
      </c>
      <c r="O114" s="100" t="str">
        <f t="shared" si="133"/>
        <v>X</v>
      </c>
      <c r="P114" s="8">
        <f t="shared" si="134"/>
        <v>5.7577035272119019</v>
      </c>
      <c r="Q114" s="100" t="str">
        <f t="shared" si="135"/>
        <v>5</v>
      </c>
      <c r="R114" s="8">
        <f t="shared" si="136"/>
        <v>9.0924423265428231</v>
      </c>
      <c r="S114" s="100" t="str">
        <f t="shared" si="137"/>
        <v>9</v>
      </c>
      <c r="T114" s="8">
        <f t="shared" si="138"/>
        <v>1.1093079185138777</v>
      </c>
      <c r="U114" s="100" t="str">
        <f t="shared" si="139"/>
        <v>1</v>
      </c>
      <c r="V114" s="8">
        <f t="shared" si="140"/>
        <v>1.311695022166532</v>
      </c>
      <c r="W114" s="100" t="str">
        <f t="shared" si="141"/>
        <v>1</v>
      </c>
      <c r="X114" s="8">
        <f t="shared" si="142"/>
        <v>3.740340265998384</v>
      </c>
      <c r="Y114" s="100" t="str">
        <f t="shared" si="143"/>
        <v>3</v>
      </c>
      <c r="Z114" s="8">
        <f t="shared" si="144"/>
        <v>8.8840831919806078</v>
      </c>
      <c r="AA114" s="100" t="str">
        <f t="shared" si="145"/>
        <v>8</v>
      </c>
      <c r="AB114" s="8">
        <f t="shared" si="146"/>
        <v>10.608998303767294</v>
      </c>
      <c r="AC114" s="100" t="str">
        <f t="shared" si="147"/>
        <v>X</v>
      </c>
      <c r="AD114" s="8">
        <f t="shared" si="148"/>
        <v>7.3079796452075243</v>
      </c>
      <c r="AE114" s="100" t="str">
        <f t="shared" si="149"/>
        <v>7</v>
      </c>
      <c r="AF114" s="8">
        <f t="shared" si="150"/>
        <v>3.6957557424902916</v>
      </c>
      <c r="AG114" s="100" t="str">
        <f t="shared" si="151"/>
        <v/>
      </c>
      <c r="AH114" s="8">
        <f t="shared" si="152"/>
        <v>8.3490689098834991</v>
      </c>
      <c r="AI114" s="100" t="str">
        <f t="shared" si="153"/>
        <v/>
      </c>
      <c r="AJ114" s="8">
        <f t="shared" si="154"/>
        <v>4.1888269186019897</v>
      </c>
      <c r="AK114" s="100" t="str">
        <f t="shared" si="155"/>
        <v/>
      </c>
      <c r="AL114" s="253">
        <f>6*12+10+6/12</f>
        <v>82.5</v>
      </c>
      <c r="AM114" s="253">
        <f>-AL114*F$6*POWER(12,-12)+D114</f>
        <v>-74.384768747201107</v>
      </c>
    </row>
    <row r="115" spans="2:39">
      <c r="B115" s="95"/>
      <c r="C115" s="9" t="s">
        <v>642</v>
      </c>
      <c r="D115" s="210">
        <v>37</v>
      </c>
      <c r="E115" s="8">
        <v>9</v>
      </c>
      <c r="F115" s="131">
        <f t="shared" si="156"/>
        <v>91.978253804641852</v>
      </c>
      <c r="G115" s="37" t="str">
        <f t="shared" si="157"/>
        <v>7;7E8X50X26</v>
      </c>
      <c r="H115" s="37"/>
      <c r="I115" s="340"/>
      <c r="J115" s="38">
        <v>1</v>
      </c>
      <c r="K115" s="132">
        <f t="shared" si="158"/>
        <v>7.6648544837201644</v>
      </c>
      <c r="L115" s="39" t="str">
        <f>INDEX(powers!$H$2:$H$75,33+J115)</f>
        <v>dirac</v>
      </c>
      <c r="M115" s="101" t="str">
        <f t="shared" si="131"/>
        <v>7</v>
      </c>
      <c r="N115" s="8">
        <f t="shared" si="132"/>
        <v>7.9782538046419731</v>
      </c>
      <c r="O115" s="100" t="str">
        <f t="shared" si="133"/>
        <v>7</v>
      </c>
      <c r="P115" s="8">
        <f t="shared" si="134"/>
        <v>11.739045655703677</v>
      </c>
      <c r="Q115" s="100" t="str">
        <f t="shared" si="135"/>
        <v>E</v>
      </c>
      <c r="R115" s="8">
        <f t="shared" si="136"/>
        <v>8.868547868444125</v>
      </c>
      <c r="S115" s="100" t="str">
        <f t="shared" si="137"/>
        <v>8</v>
      </c>
      <c r="T115" s="8">
        <f t="shared" si="138"/>
        <v>10.4225744213295</v>
      </c>
      <c r="U115" s="100" t="str">
        <f t="shared" si="139"/>
        <v>X</v>
      </c>
      <c r="V115" s="8">
        <f t="shared" si="140"/>
        <v>5.0708930559540022</v>
      </c>
      <c r="W115" s="100" t="str">
        <f t="shared" si="141"/>
        <v>5</v>
      </c>
      <c r="X115" s="8">
        <f t="shared" si="142"/>
        <v>0.85071667144802632</v>
      </c>
      <c r="Y115" s="100" t="str">
        <f t="shared" si="143"/>
        <v>0</v>
      </c>
      <c r="Z115" s="8">
        <f t="shared" si="144"/>
        <v>10.208600057376316</v>
      </c>
      <c r="AA115" s="100" t="str">
        <f t="shared" si="145"/>
        <v>X</v>
      </c>
      <c r="AB115" s="8">
        <f t="shared" si="146"/>
        <v>2.5032006885157898</v>
      </c>
      <c r="AC115" s="100" t="str">
        <f t="shared" si="147"/>
        <v>2</v>
      </c>
      <c r="AD115" s="8">
        <f t="shared" si="148"/>
        <v>6.0384082621894777</v>
      </c>
      <c r="AE115" s="100" t="str">
        <f t="shared" si="149"/>
        <v>6</v>
      </c>
      <c r="AF115" s="8">
        <f t="shared" si="150"/>
        <v>0.46089914627373219</v>
      </c>
      <c r="AG115" s="100" t="str">
        <f t="shared" si="151"/>
        <v/>
      </c>
      <c r="AH115" s="8">
        <f t="shared" si="152"/>
        <v>5.5307897552847862</v>
      </c>
      <c r="AI115" s="100" t="str">
        <f t="shared" si="153"/>
        <v/>
      </c>
      <c r="AJ115" s="8">
        <f t="shared" si="154"/>
        <v>6.3694770634174347</v>
      </c>
      <c r="AK115" s="100" t="str">
        <f t="shared" si="155"/>
        <v/>
      </c>
    </row>
    <row r="116" spans="2:39">
      <c r="B116" s="130"/>
      <c r="C116" s="9" t="s">
        <v>643</v>
      </c>
      <c r="D116" s="210">
        <v>37.799999999999997</v>
      </c>
      <c r="E116" s="8">
        <v>9</v>
      </c>
      <c r="F116" s="131">
        <f t="shared" si="156"/>
        <v>92.639015208285272</v>
      </c>
      <c r="G116" s="37" t="str">
        <f t="shared" si="157"/>
        <v>7;878027523</v>
      </c>
      <c r="H116" s="37"/>
      <c r="I116" s="340"/>
      <c r="J116" s="38">
        <v>1</v>
      </c>
      <c r="K116" s="132">
        <f t="shared" si="158"/>
        <v>7.7199179340237825</v>
      </c>
      <c r="L116" s="39" t="str">
        <f>INDEX(powers!$H$2:$H$75,33+J116)</f>
        <v>dirac</v>
      </c>
      <c r="M116" s="101" t="str">
        <f t="shared" si="131"/>
        <v>7</v>
      </c>
      <c r="N116" s="8">
        <f t="shared" si="132"/>
        <v>8.6390152082853895</v>
      </c>
      <c r="O116" s="100" t="str">
        <f t="shared" si="133"/>
        <v>8</v>
      </c>
      <c r="P116" s="8">
        <f t="shared" si="134"/>
        <v>7.6681824994246739</v>
      </c>
      <c r="Q116" s="100" t="str">
        <f t="shared" si="135"/>
        <v>7</v>
      </c>
      <c r="R116" s="8">
        <f t="shared" si="136"/>
        <v>8.0181899930960867</v>
      </c>
      <c r="S116" s="100" t="str">
        <f t="shared" si="137"/>
        <v>8</v>
      </c>
      <c r="T116" s="8">
        <f t="shared" si="138"/>
        <v>0.21827991715304051</v>
      </c>
      <c r="U116" s="100" t="str">
        <f t="shared" si="139"/>
        <v>0</v>
      </c>
      <c r="V116" s="8">
        <f t="shared" si="140"/>
        <v>2.6193590058364862</v>
      </c>
      <c r="W116" s="100" t="str">
        <f t="shared" si="141"/>
        <v>2</v>
      </c>
      <c r="X116" s="8">
        <f t="shared" si="142"/>
        <v>7.4323080700378341</v>
      </c>
      <c r="Y116" s="100" t="str">
        <f t="shared" si="143"/>
        <v>7</v>
      </c>
      <c r="Z116" s="8">
        <f t="shared" si="144"/>
        <v>5.1876968404540094</v>
      </c>
      <c r="AA116" s="100" t="str">
        <f t="shared" si="145"/>
        <v>5</v>
      </c>
      <c r="AB116" s="8">
        <f t="shared" si="146"/>
        <v>2.2523620854481123</v>
      </c>
      <c r="AC116" s="100" t="str">
        <f t="shared" si="147"/>
        <v>2</v>
      </c>
      <c r="AD116" s="8">
        <f t="shared" si="148"/>
        <v>3.0283450253773481</v>
      </c>
      <c r="AE116" s="100" t="str">
        <f t="shared" si="149"/>
        <v>3</v>
      </c>
      <c r="AF116" s="8">
        <f t="shared" si="150"/>
        <v>0.34014030452817678</v>
      </c>
      <c r="AG116" s="100" t="str">
        <f t="shared" si="151"/>
        <v/>
      </c>
      <c r="AH116" s="8">
        <f t="shared" si="152"/>
        <v>4.0816836543381214</v>
      </c>
      <c r="AI116" s="100" t="str">
        <f t="shared" si="153"/>
        <v/>
      </c>
      <c r="AJ116" s="8">
        <f t="shared" si="154"/>
        <v>0.98020385205745697</v>
      </c>
      <c r="AK116" s="100" t="str">
        <f t="shared" si="155"/>
        <v/>
      </c>
    </row>
    <row r="117" spans="2:39">
      <c r="B117" s="130" t="s">
        <v>655</v>
      </c>
      <c r="C117" s="9" t="s">
        <v>644</v>
      </c>
      <c r="D117" s="210">
        <v>58.8</v>
      </c>
      <c r="E117" s="8">
        <v>9</v>
      </c>
      <c r="F117" s="131">
        <f t="shared" si="156"/>
        <v>109.98400205392529</v>
      </c>
      <c r="G117" s="37" t="str">
        <f t="shared" si="157"/>
        <v>9;1E9843248</v>
      </c>
      <c r="H117" s="37"/>
      <c r="I117" s="340"/>
      <c r="J117" s="38">
        <v>1</v>
      </c>
      <c r="K117" s="132">
        <f t="shared" si="158"/>
        <v>9.1653335044937858</v>
      </c>
      <c r="L117" s="39" t="str">
        <f>INDEX(powers!$H$2:$H$75,33+J117)</f>
        <v>dirac</v>
      </c>
      <c r="M117" s="101" t="str">
        <f t="shared" si="131"/>
        <v>9</v>
      </c>
      <c r="N117" s="8">
        <f t="shared" si="132"/>
        <v>1.9840020539254297</v>
      </c>
      <c r="O117" s="100" t="str">
        <f t="shared" si="133"/>
        <v>1</v>
      </c>
      <c r="P117" s="8">
        <f t="shared" si="134"/>
        <v>11.808024647105157</v>
      </c>
      <c r="Q117" s="100" t="str">
        <f t="shared" si="135"/>
        <v>E</v>
      </c>
      <c r="R117" s="8">
        <f t="shared" si="136"/>
        <v>9.6962957652618798</v>
      </c>
      <c r="S117" s="100" t="str">
        <f t="shared" si="137"/>
        <v>9</v>
      </c>
      <c r="T117" s="8">
        <f t="shared" si="138"/>
        <v>8.355549183142557</v>
      </c>
      <c r="U117" s="100" t="str">
        <f t="shared" si="139"/>
        <v>8</v>
      </c>
      <c r="V117" s="8">
        <f t="shared" si="140"/>
        <v>4.2665901977106842</v>
      </c>
      <c r="W117" s="100" t="str">
        <f t="shared" si="141"/>
        <v>4</v>
      </c>
      <c r="X117" s="8">
        <f t="shared" si="142"/>
        <v>3.1990823725282098</v>
      </c>
      <c r="Y117" s="100" t="str">
        <f t="shared" si="143"/>
        <v>3</v>
      </c>
      <c r="Z117" s="8">
        <f t="shared" si="144"/>
        <v>2.3889884703385178</v>
      </c>
      <c r="AA117" s="100" t="str">
        <f t="shared" si="145"/>
        <v>2</v>
      </c>
      <c r="AB117" s="8">
        <f t="shared" si="146"/>
        <v>4.6678616440622136</v>
      </c>
      <c r="AC117" s="100" t="str">
        <f t="shared" si="147"/>
        <v>4</v>
      </c>
      <c r="AD117" s="8">
        <f t="shared" si="148"/>
        <v>8.0143397287465632</v>
      </c>
      <c r="AE117" s="100" t="str">
        <f t="shared" si="149"/>
        <v>8</v>
      </c>
      <c r="AF117" s="8">
        <f t="shared" si="150"/>
        <v>0.17207674495875835</v>
      </c>
      <c r="AG117" s="100" t="str">
        <f t="shared" si="151"/>
        <v/>
      </c>
      <c r="AH117" s="8">
        <f t="shared" si="152"/>
        <v>2.0649209395051003</v>
      </c>
      <c r="AI117" s="100" t="str">
        <f t="shared" si="153"/>
        <v/>
      </c>
      <c r="AJ117" s="8">
        <f t="shared" si="154"/>
        <v>0.779051274061203</v>
      </c>
      <c r="AK117" s="100" t="str">
        <f t="shared" si="155"/>
        <v/>
      </c>
    </row>
    <row r="118" spans="2:39">
      <c r="B118" s="130"/>
      <c r="C118" s="9" t="s">
        <v>645</v>
      </c>
      <c r="D118" s="210">
        <v>60</v>
      </c>
      <c r="E118" s="8">
        <v>9</v>
      </c>
      <c r="F118" s="131">
        <f t="shared" si="156"/>
        <v>110.97514415939045</v>
      </c>
      <c r="G118" s="37" t="str">
        <f t="shared" si="157"/>
        <v>9;2E85070X3</v>
      </c>
      <c r="H118" s="37"/>
      <c r="I118" s="340"/>
      <c r="J118" s="38">
        <v>1</v>
      </c>
      <c r="K118" s="132">
        <f t="shared" si="158"/>
        <v>9.2479286799492151</v>
      </c>
      <c r="L118" s="39" t="str">
        <f>INDEX(powers!$H$2:$H$75,33+J118)</f>
        <v>dirac</v>
      </c>
      <c r="M118" s="101" t="str">
        <f t="shared" si="131"/>
        <v>9</v>
      </c>
      <c r="N118" s="8">
        <f t="shared" si="132"/>
        <v>2.975144159390581</v>
      </c>
      <c r="O118" s="100" t="str">
        <f t="shared" si="133"/>
        <v>2</v>
      </c>
      <c r="P118" s="8">
        <f t="shared" si="134"/>
        <v>11.701729912686972</v>
      </c>
      <c r="Q118" s="100" t="str">
        <f t="shared" si="135"/>
        <v>E</v>
      </c>
      <c r="R118" s="8">
        <f t="shared" si="136"/>
        <v>8.4207589522436592</v>
      </c>
      <c r="S118" s="100" t="str">
        <f t="shared" si="137"/>
        <v>8</v>
      </c>
      <c r="T118" s="8">
        <f t="shared" si="138"/>
        <v>5.0491074269239107</v>
      </c>
      <c r="U118" s="100" t="str">
        <f t="shared" si="139"/>
        <v>5</v>
      </c>
      <c r="V118" s="8">
        <f t="shared" si="140"/>
        <v>0.58928912308692816</v>
      </c>
      <c r="W118" s="100" t="str">
        <f t="shared" si="141"/>
        <v>0</v>
      </c>
      <c r="X118" s="8">
        <f t="shared" si="142"/>
        <v>7.0714694770431379</v>
      </c>
      <c r="Y118" s="100" t="str">
        <f t="shared" si="143"/>
        <v>7</v>
      </c>
      <c r="Z118" s="8">
        <f t="shared" si="144"/>
        <v>0.85763372451765463</v>
      </c>
      <c r="AA118" s="100" t="str">
        <f t="shared" si="145"/>
        <v>0</v>
      </c>
      <c r="AB118" s="8">
        <f t="shared" si="146"/>
        <v>10.291604694211856</v>
      </c>
      <c r="AC118" s="100" t="str">
        <f t="shared" si="147"/>
        <v>X</v>
      </c>
      <c r="AD118" s="8">
        <f t="shared" si="148"/>
        <v>3.4992563305422664</v>
      </c>
      <c r="AE118" s="100" t="str">
        <f t="shared" si="149"/>
        <v>3</v>
      </c>
      <c r="AF118" s="8">
        <f t="shared" si="150"/>
        <v>5.9910759665071964</v>
      </c>
      <c r="AG118" s="100" t="str">
        <f t="shared" si="151"/>
        <v/>
      </c>
      <c r="AH118" s="8">
        <f t="shared" si="152"/>
        <v>11.892911598086357</v>
      </c>
      <c r="AI118" s="100" t="str">
        <f t="shared" si="153"/>
        <v/>
      </c>
      <c r="AJ118" s="8">
        <f t="shared" si="154"/>
        <v>10.714939177036285</v>
      </c>
      <c r="AK118" s="100" t="str">
        <f t="shared" si="155"/>
        <v/>
      </c>
    </row>
    <row r="119" spans="2:39">
      <c r="B119" s="130"/>
      <c r="C119" s="9" t="s">
        <v>646</v>
      </c>
      <c r="D119" s="210">
        <v>83</v>
      </c>
      <c r="E119" s="8">
        <v>9</v>
      </c>
      <c r="F119" s="131">
        <f t="shared" si="156"/>
        <v>129.97203451413907</v>
      </c>
      <c r="G119" s="37" t="str">
        <f t="shared" si="157"/>
        <v>X;9E7E81361</v>
      </c>
      <c r="H119" s="37"/>
      <c r="I119" s="340"/>
      <c r="J119" s="38">
        <v>1</v>
      </c>
      <c r="K119" s="132">
        <f t="shared" si="158"/>
        <v>10.831002876178266</v>
      </c>
      <c r="L119" s="39" t="str">
        <f>INDEX(powers!$H$2:$H$75,33+J119)</f>
        <v>dirac</v>
      </c>
      <c r="M119" s="101" t="str">
        <f t="shared" si="131"/>
        <v>X</v>
      </c>
      <c r="N119" s="8">
        <f t="shared" si="132"/>
        <v>9.9720345141391888</v>
      </c>
      <c r="O119" s="100" t="str">
        <f t="shared" si="133"/>
        <v>9</v>
      </c>
      <c r="P119" s="8">
        <f t="shared" si="134"/>
        <v>11.664414169670266</v>
      </c>
      <c r="Q119" s="100" t="str">
        <f t="shared" si="135"/>
        <v>E</v>
      </c>
      <c r="R119" s="8">
        <f t="shared" si="136"/>
        <v>7.9729700360431934</v>
      </c>
      <c r="S119" s="100" t="str">
        <f t="shared" si="137"/>
        <v>7</v>
      </c>
      <c r="T119" s="8">
        <f t="shared" si="138"/>
        <v>11.675640432518321</v>
      </c>
      <c r="U119" s="100" t="str">
        <f t="shared" si="139"/>
        <v>E</v>
      </c>
      <c r="V119" s="8">
        <f t="shared" si="140"/>
        <v>8.1076851902198541</v>
      </c>
      <c r="W119" s="100" t="str">
        <f t="shared" si="141"/>
        <v>8</v>
      </c>
      <c r="X119" s="8">
        <f t="shared" si="142"/>
        <v>1.2922222826382495</v>
      </c>
      <c r="Y119" s="100" t="str">
        <f t="shared" si="143"/>
        <v>1</v>
      </c>
      <c r="Z119" s="8">
        <f t="shared" si="144"/>
        <v>3.5066673916589934</v>
      </c>
      <c r="AA119" s="100" t="str">
        <f t="shared" si="145"/>
        <v>3</v>
      </c>
      <c r="AB119" s="8">
        <f t="shared" si="146"/>
        <v>6.0800086999079213</v>
      </c>
      <c r="AC119" s="100" t="str">
        <f t="shared" si="147"/>
        <v>6</v>
      </c>
      <c r="AD119" s="8">
        <f t="shared" si="148"/>
        <v>0.96010439889505506</v>
      </c>
      <c r="AE119" s="100" t="str">
        <f t="shared" si="149"/>
        <v>1</v>
      </c>
      <c r="AF119" s="8">
        <f t="shared" si="150"/>
        <v>11.521252786740661</v>
      </c>
      <c r="AG119" s="100" t="str">
        <f t="shared" si="151"/>
        <v/>
      </c>
      <c r="AH119" s="8">
        <f t="shared" si="152"/>
        <v>6.255033440887928</v>
      </c>
      <c r="AI119" s="100" t="str">
        <f t="shared" si="153"/>
        <v/>
      </c>
      <c r="AJ119" s="8">
        <f t="shared" si="154"/>
        <v>3.0604012906551361</v>
      </c>
      <c r="AK119" s="100" t="str">
        <f t="shared" si="155"/>
        <v/>
      </c>
    </row>
    <row r="120" spans="2:39">
      <c r="B120" s="95" t="s">
        <v>658</v>
      </c>
      <c r="C120" s="9" t="s">
        <v>649</v>
      </c>
      <c r="D120" s="210">
        <v>99.974000000000004</v>
      </c>
      <c r="E120" s="8">
        <v>9</v>
      </c>
      <c r="F120" s="131">
        <f t="shared" si="156"/>
        <v>143.99173959594356</v>
      </c>
      <c r="G120" s="37" t="str">
        <f t="shared" si="157"/>
        <v>0;EEEX98867</v>
      </c>
      <c r="H120" s="37"/>
      <c r="I120" s="340"/>
      <c r="J120" s="38">
        <v>2</v>
      </c>
      <c r="K120" s="132">
        <f t="shared" si="158"/>
        <v>0.99994263608295131</v>
      </c>
      <c r="L120" s="39" t="str">
        <f>INDEX(powers!$H$2:$H$75,33+J120)</f>
        <v>hecty</v>
      </c>
      <c r="M120" s="101" t="str">
        <f t="shared" si="131"/>
        <v>0</v>
      </c>
      <c r="N120" s="8">
        <f t="shared" si="132"/>
        <v>11.999311632995415</v>
      </c>
      <c r="O120" s="100" t="str">
        <f t="shared" si="133"/>
        <v>E</v>
      </c>
      <c r="P120" s="8">
        <f t="shared" si="134"/>
        <v>11.991739595944978</v>
      </c>
      <c r="Q120" s="100" t="str">
        <f t="shared" si="135"/>
        <v>E</v>
      </c>
      <c r="R120" s="8">
        <f t="shared" si="136"/>
        <v>11.900875151339733</v>
      </c>
      <c r="S120" s="100" t="str">
        <f t="shared" si="137"/>
        <v>E</v>
      </c>
      <c r="T120" s="8">
        <f t="shared" si="138"/>
        <v>10.810501816076794</v>
      </c>
      <c r="U120" s="100" t="str">
        <f t="shared" si="139"/>
        <v>X</v>
      </c>
      <c r="V120" s="8">
        <f t="shared" si="140"/>
        <v>9.7260217929215287</v>
      </c>
      <c r="W120" s="100" t="str">
        <f t="shared" si="141"/>
        <v>9</v>
      </c>
      <c r="X120" s="8">
        <f t="shared" si="142"/>
        <v>8.7122615150583442</v>
      </c>
      <c r="Y120" s="100" t="str">
        <f t="shared" si="143"/>
        <v>8</v>
      </c>
      <c r="Z120" s="8">
        <f t="shared" si="144"/>
        <v>8.5471381807001308</v>
      </c>
      <c r="AA120" s="100" t="str">
        <f t="shared" si="145"/>
        <v>8</v>
      </c>
      <c r="AB120" s="8">
        <f t="shared" si="146"/>
        <v>6.5656581684015691</v>
      </c>
      <c r="AC120" s="100" t="str">
        <f t="shared" si="147"/>
        <v>6</v>
      </c>
      <c r="AD120" s="8">
        <f t="shared" si="148"/>
        <v>6.7878980208188295</v>
      </c>
      <c r="AE120" s="100" t="str">
        <f t="shared" si="149"/>
        <v>7</v>
      </c>
      <c r="AF120" s="8">
        <f t="shared" si="150"/>
        <v>9.4547762498259544</v>
      </c>
      <c r="AG120" s="100" t="str">
        <f t="shared" si="151"/>
        <v/>
      </c>
      <c r="AH120" s="8">
        <f t="shared" si="152"/>
        <v>5.4573149979114532</v>
      </c>
      <c r="AI120" s="100" t="str">
        <f t="shared" si="153"/>
        <v/>
      </c>
      <c r="AJ120" s="8">
        <f t="shared" si="154"/>
        <v>5.487779974937439</v>
      </c>
      <c r="AK120" s="100" t="str">
        <f t="shared" si="155"/>
        <v/>
      </c>
      <c r="AL120" s="253">
        <f>144</f>
        <v>144</v>
      </c>
      <c r="AM120" s="253">
        <f t="shared" ref="AM120:AM122" si="160">-AL120*F$6*POWER(12,-12)+D120</f>
        <v>-74.370323631478286</v>
      </c>
    </row>
    <row r="121" spans="2:39">
      <c r="B121" s="95" t="s">
        <v>659</v>
      </c>
      <c r="C121" s="9" t="s">
        <v>657</v>
      </c>
      <c r="D121" s="210">
        <v>99.983900000000006</v>
      </c>
      <c r="E121" s="8">
        <v>9</v>
      </c>
      <c r="F121" s="131">
        <f t="shared" si="156"/>
        <v>143.99991651831363</v>
      </c>
      <c r="G121" s="37" t="str">
        <f t="shared" si="157"/>
        <v>0;EEEEEX329</v>
      </c>
      <c r="H121" s="37"/>
      <c r="I121" s="340"/>
      <c r="J121" s="38">
        <v>2</v>
      </c>
      <c r="K121" s="132">
        <f t="shared" si="158"/>
        <v>0.9999994202660768</v>
      </c>
      <c r="L121" s="39" t="str">
        <f>INDEX(powers!$H$2:$H$75,33+J121)</f>
        <v>hecty</v>
      </c>
      <c r="M121" s="101" t="str">
        <f t="shared" si="131"/>
        <v>0</v>
      </c>
      <c r="N121" s="8">
        <f t="shared" si="132"/>
        <v>11.999993043192921</v>
      </c>
      <c r="O121" s="100" t="str">
        <f t="shared" si="133"/>
        <v>E</v>
      </c>
      <c r="P121" s="8">
        <f t="shared" si="134"/>
        <v>11.999916518315054</v>
      </c>
      <c r="Q121" s="100" t="str">
        <f t="shared" si="135"/>
        <v>E</v>
      </c>
      <c r="R121" s="8">
        <f t="shared" si="136"/>
        <v>11.998998219780646</v>
      </c>
      <c r="S121" s="100" t="str">
        <f t="shared" si="137"/>
        <v>E</v>
      </c>
      <c r="T121" s="8">
        <f t="shared" si="138"/>
        <v>11.987978637367746</v>
      </c>
      <c r="U121" s="100" t="str">
        <f t="shared" si="139"/>
        <v>E</v>
      </c>
      <c r="V121" s="8">
        <f t="shared" si="140"/>
        <v>11.855743648412954</v>
      </c>
      <c r="W121" s="100" t="str">
        <f t="shared" si="141"/>
        <v>E</v>
      </c>
      <c r="X121" s="8">
        <f t="shared" si="142"/>
        <v>10.268923780955447</v>
      </c>
      <c r="Y121" s="100" t="str">
        <f t="shared" si="143"/>
        <v>X</v>
      </c>
      <c r="Z121" s="8">
        <f t="shared" si="144"/>
        <v>3.227085371465364</v>
      </c>
      <c r="AA121" s="100" t="str">
        <f t="shared" si="145"/>
        <v>3</v>
      </c>
      <c r="AB121" s="8">
        <f t="shared" si="146"/>
        <v>2.7250244575843681</v>
      </c>
      <c r="AC121" s="100" t="str">
        <f t="shared" si="147"/>
        <v>2</v>
      </c>
      <c r="AD121" s="8">
        <f t="shared" si="148"/>
        <v>8.7002934910124168</v>
      </c>
      <c r="AE121" s="100" t="str">
        <f t="shared" si="149"/>
        <v>9</v>
      </c>
      <c r="AF121" s="8">
        <f t="shared" si="150"/>
        <v>8.4035218921490014</v>
      </c>
      <c r="AG121" s="100" t="str">
        <f t="shared" si="151"/>
        <v/>
      </c>
      <c r="AH121" s="8">
        <f t="shared" si="152"/>
        <v>4.8422627057880163</v>
      </c>
      <c r="AI121" s="100" t="str">
        <f t="shared" si="153"/>
        <v/>
      </c>
      <c r="AJ121" s="8">
        <f t="shared" si="154"/>
        <v>10.107152469456196</v>
      </c>
      <c r="AK121" s="100" t="str">
        <f t="shared" si="155"/>
        <v/>
      </c>
      <c r="AL121" s="253">
        <f>144</f>
        <v>144</v>
      </c>
      <c r="AM121" s="253">
        <f t="shared" si="160"/>
        <v>-74.360423631478284</v>
      </c>
    </row>
    <row r="122" spans="2:39" ht="12.75" thickBot="1">
      <c r="B122" s="133"/>
      <c r="C122" s="256" t="s">
        <v>647</v>
      </c>
      <c r="D122" s="212">
        <v>100</v>
      </c>
      <c r="E122" s="33">
        <v>9</v>
      </c>
      <c r="F122" s="134">
        <f t="shared" si="156"/>
        <v>144.01321434156193</v>
      </c>
      <c r="G122" s="47" t="str">
        <f t="shared" si="157"/>
        <v>1;0001XX01X</v>
      </c>
      <c r="H122" s="47"/>
      <c r="I122" s="342"/>
      <c r="J122" s="48">
        <v>2</v>
      </c>
      <c r="K122" s="110">
        <f t="shared" si="158"/>
        <v>1.0000917662608568</v>
      </c>
      <c r="L122" s="49" t="str">
        <f>INDEX(powers!$H$2:$H$75,33+J122)</f>
        <v>hecty</v>
      </c>
      <c r="M122" s="101" t="str">
        <f t="shared" si="131"/>
        <v>1</v>
      </c>
      <c r="N122" s="8">
        <f t="shared" si="132"/>
        <v>1.1011951302819512E-3</v>
      </c>
      <c r="O122" s="100" t="str">
        <f t="shared" si="133"/>
        <v>0</v>
      </c>
      <c r="P122" s="8">
        <f t="shared" si="134"/>
        <v>1.3214341563383414E-2</v>
      </c>
      <c r="Q122" s="100" t="str">
        <f t="shared" si="135"/>
        <v>0</v>
      </c>
      <c r="R122" s="8">
        <f t="shared" si="136"/>
        <v>0.15857209876060097</v>
      </c>
      <c r="S122" s="100" t="str">
        <f t="shared" si="137"/>
        <v>0</v>
      </c>
      <c r="T122" s="8">
        <f t="shared" si="138"/>
        <v>1.9028651851272116</v>
      </c>
      <c r="U122" s="100" t="str">
        <f t="shared" si="139"/>
        <v>1</v>
      </c>
      <c r="V122" s="8">
        <f t="shared" si="140"/>
        <v>10.834382221526539</v>
      </c>
      <c r="W122" s="100" t="str">
        <f t="shared" si="141"/>
        <v>X</v>
      </c>
      <c r="X122" s="8">
        <f t="shared" si="142"/>
        <v>10.012586658318469</v>
      </c>
      <c r="Y122" s="100" t="str">
        <f t="shared" si="143"/>
        <v>X</v>
      </c>
      <c r="Z122" s="8">
        <f t="shared" si="144"/>
        <v>0.15103989982162602</v>
      </c>
      <c r="AA122" s="100" t="str">
        <f t="shared" si="145"/>
        <v>0</v>
      </c>
      <c r="AB122" s="8">
        <f t="shared" si="146"/>
        <v>1.8124787978595123</v>
      </c>
      <c r="AC122" s="100" t="str">
        <f t="shared" si="147"/>
        <v>1</v>
      </c>
      <c r="AD122" s="8">
        <f t="shared" si="148"/>
        <v>9.7497455743141472</v>
      </c>
      <c r="AE122" s="100" t="str">
        <f t="shared" si="149"/>
        <v>X</v>
      </c>
      <c r="AF122" s="8">
        <f t="shared" si="150"/>
        <v>8.9969468917697668</v>
      </c>
      <c r="AG122" s="100" t="str">
        <f t="shared" si="151"/>
        <v/>
      </c>
      <c r="AH122" s="8">
        <f t="shared" si="152"/>
        <v>11.963362701237202</v>
      </c>
      <c r="AI122" s="100" t="str">
        <f t="shared" si="153"/>
        <v/>
      </c>
      <c r="AJ122" s="8">
        <f t="shared" si="154"/>
        <v>11.56035241484642</v>
      </c>
      <c r="AK122" s="100" t="str">
        <f t="shared" si="155"/>
        <v/>
      </c>
      <c r="AL122" s="253">
        <f>144</f>
        <v>144</v>
      </c>
      <c r="AM122" s="253">
        <f t="shared" si="160"/>
        <v>-74.344323631478289</v>
      </c>
    </row>
    <row r="123" spans="2:39">
      <c r="B123" s="246"/>
      <c r="C123" s="247"/>
      <c r="D123" s="258">
        <f>D99+144*F6*20736-D121</f>
        <v>3.2233521067162247E+19</v>
      </c>
      <c r="E123" s="247"/>
      <c r="F123" s="248"/>
      <c r="G123" s="249"/>
      <c r="H123" s="249"/>
      <c r="I123" s="348"/>
      <c r="J123" s="250"/>
      <c r="K123" s="251"/>
      <c r="L123" s="251"/>
      <c r="M123" s="252"/>
      <c r="N123" s="247"/>
      <c r="O123" s="252"/>
      <c r="P123" s="247"/>
      <c r="Q123" s="252"/>
      <c r="R123" s="247"/>
      <c r="S123" s="252"/>
      <c r="T123" s="247"/>
      <c r="U123" s="252"/>
      <c r="V123" s="247"/>
      <c r="W123" s="252"/>
      <c r="X123" s="247"/>
      <c r="Y123" s="252"/>
      <c r="Z123" s="247"/>
      <c r="AA123" s="252"/>
      <c r="AB123" s="247"/>
      <c r="AC123" s="252"/>
      <c r="AD123" s="247"/>
      <c r="AE123" s="252"/>
      <c r="AF123" s="247"/>
      <c r="AG123" s="252"/>
      <c r="AH123" s="247"/>
      <c r="AI123" s="252"/>
      <c r="AJ123" s="247"/>
      <c r="AK123" s="252"/>
    </row>
    <row r="124" spans="2:39">
      <c r="B124" s="145" t="s">
        <v>675</v>
      </c>
      <c r="C124" s="54"/>
      <c r="D124" s="253">
        <f>D$99+F$6*F124*POWER(12,-12)</f>
        <v>14.022563727244361</v>
      </c>
      <c r="F124" s="261">
        <f>12*6+1</f>
        <v>73</v>
      </c>
    </row>
    <row r="125" spans="2:39">
      <c r="B125" s="145" t="s">
        <v>676</v>
      </c>
      <c r="C125" s="54"/>
      <c r="D125" s="253">
        <f>D$99+F$6*F125*POWER(12,-12)</f>
        <v>37.026328650842188</v>
      </c>
      <c r="F125" s="261">
        <f>12*7+8</f>
        <v>92</v>
      </c>
    </row>
    <row r="126" spans="2:39">
      <c r="B126" s="145" t="s">
        <v>677</v>
      </c>
      <c r="C126" s="54"/>
      <c r="D126" s="253">
        <f>D$99+F$6*F126*POWER(12,-12)</f>
        <v>99.984001073320456</v>
      </c>
      <c r="F126" s="261">
        <v>144</v>
      </c>
    </row>
  </sheetData>
  <mergeCells count="7">
    <mergeCell ref="A70:A87"/>
    <mergeCell ref="A1:A30"/>
    <mergeCell ref="M1:R1"/>
    <mergeCell ref="M2:N2"/>
    <mergeCell ref="R24:W26"/>
    <mergeCell ref="A31:A69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4" fitToHeight="2" orientation="portrait" r:id="rId1"/>
  <headerFooter>
    <oddHeader>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35"/>
  <sheetViews>
    <sheetView zoomScaleNormal="100" workbookViewId="0">
      <selection activeCell="N136" sqref="N136"/>
    </sheetView>
  </sheetViews>
  <sheetFormatPr defaultRowHeight="12"/>
  <cols>
    <col min="1" max="1" width="2.75" style="14" customWidth="1"/>
    <col min="2" max="2" width="6.5" style="153" customWidth="1"/>
    <col min="3" max="3" width="12.25" style="14" customWidth="1"/>
    <col min="4" max="4" width="5.875" style="222" customWidth="1"/>
    <col min="5" max="5" width="13.875" style="14" customWidth="1"/>
    <col min="6" max="6" width="3.625" style="14" customWidth="1"/>
    <col min="7" max="7" width="9.125" style="14" customWidth="1"/>
    <col min="8" max="8" width="9.25" style="14" customWidth="1"/>
    <col min="9" max="9" width="8.625" style="14" customWidth="1"/>
    <col min="10" max="10" width="9.375" style="14" customWidth="1"/>
    <col min="11" max="11" width="3.125" style="14" customWidth="1"/>
    <col min="12" max="12" width="14.875" style="14" customWidth="1"/>
    <col min="13" max="13" width="11" style="14" customWidth="1"/>
    <col min="14" max="14" width="3.75" style="14" customWidth="1"/>
    <col min="15" max="15" width="8.75" style="14" customWidth="1"/>
    <col min="16" max="16" width="9.75" style="14" customWidth="1"/>
    <col min="17" max="17" width="3.125" style="14" customWidth="1"/>
    <col min="18" max="18" width="9" style="14" customWidth="1"/>
    <col min="19" max="19" width="3.125" style="14" customWidth="1"/>
    <col min="20" max="20" width="9" style="14" customWidth="1"/>
    <col min="21" max="21" width="3.125" style="14" customWidth="1"/>
    <col min="22" max="22" width="9" style="14" customWidth="1"/>
    <col min="23" max="23" width="3.125" style="14" customWidth="1"/>
    <col min="24" max="24" width="9" style="14" customWidth="1"/>
    <col min="25" max="25" width="3.125" style="14" customWidth="1"/>
    <col min="26" max="26" width="9" style="14" customWidth="1"/>
    <col min="27" max="27" width="3.125" style="14" customWidth="1"/>
    <col min="28" max="28" width="9" style="14" customWidth="1"/>
    <col min="29" max="29" width="3.125" style="14" customWidth="1"/>
    <col min="30" max="30" width="9" style="14" customWidth="1"/>
    <col min="31" max="31" width="3.125" style="14" customWidth="1"/>
    <col min="32" max="16384" width="9" style="14"/>
  </cols>
  <sheetData>
    <row r="1" spans="1:41" ht="11.25" customHeight="1">
      <c r="A1" s="745" t="s">
        <v>202</v>
      </c>
      <c r="B1" s="751" t="s">
        <v>42</v>
      </c>
      <c r="C1" s="751"/>
      <c r="D1" s="217" t="s">
        <v>95</v>
      </c>
      <c r="E1" s="149" t="s">
        <v>43</v>
      </c>
      <c r="F1" s="18" t="s">
        <v>44</v>
      </c>
      <c r="G1" s="149" t="s">
        <v>55</v>
      </c>
      <c r="H1" s="174" t="s">
        <v>95</v>
      </c>
      <c r="I1" s="165" t="s">
        <v>266</v>
      </c>
    </row>
    <row r="2" spans="1:41" ht="13.5" customHeight="1">
      <c r="A2" s="746"/>
      <c r="B2" s="744" t="str">
        <f>Rydberg!B2</f>
        <v>Local Time</v>
      </c>
      <c r="C2" s="744"/>
      <c r="D2" s="3" t="str">
        <f>Rydberg!C2</f>
        <v>s</v>
      </c>
      <c r="E2" s="8"/>
      <c r="F2" s="8"/>
      <c r="G2" s="8"/>
      <c r="H2" s="22"/>
      <c r="I2" s="2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41" ht="13.5" customHeight="1">
      <c r="A3" s="746"/>
      <c r="B3" s="744" t="str">
        <f>Rydberg!B3</f>
        <v>Length</v>
      </c>
      <c r="C3" s="744"/>
      <c r="D3" s="3" t="str">
        <f>Rydberg!C3</f>
        <v>m</v>
      </c>
      <c r="E3" s="21">
        <f>IF(I$1="suffix u",Rydberg!F3,IF(I$1="suffix B",Bohr!F3,IF(I$1="suffix e",Clock!F3,Clock_by_Rydberg!F3)))</f>
        <v>0.27235220593302245</v>
      </c>
      <c r="F3" s="8">
        <v>-3</v>
      </c>
      <c r="G3" s="210">
        <f t="shared" ref="G3:G21" si="0">E3/POWER(10,F3)</f>
        <v>272.35220593302245</v>
      </c>
      <c r="H3" s="122" t="str">
        <f>Rydberg!L3</f>
        <v>mm</v>
      </c>
      <c r="I3" s="748" t="s">
        <v>1132</v>
      </c>
      <c r="J3" s="749"/>
      <c r="K3" s="454">
        <v>9</v>
      </c>
      <c r="L3" s="455">
        <f>(E3*POWER(12,4)/7200)/(E3/E4)</f>
        <v>1.1250003315270061</v>
      </c>
      <c r="M3" s="456" t="str">
        <f t="shared" ref="M3" si="1">Q3&amp;";"&amp;S3&amp;U3&amp;W3&amp;Y3&amp;AA3&amp;AC3&amp;AE3&amp;AG3&amp;AI3&amp;AK3&amp;AM3&amp;AO3</f>
        <v>1;160000EX7</v>
      </c>
      <c r="N3" s="457">
        <v>0</v>
      </c>
      <c r="O3" s="458">
        <f t="shared" ref="O3" si="2">L3/POWER(12,N3)</f>
        <v>1.1250003315270061</v>
      </c>
      <c r="P3" s="458" t="s">
        <v>1133</v>
      </c>
      <c r="Q3" s="459" t="str">
        <f t="shared" ref="Q3" si="3">IF($K3&gt;=Q$23,MID($N$23,IF($K3&gt;Q$23,INT(O3),ROUND(O3,0))+1,1),"")</f>
        <v>1</v>
      </c>
      <c r="R3" s="454">
        <f t="shared" ref="R3" si="4">(O3-INT(O3))*12</f>
        <v>1.5000039783240728</v>
      </c>
      <c r="S3" s="459" t="str">
        <f t="shared" ref="S3" si="5">IF($K3&gt;=S$23,MID($N$23,IF($K3&gt;S$23,INT(R3),ROUND(R3,0))+1,1),"")</f>
        <v>1</v>
      </c>
      <c r="T3" s="454">
        <f t="shared" ref="T3" si="6">(R3-INT(R3))*12</f>
        <v>6.0000477398888741</v>
      </c>
      <c r="U3" s="459" t="str">
        <f t="shared" ref="U3" si="7">IF($K3&gt;=U$23,MID($N$23,IF($K3&gt;U$23,INT(T3),ROUND(T3,0))+1,1),"")</f>
        <v>6</v>
      </c>
      <c r="V3" s="454">
        <f t="shared" ref="V3" si="8">(T3-INT(T3))*12</f>
        <v>5.728786664889185E-4</v>
      </c>
      <c r="W3" s="459" t="str">
        <f t="shared" ref="W3" si="9">IF($K3&gt;=W$23,MID($N$23,IF($K3&gt;W$23,INT(V3),ROUND(V3,0))+1,1),"")</f>
        <v>0</v>
      </c>
      <c r="X3" s="454">
        <f t="shared" ref="X3" si="10">(V3-INT(V3))*12</f>
        <v>6.874543997867022E-3</v>
      </c>
      <c r="Y3" s="459" t="str">
        <f t="shared" ref="Y3" si="11">IF($K3&gt;=Y$23,MID($N$23,IF($K3&gt;Y$23,INT(X3),ROUND(X3,0))+1,1),"")</f>
        <v>0</v>
      </c>
      <c r="Z3" s="454">
        <f t="shared" ref="Z3" si="12">(X3-INT(X3))*12</f>
        <v>8.2494527974404264E-2</v>
      </c>
      <c r="AA3" s="459" t="str">
        <f t="shared" ref="AA3" si="13">IF($K3&gt;=AA$23,MID($N$23,IF($K3&gt;AA$23,INT(Z3),ROUND(Z3,0))+1,1),"")</f>
        <v>0</v>
      </c>
      <c r="AB3" s="454">
        <f t="shared" ref="AB3" si="14">(Z3-INT(Z3))*12</f>
        <v>0.98993433569285116</v>
      </c>
      <c r="AC3" s="459" t="str">
        <f t="shared" ref="AC3" si="15">IF($K3&gt;=AC$23,MID($N$23,IF($K3&gt;AC$23,INT(AB3),ROUND(AB3,0))+1,1),"")</f>
        <v>0</v>
      </c>
      <c r="AD3" s="454">
        <f t="shared" ref="AD3" si="16">(AB3-INT(AB3))*12</f>
        <v>11.879212028314214</v>
      </c>
      <c r="AE3" s="459" t="str">
        <f t="shared" ref="AE3" si="17">IF($K3&gt;=AE$23,MID($N$23,IF($K3&gt;AE$23,INT(AD3),ROUND(AD3,0))+1,1),"")</f>
        <v>E</v>
      </c>
      <c r="AF3" s="454">
        <f t="shared" ref="AF3" si="18">(AD3-INT(AD3))*12</f>
        <v>10.550544339770568</v>
      </c>
      <c r="AG3" s="459" t="str">
        <f t="shared" ref="AG3" si="19">IF($K3&gt;=AG$23,MID($N$23,IF($K3&gt;AG$23,INT(AF3),ROUND(AF3,0))+1,1),"")</f>
        <v>X</v>
      </c>
      <c r="AH3" s="454">
        <f t="shared" ref="AH3" si="20">(AF3-INT(AF3))*12</f>
        <v>6.6065320772468112</v>
      </c>
      <c r="AI3" s="459" t="str">
        <f t="shared" ref="AI3" si="21">IF($K3&gt;=AI$23,MID($N$23,IF($K3&gt;AI$23,INT(AH3),ROUND(AH3,0))+1,1),"")</f>
        <v>7</v>
      </c>
      <c r="AJ3" s="454">
        <f t="shared" ref="AJ3" si="22">(AH3-INT(AH3))*12</f>
        <v>7.2783849269617349</v>
      </c>
      <c r="AK3" s="459" t="str">
        <f t="shared" ref="AK3" si="23">IF($K3&gt;=AK$23,MID($N$23,IF($K3&gt;AK$23,INT(AJ3),ROUND(AJ3,0))+1,1),"")</f>
        <v/>
      </c>
      <c r="AL3" s="454">
        <f t="shared" ref="AL3" si="24">(AJ3-INT(AJ3))*12</f>
        <v>3.3406191235408187</v>
      </c>
      <c r="AM3" s="459" t="str">
        <f t="shared" ref="AM3" si="25">IF($K3&gt;=AM$23,MID($N$23,IF($K3&gt;AM$23,INT(AL3),ROUND(AL3,0))+1,1),"")</f>
        <v/>
      </c>
      <c r="AN3" s="454">
        <f t="shared" ref="AN3" si="26">(AL3-INT(AL3))*12</f>
        <v>4.0874294824898243</v>
      </c>
      <c r="AO3" s="460" t="str">
        <f t="shared" ref="AO3" si="27">IF($K3&gt;=AO$23,MID($N$23,IF($K3&gt;AO$23,INT(AN3),ROUND(AN3,0))+1,1),"")</f>
        <v/>
      </c>
    </row>
    <row r="4" spans="1:41" ht="13.5" customHeight="1">
      <c r="A4" s="746"/>
      <c r="B4" s="744" t="str">
        <f>Rydberg!B4</f>
        <v>Time</v>
      </c>
      <c r="C4" s="744"/>
      <c r="D4" s="3" t="str">
        <f>Rydberg!C4</f>
        <v>s</v>
      </c>
      <c r="E4" s="21">
        <f>IF(I$1="suffix u",Rydberg!F4,IF(I$1="suffix B",Bohr!F4,IF(I$1="suffix e",Clock!F4,Clock_by_Rydberg!F4)))</f>
        <v>0.39062511511354381</v>
      </c>
      <c r="F4" s="8">
        <v>-3</v>
      </c>
      <c r="G4" s="210">
        <f t="shared" si="0"/>
        <v>390.62511511354381</v>
      </c>
      <c r="H4" s="122" t="str">
        <f>Rydberg!L4</f>
        <v>ms</v>
      </c>
      <c r="I4" s="207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41" ht="13.5" customHeight="1">
      <c r="A5" s="746"/>
      <c r="B5" s="744" t="str">
        <f>Rydberg!B5</f>
        <v>Energy</v>
      </c>
      <c r="C5" s="744"/>
      <c r="D5" s="3" t="str">
        <f>Rydberg!C5</f>
        <v>J</v>
      </c>
      <c r="E5" s="21">
        <f>IF(I$1="suffix u",Rydberg!F5,IF(I$1="suffix B",Bohr!F5,IF(I$1="suffix e",Clock!F5,Clock_by_Rydberg!F5)))</f>
        <v>6.4084554944303582E-2</v>
      </c>
      <c r="F5" s="8">
        <v>-3</v>
      </c>
      <c r="G5" s="210">
        <f t="shared" si="0"/>
        <v>64.084554944303576</v>
      </c>
      <c r="H5" s="122" t="str">
        <f>Rydberg!L5</f>
        <v>mJ</v>
      </c>
      <c r="I5" s="207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41" ht="13.5" customHeight="1">
      <c r="A6" s="746"/>
      <c r="B6" s="744" t="str">
        <f>Rydberg!B6</f>
        <v>Temperature</v>
      </c>
      <c r="C6" s="744"/>
      <c r="D6" s="3" t="str">
        <f>Rydberg!C6</f>
        <v>K</v>
      </c>
      <c r="E6" s="21">
        <f>IF(I$1="suffix u",Rydberg!F6,IF(I$1="suffix B",Bohr!F6,IF(I$1="suffix e",Clock!F6,Clock_by_Rydberg!F6)))</f>
        <v>5.8387561229892158E-5</v>
      </c>
      <c r="F6" s="8">
        <v>-6</v>
      </c>
      <c r="G6" s="210">
        <f t="shared" si="0"/>
        <v>58.387561229892164</v>
      </c>
      <c r="H6" s="122" t="str">
        <f>Rydberg!L6</f>
        <v>μK</v>
      </c>
      <c r="I6" s="207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1:41" ht="13.5" customHeight="1">
      <c r="A7" s="746"/>
      <c r="B7" s="744" t="str">
        <f>Rydberg!B7</f>
        <v>Amount of substance</v>
      </c>
      <c r="C7" s="744"/>
      <c r="D7" s="3" t="str">
        <f>Rydberg!C7</f>
        <v>mol</v>
      </c>
      <c r="E7" s="21">
        <f>IF(I$1="suffix u",Rydberg!F7,IF(I$1="suffix B",Bohr!F7,IF(I$1="suffix e",Clock!F7,Clock_by_Rydberg!F7)))</f>
        <v>132.00761837210354</v>
      </c>
      <c r="F7" s="8">
        <v>0</v>
      </c>
      <c r="G7" s="210">
        <f t="shared" si="0"/>
        <v>132.00761837210354</v>
      </c>
      <c r="H7" s="122" t="str">
        <f>Rydberg!L7</f>
        <v>mol</v>
      </c>
      <c r="I7" s="207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41" ht="13.5" customHeight="1">
      <c r="A8" s="746"/>
      <c r="B8" s="744" t="str">
        <f>Rydberg!B8</f>
        <v>Mass</v>
      </c>
      <c r="C8" s="744"/>
      <c r="D8" s="3" t="str">
        <f>Rydberg!C8</f>
        <v>g</v>
      </c>
      <c r="E8" s="21">
        <f>IF(I$1="suffix u",Rydberg!F8,IF(I$1="suffix B",Bohr!F8,IF(I$1="suffix e",Clock!F8,Clock_by_Rydberg!F8)))</f>
        <v>0.13182928708292121</v>
      </c>
      <c r="F8" s="8">
        <v>-3</v>
      </c>
      <c r="G8" s="210">
        <f t="shared" si="0"/>
        <v>131.82928708292121</v>
      </c>
      <c r="H8" s="122" t="str">
        <f>Rydberg!L8</f>
        <v>g</v>
      </c>
      <c r="I8" s="207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spans="1:41" ht="13.5" customHeight="1">
      <c r="A9" s="746"/>
      <c r="B9" s="744" t="str">
        <f>Rydberg!B9</f>
        <v>Power</v>
      </c>
      <c r="C9" s="744"/>
      <c r="D9" s="3" t="str">
        <f>Rydberg!C9</f>
        <v>W</v>
      </c>
      <c r="E9" s="21">
        <f>IF(I$1="suffix u",Rydberg!F9,IF(I$1="suffix B",Bohr!F9,IF(I$1="suffix e",Clock!F9,Clock_by_Rydberg!F9)))</f>
        <v>0.16405641231152276</v>
      </c>
      <c r="F9" s="8">
        <v>-3</v>
      </c>
      <c r="G9" s="210">
        <f t="shared" si="0"/>
        <v>164.05641231152276</v>
      </c>
      <c r="H9" s="122" t="str">
        <f>Rydberg!L9</f>
        <v>mW</v>
      </c>
      <c r="I9" s="207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1:41" ht="13.5" customHeight="1">
      <c r="A10" s="746"/>
      <c r="B10" s="744" t="str">
        <f>Rydberg!B10</f>
        <v>Force</v>
      </c>
      <c r="C10" s="744"/>
      <c r="D10" s="3" t="str">
        <f>Rydberg!C10</f>
        <v>N</v>
      </c>
      <c r="E10" s="21">
        <f>IF(I$1="suffix u",Rydberg!F10,IF(I$1="suffix B",Bohr!F10,IF(I$1="suffix e",Clock!F10,Clock_by_Rydberg!F10)))</f>
        <v>0.23530029699874513</v>
      </c>
      <c r="F10" s="8">
        <v>-3</v>
      </c>
      <c r="G10" s="210">
        <f t="shared" si="0"/>
        <v>235.30029699874513</v>
      </c>
      <c r="H10" s="122" t="str">
        <f>Rydberg!L10</f>
        <v>mN</v>
      </c>
      <c r="I10" s="207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spans="1:41" ht="13.5" customHeight="1">
      <c r="A11" s="746"/>
      <c r="B11" s="744" t="str">
        <f>Rydberg!B11</f>
        <v>Pressure</v>
      </c>
      <c r="C11" s="744"/>
      <c r="D11" s="3" t="str">
        <f>Rydberg!C11</f>
        <v>P</v>
      </c>
      <c r="E11" s="21">
        <f>IF(I$1="suffix u",Rydberg!F11,IF(I$1="suffix B",Bohr!F11,IF(I$1="suffix e",Clock!F11,Clock_by_Rydberg!F11)))</f>
        <v>3.1722008774165378</v>
      </c>
      <c r="F11" s="8">
        <v>0</v>
      </c>
      <c r="G11" s="210">
        <f t="shared" si="0"/>
        <v>3.1722008774165378</v>
      </c>
      <c r="H11" s="122" t="str">
        <f>Rydberg!L11</f>
        <v>Pa</v>
      </c>
      <c r="I11" s="207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41" ht="13.5" customHeight="1">
      <c r="A12" s="746"/>
      <c r="B12" s="744" t="str">
        <f>Rydberg!B12</f>
        <v>Charge</v>
      </c>
      <c r="C12" s="744"/>
      <c r="D12" s="3" t="str">
        <f>Rydberg!C12</f>
        <v>C</v>
      </c>
      <c r="E12" s="21">
        <f>IF(I$1="suffix u",Rydberg!F12,IF(I$1="suffix B",Bohr!F12,IF(I$1="suffix e",Clock!F12,Clock_by_Rydberg!F12)))</f>
        <v>2.8896578034303969E-2</v>
      </c>
      <c r="F12" s="8">
        <v>-3</v>
      </c>
      <c r="G12" s="210">
        <f t="shared" si="0"/>
        <v>28.896578034303968</v>
      </c>
      <c r="H12" s="122" t="str">
        <f>Rydberg!L12</f>
        <v>mC</v>
      </c>
      <c r="I12" s="207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spans="1:41" ht="14.25" customHeight="1">
      <c r="A13" s="746"/>
      <c r="B13" s="744" t="str">
        <f>Rydberg!B13</f>
        <v>Electric current</v>
      </c>
      <c r="C13" s="744"/>
      <c r="D13" s="3" t="str">
        <f>Rydberg!C13</f>
        <v>A</v>
      </c>
      <c r="E13" s="21">
        <f>IF(I$1="suffix u",Rydberg!F13,IF(I$1="suffix B",Bohr!F13,IF(I$1="suffix e",Clock!F13,Clock_by_Rydberg!F13)))</f>
        <v>7.3975217968011459E-2</v>
      </c>
      <c r="F13" s="8">
        <v>-3</v>
      </c>
      <c r="G13" s="210">
        <f t="shared" si="0"/>
        <v>73.975217968011464</v>
      </c>
      <c r="H13" s="122" t="str">
        <f>Rydberg!L13</f>
        <v>mA</v>
      </c>
      <c r="I13" s="207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spans="1:41" ht="14.25" customHeight="1">
      <c r="A14" s="746"/>
      <c r="B14" s="744" t="str">
        <f>Rydberg!B14</f>
        <v>Field Strength</v>
      </c>
      <c r="C14" s="744"/>
      <c r="D14" s="3" t="str">
        <f>Rydberg!C14</f>
        <v>O</v>
      </c>
      <c r="E14" s="21">
        <f>IF(I$1="suffix u",Rydberg!F14,IF(I$1="suffix B",Bohr!F14,IF(I$1="suffix e",Clock!F14,Clock_by_Rydberg!F14)))</f>
        <v>0.2716160044108607</v>
      </c>
      <c r="F14" s="8">
        <v>-3</v>
      </c>
      <c r="G14" s="210">
        <f t="shared" si="0"/>
        <v>271.61600441086068</v>
      </c>
      <c r="H14" s="122" t="str">
        <f>Rydberg!L14</f>
        <v>mA/m</v>
      </c>
      <c r="I14" s="207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41" ht="14.25" customHeight="1">
      <c r="A15" s="746"/>
      <c r="B15" s="744" t="str">
        <f>Rydberg!B15</f>
        <v>Flux density</v>
      </c>
      <c r="C15" s="744"/>
      <c r="D15" s="3" t="str">
        <f>Rydberg!C15</f>
        <v>G</v>
      </c>
      <c r="E15" s="21">
        <f>IF(I$1="suffix u",Rydberg!F15,IF(I$1="suffix B",Bohr!F15,IF(I$1="suffix e",Clock!F15,Clock_by_Rydberg!F15)))</f>
        <v>0.38956920736586814</v>
      </c>
      <c r="F15" s="8">
        <v>-3</v>
      </c>
      <c r="G15" s="210">
        <f t="shared" si="0"/>
        <v>389.56920736586812</v>
      </c>
      <c r="H15" s="122" t="str">
        <f>Rydberg!L15</f>
        <v>mC/m^2</v>
      </c>
      <c r="I15" s="207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41" ht="14.25" customHeight="1">
      <c r="A16" s="746"/>
      <c r="B16" s="744" t="str">
        <f>Rydberg!B16</f>
        <v>Impedance</v>
      </c>
      <c r="C16" s="744"/>
      <c r="D16" s="3" t="str">
        <f>Rydberg!C16</f>
        <v>Ω</v>
      </c>
      <c r="E16" s="21">
        <f>IF(I$1="suffix u",Rydberg!F16,IF(I$1="suffix B",Bohr!F16,IF(I$1="suffix e",Clock!F16,Clock_by_Rydberg!F16)))</f>
        <v>29.979245800000001</v>
      </c>
      <c r="F16" s="8">
        <v>0</v>
      </c>
      <c r="G16" s="210">
        <f t="shared" si="0"/>
        <v>29.979245800000001</v>
      </c>
      <c r="H16" s="122" t="str">
        <f>Rydberg!L16</f>
        <v>Ω</v>
      </c>
      <c r="I16" s="207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spans="1:41" ht="14.25" customHeight="1">
      <c r="A17" s="746"/>
      <c r="B17" s="752" t="str">
        <f>Rydberg!B17</f>
        <v>Electric potential difference</v>
      </c>
      <c r="C17" s="752"/>
      <c r="D17" s="3" t="str">
        <f>Rydberg!C17</f>
        <v>ΩA</v>
      </c>
      <c r="E17" s="21">
        <f>IF(I$1="suffix u",Rydberg!F17,IF(I$1="suffix B",Bohr!F17,IF(I$1="suffix e",Clock!F17,Clock_by_Rydberg!F17)))</f>
        <v>2.2177212425715922</v>
      </c>
      <c r="F17" s="8">
        <v>0</v>
      </c>
      <c r="G17" s="210">
        <f t="shared" si="0"/>
        <v>2.2177212425715922</v>
      </c>
      <c r="H17" s="122" t="str">
        <f>Rydberg!L17</f>
        <v>V</v>
      </c>
      <c r="I17" s="207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41" ht="14.25" customHeight="1">
      <c r="A18" s="746"/>
      <c r="B18" s="744" t="str">
        <f>Rydberg!B18</f>
        <v>Electric capacitance</v>
      </c>
      <c r="C18" s="744"/>
      <c r="D18" s="3" t="str">
        <f>Rydberg!C18</f>
        <v>s/Ω</v>
      </c>
      <c r="E18" s="21">
        <f>IF(I$1="suffix u",Rydberg!F18,IF(I$1="suffix B",Bohr!F18,IF(I$1="suffix e",Clock!F18,Clock_by_Rydberg!F18)))</f>
        <v>1.3029851308452323E-2</v>
      </c>
      <c r="F18" s="8">
        <v>0</v>
      </c>
      <c r="G18" s="210">
        <f t="shared" si="0"/>
        <v>1.3029851308452323E-2</v>
      </c>
      <c r="H18" s="122" t="str">
        <f>Rydberg!L18</f>
        <v>mF</v>
      </c>
      <c r="I18" s="207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spans="1:41" ht="14.25" customHeight="1">
      <c r="A19" s="746"/>
      <c r="B19" s="744" t="str">
        <f>Rydberg!B19</f>
        <v>Magnetic flux</v>
      </c>
      <c r="C19" s="744"/>
      <c r="D19" s="3" t="str">
        <f>Rydberg!C19</f>
        <v>ΩC</v>
      </c>
      <c r="E19" s="21">
        <f>IF(I$1="suffix u",Rydberg!F19,IF(I$1="suffix B",Bohr!F19,IF(I$1="suffix e",Clock!F19,Clock_by_Rydberg!F19)))</f>
        <v>0.86629761566927965</v>
      </c>
      <c r="F19" s="8">
        <v>0</v>
      </c>
      <c r="G19" s="210">
        <f t="shared" si="0"/>
        <v>0.86629761566927965</v>
      </c>
      <c r="H19" s="122" t="str">
        <f>Rydberg!L19</f>
        <v>Wb</v>
      </c>
      <c r="I19" s="207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spans="1:41" ht="14.25" customHeight="1">
      <c r="A20" s="746"/>
      <c r="B20" s="744" t="str">
        <f>Rydberg!B20</f>
        <v>Magnetic flux density</v>
      </c>
      <c r="C20" s="744"/>
      <c r="D20" s="3" t="str">
        <f>Rydberg!C20</f>
        <v>ΩG</v>
      </c>
      <c r="E20" s="21">
        <f>IF(I$1="suffix u",Rydberg!F20,IF(I$1="suffix B",Bohr!F20,IF(I$1="suffix e",Clock!F20,Clock_by_Rydberg!F20)))</f>
        <v>11.678991023732532</v>
      </c>
      <c r="F20" s="8">
        <v>0</v>
      </c>
      <c r="G20" s="210">
        <f t="shared" si="0"/>
        <v>11.678991023732532</v>
      </c>
      <c r="H20" s="122" t="str">
        <f>Rydberg!L20</f>
        <v>T</v>
      </c>
      <c r="I20" s="207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41" ht="14.25" customHeight="1" thickBot="1">
      <c r="A21" s="747"/>
      <c r="B21" s="750" t="str">
        <f>Rydberg!B21</f>
        <v>Inductance</v>
      </c>
      <c r="C21" s="750"/>
      <c r="D21" s="91" t="str">
        <f>Rydberg!C21</f>
        <v>sΩ</v>
      </c>
      <c r="E21" s="32">
        <f>IF(I$1="suffix u",Rydberg!F21,IF(I$1="suffix B",Bohr!F21,IF(I$1="suffix e",Clock!F21,Clock_by_Rydberg!F21)))</f>
        <v>11.710646341642224</v>
      </c>
      <c r="F21" s="33">
        <v>0</v>
      </c>
      <c r="G21" s="212">
        <f t="shared" si="0"/>
        <v>11.710646341642224</v>
      </c>
      <c r="H21" s="128" t="str">
        <f>Rydberg!L21</f>
        <v>H</v>
      </c>
      <c r="I21" s="208"/>
      <c r="J21" s="117"/>
      <c r="K21" s="117"/>
      <c r="L21" s="117"/>
      <c r="M21" s="117"/>
      <c r="N21" s="117"/>
      <c r="O21" s="117"/>
      <c r="P21" s="117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spans="1:41" ht="14.25" customHeight="1" thickBot="1">
      <c r="A22" s="741"/>
      <c r="B22" s="742"/>
      <c r="C22" s="743" t="s">
        <v>586</v>
      </c>
      <c r="D22" s="743"/>
      <c r="E22" s="743"/>
      <c r="F22" s="743"/>
      <c r="G22" s="743"/>
      <c r="H22" s="743"/>
      <c r="I22" s="740" t="s">
        <v>587</v>
      </c>
      <c r="J22" s="740"/>
      <c r="K22" s="740"/>
      <c r="L22" s="740"/>
      <c r="M22" s="740"/>
      <c r="N22" s="740"/>
      <c r="O22" s="740"/>
      <c r="P22" s="740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41" ht="11.25" customHeight="1">
      <c r="A23" s="753" t="s">
        <v>606</v>
      </c>
      <c r="B23" s="213" t="s">
        <v>588</v>
      </c>
      <c r="C23" s="94" t="s">
        <v>42</v>
      </c>
      <c r="D23" s="217" t="s">
        <v>95</v>
      </c>
      <c r="E23" s="149" t="s">
        <v>43</v>
      </c>
      <c r="F23" s="18" t="s">
        <v>54</v>
      </c>
      <c r="G23" s="149" t="s">
        <v>47</v>
      </c>
      <c r="H23" s="174" t="s">
        <v>95</v>
      </c>
      <c r="I23" s="165" t="s">
        <v>42</v>
      </c>
      <c r="J23" s="18" t="s">
        <v>95</v>
      </c>
      <c r="K23" s="18" t="s">
        <v>54</v>
      </c>
      <c r="L23" s="149" t="s">
        <v>47</v>
      </c>
      <c r="M23" s="149" t="s">
        <v>45</v>
      </c>
      <c r="N23" s="713" t="s">
        <v>80</v>
      </c>
      <c r="O23" s="714"/>
      <c r="P23" s="150" t="s">
        <v>213</v>
      </c>
      <c r="Q23" s="35">
        <v>0</v>
      </c>
      <c r="R23" s="36"/>
      <c r="S23" s="36">
        <f>Q23+1</f>
        <v>1</v>
      </c>
      <c r="T23" s="36"/>
      <c r="U23" s="36">
        <f>S23+1</f>
        <v>2</v>
      </c>
      <c r="V23" s="36"/>
      <c r="W23" s="36">
        <f>U23+1</f>
        <v>3</v>
      </c>
      <c r="X23" s="36"/>
      <c r="Y23" s="36">
        <f>W23+1</f>
        <v>4</v>
      </c>
      <c r="Z23" s="36"/>
      <c r="AA23" s="36">
        <f>Y23+1</f>
        <v>5</v>
      </c>
      <c r="AB23" s="36"/>
      <c r="AC23" s="36">
        <f>AA23+1</f>
        <v>6</v>
      </c>
      <c r="AD23" s="36"/>
      <c r="AE23" s="36">
        <f>AC23+1</f>
        <v>7</v>
      </c>
      <c r="AF23" s="36"/>
      <c r="AG23" s="36">
        <f>AE23+1</f>
        <v>8</v>
      </c>
      <c r="AH23" s="36"/>
      <c r="AI23" s="36">
        <f>AG23+1</f>
        <v>9</v>
      </c>
      <c r="AJ23" s="36"/>
      <c r="AK23" s="36">
        <f>AI23+1</f>
        <v>10</v>
      </c>
      <c r="AL23" s="36"/>
      <c r="AM23" s="36">
        <f>AK23+1</f>
        <v>11</v>
      </c>
      <c r="AN23" s="36"/>
      <c r="AO23" s="36">
        <f>AM23+1</f>
        <v>12</v>
      </c>
    </row>
    <row r="24" spans="1:41" ht="14.25" customHeight="1">
      <c r="A24" s="753"/>
      <c r="B24" s="755" t="s">
        <v>602</v>
      </c>
      <c r="C24" s="175" t="s">
        <v>570</v>
      </c>
      <c r="D24" s="3" t="s">
        <v>567</v>
      </c>
      <c r="E24" s="161">
        <f t="shared" ref="E24:E28" si="28">E25/12</f>
        <v>9.1210202711408506E-8</v>
      </c>
      <c r="F24" s="176">
        <v>-9</v>
      </c>
      <c r="G24" s="177">
        <f t="shared" ref="G24:G94" si="29">E24*POWER(10,-F24)</f>
        <v>91.210202711408499</v>
      </c>
      <c r="H24" s="178" t="s">
        <v>569</v>
      </c>
      <c r="I24" s="166">
        <f t="shared" ref="I24:I28" si="30">I25/10</f>
        <v>1.0000000000000002E-6</v>
      </c>
      <c r="J24" s="2" t="s">
        <v>567</v>
      </c>
      <c r="K24" s="8">
        <v>9</v>
      </c>
      <c r="L24" s="21">
        <f t="shared" ref="L24:L28" si="31">L25/10</f>
        <v>3.6717161756564686E-6</v>
      </c>
      <c r="M24" s="37" t="str">
        <f t="shared" ref="M24:M28" si="32">Q24&amp;";"&amp;S24&amp;U24&amp;W24&amp;Y24&amp;AA24&amp;AC24&amp;AE24&amp;AG24&amp;AI24&amp;AK24&amp;AM24&amp;AO24</f>
        <v>X;E692EX2X6</v>
      </c>
      <c r="N24" s="38">
        <f t="shared" ref="N24:N28" si="33">N25-1</f>
        <v>-6</v>
      </c>
      <c r="O24" s="61">
        <f t="shared" ref="O24:O28" si="34">L24/POWER(12,N24)</f>
        <v>10.963685753051406</v>
      </c>
      <c r="P24" s="39" t="str">
        <f>INDEX(powers!$H$2:$H$75,33+N24)</f>
        <v>atomic hecty</v>
      </c>
      <c r="Q24" s="40" t="str">
        <f t="shared" ref="Q24:Q94" si="35">IF($K24&gt;=Q$23,MID($N$23,IF($K24&gt;Q$23,INT(O24),ROUND(O24,0))+1,1),"")</f>
        <v>X</v>
      </c>
      <c r="R24" s="24">
        <f t="shared" ref="R24:R28" si="36">(O24-INT(O24))*12</f>
        <v>11.564229036616872</v>
      </c>
      <c r="S24" s="41" t="str">
        <f t="shared" ref="S24:S87" si="37">IF($K24&gt;=S$23,MID($N$23,IF($K24&gt;S$23,INT(R24),ROUND(R24,0))+1,1),"")</f>
        <v>E</v>
      </c>
      <c r="T24" s="24">
        <f t="shared" ref="T24:T28" si="38">(R24-INT(R24))*12</f>
        <v>6.7707484394024675</v>
      </c>
      <c r="U24" s="41" t="str">
        <f t="shared" ref="U24:U87" si="39">IF($K24&gt;=U$23,MID($N$23,IF($K24&gt;U$23,INT(T24),ROUND(T24,0))+1,1),"")</f>
        <v>6</v>
      </c>
      <c r="V24" s="24">
        <f t="shared" ref="V24:V28" si="40">(T24-INT(T24))*12</f>
        <v>9.2489812728296101</v>
      </c>
      <c r="W24" s="41" t="str">
        <f t="shared" ref="W24:W87" si="41">IF($K24&gt;=W$23,MID($N$23,IF($K24&gt;W$23,INT(V24),ROUND(V24,0))+1,1),"")</f>
        <v>9</v>
      </c>
      <c r="X24" s="24">
        <f t="shared" ref="X24:X28" si="42">(V24-INT(V24))*12</f>
        <v>2.9877752739553216</v>
      </c>
      <c r="Y24" s="41" t="str">
        <f t="shared" ref="Y24:Y87" si="43">IF($K24&gt;=Y$23,MID($N$23,IF($K24&gt;Y$23,INT(X24),ROUND(X24,0))+1,1),"")</f>
        <v>2</v>
      </c>
      <c r="Z24" s="24">
        <f t="shared" ref="Z24:Z28" si="44">(X24-INT(X24))*12</f>
        <v>11.853303287463859</v>
      </c>
      <c r="AA24" s="41" t="str">
        <f t="shared" ref="AA24:AA87" si="45">IF($K24&gt;=AA$23,MID($N$23,IF($K24&gt;AA$23,INT(Z24),ROUND(Z24,0))+1,1),"")</f>
        <v>E</v>
      </c>
      <c r="AB24" s="24">
        <f t="shared" ref="AB24:AB28" si="46">(Z24-INT(Z24))*12</f>
        <v>10.239639449566312</v>
      </c>
      <c r="AC24" s="41" t="str">
        <f t="shared" ref="AC24:AC87" si="47">IF($K24&gt;=AC$23,MID($N$23,IF($K24&gt;AC$23,INT(AB24),ROUND(AB24,0))+1,1),"")</f>
        <v>X</v>
      </c>
      <c r="AD24" s="24">
        <f t="shared" ref="AD24:AD28" si="48">(AB24-INT(AB24))*12</f>
        <v>2.87567339479574</v>
      </c>
      <c r="AE24" s="41" t="str">
        <f t="shared" ref="AE24:AE87" si="49">IF($K24&gt;=AE$23,MID($N$23,IF($K24&gt;AE$23,INT(AD24),ROUND(AD24,0))+1,1),"")</f>
        <v>2</v>
      </c>
      <c r="AF24" s="24">
        <f t="shared" ref="AF24:AF28" si="50">(AD24-INT(AD24))*12</f>
        <v>10.50808073754888</v>
      </c>
      <c r="AG24" s="41" t="str">
        <f t="shared" ref="AG24:AG87" si="51">IF($K24&gt;=AG$23,MID($N$23,IF($K24&gt;AG$23,INT(AF24),ROUND(AF24,0))+1,1),"")</f>
        <v>X</v>
      </c>
      <c r="AH24" s="24">
        <f t="shared" ref="AH24:AH28" si="52">(AF24-INT(AF24))*12</f>
        <v>6.0969688505865633</v>
      </c>
      <c r="AI24" s="41" t="str">
        <f t="shared" ref="AI24:AI87" si="53">IF($K24&gt;=AI$23,MID($N$23,IF($K24&gt;AI$23,INT(AH24),ROUND(AH24,0))+1,1),"")</f>
        <v>6</v>
      </c>
      <c r="AJ24" s="24">
        <f t="shared" ref="AJ24:AJ28" si="54">(AH24-INT(AH24))*12</f>
        <v>1.1636262070387602</v>
      </c>
      <c r="AK24" s="41" t="str">
        <f t="shared" ref="AK24:AK87" si="55">IF($K24&gt;=AK$23,MID($N$23,IF($K24&gt;AK$23,INT(AJ24),ROUND(AJ24,0))+1,1),"")</f>
        <v/>
      </c>
      <c r="AL24" s="24">
        <f t="shared" ref="AL24:AL28" si="56">(AJ24-INT(AJ24))*12</f>
        <v>1.9635144844651222</v>
      </c>
      <c r="AM24" s="41" t="str">
        <f t="shared" ref="AM24:AM87" si="57">IF($K24&gt;=AM$23,MID($N$23,IF($K24&gt;AM$23,INT(AL24),ROUND(AL24,0))+1,1),"")</f>
        <v/>
      </c>
      <c r="AN24" s="24">
        <f t="shared" ref="AN24:AN28" si="58">(AL24-INT(AL24))*12</f>
        <v>11.562173813581467</v>
      </c>
      <c r="AO24" s="41" t="str">
        <f t="shared" ref="AO24:AO87" si="59">IF($K24&gt;=AO$23,MID($N$23,IF($K24&gt;AO$23,INT(AN24),ROUND(AN24,0))+1,1),"")</f>
        <v/>
      </c>
    </row>
    <row r="25" spans="1:41" ht="14.25" customHeight="1">
      <c r="A25" s="753"/>
      <c r="B25" s="755"/>
      <c r="C25" s="179" t="s">
        <v>571</v>
      </c>
      <c r="D25" s="3" t="str">
        <f>D24</f>
        <v>m</v>
      </c>
      <c r="E25" s="161">
        <f t="shared" si="28"/>
        <v>1.0945224325369021E-6</v>
      </c>
      <c r="F25" s="176">
        <v>-6</v>
      </c>
      <c r="G25" s="177">
        <f t="shared" si="29"/>
        <v>1.0945224325369021</v>
      </c>
      <c r="H25" s="178" t="s">
        <v>595</v>
      </c>
      <c r="I25" s="167">
        <f t="shared" si="30"/>
        <v>1.0000000000000001E-5</v>
      </c>
      <c r="J25" s="2" t="s">
        <v>567</v>
      </c>
      <c r="K25" s="8">
        <v>9</v>
      </c>
      <c r="L25" s="21">
        <f t="shared" si="31"/>
        <v>3.6717161756564687E-5</v>
      </c>
      <c r="M25" s="37" t="str">
        <f t="shared" si="32"/>
        <v>9;17785X649</v>
      </c>
      <c r="N25" s="38">
        <f t="shared" si="33"/>
        <v>-5</v>
      </c>
      <c r="O25" s="61">
        <f t="shared" si="34"/>
        <v>9.1364047942095041</v>
      </c>
      <c r="P25" s="39" t="str">
        <f>INDEX(powers!$H$2:$H$75,33+N25)</f>
        <v>atomic kily</v>
      </c>
      <c r="Q25" s="40" t="str">
        <f t="shared" si="35"/>
        <v>9</v>
      </c>
      <c r="R25" s="24">
        <f t="shared" si="36"/>
        <v>1.6368575305140496</v>
      </c>
      <c r="S25" s="41" t="str">
        <f t="shared" si="37"/>
        <v>1</v>
      </c>
      <c r="T25" s="24">
        <f t="shared" si="38"/>
        <v>7.642290366168595</v>
      </c>
      <c r="U25" s="41" t="str">
        <f t="shared" si="39"/>
        <v>7</v>
      </c>
      <c r="V25" s="24">
        <f t="shared" si="40"/>
        <v>7.7074843940231403</v>
      </c>
      <c r="W25" s="41" t="str">
        <f t="shared" si="41"/>
        <v>7</v>
      </c>
      <c r="X25" s="24">
        <f t="shared" si="42"/>
        <v>8.4898127282776841</v>
      </c>
      <c r="Y25" s="41" t="str">
        <f t="shared" si="43"/>
        <v>8</v>
      </c>
      <c r="Z25" s="24">
        <f t="shared" si="44"/>
        <v>5.8777527393322089</v>
      </c>
      <c r="AA25" s="41" t="str">
        <f t="shared" si="45"/>
        <v>5</v>
      </c>
      <c r="AB25" s="24">
        <f t="shared" si="46"/>
        <v>10.533032871986507</v>
      </c>
      <c r="AC25" s="41" t="str">
        <f t="shared" si="47"/>
        <v>X</v>
      </c>
      <c r="AD25" s="24">
        <f t="shared" si="48"/>
        <v>6.3963944638380781</v>
      </c>
      <c r="AE25" s="41" t="str">
        <f t="shared" si="49"/>
        <v>6</v>
      </c>
      <c r="AF25" s="24">
        <f t="shared" si="50"/>
        <v>4.756733566056937</v>
      </c>
      <c r="AG25" s="41" t="str">
        <f t="shared" si="51"/>
        <v>4</v>
      </c>
      <c r="AH25" s="24">
        <f t="shared" si="52"/>
        <v>9.0808027926832438</v>
      </c>
      <c r="AI25" s="41" t="str">
        <f t="shared" si="53"/>
        <v>9</v>
      </c>
      <c r="AJ25" s="24">
        <f t="shared" si="54"/>
        <v>0.96963351219892502</v>
      </c>
      <c r="AK25" s="41" t="str">
        <f t="shared" si="55"/>
        <v/>
      </c>
      <c r="AL25" s="24">
        <f t="shared" si="56"/>
        <v>11.6356021463871</v>
      </c>
      <c r="AM25" s="41" t="str">
        <f t="shared" si="57"/>
        <v/>
      </c>
      <c r="AN25" s="24">
        <f t="shared" si="58"/>
        <v>7.6272257566452026</v>
      </c>
      <c r="AO25" s="41" t="str">
        <f t="shared" si="59"/>
        <v/>
      </c>
    </row>
    <row r="26" spans="1:41" ht="14.25" customHeight="1">
      <c r="A26" s="753"/>
      <c r="B26" s="755"/>
      <c r="C26" s="180" t="s">
        <v>572</v>
      </c>
      <c r="D26" s="3" t="str">
        <f t="shared" ref="D26:D35" si="60">D25</f>
        <v>m</v>
      </c>
      <c r="E26" s="161">
        <f t="shared" si="28"/>
        <v>1.3134269190442825E-5</v>
      </c>
      <c r="F26" s="176">
        <v>-6</v>
      </c>
      <c r="G26" s="177">
        <f t="shared" si="29"/>
        <v>13.134269190442824</v>
      </c>
      <c r="H26" s="178" t="s">
        <v>595</v>
      </c>
      <c r="I26" s="168">
        <f t="shared" si="30"/>
        <v>1E-4</v>
      </c>
      <c r="J26" s="2" t="s">
        <v>567</v>
      </c>
      <c r="K26" s="8">
        <v>9</v>
      </c>
      <c r="L26" s="21">
        <f t="shared" si="31"/>
        <v>3.6717161756564685E-4</v>
      </c>
      <c r="M26" s="37" t="str">
        <f t="shared" si="32"/>
        <v>7;74450X93</v>
      </c>
      <c r="N26" s="38">
        <f t="shared" si="33"/>
        <v>-4</v>
      </c>
      <c r="O26" s="61">
        <f t="shared" si="34"/>
        <v>7.6136706618412537</v>
      </c>
      <c r="P26" s="39" t="str">
        <f>INDEX(powers!$H$2:$H$75,33+N26)</f>
        <v>sub</v>
      </c>
      <c r="Q26" s="40" t="str">
        <f t="shared" si="35"/>
        <v>7</v>
      </c>
      <c r="R26" s="24">
        <f t="shared" si="36"/>
        <v>7.3640479420950449</v>
      </c>
      <c r="S26" s="41" t="str">
        <f t="shared" si="37"/>
        <v>7</v>
      </c>
      <c r="T26" s="24">
        <f t="shared" si="38"/>
        <v>4.3685753051405385</v>
      </c>
      <c r="U26" s="41" t="str">
        <f t="shared" si="39"/>
        <v>4</v>
      </c>
      <c r="V26" s="24">
        <f t="shared" si="40"/>
        <v>4.4229036616864619</v>
      </c>
      <c r="W26" s="41" t="str">
        <f t="shared" si="41"/>
        <v>4</v>
      </c>
      <c r="X26" s="24">
        <f t="shared" si="42"/>
        <v>5.0748439402375425</v>
      </c>
      <c r="Y26" s="41" t="str">
        <f t="shared" si="43"/>
        <v>5</v>
      </c>
      <c r="Z26" s="24">
        <f t="shared" si="44"/>
        <v>0.8981272828505098</v>
      </c>
      <c r="AA26" s="41" t="str">
        <f t="shared" si="45"/>
        <v>0</v>
      </c>
      <c r="AB26" s="24">
        <f t="shared" si="46"/>
        <v>10.777527394206118</v>
      </c>
      <c r="AC26" s="41" t="str">
        <f t="shared" si="47"/>
        <v>X</v>
      </c>
      <c r="AD26" s="24">
        <f t="shared" si="48"/>
        <v>9.3303287304734113</v>
      </c>
      <c r="AE26" s="41" t="str">
        <f t="shared" si="49"/>
        <v>9</v>
      </c>
      <c r="AF26" s="24">
        <f t="shared" si="50"/>
        <v>3.9639447656809352</v>
      </c>
      <c r="AG26" s="41" t="str">
        <f t="shared" si="51"/>
        <v>3</v>
      </c>
      <c r="AH26" s="24">
        <f t="shared" si="52"/>
        <v>11.567337188171223</v>
      </c>
      <c r="AI26" s="41" t="str">
        <f t="shared" si="53"/>
        <v/>
      </c>
      <c r="AJ26" s="24">
        <f t="shared" si="54"/>
        <v>6.8080462580546737</v>
      </c>
      <c r="AK26" s="41" t="str">
        <f t="shared" si="55"/>
        <v/>
      </c>
      <c r="AL26" s="24">
        <f t="shared" si="56"/>
        <v>9.6965550966560841</v>
      </c>
      <c r="AM26" s="41" t="str">
        <f t="shared" si="57"/>
        <v/>
      </c>
      <c r="AN26" s="24">
        <f t="shared" si="58"/>
        <v>8.3586611598730087</v>
      </c>
      <c r="AO26" s="41" t="str">
        <f t="shared" si="59"/>
        <v/>
      </c>
    </row>
    <row r="27" spans="1:41" ht="14.25" customHeight="1">
      <c r="A27" s="753"/>
      <c r="B27" s="755"/>
      <c r="C27" s="181" t="s">
        <v>573</v>
      </c>
      <c r="D27" s="3" t="str">
        <f t="shared" si="60"/>
        <v>m</v>
      </c>
      <c r="E27" s="161">
        <f t="shared" si="28"/>
        <v>1.576112302853139E-4</v>
      </c>
      <c r="F27" s="176">
        <v>-6</v>
      </c>
      <c r="G27" s="177">
        <f t="shared" si="29"/>
        <v>157.61123028531389</v>
      </c>
      <c r="H27" s="178" t="s">
        <v>595</v>
      </c>
      <c r="I27" s="169">
        <f t="shared" si="30"/>
        <v>1E-3</v>
      </c>
      <c r="J27" s="2" t="s">
        <v>567</v>
      </c>
      <c r="K27" s="8">
        <v>9</v>
      </c>
      <c r="L27" s="21">
        <f t="shared" si="31"/>
        <v>3.6717161756564683E-3</v>
      </c>
      <c r="M27" s="37" t="str">
        <f t="shared" si="32"/>
        <v>6;417828E94</v>
      </c>
      <c r="N27" s="38">
        <f t="shared" si="33"/>
        <v>-3</v>
      </c>
      <c r="O27" s="61">
        <f t="shared" si="34"/>
        <v>6.3447255515343777</v>
      </c>
      <c r="P27" s="39" t="str">
        <f>INDEX(powers!$H$2:$H$75,33+N27)</f>
        <v>milly</v>
      </c>
      <c r="Q27" s="40" t="str">
        <f t="shared" si="35"/>
        <v>6</v>
      </c>
      <c r="R27" s="24">
        <f t="shared" si="36"/>
        <v>4.1367066184125321</v>
      </c>
      <c r="S27" s="41" t="str">
        <f t="shared" si="37"/>
        <v>4</v>
      </c>
      <c r="T27" s="24">
        <f t="shared" si="38"/>
        <v>1.6404794209503848</v>
      </c>
      <c r="U27" s="41" t="str">
        <f t="shared" si="39"/>
        <v>1</v>
      </c>
      <c r="V27" s="24">
        <f t="shared" si="40"/>
        <v>7.6857530514046175</v>
      </c>
      <c r="W27" s="41" t="str">
        <f t="shared" si="41"/>
        <v>7</v>
      </c>
      <c r="X27" s="24">
        <f t="shared" si="42"/>
        <v>8.2290366168554101</v>
      </c>
      <c r="Y27" s="41" t="str">
        <f t="shared" si="43"/>
        <v>8</v>
      </c>
      <c r="Z27" s="24">
        <f t="shared" si="44"/>
        <v>2.7484394022649212</v>
      </c>
      <c r="AA27" s="41" t="str">
        <f t="shared" si="45"/>
        <v>2</v>
      </c>
      <c r="AB27" s="24">
        <f t="shared" si="46"/>
        <v>8.9812728271790547</v>
      </c>
      <c r="AC27" s="41" t="str">
        <f t="shared" si="47"/>
        <v>8</v>
      </c>
      <c r="AD27" s="24">
        <f t="shared" si="48"/>
        <v>11.775273926148657</v>
      </c>
      <c r="AE27" s="41" t="str">
        <f t="shared" si="49"/>
        <v>E</v>
      </c>
      <c r="AF27" s="24">
        <f t="shared" si="50"/>
        <v>9.3032871137838811</v>
      </c>
      <c r="AG27" s="41" t="str">
        <f t="shared" si="51"/>
        <v>9</v>
      </c>
      <c r="AH27" s="24">
        <f t="shared" si="52"/>
        <v>3.6394453654065728</v>
      </c>
      <c r="AI27" s="41" t="str">
        <f t="shared" si="53"/>
        <v>4</v>
      </c>
      <c r="AJ27" s="24">
        <f t="shared" si="54"/>
        <v>7.6733443848788738</v>
      </c>
      <c r="AK27" s="41" t="str">
        <f t="shared" si="55"/>
        <v/>
      </c>
      <c r="AL27" s="24">
        <f t="shared" si="56"/>
        <v>8.0801326185464859</v>
      </c>
      <c r="AM27" s="41" t="str">
        <f t="shared" si="57"/>
        <v/>
      </c>
      <c r="AN27" s="24">
        <f t="shared" si="58"/>
        <v>0.96159142255783081</v>
      </c>
      <c r="AO27" s="41" t="str">
        <f t="shared" si="59"/>
        <v/>
      </c>
    </row>
    <row r="28" spans="1:41" ht="14.25" customHeight="1">
      <c r="A28" s="753"/>
      <c r="B28" s="755"/>
      <c r="C28" s="182" t="s">
        <v>574</v>
      </c>
      <c r="D28" s="3" t="str">
        <f t="shared" si="60"/>
        <v>m</v>
      </c>
      <c r="E28" s="161">
        <f t="shared" si="28"/>
        <v>1.8913347634237669E-3</v>
      </c>
      <c r="F28" s="176">
        <v>-3</v>
      </c>
      <c r="G28" s="177">
        <f t="shared" si="29"/>
        <v>1.8913347634237669</v>
      </c>
      <c r="H28" s="178" t="s">
        <v>228</v>
      </c>
      <c r="I28" s="170">
        <f t="shared" si="30"/>
        <v>0.01</v>
      </c>
      <c r="J28" s="2" t="s">
        <v>567</v>
      </c>
      <c r="K28" s="8">
        <v>9</v>
      </c>
      <c r="L28" s="21">
        <f t="shared" si="31"/>
        <v>3.6717161756564684E-2</v>
      </c>
      <c r="M28" s="37" t="str">
        <f t="shared" si="32"/>
        <v>5;3544X3599</v>
      </c>
      <c r="N28" s="38">
        <f t="shared" si="33"/>
        <v>-2</v>
      </c>
      <c r="O28" s="61">
        <f t="shared" si="34"/>
        <v>5.2872712929453147</v>
      </c>
      <c r="P28" s="39" t="str">
        <f>INDEX(powers!$H$2:$H$75,33+N28)</f>
        <v>centy</v>
      </c>
      <c r="Q28" s="40" t="str">
        <f t="shared" si="35"/>
        <v>5</v>
      </c>
      <c r="R28" s="24">
        <f t="shared" si="36"/>
        <v>3.4472555153437767</v>
      </c>
      <c r="S28" s="41" t="str">
        <f t="shared" si="37"/>
        <v>3</v>
      </c>
      <c r="T28" s="24">
        <f t="shared" si="38"/>
        <v>5.3670661841253207</v>
      </c>
      <c r="U28" s="41" t="str">
        <f t="shared" si="39"/>
        <v>5</v>
      </c>
      <c r="V28" s="24">
        <f t="shared" si="40"/>
        <v>4.4047942095038479</v>
      </c>
      <c r="W28" s="41" t="str">
        <f t="shared" si="41"/>
        <v>4</v>
      </c>
      <c r="X28" s="24">
        <f t="shared" si="42"/>
        <v>4.8575305140461751</v>
      </c>
      <c r="Y28" s="41" t="str">
        <f t="shared" si="43"/>
        <v>4</v>
      </c>
      <c r="Z28" s="24">
        <f t="shared" si="44"/>
        <v>10.290366168554101</v>
      </c>
      <c r="AA28" s="41" t="str">
        <f t="shared" si="45"/>
        <v>X</v>
      </c>
      <c r="AB28" s="24">
        <f t="shared" si="46"/>
        <v>3.4843940226492123</v>
      </c>
      <c r="AC28" s="41" t="str">
        <f t="shared" si="47"/>
        <v>3</v>
      </c>
      <c r="AD28" s="24">
        <f t="shared" si="48"/>
        <v>5.8127282717905473</v>
      </c>
      <c r="AE28" s="41" t="str">
        <f t="shared" si="49"/>
        <v>5</v>
      </c>
      <c r="AF28" s="24">
        <f t="shared" si="50"/>
        <v>9.7527392614865676</v>
      </c>
      <c r="AG28" s="41" t="str">
        <f t="shared" si="51"/>
        <v>9</v>
      </c>
      <c r="AH28" s="24">
        <f t="shared" si="52"/>
        <v>9.0328711378388107</v>
      </c>
      <c r="AI28" s="41" t="str">
        <f t="shared" si="53"/>
        <v>9</v>
      </c>
      <c r="AJ28" s="24">
        <f t="shared" si="54"/>
        <v>0.39445365406572819</v>
      </c>
      <c r="AK28" s="41" t="str">
        <f t="shared" si="55"/>
        <v/>
      </c>
      <c r="AL28" s="24">
        <f t="shared" si="56"/>
        <v>4.7334438487887383</v>
      </c>
      <c r="AM28" s="41" t="str">
        <f t="shared" si="57"/>
        <v/>
      </c>
      <c r="AN28" s="24">
        <f t="shared" si="58"/>
        <v>8.801326185464859</v>
      </c>
      <c r="AO28" s="41" t="str">
        <f t="shared" si="59"/>
        <v/>
      </c>
    </row>
    <row r="29" spans="1:41" ht="14.25" customHeight="1">
      <c r="A29" s="753"/>
      <c r="B29" s="755"/>
      <c r="C29" s="183" t="s">
        <v>575</v>
      </c>
      <c r="D29" s="3" t="str">
        <f t="shared" si="60"/>
        <v>m</v>
      </c>
      <c r="E29" s="161">
        <f>E30/12</f>
        <v>2.2696017161085203E-2</v>
      </c>
      <c r="F29" s="176">
        <v>-3</v>
      </c>
      <c r="G29" s="177">
        <f t="shared" si="29"/>
        <v>22.696017161085202</v>
      </c>
      <c r="H29" s="178" t="s">
        <v>228</v>
      </c>
      <c r="I29" s="171">
        <f>I30/10</f>
        <v>0.1</v>
      </c>
      <c r="J29" s="2" t="s">
        <v>567</v>
      </c>
      <c r="K29" s="8">
        <v>9</v>
      </c>
      <c r="L29" s="21">
        <f>L30/10</f>
        <v>0.36717161756564681</v>
      </c>
      <c r="M29" s="37" t="str">
        <f>Q29&amp;";"&amp;S29&amp;U29&amp;W29&amp;Y29&amp;AA29&amp;AC29&amp;AE29&amp;AG29&amp;AI29&amp;AK29&amp;AM29&amp;AO29</f>
        <v>4;4X5806XX2</v>
      </c>
      <c r="N29" s="38">
        <f>N30-1</f>
        <v>-1</v>
      </c>
      <c r="O29" s="61">
        <f t="shared" ref="O29" si="61">L29/POWER(12,N29)</f>
        <v>4.406059410787762</v>
      </c>
      <c r="P29" s="39" t="str">
        <f>INDEX(powers!$H$2:$H$75,33+N29)</f>
        <v>dour</v>
      </c>
      <c r="Q29" s="40" t="str">
        <f t="shared" si="35"/>
        <v>4</v>
      </c>
      <c r="R29" s="24">
        <f>(O29-INT(O29))*12</f>
        <v>4.8727129294531437</v>
      </c>
      <c r="S29" s="41" t="str">
        <f t="shared" si="37"/>
        <v>4</v>
      </c>
      <c r="T29" s="24">
        <f>(R29-INT(R29))*12</f>
        <v>10.472555153437725</v>
      </c>
      <c r="U29" s="41" t="str">
        <f t="shared" si="39"/>
        <v>X</v>
      </c>
      <c r="V29" s="24">
        <f>(T29-INT(T29))*12</f>
        <v>5.670661841252695</v>
      </c>
      <c r="W29" s="41" t="str">
        <f t="shared" si="41"/>
        <v>5</v>
      </c>
      <c r="X29" s="24">
        <f>(V29-INT(V29))*12</f>
        <v>8.0479420950323401</v>
      </c>
      <c r="Y29" s="41" t="str">
        <f t="shared" si="43"/>
        <v>8</v>
      </c>
      <c r="Z29" s="24">
        <f>(X29-INT(X29))*12</f>
        <v>0.57530514038808178</v>
      </c>
      <c r="AA29" s="41" t="str">
        <f t="shared" si="45"/>
        <v>0</v>
      </c>
      <c r="AB29" s="24">
        <f>(Z29-INT(Z29))*12</f>
        <v>6.9036616846569814</v>
      </c>
      <c r="AC29" s="41" t="str">
        <f t="shared" si="47"/>
        <v>6</v>
      </c>
      <c r="AD29" s="24">
        <f>(AB29-INT(AB29))*12</f>
        <v>10.843940215883777</v>
      </c>
      <c r="AE29" s="41" t="str">
        <f t="shared" si="49"/>
        <v>X</v>
      </c>
      <c r="AF29" s="24">
        <f>(AD29-INT(AD29))*12</f>
        <v>10.127282590605319</v>
      </c>
      <c r="AG29" s="41" t="str">
        <f t="shared" si="51"/>
        <v>X</v>
      </c>
      <c r="AH29" s="24">
        <f>(AF29-INT(AF29))*12</f>
        <v>1.5273910872638226</v>
      </c>
      <c r="AI29" s="41" t="str">
        <f t="shared" si="53"/>
        <v>2</v>
      </c>
      <c r="AJ29" s="24">
        <f>(AH29-INT(AH29))*12</f>
        <v>6.3286930471658707</v>
      </c>
      <c r="AK29" s="41" t="str">
        <f t="shared" si="55"/>
        <v/>
      </c>
      <c r="AL29" s="24">
        <f>(AJ29-INT(AJ29))*12</f>
        <v>3.944316565990448</v>
      </c>
      <c r="AM29" s="41" t="str">
        <f t="shared" si="57"/>
        <v/>
      </c>
      <c r="AN29" s="24">
        <f>(AL29-INT(AL29))*12</f>
        <v>11.331798791885376</v>
      </c>
      <c r="AO29" s="41" t="str">
        <f t="shared" si="59"/>
        <v/>
      </c>
    </row>
    <row r="30" spans="1:41" ht="14.25" customHeight="1">
      <c r="A30" s="753"/>
      <c r="B30" s="755"/>
      <c r="C30" s="184" t="s">
        <v>618</v>
      </c>
      <c r="D30" s="209" t="str">
        <f t="shared" si="60"/>
        <v>m</v>
      </c>
      <c r="E30" s="161">
        <f>E3</f>
        <v>0.27235220593302245</v>
      </c>
      <c r="F30" s="176">
        <v>-3</v>
      </c>
      <c r="G30" s="177">
        <f t="shared" si="29"/>
        <v>272.35220593302245</v>
      </c>
      <c r="H30" s="178" t="s">
        <v>228</v>
      </c>
      <c r="I30" s="172">
        <v>1</v>
      </c>
      <c r="J30" s="2" t="s">
        <v>567</v>
      </c>
      <c r="K30" s="8">
        <v>9</v>
      </c>
      <c r="L30" s="21">
        <f>1/E30</f>
        <v>3.671716175656468</v>
      </c>
      <c r="M30" s="37" t="str">
        <f>Q30&amp;";"&amp;S30&amp;U30&amp;W30&amp;Y30&amp;AA30&amp;AC30&amp;AE30&amp;AG30&amp;AI30&amp;AK30&amp;AM30&amp;AO30</f>
        <v>3;808885905</v>
      </c>
      <c r="N30" s="38">
        <v>0</v>
      </c>
      <c r="O30" s="61">
        <f t="shared" ref="O30" si="62">L30/POWER(12,N30)</f>
        <v>3.671716175656468</v>
      </c>
      <c r="P30" s="39" t="str">
        <f>INDEX(powers!$H$2:$H$75,33+N30)</f>
        <v xml:space="preserve"> </v>
      </c>
      <c r="Q30" s="40" t="str">
        <f t="shared" si="35"/>
        <v>3</v>
      </c>
      <c r="R30" s="24">
        <f>(O30-INT(O30))*12</f>
        <v>8.0605941078776162</v>
      </c>
      <c r="S30" s="41" t="str">
        <f t="shared" si="37"/>
        <v>8</v>
      </c>
      <c r="T30" s="24">
        <f>(R30-INT(R30))*12</f>
        <v>0.72712929453139452</v>
      </c>
      <c r="U30" s="41" t="str">
        <f t="shared" si="39"/>
        <v>0</v>
      </c>
      <c r="V30" s="24">
        <f>(T30-INT(T30))*12</f>
        <v>8.7255515343767343</v>
      </c>
      <c r="W30" s="41" t="str">
        <f t="shared" si="41"/>
        <v>8</v>
      </c>
      <c r="X30" s="24">
        <f>(V30-INT(V30))*12</f>
        <v>8.706618412520811</v>
      </c>
      <c r="Y30" s="41" t="str">
        <f t="shared" si="43"/>
        <v>8</v>
      </c>
      <c r="Z30" s="24">
        <f>(X30-INT(X30))*12</f>
        <v>8.4794209502497324</v>
      </c>
      <c r="AA30" s="41" t="str">
        <f t="shared" si="45"/>
        <v>8</v>
      </c>
      <c r="AB30" s="24">
        <f>(Z30-INT(Z30))*12</f>
        <v>5.753051402996789</v>
      </c>
      <c r="AC30" s="41" t="str">
        <f t="shared" si="47"/>
        <v>5</v>
      </c>
      <c r="AD30" s="24">
        <f>(AB30-INT(AB30))*12</f>
        <v>9.0366168359614676</v>
      </c>
      <c r="AE30" s="41" t="str">
        <f t="shared" si="49"/>
        <v>9</v>
      </c>
      <c r="AF30" s="24">
        <f>(AD30-INT(AD30))*12</f>
        <v>0.43940203153761104</v>
      </c>
      <c r="AG30" s="41" t="str">
        <f t="shared" si="51"/>
        <v>0</v>
      </c>
      <c r="AH30" s="24">
        <f>(AF30-INT(AF30))*12</f>
        <v>5.2728243784513324</v>
      </c>
      <c r="AI30" s="41" t="str">
        <f t="shared" si="53"/>
        <v>5</v>
      </c>
      <c r="AJ30" s="24">
        <f>(AH30-INT(AH30))*12</f>
        <v>3.2738925414159894</v>
      </c>
      <c r="AK30" s="41" t="str">
        <f t="shared" si="55"/>
        <v/>
      </c>
      <c r="AL30" s="24">
        <f>(AJ30-INT(AJ30))*12</f>
        <v>3.2867104969918728</v>
      </c>
      <c r="AM30" s="41" t="str">
        <f t="shared" si="57"/>
        <v/>
      </c>
      <c r="AN30" s="24">
        <f>(AL30-INT(AL30))*12</f>
        <v>3.4405259639024734</v>
      </c>
      <c r="AO30" s="41" t="str">
        <f t="shared" si="59"/>
        <v/>
      </c>
    </row>
    <row r="31" spans="1:41" ht="14.25" customHeight="1">
      <c r="A31" s="753"/>
      <c r="B31" s="755"/>
      <c r="C31" s="184" t="s">
        <v>619</v>
      </c>
      <c r="D31" s="209" t="str">
        <f t="shared" si="60"/>
        <v>m</v>
      </c>
      <c r="E31" s="161">
        <f>E30*12</f>
        <v>3.2682264711962694</v>
      </c>
      <c r="F31" s="176">
        <v>0</v>
      </c>
      <c r="G31" s="177">
        <f t="shared" si="29"/>
        <v>3.2682264711962694</v>
      </c>
      <c r="H31" s="178" t="s">
        <v>57</v>
      </c>
      <c r="I31" s="172">
        <f>I30*10</f>
        <v>10</v>
      </c>
      <c r="J31" s="2" t="s">
        <v>567</v>
      </c>
      <c r="K31" s="8">
        <v>9</v>
      </c>
      <c r="L31" s="21">
        <f>L30*10</f>
        <v>36.717161756564678</v>
      </c>
      <c r="M31" s="37" t="str">
        <f>Q31&amp;";"&amp;S31&amp;U31&amp;W31&amp;Y31&amp;AA31&amp;AC31&amp;AE31&amp;AG31&amp;AI31&amp;AK31&amp;AM31&amp;AO31</f>
        <v>3;087330964</v>
      </c>
      <c r="N31" s="38">
        <f>N30+1</f>
        <v>1</v>
      </c>
      <c r="O31" s="61">
        <f t="shared" ref="O31" si="63">L31/POWER(12,N31)</f>
        <v>3.0597634797137232</v>
      </c>
      <c r="P31" s="39" t="str">
        <f>INDEX(powers!$H$2:$H$75,33+N31)</f>
        <v>dirac</v>
      </c>
      <c r="Q31" s="40" t="str">
        <f t="shared" si="35"/>
        <v>3</v>
      </c>
      <c r="R31" s="24">
        <f>(O31-INT(O31))*12</f>
        <v>0.7171617565646784</v>
      </c>
      <c r="S31" s="41" t="str">
        <f t="shared" si="37"/>
        <v>0</v>
      </c>
      <c r="T31" s="24">
        <f>(R31-INT(R31))*12</f>
        <v>8.6059410787761408</v>
      </c>
      <c r="U31" s="41" t="str">
        <f t="shared" si="39"/>
        <v>8</v>
      </c>
      <c r="V31" s="24">
        <f>(T31-INT(T31))*12</f>
        <v>7.2712929453136894</v>
      </c>
      <c r="W31" s="41" t="str">
        <f t="shared" si="41"/>
        <v>7</v>
      </c>
      <c r="X31" s="24">
        <f>(V31-INT(V31))*12</f>
        <v>3.255515343764273</v>
      </c>
      <c r="Y31" s="41" t="str">
        <f t="shared" si="43"/>
        <v>3</v>
      </c>
      <c r="Z31" s="24">
        <f>(X31-INT(X31))*12</f>
        <v>3.0661841251712758</v>
      </c>
      <c r="AA31" s="41" t="str">
        <f t="shared" si="45"/>
        <v>3</v>
      </c>
      <c r="AB31" s="24">
        <f>(Z31-INT(Z31))*12</f>
        <v>0.79420950205530971</v>
      </c>
      <c r="AC31" s="41" t="str">
        <f t="shared" si="47"/>
        <v>0</v>
      </c>
      <c r="AD31" s="24">
        <f>(AB31-INT(AB31))*12</f>
        <v>9.5305140246637166</v>
      </c>
      <c r="AE31" s="41" t="str">
        <f t="shared" si="49"/>
        <v>9</v>
      </c>
      <c r="AF31" s="24">
        <f>(AD31-INT(AD31))*12</f>
        <v>6.3661682959645987</v>
      </c>
      <c r="AG31" s="41" t="str">
        <f t="shared" si="51"/>
        <v>6</v>
      </c>
      <c r="AH31" s="24">
        <f>(AF31-INT(AF31))*12</f>
        <v>4.3940195515751839</v>
      </c>
      <c r="AI31" s="41" t="str">
        <f t="shared" si="53"/>
        <v>4</v>
      </c>
      <c r="AJ31" s="24">
        <f>(AH31-INT(AH31))*12</f>
        <v>4.7282346189022064</v>
      </c>
      <c r="AK31" s="41" t="str">
        <f t="shared" si="55"/>
        <v/>
      </c>
      <c r="AL31" s="24">
        <f>(AJ31-INT(AJ31))*12</f>
        <v>8.7388154268264771</v>
      </c>
      <c r="AM31" s="41" t="str">
        <f t="shared" si="57"/>
        <v/>
      </c>
      <c r="AN31" s="24">
        <f>(AL31-INT(AL31))*12</f>
        <v>8.8657851219177246</v>
      </c>
      <c r="AO31" s="41" t="str">
        <f t="shared" si="59"/>
        <v/>
      </c>
    </row>
    <row r="32" spans="1:41" ht="14.25" customHeight="1">
      <c r="A32" s="753"/>
      <c r="B32" s="755"/>
      <c r="C32" s="184" t="s">
        <v>620</v>
      </c>
      <c r="D32" s="209" t="str">
        <f t="shared" si="60"/>
        <v>m</v>
      </c>
      <c r="E32" s="161">
        <f t="shared" ref="E32:E34" si="64">E31*12</f>
        <v>39.218717654355231</v>
      </c>
      <c r="F32" s="176">
        <v>0</v>
      </c>
      <c r="G32" s="177">
        <f t="shared" si="29"/>
        <v>39.218717654355231</v>
      </c>
      <c r="H32" s="178" t="s">
        <v>567</v>
      </c>
      <c r="I32" s="172">
        <f>I31*10</f>
        <v>100</v>
      </c>
      <c r="J32" s="2" t="s">
        <v>57</v>
      </c>
      <c r="K32" s="8">
        <v>9</v>
      </c>
      <c r="L32" s="21">
        <f>L31*10</f>
        <v>367.17161756564678</v>
      </c>
      <c r="M32" s="37" t="str">
        <f>Q32&amp;";"&amp;S32&amp;U32&amp;W32&amp;Y32&amp;AA32&amp;AC32&amp;AE32&amp;AG32&amp;AI32&amp;AK32&amp;AM32&amp;AO32</f>
        <v>2;6720867E4</v>
      </c>
      <c r="N32" s="38">
        <f>N31+1</f>
        <v>2</v>
      </c>
      <c r="O32" s="61">
        <f t="shared" ref="O32" si="65">L32/POWER(12,N32)</f>
        <v>2.5498028997614361</v>
      </c>
      <c r="P32" s="39" t="str">
        <f>INDEX(powers!$H$2:$H$75,33+N32)</f>
        <v>hecty</v>
      </c>
      <c r="Q32" s="40" t="str">
        <f t="shared" si="35"/>
        <v>2</v>
      </c>
      <c r="R32" s="24">
        <f>(O32-INT(O32))*12</f>
        <v>6.5976347971372338</v>
      </c>
      <c r="S32" s="41" t="str">
        <f t="shared" si="37"/>
        <v>6</v>
      </c>
      <c r="T32" s="24">
        <f>(R32-INT(R32))*12</f>
        <v>7.1716175656468053</v>
      </c>
      <c r="U32" s="41" t="str">
        <f t="shared" si="39"/>
        <v>7</v>
      </c>
      <c r="V32" s="24">
        <f>(T32-INT(T32))*12</f>
        <v>2.0594107877616636</v>
      </c>
      <c r="W32" s="41" t="str">
        <f t="shared" si="41"/>
        <v>2</v>
      </c>
      <c r="X32" s="24">
        <f>(V32-INT(V32))*12</f>
        <v>0.7129294531399637</v>
      </c>
      <c r="Y32" s="41" t="str">
        <f t="shared" si="43"/>
        <v>0</v>
      </c>
      <c r="Z32" s="24">
        <f>(X32-INT(X32))*12</f>
        <v>8.5551534376795644</v>
      </c>
      <c r="AA32" s="41" t="str">
        <f t="shared" si="45"/>
        <v>8</v>
      </c>
      <c r="AB32" s="24">
        <f>(Z32-INT(Z32))*12</f>
        <v>6.6618412521547725</v>
      </c>
      <c r="AC32" s="41" t="str">
        <f t="shared" si="47"/>
        <v>6</v>
      </c>
      <c r="AD32" s="24">
        <f>(AB32-INT(AB32))*12</f>
        <v>7.9420950258572702</v>
      </c>
      <c r="AE32" s="41" t="str">
        <f t="shared" si="49"/>
        <v>7</v>
      </c>
      <c r="AF32" s="24">
        <f>(AD32-INT(AD32))*12</f>
        <v>11.305140310287243</v>
      </c>
      <c r="AG32" s="41" t="str">
        <f t="shared" si="51"/>
        <v>E</v>
      </c>
      <c r="AH32" s="24">
        <f>(AF32-INT(AF32))*12</f>
        <v>3.6616837234469131</v>
      </c>
      <c r="AI32" s="41" t="str">
        <f t="shared" si="53"/>
        <v>4</v>
      </c>
      <c r="AJ32" s="24">
        <f>(AH32-INT(AH32))*12</f>
        <v>7.9402046813629568</v>
      </c>
      <c r="AK32" s="41" t="str">
        <f t="shared" si="55"/>
        <v/>
      </c>
      <c r="AL32" s="24">
        <f>(AJ32-INT(AJ32))*12</f>
        <v>11.282456176355481</v>
      </c>
      <c r="AM32" s="41" t="str">
        <f t="shared" si="57"/>
        <v/>
      </c>
      <c r="AN32" s="24">
        <f>(AL32-INT(AL32))*12</f>
        <v>3.3894741162657738</v>
      </c>
      <c r="AO32" s="41" t="str">
        <f t="shared" si="59"/>
        <v/>
      </c>
    </row>
    <row r="33" spans="1:41" ht="14.25" customHeight="1">
      <c r="A33" s="753"/>
      <c r="B33" s="755"/>
      <c r="C33" s="201" t="s">
        <v>621</v>
      </c>
      <c r="D33" s="209" t="str">
        <f t="shared" si="60"/>
        <v>m</v>
      </c>
      <c r="E33" s="161">
        <f t="shared" si="64"/>
        <v>470.62461185226277</v>
      </c>
      <c r="F33" s="176">
        <v>0</v>
      </c>
      <c r="G33" s="177">
        <f t="shared" si="29"/>
        <v>470.62461185226277</v>
      </c>
      <c r="H33" s="178" t="s">
        <v>57</v>
      </c>
      <c r="I33" s="172">
        <f t="shared" ref="I33:I34" si="66">I32*10</f>
        <v>1000</v>
      </c>
      <c r="J33" s="2" t="s">
        <v>57</v>
      </c>
      <c r="K33" s="8">
        <v>9</v>
      </c>
      <c r="L33" s="21">
        <f t="shared" ref="L33:L34" si="67">L32*10</f>
        <v>3671.7161756564678</v>
      </c>
      <c r="M33" s="37" t="str">
        <f t="shared" ref="M33:M71" si="68">Q33&amp;";"&amp;S33&amp;U33&amp;W33&amp;Y33&amp;AA33&amp;AC33&amp;AE33&amp;AG33&amp;AI33&amp;AK33&amp;AM33&amp;AO33</f>
        <v>2;15E871675</v>
      </c>
      <c r="N33" s="38">
        <f t="shared" ref="N33:N34" si="69">N32+1</f>
        <v>3</v>
      </c>
      <c r="O33" s="61">
        <f t="shared" ref="O33:O75" si="70">L33/POWER(12,N33)</f>
        <v>2.1248357498011967</v>
      </c>
      <c r="P33" s="39" t="str">
        <f>INDEX(powers!$H$2:$H$75,33+N33)</f>
        <v>kily</v>
      </c>
      <c r="Q33" s="40" t="str">
        <f t="shared" si="35"/>
        <v>2</v>
      </c>
      <c r="R33" s="24">
        <f t="shared" ref="R33:R71" si="71">(O33-INT(O33))*12</f>
        <v>1.4980289976143606</v>
      </c>
      <c r="S33" s="41" t="str">
        <f t="shared" si="37"/>
        <v>1</v>
      </c>
      <c r="T33" s="24">
        <f t="shared" ref="T33:T71" si="72">(R33-INT(R33))*12</f>
        <v>5.9763479713723271</v>
      </c>
      <c r="U33" s="41" t="str">
        <f t="shared" si="39"/>
        <v>5</v>
      </c>
      <c r="V33" s="24">
        <f t="shared" ref="V33:V71" si="73">(T33-INT(T33))*12</f>
        <v>11.716175656467925</v>
      </c>
      <c r="W33" s="41" t="str">
        <f t="shared" si="41"/>
        <v>E</v>
      </c>
      <c r="X33" s="24">
        <f t="shared" ref="X33:X71" si="74">(V33-INT(V33))*12</f>
        <v>8.5941078776151016</v>
      </c>
      <c r="Y33" s="41" t="str">
        <f t="shared" si="43"/>
        <v>8</v>
      </c>
      <c r="Z33" s="24">
        <f t="shared" ref="Z33:Z71" si="75">(X33-INT(X33))*12</f>
        <v>7.1292945313812197</v>
      </c>
      <c r="AA33" s="41" t="str">
        <f t="shared" si="45"/>
        <v>7</v>
      </c>
      <c r="AB33" s="24">
        <f t="shared" ref="AB33:AB71" si="76">(Z33-INT(Z33))*12</f>
        <v>1.5515343765746366</v>
      </c>
      <c r="AC33" s="41" t="str">
        <f t="shared" si="47"/>
        <v>1</v>
      </c>
      <c r="AD33" s="24">
        <f t="shared" ref="AD33:AD71" si="77">(AB33-INT(AB33))*12</f>
        <v>6.6184125188956386</v>
      </c>
      <c r="AE33" s="41" t="str">
        <f t="shared" si="49"/>
        <v>6</v>
      </c>
      <c r="AF33" s="24">
        <f t="shared" ref="AF33:AF71" si="78">(AD33-INT(AD33))*12</f>
        <v>7.4209502267476637</v>
      </c>
      <c r="AG33" s="41" t="str">
        <f t="shared" si="51"/>
        <v>7</v>
      </c>
      <c r="AH33" s="24">
        <f t="shared" ref="AH33:AH71" si="79">(AF33-INT(AF33))*12</f>
        <v>5.0514027209719643</v>
      </c>
      <c r="AI33" s="41" t="str">
        <f t="shared" si="53"/>
        <v>5</v>
      </c>
      <c r="AJ33" s="24">
        <f t="shared" ref="AJ33:AJ71" si="80">(AH33-INT(AH33))*12</f>
        <v>0.6168326516635716</v>
      </c>
      <c r="AK33" s="41" t="str">
        <f t="shared" si="55"/>
        <v/>
      </c>
      <c r="AL33" s="24">
        <f t="shared" ref="AL33:AL71" si="81">(AJ33-INT(AJ33))*12</f>
        <v>7.4019918199628592</v>
      </c>
      <c r="AM33" s="41" t="str">
        <f t="shared" si="57"/>
        <v/>
      </c>
      <c r="AN33" s="24">
        <f t="shared" ref="AN33:AN71" si="82">(AL33-INT(AL33))*12</f>
        <v>4.8239018395543098</v>
      </c>
      <c r="AO33" s="41" t="str">
        <f t="shared" si="59"/>
        <v/>
      </c>
    </row>
    <row r="34" spans="1:41" ht="14.25" customHeight="1">
      <c r="A34" s="753"/>
      <c r="B34" s="755"/>
      <c r="C34" s="199" t="s">
        <v>377</v>
      </c>
      <c r="D34" s="209" t="str">
        <f t="shared" si="60"/>
        <v>m</v>
      </c>
      <c r="E34" s="161">
        <f t="shared" si="64"/>
        <v>5647.4953422271537</v>
      </c>
      <c r="F34" s="176">
        <v>3</v>
      </c>
      <c r="G34" s="177">
        <f t="shared" si="29"/>
        <v>5.6474953422271534</v>
      </c>
      <c r="H34" s="178" t="s">
        <v>568</v>
      </c>
      <c r="I34" s="172">
        <f t="shared" si="66"/>
        <v>10000</v>
      </c>
      <c r="J34" s="2" t="s">
        <v>57</v>
      </c>
      <c r="K34" s="8">
        <v>9</v>
      </c>
      <c r="L34" s="21">
        <f t="shared" si="67"/>
        <v>36717.161756564681</v>
      </c>
      <c r="M34" s="37" t="str">
        <f t="shared" si="68"/>
        <v>1;92E91E362</v>
      </c>
      <c r="N34" s="38">
        <f t="shared" si="69"/>
        <v>4</v>
      </c>
      <c r="O34" s="61">
        <f t="shared" si="70"/>
        <v>1.7706964581676641</v>
      </c>
      <c r="P34" s="39" t="str">
        <f>INDEX(powers!$H$2:$H$75,33+N34)</f>
        <v>super</v>
      </c>
      <c r="Q34" s="40" t="str">
        <f t="shared" si="35"/>
        <v>1</v>
      </c>
      <c r="R34" s="24">
        <f t="shared" si="71"/>
        <v>9.2483574980119698</v>
      </c>
      <c r="S34" s="41" t="str">
        <f t="shared" si="37"/>
        <v>9</v>
      </c>
      <c r="T34" s="24">
        <f t="shared" si="72"/>
        <v>2.9802899761436379</v>
      </c>
      <c r="U34" s="41" t="str">
        <f t="shared" si="39"/>
        <v>2</v>
      </c>
      <c r="V34" s="24">
        <f t="shared" si="73"/>
        <v>11.763479713723655</v>
      </c>
      <c r="W34" s="41" t="str">
        <f t="shared" si="41"/>
        <v>E</v>
      </c>
      <c r="X34" s="24">
        <f t="shared" si="74"/>
        <v>9.1617565646838557</v>
      </c>
      <c r="Y34" s="41" t="str">
        <f t="shared" si="43"/>
        <v>9</v>
      </c>
      <c r="Z34" s="24">
        <f t="shared" si="75"/>
        <v>1.9410787762062682</v>
      </c>
      <c r="AA34" s="41" t="str">
        <f t="shared" si="45"/>
        <v>1</v>
      </c>
      <c r="AB34" s="24">
        <f t="shared" si="76"/>
        <v>11.292945314475219</v>
      </c>
      <c r="AC34" s="41" t="str">
        <f t="shared" si="47"/>
        <v>E</v>
      </c>
      <c r="AD34" s="24">
        <f t="shared" si="77"/>
        <v>3.5153437737026252</v>
      </c>
      <c r="AE34" s="41" t="str">
        <f t="shared" si="49"/>
        <v>3</v>
      </c>
      <c r="AF34" s="24">
        <f t="shared" si="78"/>
        <v>6.1841252844315022</v>
      </c>
      <c r="AG34" s="41" t="str">
        <f t="shared" si="51"/>
        <v>6</v>
      </c>
      <c r="AH34" s="24">
        <f t="shared" si="79"/>
        <v>2.2095034131780267</v>
      </c>
      <c r="AI34" s="41" t="str">
        <f t="shared" si="53"/>
        <v>2</v>
      </c>
      <c r="AJ34" s="24">
        <f t="shared" si="80"/>
        <v>2.5140409581363201</v>
      </c>
      <c r="AK34" s="41" t="str">
        <f t="shared" si="55"/>
        <v/>
      </c>
      <c r="AL34" s="24">
        <f t="shared" si="81"/>
        <v>6.1684914976358414</v>
      </c>
      <c r="AM34" s="41" t="str">
        <f t="shared" si="57"/>
        <v/>
      </c>
      <c r="AN34" s="24">
        <f t="shared" si="82"/>
        <v>2.0218979716300964</v>
      </c>
      <c r="AO34" s="41" t="str">
        <f t="shared" si="59"/>
        <v/>
      </c>
    </row>
    <row r="35" spans="1:41" ht="14.25" customHeight="1">
      <c r="A35" s="753"/>
      <c r="B35" s="755"/>
      <c r="C35" s="199" t="s">
        <v>377</v>
      </c>
      <c r="D35" s="453" t="str">
        <f t="shared" si="60"/>
        <v>m</v>
      </c>
      <c r="E35" s="161">
        <f>E34</f>
        <v>5647.4953422271537</v>
      </c>
      <c r="F35" s="176">
        <v>0</v>
      </c>
      <c r="G35" s="177">
        <f>E35*POWER(10,-F35)/1852</f>
        <v>3.0494035325200612</v>
      </c>
      <c r="H35" s="178" t="s">
        <v>1131</v>
      </c>
      <c r="I35" s="172">
        <v>3</v>
      </c>
      <c r="J35" s="2" t="s">
        <v>1131</v>
      </c>
      <c r="K35" s="8">
        <v>9</v>
      </c>
      <c r="L35" s="21">
        <f>1852*I35/E3</f>
        <v>20400.055071947336</v>
      </c>
      <c r="M35" s="37" t="str">
        <f t="shared" ref="M35" si="83">Q35&amp;";"&amp;S35&amp;U35&amp;W35&amp;Y35&amp;AA35&amp;AC35&amp;AE35&amp;AG35&amp;AI35&amp;AK35&amp;AM35&amp;AO35</f>
        <v>0;E98007E1</v>
      </c>
      <c r="N35" s="38">
        <v>4</v>
      </c>
      <c r="O35" s="61">
        <f t="shared" ref="O35" si="84">L35/POWER(12,N35)</f>
        <v>0.9837989521579541</v>
      </c>
      <c r="P35" s="39" t="str">
        <f>INDEX(powers!$H$2:$H$75,33+N35)</f>
        <v>super</v>
      </c>
      <c r="Q35" s="40" t="str">
        <f t="shared" ref="Q35" si="85">IF($K35&gt;=Q$23,MID($N$23,IF($K35&gt;Q$23,INT(O35),ROUND(O35,0))+1,1),"")</f>
        <v>0</v>
      </c>
      <c r="R35" s="24">
        <f t="shared" ref="R35" si="86">(O35-INT(O35))*12</f>
        <v>11.80558742589545</v>
      </c>
      <c r="S35" s="41" t="str">
        <f t="shared" ref="S35" si="87">IF($K35&gt;=S$23,MID($N$23,IF($K35&gt;S$23,INT(R35),ROUND(R35,0))+1,1),"")</f>
        <v>E</v>
      </c>
      <c r="T35" s="24">
        <f t="shared" ref="T35" si="88">(R35-INT(R35))*12</f>
        <v>9.6670491107453955</v>
      </c>
      <c r="U35" s="41" t="str">
        <f t="shared" ref="U35" si="89">IF($K35&gt;=U$23,MID($N$23,IF($K35&gt;U$23,INT(T35),ROUND(T35,0))+1,1),"")</f>
        <v>9</v>
      </c>
      <c r="V35" s="24">
        <f t="shared" ref="V35" si="90">(T35-INT(T35))*12</f>
        <v>8.0045893289447463</v>
      </c>
      <c r="W35" s="41" t="str">
        <f t="shared" ref="W35" si="91">IF($K35&gt;=W$23,MID($N$23,IF($K35&gt;W$23,INT(V35),ROUND(V35,0))+1,1),"")</f>
        <v>8</v>
      </c>
      <c r="X35" s="24">
        <f t="shared" ref="X35" si="92">(V35-INT(V35))*12</f>
        <v>5.5071947336955418E-2</v>
      </c>
      <c r="Y35" s="41" t="str">
        <f t="shared" ref="Y35" si="93">IF($K35&gt;=Y$23,MID($N$23,IF($K35&gt;Y$23,INT(X35),ROUND(X35,0))+1,1),"")</f>
        <v>0</v>
      </c>
      <c r="Z35" s="24">
        <f t="shared" ref="Z35" si="94">(X35-INT(X35))*12</f>
        <v>0.66086336804346502</v>
      </c>
      <c r="AA35" s="41" t="str">
        <f t="shared" ref="AA35" si="95">IF($K35&gt;=AA$23,MID($N$23,IF($K35&gt;AA$23,INT(Z35),ROUND(Z35,0))+1,1),"")</f>
        <v>0</v>
      </c>
      <c r="AB35" s="24">
        <f t="shared" ref="AB35" si="96">(Z35-INT(Z35))*12</f>
        <v>7.9303604165215802</v>
      </c>
      <c r="AC35" s="41" t="str">
        <f t="shared" ref="AC35" si="97">IF($K35&gt;=AC$23,MID($N$23,IF($K35&gt;AC$23,INT(AB35),ROUND(AB35,0))+1,1),"")</f>
        <v>7</v>
      </c>
      <c r="AD35" s="24">
        <f t="shared" ref="AD35" si="98">(AB35-INT(AB35))*12</f>
        <v>11.164324998258962</v>
      </c>
      <c r="AE35" s="41" t="str">
        <f t="shared" ref="AE35" si="99">IF($K35&gt;=AE$23,MID($N$23,IF($K35&gt;AE$23,INT(AD35),ROUND(AD35,0))+1,1),"")</f>
        <v>E</v>
      </c>
      <c r="AF35" s="24">
        <f t="shared" ref="AF35" si="100">(AD35-INT(AD35))*12</f>
        <v>1.9718999791075476</v>
      </c>
      <c r="AG35" s="41" t="str">
        <f t="shared" ref="AG35" si="101">IF($K35&gt;=AG$23,MID($N$23,IF($K35&gt;AG$23,INT(AF35),ROUND(AF35,0))+1,1),"")</f>
        <v>1</v>
      </c>
      <c r="AH35" s="24">
        <f t="shared" ref="AH35" si="102">(AF35-INT(AF35))*12</f>
        <v>11.662799749290571</v>
      </c>
      <c r="AI35" s="41" t="str">
        <f t="shared" ref="AI35" si="103">IF($K35&gt;=AI$23,MID($N$23,IF($K35&gt;AI$23,INT(AH35),ROUND(AH35,0))+1,1),"")</f>
        <v/>
      </c>
      <c r="AJ35" s="24">
        <f t="shared" ref="AJ35" si="104">(AH35-INT(AH35))*12</f>
        <v>7.9535969914868474</v>
      </c>
      <c r="AK35" s="41" t="str">
        <f t="shared" ref="AK35" si="105">IF($K35&gt;=AK$23,MID($N$23,IF($K35&gt;AK$23,INT(AJ35),ROUND(AJ35,0))+1,1),"")</f>
        <v/>
      </c>
      <c r="AL35" s="24">
        <f t="shared" ref="AL35" si="106">(AJ35-INT(AJ35))*12</f>
        <v>11.443163897842169</v>
      </c>
      <c r="AM35" s="41" t="str">
        <f t="shared" ref="AM35" si="107">IF($K35&gt;=AM$23,MID($N$23,IF($K35&gt;AM$23,INT(AL35),ROUND(AL35,0))+1,1),"")</f>
        <v/>
      </c>
      <c r="AN35" s="24">
        <f t="shared" ref="AN35" si="108">(AL35-INT(AL35))*12</f>
        <v>5.3179667741060257</v>
      </c>
      <c r="AO35" s="41" t="str">
        <f t="shared" ref="AO35" si="109">IF($K35&gt;=AO$23,MID($N$23,IF($K35&gt;AO$23,INT(AN35),ROUND(AN35,0))+1,1),"")</f>
        <v/>
      </c>
    </row>
    <row r="36" spans="1:41" ht="14.25" customHeight="1">
      <c r="A36" s="753"/>
      <c r="B36" s="755"/>
      <c r="C36" s="199" t="s">
        <v>378</v>
      </c>
      <c r="D36" s="209" t="str">
        <f>D34</f>
        <v>m</v>
      </c>
      <c r="E36" s="161">
        <f>E34*12</f>
        <v>67769.944106725845</v>
      </c>
      <c r="F36" s="176">
        <v>3</v>
      </c>
      <c r="G36" s="177">
        <f t="shared" si="29"/>
        <v>67.769944106725845</v>
      </c>
      <c r="H36" s="178" t="s">
        <v>568</v>
      </c>
      <c r="I36" s="172">
        <f>I34*10</f>
        <v>100000</v>
      </c>
      <c r="J36" s="2" t="s">
        <v>57</v>
      </c>
      <c r="K36" s="8">
        <v>9</v>
      </c>
      <c r="L36" s="21">
        <f>L34*10</f>
        <v>367171.61756564683</v>
      </c>
      <c r="M36" s="37" t="str">
        <f t="shared" si="68"/>
        <v>1;5859774E2</v>
      </c>
      <c r="N36" s="38">
        <f>N34+1</f>
        <v>5</v>
      </c>
      <c r="O36" s="61">
        <f t="shared" si="70"/>
        <v>1.4755803818063868</v>
      </c>
      <c r="P36" s="39" t="str">
        <f>INDEX(powers!$H$2:$H$75,33+N36)</f>
        <v>cosmic milly</v>
      </c>
      <c r="Q36" s="40" t="str">
        <f t="shared" si="35"/>
        <v>1</v>
      </c>
      <c r="R36" s="24">
        <f t="shared" si="71"/>
        <v>5.7069645816766421</v>
      </c>
      <c r="S36" s="41" t="str">
        <f t="shared" si="37"/>
        <v>5</v>
      </c>
      <c r="T36" s="24">
        <f t="shared" si="72"/>
        <v>8.4835749801197053</v>
      </c>
      <c r="U36" s="41" t="str">
        <f t="shared" si="39"/>
        <v>8</v>
      </c>
      <c r="V36" s="24">
        <f t="shared" si="73"/>
        <v>5.8028997614364641</v>
      </c>
      <c r="W36" s="41" t="str">
        <f t="shared" si="41"/>
        <v>5</v>
      </c>
      <c r="X36" s="24">
        <f t="shared" si="74"/>
        <v>9.6347971372375696</v>
      </c>
      <c r="Y36" s="41" t="str">
        <f t="shared" si="43"/>
        <v>9</v>
      </c>
      <c r="Z36" s="24">
        <f t="shared" si="75"/>
        <v>7.617565646850835</v>
      </c>
      <c r="AA36" s="41" t="str">
        <f t="shared" si="45"/>
        <v>7</v>
      </c>
      <c r="AB36" s="24">
        <f t="shared" si="76"/>
        <v>7.4107877622100204</v>
      </c>
      <c r="AC36" s="41" t="str">
        <f t="shared" si="47"/>
        <v>7</v>
      </c>
      <c r="AD36" s="24">
        <f t="shared" si="77"/>
        <v>4.9294531465202454</v>
      </c>
      <c r="AE36" s="41" t="str">
        <f t="shared" si="49"/>
        <v>4</v>
      </c>
      <c r="AF36" s="24">
        <f t="shared" si="78"/>
        <v>11.153437758242944</v>
      </c>
      <c r="AG36" s="41" t="str">
        <f t="shared" si="51"/>
        <v>E</v>
      </c>
      <c r="AH36" s="24">
        <f t="shared" si="79"/>
        <v>1.8412530989153311</v>
      </c>
      <c r="AI36" s="41" t="str">
        <f t="shared" si="53"/>
        <v>2</v>
      </c>
      <c r="AJ36" s="24">
        <f t="shared" si="80"/>
        <v>10.095037186983973</v>
      </c>
      <c r="AK36" s="41" t="str">
        <f t="shared" si="55"/>
        <v/>
      </c>
      <c r="AL36" s="24">
        <f t="shared" si="81"/>
        <v>1.1404462438076735</v>
      </c>
      <c r="AM36" s="41" t="str">
        <f t="shared" si="57"/>
        <v/>
      </c>
      <c r="AN36" s="24">
        <f t="shared" si="82"/>
        <v>1.6853549256920815</v>
      </c>
      <c r="AO36" s="41" t="str">
        <f t="shared" si="59"/>
        <v/>
      </c>
    </row>
    <row r="37" spans="1:41" ht="14.25" customHeight="1">
      <c r="A37" s="753"/>
      <c r="B37" s="755"/>
      <c r="C37" s="225" t="s">
        <v>379</v>
      </c>
      <c r="D37" s="5" t="str">
        <f>D34</f>
        <v>m</v>
      </c>
      <c r="E37" s="272">
        <f>E36*12</f>
        <v>813239.32928071008</v>
      </c>
      <c r="F37" s="273">
        <v>3</v>
      </c>
      <c r="G37" s="274">
        <f t="shared" ref="G37" si="110">E37*POWER(10,-F37)</f>
        <v>813.23932928071008</v>
      </c>
      <c r="H37" s="275" t="s">
        <v>568</v>
      </c>
      <c r="I37" s="173">
        <f>I36*10</f>
        <v>1000000</v>
      </c>
      <c r="J37" s="6" t="s">
        <v>57</v>
      </c>
      <c r="K37" s="30">
        <v>9</v>
      </c>
      <c r="L37" s="29">
        <f>L36*10</f>
        <v>3671716.1756564681</v>
      </c>
      <c r="M37" s="112" t="str">
        <f t="shared" ref="M37" si="111">Q37&amp;";"&amp;S37&amp;U37&amp;W37&amp;Y37&amp;AA37&amp;AC37&amp;AE37&amp;AG37&amp;AI37&amp;AK37&amp;AM37&amp;AO37</f>
        <v>1;290X04214</v>
      </c>
      <c r="N37" s="43">
        <v>6</v>
      </c>
      <c r="O37" s="62">
        <f t="shared" ref="O37" si="112">L37/POWER(12,N37)</f>
        <v>1.2296503181719889</v>
      </c>
      <c r="P37" s="44" t="str">
        <f>INDEX(powers!$H$2:$H$75,33+N37)</f>
        <v>cosmic centy</v>
      </c>
      <c r="Q37" s="40" t="str">
        <f t="shared" ref="Q37" si="113">IF($K37&gt;=Q$23,MID($N$23,IF($K37&gt;Q$23,INT(O37),ROUND(O37,0))+1,1),"")</f>
        <v>1</v>
      </c>
      <c r="R37" s="24">
        <f t="shared" ref="R37" si="114">(O37-INT(O37))*12</f>
        <v>2.7558038180638667</v>
      </c>
      <c r="S37" s="41" t="str">
        <f t="shared" ref="S37" si="115">IF($K37&gt;=S$23,MID($N$23,IF($K37&gt;S$23,INT(R37),ROUND(R37,0))+1,1),"")</f>
        <v>2</v>
      </c>
      <c r="T37" s="24">
        <f t="shared" ref="T37" si="116">(R37-INT(R37))*12</f>
        <v>9.0696458167663998</v>
      </c>
      <c r="U37" s="41" t="str">
        <f t="shared" ref="U37" si="117">IF($K37&gt;=U$23,MID($N$23,IF($K37&gt;U$23,INT(T37),ROUND(T37,0))+1,1),"")</f>
        <v>9</v>
      </c>
      <c r="V37" s="24">
        <f t="shared" ref="V37" si="118">(T37-INT(T37))*12</f>
        <v>0.83574980119679765</v>
      </c>
      <c r="W37" s="41" t="str">
        <f t="shared" ref="W37" si="119">IF($K37&gt;=W$23,MID($N$23,IF($K37&gt;W$23,INT(V37),ROUND(V37,0))+1,1),"")</f>
        <v>0</v>
      </c>
      <c r="X37" s="24">
        <f t="shared" ref="X37" si="120">(V37-INT(V37))*12</f>
        <v>10.028997614361572</v>
      </c>
      <c r="Y37" s="41" t="str">
        <f t="shared" ref="Y37" si="121">IF($K37&gt;=Y$23,MID($N$23,IF($K37&gt;Y$23,INT(X37),ROUND(X37,0))+1,1),"")</f>
        <v>X</v>
      </c>
      <c r="Z37" s="24">
        <f t="shared" ref="Z37" si="122">(X37-INT(X37))*12</f>
        <v>0.34797137233886133</v>
      </c>
      <c r="AA37" s="41" t="str">
        <f t="shared" ref="AA37" si="123">IF($K37&gt;=AA$23,MID($N$23,IF($K37&gt;AA$23,INT(Z37),ROUND(Z37,0))+1,1),"")</f>
        <v>0</v>
      </c>
      <c r="AB37" s="24">
        <f t="shared" ref="AB37" si="124">(Z37-INT(Z37))*12</f>
        <v>4.1756564680663359</v>
      </c>
      <c r="AC37" s="41" t="str">
        <f t="shared" ref="AC37" si="125">IF($K37&gt;=AC$23,MID($N$23,IF($K37&gt;AC$23,INT(AB37),ROUND(AB37,0))+1,1),"")</f>
        <v>4</v>
      </c>
      <c r="AD37" s="24">
        <f t="shared" ref="AD37" si="126">(AB37-INT(AB37))*12</f>
        <v>2.1078776167960314</v>
      </c>
      <c r="AE37" s="41" t="str">
        <f t="shared" ref="AE37" si="127">IF($K37&gt;=AE$23,MID($N$23,IF($K37&gt;AE$23,INT(AD37),ROUND(AD37,0))+1,1),"")</f>
        <v>2</v>
      </c>
      <c r="AF37" s="24">
        <f t="shared" ref="AF37" si="128">(AD37-INT(AD37))*12</f>
        <v>1.2945314015523763</v>
      </c>
      <c r="AG37" s="41" t="str">
        <f t="shared" ref="AG37" si="129">IF($K37&gt;=AG$23,MID($N$23,IF($K37&gt;AG$23,INT(AF37),ROUND(AF37,0))+1,1),"")</f>
        <v>1</v>
      </c>
      <c r="AH37" s="24">
        <f t="shared" ref="AH37" si="130">(AF37-INT(AF37))*12</f>
        <v>3.534376818628516</v>
      </c>
      <c r="AI37" s="41" t="str">
        <f t="shared" ref="AI37" si="131">IF($K37&gt;=AI$23,MID($N$23,IF($K37&gt;AI$23,INT(AH37),ROUND(AH37,0))+1,1),"")</f>
        <v>4</v>
      </c>
      <c r="AJ37" s="24">
        <f t="shared" ref="AJ37" si="132">(AH37-INT(AH37))*12</f>
        <v>6.4125218235421926</v>
      </c>
      <c r="AK37" s="41" t="str">
        <f t="shared" ref="AK37" si="133">IF($K37&gt;=AK$23,MID($N$23,IF($K37&gt;AK$23,INT(AJ37),ROUND(AJ37,0))+1,1),"")</f>
        <v/>
      </c>
      <c r="AL37" s="24">
        <f t="shared" ref="AL37" si="134">(AJ37-INT(AJ37))*12</f>
        <v>4.9502618825063109</v>
      </c>
      <c r="AM37" s="41" t="str">
        <f t="shared" ref="AM37" si="135">IF($K37&gt;=AM$23,MID($N$23,IF($K37&gt;AM$23,INT(AL37),ROUND(AL37,0))+1,1),"")</f>
        <v/>
      </c>
      <c r="AN37" s="24">
        <f t="shared" ref="AN37" si="136">(AL37-INT(AL37))*12</f>
        <v>11.403142590075731</v>
      </c>
      <c r="AO37" s="41" t="str">
        <f t="shared" ref="AO37" si="137">IF($K37&gt;=AO$23,MID($N$23,IF($K37&gt;AO$23,INT(AN37),ROUND(AN37,0))+1,1),"")</f>
        <v/>
      </c>
    </row>
    <row r="38" spans="1:41" ht="14.25" customHeight="1" thickBot="1">
      <c r="A38" s="753"/>
      <c r="B38" s="756"/>
      <c r="C38" s="200" t="s">
        <v>380</v>
      </c>
      <c r="D38" s="267" t="str">
        <f>D36</f>
        <v>m</v>
      </c>
      <c r="E38" s="186">
        <f>E37*12</f>
        <v>9758871.9513685219</v>
      </c>
      <c r="F38" s="187">
        <v>3</v>
      </c>
      <c r="G38" s="188">
        <f t="shared" si="29"/>
        <v>9758.8719513685228</v>
      </c>
      <c r="H38" s="189" t="s">
        <v>568</v>
      </c>
      <c r="I38" s="173">
        <f>I37*10</f>
        <v>10000000</v>
      </c>
      <c r="J38" s="6" t="s">
        <v>57</v>
      </c>
      <c r="K38" s="30">
        <v>9</v>
      </c>
      <c r="L38" s="29">
        <f>L37*10</f>
        <v>36717161.756564684</v>
      </c>
      <c r="M38" s="112" t="str">
        <f t="shared" si="68"/>
        <v>1;036843591</v>
      </c>
      <c r="N38" s="43">
        <v>7</v>
      </c>
      <c r="O38" s="62">
        <f t="shared" si="70"/>
        <v>1.0247085984766575</v>
      </c>
      <c r="P38" s="44" t="str">
        <f>INDEX(powers!$H$2:$H$75,33+N38)</f>
        <v>cosmic dour</v>
      </c>
      <c r="Q38" s="40" t="str">
        <f t="shared" si="35"/>
        <v>1</v>
      </c>
      <c r="R38" s="24">
        <f t="shared" si="71"/>
        <v>0.29650318171989021</v>
      </c>
      <c r="S38" s="41" t="str">
        <f t="shared" si="37"/>
        <v>0</v>
      </c>
      <c r="T38" s="24">
        <f t="shared" si="72"/>
        <v>3.5580381806386825</v>
      </c>
      <c r="U38" s="41" t="str">
        <f t="shared" si="39"/>
        <v>3</v>
      </c>
      <c r="V38" s="24">
        <f t="shared" si="73"/>
        <v>6.6964581676641899</v>
      </c>
      <c r="W38" s="41" t="str">
        <f t="shared" si="41"/>
        <v>6</v>
      </c>
      <c r="X38" s="24">
        <f t="shared" si="74"/>
        <v>8.3574980119702786</v>
      </c>
      <c r="Y38" s="41" t="str">
        <f t="shared" si="43"/>
        <v>8</v>
      </c>
      <c r="Z38" s="24">
        <f t="shared" si="75"/>
        <v>4.2899761436433437</v>
      </c>
      <c r="AA38" s="41" t="str">
        <f t="shared" si="45"/>
        <v>4</v>
      </c>
      <c r="AB38" s="24">
        <f t="shared" si="76"/>
        <v>3.4797137237201241</v>
      </c>
      <c r="AC38" s="41" t="str">
        <f t="shared" si="47"/>
        <v>3</v>
      </c>
      <c r="AD38" s="24">
        <f t="shared" si="77"/>
        <v>5.7565646846414893</v>
      </c>
      <c r="AE38" s="41" t="str">
        <f t="shared" si="49"/>
        <v>5</v>
      </c>
      <c r="AF38" s="24">
        <f t="shared" si="78"/>
        <v>9.0787762156978715</v>
      </c>
      <c r="AG38" s="41" t="str">
        <f t="shared" si="51"/>
        <v>9</v>
      </c>
      <c r="AH38" s="24">
        <f t="shared" si="79"/>
        <v>0.94531458837445825</v>
      </c>
      <c r="AI38" s="41" t="str">
        <f t="shared" si="53"/>
        <v>1</v>
      </c>
      <c r="AJ38" s="24">
        <f t="shared" si="80"/>
        <v>11.343775060493499</v>
      </c>
      <c r="AK38" s="41" t="str">
        <f t="shared" si="55"/>
        <v/>
      </c>
      <c r="AL38" s="24">
        <f t="shared" si="81"/>
        <v>4.1253007259219885</v>
      </c>
      <c r="AM38" s="41" t="str">
        <f t="shared" si="57"/>
        <v/>
      </c>
      <c r="AN38" s="24">
        <f t="shared" si="82"/>
        <v>1.5036087110638618</v>
      </c>
      <c r="AO38" s="41" t="str">
        <f t="shared" si="59"/>
        <v/>
      </c>
    </row>
    <row r="39" spans="1:41" ht="14.25" customHeight="1">
      <c r="A39" s="753"/>
      <c r="B39" s="755" t="s">
        <v>782</v>
      </c>
      <c r="C39" s="175" t="s">
        <v>570</v>
      </c>
      <c r="D39" s="308" t="str">
        <f t="shared" ref="D39:D43" si="138">D40</f>
        <v>m^2</v>
      </c>
      <c r="E39" s="161">
        <f t="shared" ref="E39:E43" si="139">E40/12</f>
        <v>2.4841299912050257E-8</v>
      </c>
      <c r="F39" s="176">
        <v>-6</v>
      </c>
      <c r="G39" s="177">
        <f t="shared" ref="G39:G52" si="140">E39*POWER(10,-F39)</f>
        <v>2.4841299912050255E-2</v>
      </c>
      <c r="H39" s="178" t="s">
        <v>783</v>
      </c>
      <c r="I39" s="310">
        <f t="shared" ref="I39:I43" si="141">I40/10</f>
        <v>1.0000000000000002E-6</v>
      </c>
      <c r="J39" s="218" t="str">
        <f t="shared" ref="J39:J43" si="142">J40</f>
        <v>m^2</v>
      </c>
      <c r="K39" s="152">
        <v>9</v>
      </c>
      <c r="L39" s="151">
        <f t="shared" ref="L39:L43" si="143">L40/10</f>
        <v>1.348149967457736E-5</v>
      </c>
      <c r="M39" s="155" t="str">
        <f t="shared" si="68"/>
        <v>3;43096E136</v>
      </c>
      <c r="N39" s="156">
        <v>-5</v>
      </c>
      <c r="O39" s="164">
        <f t="shared" si="70"/>
        <v>3.3546285270244334</v>
      </c>
      <c r="P39" s="157" t="str">
        <f>INDEX(powers!$H$2:$H$75,33+N39)</f>
        <v>atomic kily</v>
      </c>
      <c r="Q39" s="40" t="str">
        <f t="shared" ref="Q39:Q52" si="144">IF($K39&gt;=Q$23,MID($N$23,IF($K39&gt;Q$23,INT(O39),ROUND(O39,0))+1,1),"")</f>
        <v>3</v>
      </c>
      <c r="R39" s="24">
        <f t="shared" si="71"/>
        <v>4.2555423242932005</v>
      </c>
      <c r="S39" s="41" t="str">
        <f t="shared" ref="S39:S52" si="145">IF($K39&gt;=S$23,MID($N$23,IF($K39&gt;S$23,INT(R39),ROUND(R39,0))+1,1),"")</f>
        <v>4</v>
      </c>
      <c r="T39" s="24">
        <f t="shared" si="72"/>
        <v>3.0665078915184054</v>
      </c>
      <c r="U39" s="41" t="str">
        <f t="shared" ref="U39:U52" si="146">IF($K39&gt;=U$23,MID($N$23,IF($K39&gt;U$23,INT(T39),ROUND(T39,0))+1,1),"")</f>
        <v>3</v>
      </c>
      <c r="V39" s="24">
        <f t="shared" si="73"/>
        <v>0.79809469822086498</v>
      </c>
      <c r="W39" s="41" t="str">
        <f t="shared" ref="W39:W52" si="147">IF($K39&gt;=W$23,MID($N$23,IF($K39&gt;W$23,INT(V39),ROUND(V39,0))+1,1),"")</f>
        <v>0</v>
      </c>
      <c r="X39" s="24">
        <f t="shared" si="74"/>
        <v>9.5771363786503798</v>
      </c>
      <c r="Y39" s="41" t="str">
        <f t="shared" ref="Y39:Y52" si="148">IF($K39&gt;=Y$23,MID($N$23,IF($K39&gt;Y$23,INT(X39),ROUND(X39,0))+1,1),"")</f>
        <v>9</v>
      </c>
      <c r="Z39" s="24">
        <f t="shared" si="75"/>
        <v>6.9256365438045577</v>
      </c>
      <c r="AA39" s="41" t="str">
        <f t="shared" ref="AA39:AA52" si="149">IF($K39&gt;=AA$23,MID($N$23,IF($K39&gt;AA$23,INT(Z39),ROUND(Z39,0))+1,1),"")</f>
        <v>6</v>
      </c>
      <c r="AB39" s="24">
        <f t="shared" si="76"/>
        <v>11.107638525654693</v>
      </c>
      <c r="AC39" s="41" t="str">
        <f t="shared" ref="AC39:AC52" si="150">IF($K39&gt;=AC$23,MID($N$23,IF($K39&gt;AC$23,INT(AB39),ROUND(AB39,0))+1,1),"")</f>
        <v>E</v>
      </c>
      <c r="AD39" s="24">
        <f t="shared" si="77"/>
        <v>1.2916623078563134</v>
      </c>
      <c r="AE39" s="41" t="str">
        <f t="shared" ref="AE39:AE52" si="151">IF($K39&gt;=AE$23,MID($N$23,IF($K39&gt;AE$23,INT(AD39),ROUND(AD39,0))+1,1),"")</f>
        <v>1</v>
      </c>
      <c r="AF39" s="24">
        <f t="shared" si="78"/>
        <v>3.499947694275761</v>
      </c>
      <c r="AG39" s="41" t="str">
        <f t="shared" ref="AG39:AG52" si="152">IF($K39&gt;=AG$23,MID($N$23,IF($K39&gt;AG$23,INT(AF39),ROUND(AF39,0))+1,1),"")</f>
        <v>3</v>
      </c>
      <c r="AH39" s="24">
        <f t="shared" si="79"/>
        <v>5.9993723313091323</v>
      </c>
      <c r="AI39" s="41" t="str">
        <f t="shared" ref="AI39:AI52" si="153">IF($K39&gt;=AI$23,MID($N$23,IF($K39&gt;AI$23,INT(AH39),ROUND(AH39,0))+1,1),"")</f>
        <v>6</v>
      </c>
      <c r="AJ39" s="24">
        <f t="shared" si="80"/>
        <v>11.992467975709587</v>
      </c>
      <c r="AK39" s="41" t="str">
        <f t="shared" ref="AK39:AK52" si="154">IF($K39&gt;=AK$23,MID($N$23,IF($K39&gt;AK$23,INT(AJ39),ROUND(AJ39,0))+1,1),"")</f>
        <v/>
      </c>
      <c r="AL39" s="24">
        <f t="shared" si="81"/>
        <v>11.909615708515048</v>
      </c>
      <c r="AM39" s="41" t="str">
        <f t="shared" ref="AM39:AM52" si="155">IF($K39&gt;=AM$23,MID($N$23,IF($K39&gt;AM$23,INT(AL39),ROUND(AL39,0))+1,1),"")</f>
        <v/>
      </c>
      <c r="AN39" s="24">
        <f t="shared" si="82"/>
        <v>10.915388502180576</v>
      </c>
      <c r="AO39" s="41" t="str">
        <f t="shared" ref="AO39:AO52" si="156">IF($K39&gt;=AO$23,MID($N$23,IF($K39&gt;AO$23,INT(AN39),ROUND(AN39,0))+1,1),"")</f>
        <v/>
      </c>
    </row>
    <row r="40" spans="1:41" ht="14.25" customHeight="1">
      <c r="A40" s="753"/>
      <c r="B40" s="755"/>
      <c r="C40" s="179" t="s">
        <v>571</v>
      </c>
      <c r="D40" s="308" t="str">
        <f t="shared" si="138"/>
        <v>m^2</v>
      </c>
      <c r="E40" s="161">
        <f t="shared" si="139"/>
        <v>2.9809559894460307E-7</v>
      </c>
      <c r="F40" s="176">
        <v>-6</v>
      </c>
      <c r="G40" s="177">
        <f t="shared" si="140"/>
        <v>0.29809559894460308</v>
      </c>
      <c r="H40" s="178" t="s">
        <v>783</v>
      </c>
      <c r="I40" s="167">
        <f t="shared" si="141"/>
        <v>1.0000000000000001E-5</v>
      </c>
      <c r="J40" s="308" t="str">
        <f t="shared" si="142"/>
        <v>m^2</v>
      </c>
      <c r="K40" s="8">
        <v>9</v>
      </c>
      <c r="L40" s="21">
        <f t="shared" si="143"/>
        <v>1.3481499674577359E-4</v>
      </c>
      <c r="M40" s="37" t="str">
        <f t="shared" si="68"/>
        <v>2;9667E930E</v>
      </c>
      <c r="N40" s="38">
        <f t="shared" ref="N40:N43" si="157">N41-1</f>
        <v>-4</v>
      </c>
      <c r="O40" s="61">
        <f t="shared" si="70"/>
        <v>2.7955237725203612</v>
      </c>
      <c r="P40" s="39" t="str">
        <f>INDEX(powers!$H$2:$H$75,33+N40)</f>
        <v>sub</v>
      </c>
      <c r="Q40" s="40" t="str">
        <f t="shared" si="144"/>
        <v>2</v>
      </c>
      <c r="R40" s="24">
        <f t="shared" si="71"/>
        <v>9.5462852702443346</v>
      </c>
      <c r="S40" s="41" t="str">
        <f t="shared" si="145"/>
        <v>9</v>
      </c>
      <c r="T40" s="24">
        <f t="shared" si="72"/>
        <v>6.5554232429320152</v>
      </c>
      <c r="U40" s="41" t="str">
        <f t="shared" si="146"/>
        <v>6</v>
      </c>
      <c r="V40" s="24">
        <f t="shared" si="73"/>
        <v>6.6650789151841821</v>
      </c>
      <c r="W40" s="41" t="str">
        <f t="shared" si="147"/>
        <v>6</v>
      </c>
      <c r="X40" s="24">
        <f t="shared" si="74"/>
        <v>7.9809469822101846</v>
      </c>
      <c r="Y40" s="41" t="str">
        <f t="shared" si="148"/>
        <v>7</v>
      </c>
      <c r="Z40" s="24">
        <f t="shared" si="75"/>
        <v>11.771363786522215</v>
      </c>
      <c r="AA40" s="41" t="str">
        <f t="shared" si="149"/>
        <v>E</v>
      </c>
      <c r="AB40" s="24">
        <f t="shared" si="76"/>
        <v>9.2563654382665845</v>
      </c>
      <c r="AC40" s="41" t="str">
        <f t="shared" si="150"/>
        <v>9</v>
      </c>
      <c r="AD40" s="24">
        <f t="shared" si="77"/>
        <v>3.0763852591990144</v>
      </c>
      <c r="AE40" s="41" t="str">
        <f t="shared" si="151"/>
        <v>3</v>
      </c>
      <c r="AF40" s="24">
        <f t="shared" si="78"/>
        <v>0.91662311038817279</v>
      </c>
      <c r="AG40" s="41" t="str">
        <f t="shared" si="152"/>
        <v>0</v>
      </c>
      <c r="AH40" s="24">
        <f t="shared" si="79"/>
        <v>10.999477324658073</v>
      </c>
      <c r="AI40" s="41" t="str">
        <f t="shared" si="153"/>
        <v>E</v>
      </c>
      <c r="AJ40" s="24">
        <f t="shared" si="80"/>
        <v>11.993727895896882</v>
      </c>
      <c r="AK40" s="41" t="str">
        <f t="shared" si="154"/>
        <v/>
      </c>
      <c r="AL40" s="24">
        <f t="shared" si="81"/>
        <v>11.924734750762582</v>
      </c>
      <c r="AM40" s="41" t="str">
        <f t="shared" si="155"/>
        <v/>
      </c>
      <c r="AN40" s="24">
        <f t="shared" si="82"/>
        <v>11.096817009150982</v>
      </c>
      <c r="AO40" s="41" t="str">
        <f t="shared" si="156"/>
        <v/>
      </c>
    </row>
    <row r="41" spans="1:41" ht="14.25" customHeight="1">
      <c r="A41" s="753"/>
      <c r="B41" s="755"/>
      <c r="C41" s="180" t="s">
        <v>572</v>
      </c>
      <c r="D41" s="308" t="str">
        <f t="shared" si="138"/>
        <v>m^2</v>
      </c>
      <c r="E41" s="161">
        <f t="shared" si="139"/>
        <v>3.5771471873352368E-6</v>
      </c>
      <c r="F41" s="176">
        <v>-6</v>
      </c>
      <c r="G41" s="177">
        <f t="shared" si="140"/>
        <v>3.5771471873352367</v>
      </c>
      <c r="H41" s="178" t="s">
        <v>783</v>
      </c>
      <c r="I41" s="168">
        <f t="shared" si="141"/>
        <v>1E-4</v>
      </c>
      <c r="J41" s="308" t="str">
        <f t="shared" si="142"/>
        <v>m^2</v>
      </c>
      <c r="K41" s="8">
        <v>9</v>
      </c>
      <c r="L41" s="21">
        <f t="shared" si="143"/>
        <v>1.348149967457736E-3</v>
      </c>
      <c r="M41" s="37" t="str">
        <f t="shared" si="68"/>
        <v>2;3E5679869</v>
      </c>
      <c r="N41" s="38">
        <f t="shared" si="157"/>
        <v>-3</v>
      </c>
      <c r="O41" s="61">
        <f t="shared" si="70"/>
        <v>2.3296031437669678</v>
      </c>
      <c r="P41" s="39" t="str">
        <f>INDEX(powers!$H$2:$H$75,33+N41)</f>
        <v>milly</v>
      </c>
      <c r="Q41" s="40" t="str">
        <f t="shared" si="144"/>
        <v>2</v>
      </c>
      <c r="R41" s="24">
        <f t="shared" si="71"/>
        <v>3.9552377252036131</v>
      </c>
      <c r="S41" s="41" t="str">
        <f t="shared" si="145"/>
        <v>3</v>
      </c>
      <c r="T41" s="24">
        <f t="shared" si="72"/>
        <v>11.462852702443357</v>
      </c>
      <c r="U41" s="41" t="str">
        <f t="shared" si="146"/>
        <v>E</v>
      </c>
      <c r="V41" s="24">
        <f t="shared" si="73"/>
        <v>5.5542324293202796</v>
      </c>
      <c r="W41" s="41" t="str">
        <f t="shared" si="147"/>
        <v>5</v>
      </c>
      <c r="X41" s="24">
        <f t="shared" si="74"/>
        <v>6.6507891518433553</v>
      </c>
      <c r="Y41" s="41" t="str">
        <f t="shared" si="148"/>
        <v>6</v>
      </c>
      <c r="Z41" s="24">
        <f t="shared" si="75"/>
        <v>7.8094698221202634</v>
      </c>
      <c r="AA41" s="41" t="str">
        <f t="shared" si="149"/>
        <v>7</v>
      </c>
      <c r="AB41" s="24">
        <f t="shared" si="76"/>
        <v>9.713637865443161</v>
      </c>
      <c r="AC41" s="41" t="str">
        <f t="shared" si="150"/>
        <v>9</v>
      </c>
      <c r="AD41" s="24">
        <f t="shared" si="77"/>
        <v>8.5636543853179319</v>
      </c>
      <c r="AE41" s="41" t="str">
        <f t="shared" si="151"/>
        <v>8</v>
      </c>
      <c r="AF41" s="24">
        <f t="shared" si="78"/>
        <v>6.7638526238151826</v>
      </c>
      <c r="AG41" s="41" t="str">
        <f t="shared" si="152"/>
        <v>6</v>
      </c>
      <c r="AH41" s="24">
        <f t="shared" si="79"/>
        <v>9.1662314857821912</v>
      </c>
      <c r="AI41" s="41" t="str">
        <f t="shared" si="153"/>
        <v>9</v>
      </c>
      <c r="AJ41" s="24">
        <f t="shared" si="80"/>
        <v>1.9947778293862939</v>
      </c>
      <c r="AK41" s="41" t="str">
        <f t="shared" si="154"/>
        <v/>
      </c>
      <c r="AL41" s="24">
        <f t="shared" si="81"/>
        <v>11.937333952635527</v>
      </c>
      <c r="AM41" s="41" t="str">
        <f t="shared" si="155"/>
        <v/>
      </c>
      <c r="AN41" s="24">
        <f t="shared" si="82"/>
        <v>11.24800743162632</v>
      </c>
      <c r="AO41" s="41" t="str">
        <f t="shared" si="156"/>
        <v/>
      </c>
    </row>
    <row r="42" spans="1:41" ht="14.25" customHeight="1">
      <c r="A42" s="753"/>
      <c r="B42" s="755"/>
      <c r="C42" s="181" t="s">
        <v>573</v>
      </c>
      <c r="D42" s="308" t="str">
        <f t="shared" si="138"/>
        <v>m^2</v>
      </c>
      <c r="E42" s="161">
        <f t="shared" si="139"/>
        <v>4.2925766248022843E-5</v>
      </c>
      <c r="F42" s="176">
        <v>-6</v>
      </c>
      <c r="G42" s="177">
        <f t="shared" si="140"/>
        <v>42.925766248022846</v>
      </c>
      <c r="H42" s="178" t="s">
        <v>783</v>
      </c>
      <c r="I42" s="169">
        <f t="shared" si="141"/>
        <v>1E-3</v>
      </c>
      <c r="J42" s="308" t="str">
        <f t="shared" si="142"/>
        <v>m^2</v>
      </c>
      <c r="K42" s="8">
        <v>9</v>
      </c>
      <c r="L42" s="21">
        <f t="shared" si="143"/>
        <v>1.348149967457736E-2</v>
      </c>
      <c r="M42" s="37" t="str">
        <f t="shared" si="68"/>
        <v>1;E36766118</v>
      </c>
      <c r="N42" s="38">
        <f t="shared" si="157"/>
        <v>-2</v>
      </c>
      <c r="O42" s="61">
        <f t="shared" si="70"/>
        <v>1.9413359531391399</v>
      </c>
      <c r="P42" s="39" t="str">
        <f>INDEX(powers!$H$2:$H$75,33+N42)</f>
        <v>centy</v>
      </c>
      <c r="Q42" s="40" t="str">
        <f t="shared" si="144"/>
        <v>1</v>
      </c>
      <c r="R42" s="24">
        <f t="shared" si="71"/>
        <v>11.296031437669679</v>
      </c>
      <c r="S42" s="41" t="str">
        <f t="shared" si="145"/>
        <v>E</v>
      </c>
      <c r="T42" s="24">
        <f t="shared" si="72"/>
        <v>3.5523772520361518</v>
      </c>
      <c r="U42" s="41" t="str">
        <f t="shared" si="146"/>
        <v>3</v>
      </c>
      <c r="V42" s="24">
        <f t="shared" si="73"/>
        <v>6.6285270244338221</v>
      </c>
      <c r="W42" s="41" t="str">
        <f t="shared" si="147"/>
        <v>6</v>
      </c>
      <c r="X42" s="24">
        <f t="shared" si="74"/>
        <v>7.5423242932058656</v>
      </c>
      <c r="Y42" s="41" t="str">
        <f t="shared" si="148"/>
        <v>7</v>
      </c>
      <c r="Z42" s="24">
        <f t="shared" si="75"/>
        <v>6.5078915184703874</v>
      </c>
      <c r="AA42" s="41" t="str">
        <f t="shared" si="149"/>
        <v>6</v>
      </c>
      <c r="AB42" s="24">
        <f t="shared" si="76"/>
        <v>6.0946982216446486</v>
      </c>
      <c r="AC42" s="41" t="str">
        <f t="shared" si="150"/>
        <v>6</v>
      </c>
      <c r="AD42" s="24">
        <f t="shared" si="77"/>
        <v>1.136378659735783</v>
      </c>
      <c r="AE42" s="41" t="str">
        <f t="shared" si="151"/>
        <v>1</v>
      </c>
      <c r="AF42" s="24">
        <f t="shared" si="78"/>
        <v>1.636543916829396</v>
      </c>
      <c r="AG42" s="41" t="str">
        <f t="shared" si="152"/>
        <v>1</v>
      </c>
      <c r="AH42" s="24">
        <f t="shared" si="79"/>
        <v>7.6385270019527525</v>
      </c>
      <c r="AI42" s="41" t="str">
        <f t="shared" si="153"/>
        <v>8</v>
      </c>
      <c r="AJ42" s="24">
        <f t="shared" si="80"/>
        <v>7.6623240234330297</v>
      </c>
      <c r="AK42" s="41" t="str">
        <f t="shared" si="154"/>
        <v/>
      </c>
      <c r="AL42" s="24">
        <f t="shared" si="81"/>
        <v>7.9478882811963558</v>
      </c>
      <c r="AM42" s="41" t="str">
        <f t="shared" si="155"/>
        <v/>
      </c>
      <c r="AN42" s="24">
        <f t="shared" si="82"/>
        <v>11.37465937435627</v>
      </c>
      <c r="AO42" s="41" t="str">
        <f t="shared" si="156"/>
        <v/>
      </c>
    </row>
    <row r="43" spans="1:41" ht="14.25" customHeight="1">
      <c r="A43" s="753"/>
      <c r="B43" s="755"/>
      <c r="C43" s="182" t="s">
        <v>574</v>
      </c>
      <c r="D43" s="308" t="str">
        <f t="shared" si="138"/>
        <v>m^2</v>
      </c>
      <c r="E43" s="161">
        <f t="shared" si="139"/>
        <v>5.1510919497627409E-4</v>
      </c>
      <c r="F43" s="176">
        <v>-4</v>
      </c>
      <c r="G43" s="177">
        <f t="shared" si="140"/>
        <v>5.1510919497627405</v>
      </c>
      <c r="H43" s="178" t="s">
        <v>784</v>
      </c>
      <c r="I43" s="170">
        <f t="shared" si="141"/>
        <v>0.01</v>
      </c>
      <c r="J43" s="308" t="str">
        <f t="shared" si="142"/>
        <v>m^2</v>
      </c>
      <c r="K43" s="8">
        <v>9</v>
      </c>
      <c r="L43" s="21">
        <f t="shared" si="143"/>
        <v>0.1348149967457736</v>
      </c>
      <c r="M43" s="37" t="str">
        <f t="shared" si="68"/>
        <v>1;74E6350E4</v>
      </c>
      <c r="N43" s="38">
        <f t="shared" si="157"/>
        <v>-1</v>
      </c>
      <c r="O43" s="61">
        <f t="shared" si="70"/>
        <v>1.6177799609492833</v>
      </c>
      <c r="P43" s="39" t="str">
        <f>INDEX(powers!$H$2:$H$75,33+N43)</f>
        <v>dour</v>
      </c>
      <c r="Q43" s="40" t="str">
        <f t="shared" si="144"/>
        <v>1</v>
      </c>
      <c r="R43" s="24">
        <f t="shared" si="71"/>
        <v>7.4133595313914</v>
      </c>
      <c r="S43" s="41" t="str">
        <f t="shared" si="145"/>
        <v>7</v>
      </c>
      <c r="T43" s="24">
        <f t="shared" si="72"/>
        <v>4.9603143766968003</v>
      </c>
      <c r="U43" s="41" t="str">
        <f t="shared" si="146"/>
        <v>4</v>
      </c>
      <c r="V43" s="24">
        <f t="shared" si="73"/>
        <v>11.523772520361604</v>
      </c>
      <c r="W43" s="41" t="str">
        <f t="shared" si="147"/>
        <v>E</v>
      </c>
      <c r="X43" s="24">
        <f t="shared" si="74"/>
        <v>6.2852702443392445</v>
      </c>
      <c r="Y43" s="41" t="str">
        <f t="shared" si="148"/>
        <v>6</v>
      </c>
      <c r="Z43" s="24">
        <f t="shared" si="75"/>
        <v>3.4232429320709343</v>
      </c>
      <c r="AA43" s="41" t="str">
        <f t="shared" si="149"/>
        <v>3</v>
      </c>
      <c r="AB43" s="24">
        <f t="shared" si="76"/>
        <v>5.078915184851212</v>
      </c>
      <c r="AC43" s="41" t="str">
        <f t="shared" si="150"/>
        <v>5</v>
      </c>
      <c r="AD43" s="24">
        <f t="shared" si="77"/>
        <v>0.94698221821454354</v>
      </c>
      <c r="AE43" s="41" t="str">
        <f t="shared" si="151"/>
        <v>0</v>
      </c>
      <c r="AF43" s="24">
        <f t="shared" si="78"/>
        <v>11.363786618574522</v>
      </c>
      <c r="AG43" s="41" t="str">
        <f t="shared" si="152"/>
        <v>E</v>
      </c>
      <c r="AH43" s="24">
        <f t="shared" si="79"/>
        <v>4.3654394228942692</v>
      </c>
      <c r="AI43" s="41" t="str">
        <f t="shared" si="153"/>
        <v>4</v>
      </c>
      <c r="AJ43" s="24">
        <f t="shared" si="80"/>
        <v>4.3852730747312307</v>
      </c>
      <c r="AK43" s="41" t="str">
        <f t="shared" si="154"/>
        <v/>
      </c>
      <c r="AL43" s="24">
        <f t="shared" si="81"/>
        <v>4.6232768967747688</v>
      </c>
      <c r="AM43" s="41" t="str">
        <f t="shared" si="155"/>
        <v/>
      </c>
      <c r="AN43" s="24">
        <f t="shared" si="82"/>
        <v>7.479322761297226</v>
      </c>
      <c r="AO43" s="41" t="str">
        <f t="shared" si="156"/>
        <v/>
      </c>
    </row>
    <row r="44" spans="1:41" ht="14.25" customHeight="1">
      <c r="A44" s="753"/>
      <c r="B44" s="755"/>
      <c r="C44" s="183" t="s">
        <v>575</v>
      </c>
      <c r="D44" s="308" t="str">
        <f>D45</f>
        <v>m^2</v>
      </c>
      <c r="E44" s="161">
        <f>E45/12</f>
        <v>6.1813103397152895E-3</v>
      </c>
      <c r="F44" s="176">
        <v>-4</v>
      </c>
      <c r="G44" s="177">
        <f t="shared" si="140"/>
        <v>61.813103397152894</v>
      </c>
      <c r="H44" s="178" t="s">
        <v>784</v>
      </c>
      <c r="I44" s="171">
        <f>I45/10</f>
        <v>0.1</v>
      </c>
      <c r="J44" s="308" t="str">
        <f>J45</f>
        <v>m^2</v>
      </c>
      <c r="K44" s="8">
        <v>9</v>
      </c>
      <c r="L44" s="21">
        <f>L45/10</f>
        <v>1.348149967457736</v>
      </c>
      <c r="M44" s="37" t="str">
        <f>Q44&amp;";"&amp;S44&amp;U44&amp;W44&amp;Y44&amp;AA44&amp;AC44&amp;AE44&amp;AG44&amp;AI44&amp;AK44&amp;AM44&amp;AO44</f>
        <v>1;42172X296</v>
      </c>
      <c r="N44" s="38">
        <f>N45-1</f>
        <v>0</v>
      </c>
      <c r="O44" s="61">
        <f t="shared" si="70"/>
        <v>1.348149967457736</v>
      </c>
      <c r="P44" s="39" t="str">
        <f>INDEX(powers!$H$2:$H$75,33+N44)</f>
        <v xml:space="preserve"> </v>
      </c>
      <c r="Q44" s="40" t="str">
        <f t="shared" si="144"/>
        <v>1</v>
      </c>
      <c r="R44" s="24">
        <f>(O44-INT(O44))*12</f>
        <v>4.1777996094928316</v>
      </c>
      <c r="S44" s="41" t="str">
        <f t="shared" si="145"/>
        <v>4</v>
      </c>
      <c r="T44" s="24">
        <f>(R44-INT(R44))*12</f>
        <v>2.1335953139139789</v>
      </c>
      <c r="U44" s="41" t="str">
        <f t="shared" si="146"/>
        <v>2</v>
      </c>
      <c r="V44" s="24">
        <f>(T44-INT(T44))*12</f>
        <v>1.6031437669677473</v>
      </c>
      <c r="W44" s="41" t="str">
        <f t="shared" si="147"/>
        <v>1</v>
      </c>
      <c r="X44" s="24">
        <f>(V44-INT(V44))*12</f>
        <v>7.2377252036129676</v>
      </c>
      <c r="Y44" s="41" t="str">
        <f t="shared" si="148"/>
        <v>7</v>
      </c>
      <c r="Z44" s="24">
        <f>(X44-INT(X44))*12</f>
        <v>2.8527024433556107</v>
      </c>
      <c r="AA44" s="41" t="str">
        <f t="shared" si="149"/>
        <v>2</v>
      </c>
      <c r="AB44" s="24">
        <f>(Z44-INT(Z44))*12</f>
        <v>10.232429320267329</v>
      </c>
      <c r="AC44" s="41" t="str">
        <f t="shared" si="150"/>
        <v>X</v>
      </c>
      <c r="AD44" s="24">
        <f>(AB44-INT(AB44))*12</f>
        <v>2.7891518432079465</v>
      </c>
      <c r="AE44" s="41" t="str">
        <f t="shared" si="151"/>
        <v>2</v>
      </c>
      <c r="AF44" s="24">
        <f>(AD44-INT(AD44))*12</f>
        <v>9.4698221184953582</v>
      </c>
      <c r="AG44" s="41" t="str">
        <f t="shared" si="152"/>
        <v>9</v>
      </c>
      <c r="AH44" s="24">
        <f>(AF44-INT(AF44))*12</f>
        <v>5.6378654219442979</v>
      </c>
      <c r="AI44" s="41" t="str">
        <f t="shared" si="153"/>
        <v>6</v>
      </c>
      <c r="AJ44" s="24">
        <f>(AH44-INT(AH44))*12</f>
        <v>7.6543850633315742</v>
      </c>
      <c r="AK44" s="41" t="str">
        <f t="shared" si="154"/>
        <v/>
      </c>
      <c r="AL44" s="24">
        <f>(AJ44-INT(AJ44))*12</f>
        <v>7.8526207599788904</v>
      </c>
      <c r="AM44" s="41" t="str">
        <f t="shared" si="155"/>
        <v/>
      </c>
      <c r="AN44" s="24">
        <f>(AL44-INT(AL44))*12</f>
        <v>10.231449119746685</v>
      </c>
      <c r="AO44" s="41" t="str">
        <f t="shared" si="156"/>
        <v/>
      </c>
    </row>
    <row r="45" spans="1:41" ht="14.25" customHeight="1">
      <c r="A45" s="753"/>
      <c r="B45" s="755"/>
      <c r="C45" s="184" t="s">
        <v>618</v>
      </c>
      <c r="D45" s="308" t="s">
        <v>627</v>
      </c>
      <c r="E45" s="161">
        <f>E3*E3</f>
        <v>7.4175724076583474E-2</v>
      </c>
      <c r="F45" s="176">
        <v>-2</v>
      </c>
      <c r="G45" s="177">
        <f t="shared" si="140"/>
        <v>7.4175724076583478</v>
      </c>
      <c r="H45" s="178" t="s">
        <v>785</v>
      </c>
      <c r="I45" s="172">
        <v>1</v>
      </c>
      <c r="J45" s="308" t="s">
        <v>627</v>
      </c>
      <c r="K45" s="8">
        <v>9</v>
      </c>
      <c r="L45" s="21">
        <f>1/E45</f>
        <v>13.481499674577359</v>
      </c>
      <c r="M45" s="37" t="str">
        <f>Q45&amp;";"&amp;S45&amp;U45&amp;W45&amp;Y45&amp;AA45&amp;AC45&amp;AE45&amp;AG45&amp;AI45&amp;AK45&amp;AM45&amp;AO45</f>
        <v>1;15940463E</v>
      </c>
      <c r="N45" s="38">
        <v>1</v>
      </c>
      <c r="O45" s="61">
        <f t="shared" si="70"/>
        <v>1.1234583062147798</v>
      </c>
      <c r="P45" s="39" t="str">
        <f>INDEX(powers!$H$2:$H$75,33+N45)</f>
        <v>dirac</v>
      </c>
      <c r="Q45" s="40" t="str">
        <f t="shared" si="144"/>
        <v>1</v>
      </c>
      <c r="R45" s="24">
        <f>(O45-INT(O45))*12</f>
        <v>1.4814996745773579</v>
      </c>
      <c r="S45" s="41" t="str">
        <f t="shared" si="145"/>
        <v>1</v>
      </c>
      <c r="T45" s="24">
        <f>(R45-INT(R45))*12</f>
        <v>5.7779960949282945</v>
      </c>
      <c r="U45" s="41" t="str">
        <f t="shared" si="146"/>
        <v>5</v>
      </c>
      <c r="V45" s="24">
        <f>(T45-INT(T45))*12</f>
        <v>9.3359531391395336</v>
      </c>
      <c r="W45" s="41" t="str">
        <f t="shared" si="147"/>
        <v>9</v>
      </c>
      <c r="X45" s="24">
        <f>(V45-INT(V45))*12</f>
        <v>4.0314376696744034</v>
      </c>
      <c r="Y45" s="41" t="str">
        <f t="shared" si="148"/>
        <v>4</v>
      </c>
      <c r="Z45" s="24">
        <f>(X45-INT(X45))*12</f>
        <v>0.37725203609284108</v>
      </c>
      <c r="AA45" s="41" t="str">
        <f t="shared" si="149"/>
        <v>0</v>
      </c>
      <c r="AB45" s="24">
        <f>(Z45-INT(Z45))*12</f>
        <v>4.527024433114093</v>
      </c>
      <c r="AC45" s="41" t="str">
        <f t="shared" si="150"/>
        <v>4</v>
      </c>
      <c r="AD45" s="24">
        <f>(AB45-INT(AB45))*12</f>
        <v>6.3242931973691157</v>
      </c>
      <c r="AE45" s="41" t="str">
        <f t="shared" si="151"/>
        <v>6</v>
      </c>
      <c r="AF45" s="24">
        <f>(AD45-INT(AD45))*12</f>
        <v>3.8915183684293879</v>
      </c>
      <c r="AG45" s="41" t="str">
        <f t="shared" si="152"/>
        <v>3</v>
      </c>
      <c r="AH45" s="24">
        <f>(AF45-INT(AF45))*12</f>
        <v>10.698220421152655</v>
      </c>
      <c r="AI45" s="41" t="str">
        <f t="shared" si="153"/>
        <v>E</v>
      </c>
      <c r="AJ45" s="24">
        <f>(AH45-INT(AH45))*12</f>
        <v>8.3786450538318604</v>
      </c>
      <c r="AK45" s="41" t="str">
        <f t="shared" si="154"/>
        <v/>
      </c>
      <c r="AL45" s="24">
        <f>(AJ45-INT(AJ45))*12</f>
        <v>4.5437406459823251</v>
      </c>
      <c r="AM45" s="41" t="str">
        <f t="shared" si="155"/>
        <v/>
      </c>
      <c r="AN45" s="24">
        <f>(AL45-INT(AL45))*12</f>
        <v>6.5248877517879009</v>
      </c>
      <c r="AO45" s="41" t="str">
        <f t="shared" si="156"/>
        <v/>
      </c>
    </row>
    <row r="46" spans="1:41" ht="14.25" customHeight="1">
      <c r="A46" s="753"/>
      <c r="B46" s="755"/>
      <c r="C46" s="184" t="s">
        <v>374</v>
      </c>
      <c r="D46" s="308" t="str">
        <f t="shared" ref="D46:D50" si="158">D45</f>
        <v>m^2</v>
      </c>
      <c r="E46" s="161">
        <f>E45*12</f>
        <v>0.89010868891900174</v>
      </c>
      <c r="F46" s="176">
        <v>-2</v>
      </c>
      <c r="G46" s="177">
        <f t="shared" si="140"/>
        <v>89.010868891900174</v>
      </c>
      <c r="H46" s="178" t="s">
        <v>785</v>
      </c>
      <c r="I46" s="172">
        <f>I45*10</f>
        <v>10</v>
      </c>
      <c r="J46" s="308" t="str">
        <f t="shared" ref="J46:J50" si="159">J45</f>
        <v>m^2</v>
      </c>
      <c r="K46" s="8">
        <v>9</v>
      </c>
      <c r="L46" s="21">
        <f>L45*10</f>
        <v>134.81499674577358</v>
      </c>
      <c r="M46" s="37" t="str">
        <f>Q46&amp;";"&amp;S46&amp;U46&amp;W46&amp;Y46&amp;AA46&amp;AC46&amp;AE46&amp;AG46&amp;AI46&amp;AK46&amp;AM46&amp;AO46</f>
        <v>E;29943932E</v>
      </c>
      <c r="N46" s="38">
        <v>1</v>
      </c>
      <c r="O46" s="61">
        <f t="shared" si="70"/>
        <v>11.234583062147799</v>
      </c>
      <c r="P46" s="39" t="str">
        <f>INDEX(powers!$H$2:$H$75,33+N46)</f>
        <v>dirac</v>
      </c>
      <c r="Q46" s="40" t="str">
        <f t="shared" si="144"/>
        <v>E</v>
      </c>
      <c r="R46" s="24">
        <f>(O46-INT(O46))*12</f>
        <v>2.8149967457735841</v>
      </c>
      <c r="S46" s="41" t="str">
        <f t="shared" si="145"/>
        <v>2</v>
      </c>
      <c r="T46" s="24">
        <f>(R46-INT(R46))*12</f>
        <v>9.7799609492830086</v>
      </c>
      <c r="U46" s="41" t="str">
        <f t="shared" si="146"/>
        <v>9</v>
      </c>
      <c r="V46" s="24">
        <f>(T46-INT(T46))*12</f>
        <v>9.3595313913961036</v>
      </c>
      <c r="W46" s="41" t="str">
        <f t="shared" si="147"/>
        <v>9</v>
      </c>
      <c r="X46" s="24">
        <f>(V46-INT(V46))*12</f>
        <v>4.3143766967532429</v>
      </c>
      <c r="Y46" s="41" t="str">
        <f t="shared" si="148"/>
        <v>4</v>
      </c>
      <c r="Z46" s="24">
        <f>(X46-INT(X46))*12</f>
        <v>3.7725203610389144</v>
      </c>
      <c r="AA46" s="41" t="str">
        <f t="shared" si="149"/>
        <v>3</v>
      </c>
      <c r="AB46" s="24">
        <f>(Z46-INT(Z46))*12</f>
        <v>9.270244332466973</v>
      </c>
      <c r="AC46" s="41" t="str">
        <f t="shared" si="150"/>
        <v>9</v>
      </c>
      <c r="AD46" s="24">
        <f>(AB46-INT(AB46))*12</f>
        <v>3.2429319896036759</v>
      </c>
      <c r="AE46" s="41" t="str">
        <f t="shared" si="151"/>
        <v>3</v>
      </c>
      <c r="AF46" s="24">
        <f>(AD46-INT(AD46))*12</f>
        <v>2.9151838752441108</v>
      </c>
      <c r="AG46" s="41" t="str">
        <f t="shared" si="152"/>
        <v>2</v>
      </c>
      <c r="AH46" s="24">
        <f>(AF46-INT(AF46))*12</f>
        <v>10.98220650292933</v>
      </c>
      <c r="AI46" s="41" t="str">
        <f t="shared" si="153"/>
        <v>E</v>
      </c>
      <c r="AJ46" s="24">
        <f>(AH46-INT(AH46))*12</f>
        <v>11.786478035151958</v>
      </c>
      <c r="AK46" s="41" t="str">
        <f t="shared" si="154"/>
        <v/>
      </c>
      <c r="AL46" s="24">
        <f>(AJ46-INT(AJ46))*12</f>
        <v>9.4377364218235016</v>
      </c>
      <c r="AM46" s="41" t="str">
        <f t="shared" si="155"/>
        <v/>
      </c>
      <c r="AN46" s="24">
        <f>(AL46-INT(AL46))*12</f>
        <v>5.252837061882019</v>
      </c>
      <c r="AO46" s="41" t="str">
        <f t="shared" si="156"/>
        <v/>
      </c>
    </row>
    <row r="47" spans="1:41" ht="14.25" customHeight="1">
      <c r="A47" s="753"/>
      <c r="B47" s="755"/>
      <c r="C47" s="184" t="s">
        <v>375</v>
      </c>
      <c r="D47" s="308" t="str">
        <f t="shared" si="158"/>
        <v>m^2</v>
      </c>
      <c r="E47" s="161">
        <f t="shared" ref="E47:E50" si="160">E46*12</f>
        <v>10.681304267028022</v>
      </c>
      <c r="F47" s="176">
        <v>0</v>
      </c>
      <c r="G47" s="177">
        <f t="shared" si="140"/>
        <v>10.681304267028022</v>
      </c>
      <c r="H47" s="178" t="s">
        <v>627</v>
      </c>
      <c r="I47" s="172">
        <f>I46*10</f>
        <v>100</v>
      </c>
      <c r="J47" s="308" t="str">
        <f t="shared" si="159"/>
        <v>m^2</v>
      </c>
      <c r="K47" s="8">
        <v>9</v>
      </c>
      <c r="L47" s="21">
        <f>L46*10</f>
        <v>1348.1499674577358</v>
      </c>
      <c r="M47" s="37" t="str">
        <f>Q47&amp;";"&amp;S47&amp;U47&amp;W47&amp;Y47&amp;AA47&amp;AC47&amp;AE47&amp;AG47&amp;AI47&amp;AK47&amp;AM47&amp;AO47</f>
        <v>9;441971885</v>
      </c>
      <c r="N47" s="38">
        <f>N46+1</f>
        <v>2</v>
      </c>
      <c r="O47" s="61">
        <f t="shared" si="70"/>
        <v>9.3621525517898316</v>
      </c>
      <c r="P47" s="39" t="str">
        <f>INDEX(powers!$H$2:$H$75,33+N47)</f>
        <v>hecty</v>
      </c>
      <c r="Q47" s="40" t="str">
        <f t="shared" si="144"/>
        <v>9</v>
      </c>
      <c r="R47" s="24">
        <f>(O47-INT(O47))*12</f>
        <v>4.3458306214779796</v>
      </c>
      <c r="S47" s="41" t="str">
        <f t="shared" si="145"/>
        <v>4</v>
      </c>
      <c r="T47" s="24">
        <f>(R47-INT(R47))*12</f>
        <v>4.1499674577357553</v>
      </c>
      <c r="U47" s="41" t="str">
        <f t="shared" si="146"/>
        <v>4</v>
      </c>
      <c r="V47" s="24">
        <f>(T47-INT(T47))*12</f>
        <v>1.7996094928290631</v>
      </c>
      <c r="W47" s="41" t="str">
        <f t="shared" si="147"/>
        <v>1</v>
      </c>
      <c r="X47" s="24">
        <f>(V47-INT(V47))*12</f>
        <v>9.5953139139487575</v>
      </c>
      <c r="Y47" s="41" t="str">
        <f t="shared" si="148"/>
        <v>9</v>
      </c>
      <c r="Z47" s="24">
        <f>(X47-INT(X47))*12</f>
        <v>7.1437669673850905</v>
      </c>
      <c r="AA47" s="41" t="str">
        <f t="shared" si="149"/>
        <v>7</v>
      </c>
      <c r="AB47" s="24">
        <f>(Z47-INT(Z47))*12</f>
        <v>1.7252036086210865</v>
      </c>
      <c r="AC47" s="41" t="str">
        <f t="shared" si="150"/>
        <v>1</v>
      </c>
      <c r="AD47" s="24">
        <f>(AB47-INT(AB47))*12</f>
        <v>8.7024433034530375</v>
      </c>
      <c r="AE47" s="41" t="str">
        <f t="shared" si="151"/>
        <v>8</v>
      </c>
      <c r="AF47" s="24">
        <f>(AD47-INT(AD47))*12</f>
        <v>8.4293196414364502</v>
      </c>
      <c r="AG47" s="41" t="str">
        <f t="shared" si="152"/>
        <v>8</v>
      </c>
      <c r="AH47" s="24">
        <f>(AF47-INT(AF47))*12</f>
        <v>5.1518356972374022</v>
      </c>
      <c r="AI47" s="41" t="str">
        <f t="shared" si="153"/>
        <v>5</v>
      </c>
      <c r="AJ47" s="24">
        <f>(AH47-INT(AH47))*12</f>
        <v>1.8220283668488264</v>
      </c>
      <c r="AK47" s="41" t="str">
        <f t="shared" si="154"/>
        <v/>
      </c>
      <c r="AL47" s="24">
        <f>(AJ47-INT(AJ47))*12</f>
        <v>9.8643404021859169</v>
      </c>
      <c r="AM47" s="41" t="str">
        <f t="shared" si="155"/>
        <v/>
      </c>
      <c r="AN47" s="24">
        <f>(AL47-INT(AL47))*12</f>
        <v>10.372084826231003</v>
      </c>
      <c r="AO47" s="41" t="str">
        <f t="shared" si="156"/>
        <v/>
      </c>
    </row>
    <row r="48" spans="1:41" ht="14.25" customHeight="1">
      <c r="A48" s="753"/>
      <c r="B48" s="755"/>
      <c r="C48" s="201" t="s">
        <v>376</v>
      </c>
      <c r="D48" s="308" t="str">
        <f t="shared" si="158"/>
        <v>m^2</v>
      </c>
      <c r="E48" s="161">
        <f t="shared" si="160"/>
        <v>128.17565120433625</v>
      </c>
      <c r="F48" s="176">
        <v>2</v>
      </c>
      <c r="G48" s="177">
        <f t="shared" si="140"/>
        <v>1.2817565120433625</v>
      </c>
      <c r="H48" s="178" t="s">
        <v>786</v>
      </c>
      <c r="I48" s="172">
        <f t="shared" ref="I48:I50" si="161">I47*10</f>
        <v>1000</v>
      </c>
      <c r="J48" s="308" t="str">
        <f t="shared" si="159"/>
        <v>m^2</v>
      </c>
      <c r="K48" s="8">
        <v>9</v>
      </c>
      <c r="L48" s="21">
        <f t="shared" ref="L48:L50" si="162">L47*10</f>
        <v>13481.499674577357</v>
      </c>
      <c r="M48" s="37" t="str">
        <f t="shared" ref="M48:M57" si="163">Q48&amp;";"&amp;S48&amp;U48&amp;W48&amp;Y48&amp;AA48&amp;AC48&amp;AE48&amp;AG48&amp;AI48&amp;AK48&amp;AM48&amp;AO48</f>
        <v>7;9755EE530</v>
      </c>
      <c r="N48" s="38">
        <f t="shared" ref="N48:N50" si="164">N47+1</f>
        <v>3</v>
      </c>
      <c r="O48" s="61">
        <f t="shared" ref="O48:O61" si="165">L48/POWER(12,N48)</f>
        <v>7.8017937931581924</v>
      </c>
      <c r="P48" s="39" t="str">
        <f>INDEX(powers!$H$2:$H$75,33+N48)</f>
        <v>kily</v>
      </c>
      <c r="Q48" s="40" t="str">
        <f t="shared" si="144"/>
        <v>7</v>
      </c>
      <c r="R48" s="24">
        <f t="shared" ref="R48:R57" si="166">(O48-INT(O48))*12</f>
        <v>9.6215255178983092</v>
      </c>
      <c r="S48" s="41" t="str">
        <f t="shared" si="145"/>
        <v>9</v>
      </c>
      <c r="T48" s="24">
        <f t="shared" ref="T48:T57" si="167">(R48-INT(R48))*12</f>
        <v>7.4583062147797108</v>
      </c>
      <c r="U48" s="41" t="str">
        <f t="shared" si="146"/>
        <v>7</v>
      </c>
      <c r="V48" s="24">
        <f t="shared" ref="V48:V57" si="168">(T48-INT(T48))*12</f>
        <v>5.4996745773565294</v>
      </c>
      <c r="W48" s="41" t="str">
        <f t="shared" si="147"/>
        <v>5</v>
      </c>
      <c r="X48" s="24">
        <f t="shared" ref="X48:X57" si="169">(V48-INT(V48))*12</f>
        <v>5.9960949282783531</v>
      </c>
      <c r="Y48" s="41" t="str">
        <f t="shared" si="148"/>
        <v>5</v>
      </c>
      <c r="Z48" s="24">
        <f t="shared" ref="Z48:Z57" si="170">(X48-INT(X48))*12</f>
        <v>11.953139139340237</v>
      </c>
      <c r="AA48" s="41" t="str">
        <f t="shared" si="149"/>
        <v>E</v>
      </c>
      <c r="AB48" s="24">
        <f t="shared" ref="AB48:AB57" si="171">(Z48-INT(Z48))*12</f>
        <v>11.437669672082848</v>
      </c>
      <c r="AC48" s="41" t="str">
        <f t="shared" si="150"/>
        <v>E</v>
      </c>
      <c r="AD48" s="24">
        <f t="shared" ref="AD48:AD57" si="172">(AB48-INT(AB48))*12</f>
        <v>5.2520360649941722</v>
      </c>
      <c r="AE48" s="41" t="str">
        <f t="shared" si="151"/>
        <v>5</v>
      </c>
      <c r="AF48" s="24">
        <f t="shared" ref="AF48:AF57" si="173">(AD48-INT(AD48))*12</f>
        <v>3.0244327799300663</v>
      </c>
      <c r="AG48" s="41" t="str">
        <f t="shared" si="152"/>
        <v>3</v>
      </c>
      <c r="AH48" s="24">
        <f t="shared" ref="AH48:AH57" si="174">(AF48-INT(AF48))*12</f>
        <v>0.29319335916079581</v>
      </c>
      <c r="AI48" s="41" t="str">
        <f t="shared" si="153"/>
        <v>0</v>
      </c>
      <c r="AJ48" s="24">
        <f t="shared" ref="AJ48:AJ57" si="175">(AH48-INT(AH48))*12</f>
        <v>3.5183203099295497</v>
      </c>
      <c r="AK48" s="41" t="str">
        <f t="shared" si="154"/>
        <v/>
      </c>
      <c r="AL48" s="24">
        <f t="shared" ref="AL48:AL57" si="176">(AJ48-INT(AJ48))*12</f>
        <v>6.2198437191545963</v>
      </c>
      <c r="AM48" s="41" t="str">
        <f t="shared" si="155"/>
        <v/>
      </c>
      <c r="AN48" s="24">
        <f t="shared" ref="AN48:AN57" si="177">(AL48-INT(AL48))*12</f>
        <v>2.6381246298551559</v>
      </c>
      <c r="AO48" s="41" t="str">
        <f t="shared" si="156"/>
        <v/>
      </c>
    </row>
    <row r="49" spans="1:41" ht="14.25" customHeight="1">
      <c r="A49" s="753"/>
      <c r="B49" s="755"/>
      <c r="C49" s="199" t="s">
        <v>377</v>
      </c>
      <c r="D49" s="308" t="str">
        <f t="shared" si="158"/>
        <v>m^2</v>
      </c>
      <c r="E49" s="161">
        <f t="shared" si="160"/>
        <v>1538.107814452035</v>
      </c>
      <c r="F49" s="176">
        <v>2</v>
      </c>
      <c r="G49" s="177">
        <f t="shared" si="140"/>
        <v>15.38107814452035</v>
      </c>
      <c r="H49" s="178" t="s">
        <v>786</v>
      </c>
      <c r="I49" s="172">
        <f t="shared" si="161"/>
        <v>10000</v>
      </c>
      <c r="J49" s="308" t="str">
        <f t="shared" si="159"/>
        <v>m^2</v>
      </c>
      <c r="K49" s="8">
        <v>9</v>
      </c>
      <c r="L49" s="21">
        <f t="shared" si="162"/>
        <v>134814.99674577356</v>
      </c>
      <c r="M49" s="37" t="str">
        <f t="shared" si="163"/>
        <v>6;6026EE646</v>
      </c>
      <c r="N49" s="38">
        <f t="shared" si="164"/>
        <v>4</v>
      </c>
      <c r="O49" s="61">
        <f t="shared" si="165"/>
        <v>6.5014948276318272</v>
      </c>
      <c r="P49" s="39" t="str">
        <f>INDEX(powers!$H$2:$H$75,33+N49)</f>
        <v>super</v>
      </c>
      <c r="Q49" s="40" t="str">
        <f t="shared" si="144"/>
        <v>6</v>
      </c>
      <c r="R49" s="24">
        <f t="shared" si="166"/>
        <v>6.0179379315819261</v>
      </c>
      <c r="S49" s="41" t="str">
        <f t="shared" si="145"/>
        <v>6</v>
      </c>
      <c r="T49" s="24">
        <f t="shared" si="167"/>
        <v>0.21525517898311364</v>
      </c>
      <c r="U49" s="41" t="str">
        <f t="shared" si="146"/>
        <v>0</v>
      </c>
      <c r="V49" s="24">
        <f t="shared" si="168"/>
        <v>2.5830621477973637</v>
      </c>
      <c r="W49" s="41" t="str">
        <f t="shared" si="147"/>
        <v>2</v>
      </c>
      <c r="X49" s="24">
        <f t="shared" si="169"/>
        <v>6.9967457735683638</v>
      </c>
      <c r="Y49" s="41" t="str">
        <f t="shared" si="148"/>
        <v>6</v>
      </c>
      <c r="Z49" s="24">
        <f t="shared" si="170"/>
        <v>11.960949282820366</v>
      </c>
      <c r="AA49" s="41" t="str">
        <f t="shared" si="149"/>
        <v>E</v>
      </c>
      <c r="AB49" s="24">
        <f t="shared" si="171"/>
        <v>11.531391393844387</v>
      </c>
      <c r="AC49" s="41" t="str">
        <f t="shared" si="150"/>
        <v>E</v>
      </c>
      <c r="AD49" s="24">
        <f t="shared" si="172"/>
        <v>6.3766967261326499</v>
      </c>
      <c r="AE49" s="41" t="str">
        <f t="shared" si="151"/>
        <v>6</v>
      </c>
      <c r="AF49" s="24">
        <f t="shared" si="173"/>
        <v>4.5203607135917991</v>
      </c>
      <c r="AG49" s="41" t="str">
        <f t="shared" si="152"/>
        <v>4</v>
      </c>
      <c r="AH49" s="24">
        <f t="shared" si="174"/>
        <v>6.2443285631015897</v>
      </c>
      <c r="AI49" s="41" t="str">
        <f t="shared" si="153"/>
        <v>6</v>
      </c>
      <c r="AJ49" s="24">
        <f t="shared" si="175"/>
        <v>2.9319427572190762</v>
      </c>
      <c r="AK49" s="41" t="str">
        <f t="shared" si="154"/>
        <v/>
      </c>
      <c r="AL49" s="24">
        <f t="shared" si="176"/>
        <v>11.183313086628914</v>
      </c>
      <c r="AM49" s="41" t="str">
        <f t="shared" si="155"/>
        <v/>
      </c>
      <c r="AN49" s="24">
        <f t="shared" si="177"/>
        <v>2.1997570395469666</v>
      </c>
      <c r="AO49" s="41" t="str">
        <f t="shared" si="156"/>
        <v/>
      </c>
    </row>
    <row r="50" spans="1:41" ht="14.25" customHeight="1">
      <c r="A50" s="753"/>
      <c r="B50" s="755"/>
      <c r="C50" s="199" t="s">
        <v>378</v>
      </c>
      <c r="D50" s="308" t="str">
        <f t="shared" si="158"/>
        <v>m^2</v>
      </c>
      <c r="E50" s="161">
        <f t="shared" si="160"/>
        <v>18457.293773424419</v>
      </c>
      <c r="F50" s="176">
        <v>4</v>
      </c>
      <c r="G50" s="177">
        <f t="shared" si="140"/>
        <v>1.8457293773424419</v>
      </c>
      <c r="H50" s="178" t="s">
        <v>787</v>
      </c>
      <c r="I50" s="172">
        <f t="shared" si="161"/>
        <v>100000</v>
      </c>
      <c r="J50" s="308" t="str">
        <f t="shared" si="159"/>
        <v>m^2</v>
      </c>
      <c r="K50" s="8">
        <v>9</v>
      </c>
      <c r="L50" s="21">
        <f t="shared" si="162"/>
        <v>1348149.9674577357</v>
      </c>
      <c r="M50" s="37" t="str">
        <f t="shared" si="163"/>
        <v>5;50219E739</v>
      </c>
      <c r="N50" s="38">
        <f t="shared" si="164"/>
        <v>5</v>
      </c>
      <c r="O50" s="61">
        <f t="shared" si="165"/>
        <v>5.4179123563598557</v>
      </c>
      <c r="P50" s="39" t="str">
        <f>INDEX(powers!$H$2:$H$75,33+N50)</f>
        <v>cosmic milly</v>
      </c>
      <c r="Q50" s="40" t="str">
        <f t="shared" si="144"/>
        <v>5</v>
      </c>
      <c r="R50" s="24">
        <f t="shared" si="166"/>
        <v>5.0149482763182682</v>
      </c>
      <c r="S50" s="41" t="str">
        <f t="shared" si="145"/>
        <v>5</v>
      </c>
      <c r="T50" s="24">
        <f t="shared" si="167"/>
        <v>0.17937931581921873</v>
      </c>
      <c r="U50" s="41" t="str">
        <f t="shared" si="146"/>
        <v>0</v>
      </c>
      <c r="V50" s="24">
        <f t="shared" si="168"/>
        <v>2.1525517898306248</v>
      </c>
      <c r="W50" s="41" t="str">
        <f t="shared" si="147"/>
        <v>2</v>
      </c>
      <c r="X50" s="24">
        <f t="shared" si="169"/>
        <v>1.8306214779674974</v>
      </c>
      <c r="Y50" s="41" t="str">
        <f t="shared" si="148"/>
        <v>1</v>
      </c>
      <c r="Z50" s="24">
        <f t="shared" si="170"/>
        <v>9.9674577356099689</v>
      </c>
      <c r="AA50" s="41" t="str">
        <f t="shared" si="149"/>
        <v>9</v>
      </c>
      <c r="AB50" s="24">
        <f t="shared" si="171"/>
        <v>11.609492827319627</v>
      </c>
      <c r="AC50" s="41" t="str">
        <f t="shared" si="150"/>
        <v>E</v>
      </c>
      <c r="AD50" s="24">
        <f t="shared" si="172"/>
        <v>7.3139139278355287</v>
      </c>
      <c r="AE50" s="41" t="str">
        <f t="shared" si="151"/>
        <v>7</v>
      </c>
      <c r="AF50" s="24">
        <f t="shared" si="173"/>
        <v>3.7669671340263449</v>
      </c>
      <c r="AG50" s="41" t="str">
        <f t="shared" si="152"/>
        <v>3</v>
      </c>
      <c r="AH50" s="24">
        <f t="shared" si="174"/>
        <v>9.2036056083161384</v>
      </c>
      <c r="AI50" s="41" t="str">
        <f t="shared" si="153"/>
        <v>9</v>
      </c>
      <c r="AJ50" s="24">
        <f t="shared" si="175"/>
        <v>2.4432672997936606</v>
      </c>
      <c r="AK50" s="41" t="str">
        <f t="shared" si="154"/>
        <v/>
      </c>
      <c r="AL50" s="24">
        <f t="shared" si="176"/>
        <v>5.3192075975239277</v>
      </c>
      <c r="AM50" s="41" t="str">
        <f t="shared" si="155"/>
        <v/>
      </c>
      <c r="AN50" s="24">
        <f t="shared" si="177"/>
        <v>3.8304911702871323</v>
      </c>
      <c r="AO50" s="41" t="str">
        <f t="shared" si="156"/>
        <v/>
      </c>
    </row>
    <row r="51" spans="1:41" ht="14.25" customHeight="1">
      <c r="A51" s="753"/>
      <c r="B51" s="755"/>
      <c r="C51" s="225" t="s">
        <v>379</v>
      </c>
      <c r="D51" s="5" t="str">
        <f>D49</f>
        <v>m^2</v>
      </c>
      <c r="E51" s="272">
        <f>E50*12</f>
        <v>221487.52528109303</v>
      </c>
      <c r="F51" s="273">
        <v>4</v>
      </c>
      <c r="G51" s="274">
        <f t="shared" si="140"/>
        <v>22.148752528109302</v>
      </c>
      <c r="H51" s="275" t="s">
        <v>787</v>
      </c>
      <c r="I51" s="173">
        <f>I50*10</f>
        <v>1000000</v>
      </c>
      <c r="J51" s="5" t="str">
        <f>J49</f>
        <v>m^2</v>
      </c>
      <c r="K51" s="30">
        <v>9</v>
      </c>
      <c r="L51" s="29">
        <f>L50*10</f>
        <v>13481499.674577357</v>
      </c>
      <c r="M51" s="112" t="str">
        <f t="shared" si="163"/>
        <v>4;621963812</v>
      </c>
      <c r="N51" s="43">
        <v>6</v>
      </c>
      <c r="O51" s="62">
        <f t="shared" si="165"/>
        <v>4.5149269636332132</v>
      </c>
      <c r="P51" s="44" t="str">
        <f>INDEX(powers!$H$2:$H$75,33+N51)</f>
        <v>cosmic centy</v>
      </c>
      <c r="Q51" s="40" t="str">
        <f t="shared" si="144"/>
        <v>4</v>
      </c>
      <c r="R51" s="24">
        <f t="shared" si="166"/>
        <v>6.1791235635985586</v>
      </c>
      <c r="S51" s="41" t="str">
        <f t="shared" si="145"/>
        <v>6</v>
      </c>
      <c r="T51" s="24">
        <f t="shared" si="167"/>
        <v>2.1494827631827036</v>
      </c>
      <c r="U51" s="41" t="str">
        <f t="shared" si="146"/>
        <v>2</v>
      </c>
      <c r="V51" s="24">
        <f t="shared" si="168"/>
        <v>1.7937931581924431</v>
      </c>
      <c r="W51" s="41" t="str">
        <f t="shared" si="147"/>
        <v>1</v>
      </c>
      <c r="X51" s="24">
        <f t="shared" si="169"/>
        <v>9.5255178983093174</v>
      </c>
      <c r="Y51" s="41" t="str">
        <f t="shared" si="148"/>
        <v>9</v>
      </c>
      <c r="Z51" s="24">
        <f t="shared" si="170"/>
        <v>6.3062147797118087</v>
      </c>
      <c r="AA51" s="41" t="str">
        <f t="shared" si="149"/>
        <v>6</v>
      </c>
      <c r="AB51" s="24">
        <f t="shared" si="171"/>
        <v>3.6745773565417039</v>
      </c>
      <c r="AC51" s="41" t="str">
        <f t="shared" si="150"/>
        <v>3</v>
      </c>
      <c r="AD51" s="24">
        <f t="shared" si="172"/>
        <v>8.094928278500447</v>
      </c>
      <c r="AE51" s="41" t="str">
        <f t="shared" si="151"/>
        <v>8</v>
      </c>
      <c r="AF51" s="24">
        <f t="shared" si="173"/>
        <v>1.1391393420053646</v>
      </c>
      <c r="AG51" s="41" t="str">
        <f t="shared" si="152"/>
        <v>1</v>
      </c>
      <c r="AH51" s="24">
        <f t="shared" si="174"/>
        <v>1.6696721040643752</v>
      </c>
      <c r="AI51" s="41" t="str">
        <f t="shared" si="153"/>
        <v>2</v>
      </c>
      <c r="AJ51" s="24">
        <f t="shared" si="175"/>
        <v>8.0360652487725019</v>
      </c>
      <c r="AK51" s="41" t="str">
        <f t="shared" si="154"/>
        <v/>
      </c>
      <c r="AL51" s="24">
        <f t="shared" si="176"/>
        <v>0.43278298527002335</v>
      </c>
      <c r="AM51" s="41" t="str">
        <f t="shared" si="155"/>
        <v/>
      </c>
      <c r="AN51" s="24">
        <f t="shared" si="177"/>
        <v>5.1933958232402802</v>
      </c>
      <c r="AO51" s="41" t="str">
        <f t="shared" si="156"/>
        <v/>
      </c>
    </row>
    <row r="52" spans="1:41" ht="14.25" customHeight="1" thickBot="1">
      <c r="A52" s="753"/>
      <c r="B52" s="756"/>
      <c r="C52" s="200" t="s">
        <v>380</v>
      </c>
      <c r="D52" s="309" t="str">
        <f>D50</f>
        <v>m^2</v>
      </c>
      <c r="E52" s="186">
        <f>E51*12</f>
        <v>2657850.3033731161</v>
      </c>
      <c r="F52" s="187">
        <v>6</v>
      </c>
      <c r="G52" s="188">
        <f t="shared" si="140"/>
        <v>2.6578503033731158</v>
      </c>
      <c r="H52" s="189" t="s">
        <v>788</v>
      </c>
      <c r="I52" s="173">
        <f>I51*10</f>
        <v>10000000</v>
      </c>
      <c r="J52" s="309" t="str">
        <f>J50</f>
        <v>m^2</v>
      </c>
      <c r="K52" s="30">
        <v>9</v>
      </c>
      <c r="L52" s="29">
        <f>L51*10</f>
        <v>134814996.74577358</v>
      </c>
      <c r="M52" s="112" t="str">
        <f t="shared" si="163"/>
        <v>3;9195E308E</v>
      </c>
      <c r="N52" s="43">
        <v>7</v>
      </c>
      <c r="O52" s="62">
        <f t="shared" si="165"/>
        <v>3.7624391363610115</v>
      </c>
      <c r="P52" s="44" t="str">
        <f>INDEX(powers!$H$2:$H$75,33+N52)</f>
        <v>cosmic dour</v>
      </c>
      <c r="Q52" s="40" t="str">
        <f t="shared" si="144"/>
        <v>3</v>
      </c>
      <c r="R52" s="24">
        <f t="shared" si="166"/>
        <v>9.1492696363321375</v>
      </c>
      <c r="S52" s="41" t="str">
        <f t="shared" si="145"/>
        <v>9</v>
      </c>
      <c r="T52" s="24">
        <f t="shared" si="167"/>
        <v>1.7912356359856503</v>
      </c>
      <c r="U52" s="41" t="str">
        <f t="shared" si="146"/>
        <v>1</v>
      </c>
      <c r="V52" s="24">
        <f t="shared" si="168"/>
        <v>9.4948276318278033</v>
      </c>
      <c r="W52" s="41" t="str">
        <f t="shared" si="147"/>
        <v>9</v>
      </c>
      <c r="X52" s="24">
        <f t="shared" si="169"/>
        <v>5.9379315819336398</v>
      </c>
      <c r="Y52" s="41" t="str">
        <f t="shared" si="148"/>
        <v>5</v>
      </c>
      <c r="Z52" s="24">
        <f t="shared" si="170"/>
        <v>11.255178983203677</v>
      </c>
      <c r="AA52" s="41" t="str">
        <f t="shared" si="149"/>
        <v>E</v>
      </c>
      <c r="AB52" s="24">
        <f t="shared" si="171"/>
        <v>3.0621477984441299</v>
      </c>
      <c r="AC52" s="41" t="str">
        <f t="shared" si="150"/>
        <v>3</v>
      </c>
      <c r="AD52" s="24">
        <f t="shared" si="172"/>
        <v>0.74577358132955851</v>
      </c>
      <c r="AE52" s="41" t="str">
        <f t="shared" si="151"/>
        <v>0</v>
      </c>
      <c r="AF52" s="24">
        <f t="shared" si="173"/>
        <v>8.9492829759547021</v>
      </c>
      <c r="AG52" s="41" t="str">
        <f t="shared" si="152"/>
        <v>8</v>
      </c>
      <c r="AH52" s="24">
        <f t="shared" si="174"/>
        <v>11.391395711456425</v>
      </c>
      <c r="AI52" s="41" t="str">
        <f t="shared" si="153"/>
        <v>E</v>
      </c>
      <c r="AJ52" s="24">
        <f t="shared" si="175"/>
        <v>4.6967485374771059</v>
      </c>
      <c r="AK52" s="41" t="str">
        <f t="shared" si="154"/>
        <v/>
      </c>
      <c r="AL52" s="24">
        <f t="shared" si="176"/>
        <v>8.3609824497252703</v>
      </c>
      <c r="AM52" s="41" t="str">
        <f t="shared" si="155"/>
        <v/>
      </c>
      <c r="AN52" s="24">
        <f t="shared" si="177"/>
        <v>4.3317893967032433</v>
      </c>
      <c r="AO52" s="41" t="str">
        <f t="shared" si="156"/>
        <v/>
      </c>
    </row>
    <row r="53" spans="1:41" ht="14.25" customHeight="1">
      <c r="A53" s="753"/>
      <c r="B53" s="755" t="s">
        <v>747</v>
      </c>
      <c r="C53" s="175" t="s">
        <v>570</v>
      </c>
      <c r="D53" s="365" t="str">
        <f t="shared" ref="D53:D57" si="178">D54</f>
        <v>m^3</v>
      </c>
      <c r="E53" s="161">
        <f t="shared" ref="E53:E57" si="179">E54/12</f>
        <v>6.7655828292906832E-9</v>
      </c>
      <c r="F53" s="176">
        <v>-9</v>
      </c>
      <c r="G53" s="177">
        <f t="shared" ref="G53:G66" si="180">E53*POWER(10,-F53)</f>
        <v>6.7655828292906834</v>
      </c>
      <c r="H53" s="178" t="s">
        <v>751</v>
      </c>
      <c r="I53" s="310">
        <f t="shared" ref="I53:I57" si="181">I54/10</f>
        <v>1.0000000000000002E-6</v>
      </c>
      <c r="J53" s="218" t="str">
        <f t="shared" ref="J53:J57" si="182">J54</f>
        <v>m^3</v>
      </c>
      <c r="K53" s="152">
        <v>9</v>
      </c>
      <c r="L53" s="151">
        <f t="shared" ref="L53:L57" si="183">L54/10</f>
        <v>4.9500240427253082E-5</v>
      </c>
      <c r="M53" s="155" t="str">
        <f t="shared" si="163"/>
        <v>1;0398244EX</v>
      </c>
      <c r="N53" s="156">
        <f>N54</f>
        <v>-4</v>
      </c>
      <c r="O53" s="164">
        <f t="shared" si="165"/>
        <v>1.0264369854995199</v>
      </c>
      <c r="P53" s="157" t="str">
        <f>INDEX(powers!$H$2:$H$75,33+N53)</f>
        <v>sub</v>
      </c>
      <c r="Q53" s="40" t="str">
        <f t="shared" ref="Q53:Q66" si="184">IF($K53&gt;=Q$23,MID($N$23,IF($K53&gt;Q$23,INT(O53),ROUND(O53,0))+1,1),"")</f>
        <v>1</v>
      </c>
      <c r="R53" s="24">
        <f t="shared" si="166"/>
        <v>0.31724382599423873</v>
      </c>
      <c r="S53" s="41" t="str">
        <f t="shared" ref="S53:S66" si="185">IF($K53&gt;=S$23,MID($N$23,IF($K53&gt;S$23,INT(R53),ROUND(R53,0))+1,1),"")</f>
        <v>0</v>
      </c>
      <c r="T53" s="24">
        <f t="shared" si="167"/>
        <v>3.8069259119308647</v>
      </c>
      <c r="U53" s="41" t="str">
        <f t="shared" ref="U53:U66" si="186">IF($K53&gt;=U$23,MID($N$23,IF($K53&gt;U$23,INT(T53),ROUND(T53,0))+1,1),"")</f>
        <v>3</v>
      </c>
      <c r="V53" s="24">
        <f t="shared" si="168"/>
        <v>9.6831109431703766</v>
      </c>
      <c r="W53" s="41" t="str">
        <f t="shared" ref="W53:W66" si="187">IF($K53&gt;=W$23,MID($N$23,IF($K53&gt;W$23,INT(V53),ROUND(V53,0))+1,1),"")</f>
        <v>9</v>
      </c>
      <c r="X53" s="24">
        <f t="shared" si="169"/>
        <v>8.1973313180445189</v>
      </c>
      <c r="Y53" s="41" t="str">
        <f t="shared" ref="Y53:Y66" si="188">IF($K53&gt;=Y$23,MID($N$23,IF($K53&gt;Y$23,INT(X53),ROUND(X53,0))+1,1),"")</f>
        <v>8</v>
      </c>
      <c r="Z53" s="24">
        <f t="shared" si="170"/>
        <v>2.3679758165342264</v>
      </c>
      <c r="AA53" s="41" t="str">
        <f t="shared" ref="AA53:AA66" si="189">IF($K53&gt;=AA$23,MID($N$23,IF($K53&gt;AA$23,INT(Z53),ROUND(Z53,0))+1,1),"")</f>
        <v>2</v>
      </c>
      <c r="AB53" s="24">
        <f t="shared" si="171"/>
        <v>4.4157097984107168</v>
      </c>
      <c r="AC53" s="41" t="str">
        <f t="shared" ref="AC53:AC66" si="190">IF($K53&gt;=AC$23,MID($N$23,IF($K53&gt;AC$23,INT(AB53),ROUND(AB53,0))+1,1),"")</f>
        <v>4</v>
      </c>
      <c r="AD53" s="24">
        <f t="shared" si="172"/>
        <v>4.9885175809286011</v>
      </c>
      <c r="AE53" s="41" t="str">
        <f t="shared" ref="AE53:AE66" si="191">IF($K53&gt;=AE$23,MID($N$23,IF($K53&gt;AE$23,INT(AD53),ROUND(AD53,0))+1,1),"")</f>
        <v>4</v>
      </c>
      <c r="AF53" s="24">
        <f t="shared" si="173"/>
        <v>11.862210971143213</v>
      </c>
      <c r="AG53" s="41" t="str">
        <f t="shared" ref="AG53:AG66" si="192">IF($K53&gt;=AG$23,MID($N$23,IF($K53&gt;AG$23,INT(AF53),ROUND(AF53,0))+1,1),"")</f>
        <v>E</v>
      </c>
      <c r="AH53" s="24">
        <f t="shared" si="174"/>
        <v>10.346531653718557</v>
      </c>
      <c r="AI53" s="41" t="str">
        <f t="shared" ref="AI53:AI66" si="193">IF($K53&gt;=AI$23,MID($N$23,IF($K53&gt;AI$23,INT(AH53),ROUND(AH53,0))+1,1),"")</f>
        <v>X</v>
      </c>
      <c r="AJ53" s="24">
        <f t="shared" si="175"/>
        <v>4.1583798446226865</v>
      </c>
      <c r="AK53" s="41" t="str">
        <f t="shared" ref="AK53:AK66" si="194">IF($K53&gt;=AK$23,MID($N$23,IF($K53&gt;AK$23,INT(AJ53),ROUND(AJ53,0))+1,1),"")</f>
        <v/>
      </c>
      <c r="AL53" s="24">
        <f t="shared" si="176"/>
        <v>1.9005581354722381</v>
      </c>
      <c r="AM53" s="41" t="str">
        <f t="shared" ref="AM53:AM66" si="195">IF($K53&gt;=AM$23,MID($N$23,IF($K53&gt;AM$23,INT(AL53),ROUND(AL53,0))+1,1),"")</f>
        <v/>
      </c>
      <c r="AN53" s="24">
        <f t="shared" si="177"/>
        <v>10.806697625666857</v>
      </c>
      <c r="AO53" s="41" t="str">
        <f t="shared" ref="AO53:AO66" si="196">IF($K53&gt;=AO$23,MID($N$23,IF($K53&gt;AO$23,INT(AN53),ROUND(AN53,0))+1,1),"")</f>
        <v/>
      </c>
    </row>
    <row r="54" spans="1:41" ht="14.25" customHeight="1">
      <c r="A54" s="753"/>
      <c r="B54" s="755"/>
      <c r="C54" s="179" t="s">
        <v>571</v>
      </c>
      <c r="D54" s="365" t="str">
        <f t="shared" si="178"/>
        <v>m^3</v>
      </c>
      <c r="E54" s="161">
        <f t="shared" si="179"/>
        <v>8.1186993951488202E-8</v>
      </c>
      <c r="F54" s="176">
        <v>-9</v>
      </c>
      <c r="G54" s="177">
        <f t="shared" si="180"/>
        <v>81.186993951488205</v>
      </c>
      <c r="H54" s="178" t="s">
        <v>751</v>
      </c>
      <c r="I54" s="167">
        <f t="shared" si="181"/>
        <v>1.0000000000000001E-5</v>
      </c>
      <c r="J54" s="365" t="str">
        <f t="shared" si="182"/>
        <v>m^3</v>
      </c>
      <c r="K54" s="8">
        <v>9</v>
      </c>
      <c r="L54" s="21">
        <f t="shared" si="183"/>
        <v>4.9500240427253085E-4</v>
      </c>
      <c r="M54" s="37" t="str">
        <f t="shared" si="163"/>
        <v>X;3209E81X7</v>
      </c>
      <c r="N54" s="38">
        <f t="shared" ref="N54:N57" si="197">N55-1</f>
        <v>-4</v>
      </c>
      <c r="O54" s="61">
        <f t="shared" si="165"/>
        <v>10.2643698549952</v>
      </c>
      <c r="P54" s="39" t="str">
        <f>INDEX(powers!$H$2:$H$75,33+N54)</f>
        <v>sub</v>
      </c>
      <c r="Q54" s="40" t="str">
        <f t="shared" si="184"/>
        <v>X</v>
      </c>
      <c r="R54" s="24">
        <f t="shared" si="166"/>
        <v>3.1724382599424032</v>
      </c>
      <c r="S54" s="41" t="str">
        <f t="shared" si="185"/>
        <v>3</v>
      </c>
      <c r="T54" s="24">
        <f t="shared" si="167"/>
        <v>2.069259119308839</v>
      </c>
      <c r="U54" s="41" t="str">
        <f t="shared" si="186"/>
        <v>2</v>
      </c>
      <c r="V54" s="24">
        <f t="shared" si="168"/>
        <v>0.83110943170606788</v>
      </c>
      <c r="W54" s="41" t="str">
        <f t="shared" si="187"/>
        <v>0</v>
      </c>
      <c r="X54" s="24">
        <f t="shared" si="169"/>
        <v>9.9733131804728146</v>
      </c>
      <c r="Y54" s="41" t="str">
        <f t="shared" si="188"/>
        <v>9</v>
      </c>
      <c r="Z54" s="24">
        <f t="shared" si="170"/>
        <v>11.679758165673775</v>
      </c>
      <c r="AA54" s="41" t="str">
        <f t="shared" si="189"/>
        <v>E</v>
      </c>
      <c r="AB54" s="24">
        <f t="shared" si="171"/>
        <v>8.1570979880852974</v>
      </c>
      <c r="AC54" s="41" t="str">
        <f t="shared" si="190"/>
        <v>8</v>
      </c>
      <c r="AD54" s="24">
        <f t="shared" si="172"/>
        <v>1.8851758570235688</v>
      </c>
      <c r="AE54" s="41" t="str">
        <f t="shared" si="191"/>
        <v>1</v>
      </c>
      <c r="AF54" s="24">
        <f t="shared" si="173"/>
        <v>10.622110284282826</v>
      </c>
      <c r="AG54" s="41" t="str">
        <f t="shared" si="192"/>
        <v>X</v>
      </c>
      <c r="AH54" s="24">
        <f t="shared" si="174"/>
        <v>7.4653234113939106</v>
      </c>
      <c r="AI54" s="41" t="str">
        <f t="shared" si="193"/>
        <v>7</v>
      </c>
      <c r="AJ54" s="24">
        <f t="shared" si="175"/>
        <v>5.5838809367269278</v>
      </c>
      <c r="AK54" s="41" t="str">
        <f t="shared" si="194"/>
        <v/>
      </c>
      <c r="AL54" s="24">
        <f t="shared" si="176"/>
        <v>7.0065712407231331</v>
      </c>
      <c r="AM54" s="41" t="str">
        <f t="shared" si="195"/>
        <v/>
      </c>
      <c r="AN54" s="24">
        <f t="shared" si="177"/>
        <v>7.8854888677597046E-2</v>
      </c>
      <c r="AO54" s="41" t="str">
        <f t="shared" si="196"/>
        <v/>
      </c>
    </row>
    <row r="55" spans="1:41" ht="14.25" customHeight="1">
      <c r="A55" s="753"/>
      <c r="B55" s="755"/>
      <c r="C55" s="180" t="s">
        <v>572</v>
      </c>
      <c r="D55" s="365" t="str">
        <f t="shared" si="178"/>
        <v>m^3</v>
      </c>
      <c r="E55" s="161">
        <f t="shared" si="179"/>
        <v>9.7424392741785842E-7</v>
      </c>
      <c r="F55" s="176">
        <v>-6</v>
      </c>
      <c r="G55" s="177">
        <f t="shared" si="180"/>
        <v>0.97424392741785848</v>
      </c>
      <c r="H55" s="178" t="s">
        <v>750</v>
      </c>
      <c r="I55" s="168">
        <f t="shared" si="181"/>
        <v>1E-4</v>
      </c>
      <c r="J55" s="365" t="str">
        <f t="shared" si="182"/>
        <v>m^3</v>
      </c>
      <c r="K55" s="8">
        <v>9</v>
      </c>
      <c r="L55" s="21">
        <f t="shared" si="183"/>
        <v>4.9500240427253085E-3</v>
      </c>
      <c r="M55" s="37" t="str">
        <f t="shared" si="163"/>
        <v>8;67883896X</v>
      </c>
      <c r="N55" s="38">
        <f t="shared" si="197"/>
        <v>-3</v>
      </c>
      <c r="O55" s="61">
        <f t="shared" si="165"/>
        <v>8.5536415458293327</v>
      </c>
      <c r="P55" s="39" t="str">
        <f>INDEX(powers!$H$2:$H$75,33+N55)</f>
        <v>milly</v>
      </c>
      <c r="Q55" s="40" t="str">
        <f t="shared" si="184"/>
        <v>8</v>
      </c>
      <c r="R55" s="24">
        <f t="shared" si="166"/>
        <v>6.643698549951992</v>
      </c>
      <c r="S55" s="41" t="str">
        <f t="shared" si="185"/>
        <v>6</v>
      </c>
      <c r="T55" s="24">
        <f t="shared" si="167"/>
        <v>7.7243825994239046</v>
      </c>
      <c r="U55" s="41" t="str">
        <f t="shared" si="186"/>
        <v>7</v>
      </c>
      <c r="V55" s="24">
        <f t="shared" si="168"/>
        <v>8.6925911930868551</v>
      </c>
      <c r="W55" s="41" t="str">
        <f t="shared" si="187"/>
        <v>8</v>
      </c>
      <c r="X55" s="24">
        <f t="shared" si="169"/>
        <v>8.3110943170422615</v>
      </c>
      <c r="Y55" s="41" t="str">
        <f t="shared" si="188"/>
        <v>8</v>
      </c>
      <c r="Z55" s="24">
        <f t="shared" si="170"/>
        <v>3.7331318045071384</v>
      </c>
      <c r="AA55" s="41" t="str">
        <f t="shared" si="189"/>
        <v>3</v>
      </c>
      <c r="AB55" s="24">
        <f t="shared" si="171"/>
        <v>8.7975816540856613</v>
      </c>
      <c r="AC55" s="41" t="str">
        <f t="shared" si="190"/>
        <v>8</v>
      </c>
      <c r="AD55" s="24">
        <f t="shared" si="172"/>
        <v>9.5709798490279354</v>
      </c>
      <c r="AE55" s="41" t="str">
        <f t="shared" si="191"/>
        <v>9</v>
      </c>
      <c r="AF55" s="24">
        <f t="shared" si="173"/>
        <v>6.851758188335225</v>
      </c>
      <c r="AG55" s="41" t="str">
        <f t="shared" si="192"/>
        <v>6</v>
      </c>
      <c r="AH55" s="24">
        <f t="shared" si="174"/>
        <v>10.2210982600227</v>
      </c>
      <c r="AI55" s="41" t="str">
        <f t="shared" si="193"/>
        <v>X</v>
      </c>
      <c r="AJ55" s="24">
        <f t="shared" si="175"/>
        <v>2.653179120272398</v>
      </c>
      <c r="AK55" s="41" t="str">
        <f t="shared" si="194"/>
        <v/>
      </c>
      <c r="AL55" s="24">
        <f t="shared" si="176"/>
        <v>7.8381494432687759</v>
      </c>
      <c r="AM55" s="41" t="str">
        <f t="shared" si="195"/>
        <v/>
      </c>
      <c r="AN55" s="24">
        <f t="shared" si="177"/>
        <v>10.057793319225311</v>
      </c>
      <c r="AO55" s="41" t="str">
        <f t="shared" si="196"/>
        <v/>
      </c>
    </row>
    <row r="56" spans="1:41" ht="14.25" customHeight="1">
      <c r="A56" s="753"/>
      <c r="B56" s="755"/>
      <c r="C56" s="181" t="s">
        <v>573</v>
      </c>
      <c r="D56" s="365" t="str">
        <f t="shared" si="178"/>
        <v>m^3</v>
      </c>
      <c r="E56" s="161">
        <f t="shared" si="179"/>
        <v>1.1690927129014301E-5</v>
      </c>
      <c r="F56" s="176">
        <v>-6</v>
      </c>
      <c r="G56" s="177">
        <f t="shared" si="180"/>
        <v>11.690927129014302</v>
      </c>
      <c r="H56" s="178" t="s">
        <v>750</v>
      </c>
      <c r="I56" s="169">
        <f t="shared" si="181"/>
        <v>1E-3</v>
      </c>
      <c r="J56" s="365" t="str">
        <f t="shared" si="182"/>
        <v>m^3</v>
      </c>
      <c r="K56" s="8">
        <v>9</v>
      </c>
      <c r="L56" s="21">
        <f t="shared" si="183"/>
        <v>4.9500240427253081E-2</v>
      </c>
      <c r="M56" s="37" t="str">
        <f t="shared" si="163"/>
        <v>7;1652E13E9</v>
      </c>
      <c r="N56" s="38">
        <f t="shared" si="197"/>
        <v>-2</v>
      </c>
      <c r="O56" s="61">
        <f t="shared" si="165"/>
        <v>7.1280346215244439</v>
      </c>
      <c r="P56" s="39" t="str">
        <f>INDEX(powers!$H$2:$H$75,33+N56)</f>
        <v>centy</v>
      </c>
      <c r="Q56" s="40" t="str">
        <f t="shared" si="184"/>
        <v>7</v>
      </c>
      <c r="R56" s="24">
        <f t="shared" si="166"/>
        <v>1.5364154582933267</v>
      </c>
      <c r="S56" s="41" t="str">
        <f t="shared" si="185"/>
        <v>1</v>
      </c>
      <c r="T56" s="24">
        <f t="shared" si="167"/>
        <v>6.4369854995199205</v>
      </c>
      <c r="U56" s="41" t="str">
        <f t="shared" si="186"/>
        <v>6</v>
      </c>
      <c r="V56" s="24">
        <f t="shared" si="168"/>
        <v>5.2438259942390459</v>
      </c>
      <c r="W56" s="41" t="str">
        <f t="shared" si="187"/>
        <v>5</v>
      </c>
      <c r="X56" s="24">
        <f t="shared" si="169"/>
        <v>2.9259119308685513</v>
      </c>
      <c r="Y56" s="41" t="str">
        <f t="shared" si="188"/>
        <v>2</v>
      </c>
      <c r="Z56" s="24">
        <f t="shared" si="170"/>
        <v>11.110943170422615</v>
      </c>
      <c r="AA56" s="41" t="str">
        <f t="shared" si="189"/>
        <v>E</v>
      </c>
      <c r="AB56" s="24">
        <f t="shared" si="171"/>
        <v>1.3313180450713844</v>
      </c>
      <c r="AC56" s="41" t="str">
        <f t="shared" si="190"/>
        <v>1</v>
      </c>
      <c r="AD56" s="24">
        <f t="shared" si="172"/>
        <v>3.9758165408566128</v>
      </c>
      <c r="AE56" s="41" t="str">
        <f t="shared" si="191"/>
        <v>3</v>
      </c>
      <c r="AF56" s="24">
        <f t="shared" si="173"/>
        <v>11.709798490279354</v>
      </c>
      <c r="AG56" s="41" t="str">
        <f t="shared" si="192"/>
        <v>E</v>
      </c>
      <c r="AH56" s="24">
        <f t="shared" si="174"/>
        <v>8.5175818833522499</v>
      </c>
      <c r="AI56" s="41" t="str">
        <f t="shared" si="193"/>
        <v>9</v>
      </c>
      <c r="AJ56" s="24">
        <f t="shared" si="175"/>
        <v>6.2109826002269983</v>
      </c>
      <c r="AK56" s="41" t="str">
        <f t="shared" si="194"/>
        <v/>
      </c>
      <c r="AL56" s="24">
        <f t="shared" si="176"/>
        <v>2.5317912027239799</v>
      </c>
      <c r="AM56" s="41" t="str">
        <f t="shared" si="195"/>
        <v/>
      </c>
      <c r="AN56" s="24">
        <f t="shared" si="177"/>
        <v>6.3814944326877594</v>
      </c>
      <c r="AO56" s="41" t="str">
        <f t="shared" si="196"/>
        <v/>
      </c>
    </row>
    <row r="57" spans="1:41" ht="14.25" customHeight="1">
      <c r="A57" s="753"/>
      <c r="B57" s="755"/>
      <c r="C57" s="182" t="s">
        <v>574</v>
      </c>
      <c r="D57" s="365" t="str">
        <f t="shared" si="178"/>
        <v>m^3</v>
      </c>
      <c r="E57" s="161">
        <f t="shared" si="179"/>
        <v>1.4029112554817162E-4</v>
      </c>
      <c r="F57" s="176">
        <v>-6</v>
      </c>
      <c r="G57" s="177">
        <f t="shared" si="180"/>
        <v>140.29112554817161</v>
      </c>
      <c r="H57" s="178" t="s">
        <v>750</v>
      </c>
      <c r="I57" s="170">
        <f t="shared" si="181"/>
        <v>0.01</v>
      </c>
      <c r="J57" s="365" t="str">
        <f t="shared" si="182"/>
        <v>m^3</v>
      </c>
      <c r="K57" s="8">
        <v>9</v>
      </c>
      <c r="L57" s="21">
        <f t="shared" si="183"/>
        <v>0.49500240427253084</v>
      </c>
      <c r="M57" s="37" t="str">
        <f t="shared" si="163"/>
        <v>5;E34453139</v>
      </c>
      <c r="N57" s="38">
        <f t="shared" si="197"/>
        <v>-1</v>
      </c>
      <c r="O57" s="61">
        <f t="shared" si="165"/>
        <v>5.9400288512703705</v>
      </c>
      <c r="P57" s="39" t="str">
        <f>INDEX(powers!$H$2:$H$75,33+N57)</f>
        <v>dour</v>
      </c>
      <c r="Q57" s="40" t="str">
        <f t="shared" si="184"/>
        <v>5</v>
      </c>
      <c r="R57" s="24">
        <f t="shared" si="166"/>
        <v>11.280346215244446</v>
      </c>
      <c r="S57" s="41" t="str">
        <f t="shared" si="185"/>
        <v>E</v>
      </c>
      <c r="T57" s="24">
        <f t="shared" si="167"/>
        <v>3.3641545829333523</v>
      </c>
      <c r="U57" s="41" t="str">
        <f t="shared" si="186"/>
        <v>3</v>
      </c>
      <c r="V57" s="24">
        <f t="shared" si="168"/>
        <v>4.3698549952002281</v>
      </c>
      <c r="W57" s="41" t="str">
        <f t="shared" si="187"/>
        <v>4</v>
      </c>
      <c r="X57" s="24">
        <f t="shared" si="169"/>
        <v>4.4382599424027376</v>
      </c>
      <c r="Y57" s="41" t="str">
        <f t="shared" si="188"/>
        <v>4</v>
      </c>
      <c r="Z57" s="24">
        <f t="shared" si="170"/>
        <v>5.2591193088328509</v>
      </c>
      <c r="AA57" s="41" t="str">
        <f t="shared" si="189"/>
        <v>5</v>
      </c>
      <c r="AB57" s="24">
        <f t="shared" si="171"/>
        <v>3.1094317059942114</v>
      </c>
      <c r="AC57" s="41" t="str">
        <f t="shared" si="190"/>
        <v>3</v>
      </c>
      <c r="AD57" s="24">
        <f t="shared" si="172"/>
        <v>1.3131804719305364</v>
      </c>
      <c r="AE57" s="41" t="str">
        <f t="shared" si="191"/>
        <v>1</v>
      </c>
      <c r="AF57" s="24">
        <f t="shared" si="173"/>
        <v>3.7581656631664373</v>
      </c>
      <c r="AG57" s="41" t="str">
        <f t="shared" si="192"/>
        <v>3</v>
      </c>
      <c r="AH57" s="24">
        <f t="shared" si="174"/>
        <v>9.0979879579972476</v>
      </c>
      <c r="AI57" s="41" t="str">
        <f t="shared" si="193"/>
        <v>9</v>
      </c>
      <c r="AJ57" s="24">
        <f t="shared" si="175"/>
        <v>1.1758554959669709</v>
      </c>
      <c r="AK57" s="41" t="str">
        <f t="shared" si="194"/>
        <v/>
      </c>
      <c r="AL57" s="24">
        <f t="shared" si="176"/>
        <v>2.110265951603651</v>
      </c>
      <c r="AM57" s="41" t="str">
        <f t="shared" si="195"/>
        <v/>
      </c>
      <c r="AN57" s="24">
        <f t="shared" si="177"/>
        <v>1.3231914192438126</v>
      </c>
      <c r="AO57" s="41" t="str">
        <f t="shared" si="196"/>
        <v/>
      </c>
    </row>
    <row r="58" spans="1:41" ht="14.25" customHeight="1">
      <c r="A58" s="753"/>
      <c r="B58" s="755"/>
      <c r="C58" s="183" t="s">
        <v>575</v>
      </c>
      <c r="D58" s="365" t="str">
        <f>D59</f>
        <v>m^3</v>
      </c>
      <c r="E58" s="161">
        <f>E59/12</f>
        <v>1.6834935065780595E-3</v>
      </c>
      <c r="F58" s="176">
        <v>-3</v>
      </c>
      <c r="G58" s="177">
        <f t="shared" si="180"/>
        <v>1.6834935065780596</v>
      </c>
      <c r="H58" s="178" t="s">
        <v>749</v>
      </c>
      <c r="I58" s="171">
        <f>I59/10</f>
        <v>0.1</v>
      </c>
      <c r="J58" s="365" t="str">
        <f>J59</f>
        <v>m^3</v>
      </c>
      <c r="K58" s="8">
        <v>9</v>
      </c>
      <c r="L58" s="21">
        <f>L59/10</f>
        <v>4.9500240427253086</v>
      </c>
      <c r="M58" s="37" t="str">
        <f>Q58&amp;";"&amp;S58&amp;U58&amp;W58&amp;Y58&amp;AA58&amp;AC58&amp;AE58&amp;AG58&amp;AI58&amp;AK58&amp;AM58&amp;AO58</f>
        <v>4;E49784712</v>
      </c>
      <c r="N58" s="38">
        <f>N59-1</f>
        <v>0</v>
      </c>
      <c r="O58" s="61">
        <f t="shared" si="165"/>
        <v>4.9500240427253086</v>
      </c>
      <c r="P58" s="39" t="str">
        <f>INDEX(powers!$H$2:$H$75,33+N58)</f>
        <v xml:space="preserve"> </v>
      </c>
      <c r="Q58" s="40" t="str">
        <f t="shared" si="184"/>
        <v>4</v>
      </c>
      <c r="R58" s="24">
        <f>(O58-INT(O58))*12</f>
        <v>11.400288512703703</v>
      </c>
      <c r="S58" s="41" t="str">
        <f t="shared" si="185"/>
        <v>E</v>
      </c>
      <c r="T58" s="24">
        <f>(R58-INT(R58))*12</f>
        <v>4.803462152444439</v>
      </c>
      <c r="U58" s="41" t="str">
        <f t="shared" si="186"/>
        <v>4</v>
      </c>
      <c r="V58" s="24">
        <f>(T58-INT(T58))*12</f>
        <v>9.6415458293332676</v>
      </c>
      <c r="W58" s="41" t="str">
        <f t="shared" si="187"/>
        <v>9</v>
      </c>
      <c r="X58" s="24">
        <f>(V58-INT(V58))*12</f>
        <v>7.6985499519992118</v>
      </c>
      <c r="Y58" s="41" t="str">
        <f t="shared" si="188"/>
        <v>7</v>
      </c>
      <c r="Z58" s="24">
        <f>(X58-INT(X58))*12</f>
        <v>8.3825994239905413</v>
      </c>
      <c r="AA58" s="41" t="str">
        <f t="shared" si="189"/>
        <v>8</v>
      </c>
      <c r="AB58" s="24">
        <f>(Z58-INT(Z58))*12</f>
        <v>4.5911930878864951</v>
      </c>
      <c r="AC58" s="41" t="str">
        <f t="shared" si="190"/>
        <v>4</v>
      </c>
      <c r="AD58" s="24">
        <f>(AB58-INT(AB58))*12</f>
        <v>7.0943170546379406</v>
      </c>
      <c r="AE58" s="41" t="str">
        <f t="shared" si="191"/>
        <v>7</v>
      </c>
      <c r="AF58" s="24">
        <f>(AD58-INT(AD58))*12</f>
        <v>1.1318046556552872</v>
      </c>
      <c r="AG58" s="41" t="str">
        <f t="shared" si="192"/>
        <v>1</v>
      </c>
      <c r="AH58" s="24">
        <f>(AF58-INT(AF58))*12</f>
        <v>1.5816558678634465</v>
      </c>
      <c r="AI58" s="41" t="str">
        <f t="shared" si="193"/>
        <v>2</v>
      </c>
      <c r="AJ58" s="24">
        <f>(AH58-INT(AH58))*12</f>
        <v>6.9798704143613577</v>
      </c>
      <c r="AK58" s="41" t="str">
        <f t="shared" si="194"/>
        <v/>
      </c>
      <c r="AL58" s="24">
        <f>(AJ58-INT(AJ58))*12</f>
        <v>11.758444972336292</v>
      </c>
      <c r="AM58" s="41" t="str">
        <f t="shared" si="195"/>
        <v/>
      </c>
      <c r="AN58" s="24">
        <f>(AL58-INT(AL58))*12</f>
        <v>9.1013396680355072</v>
      </c>
      <c r="AO58" s="41" t="str">
        <f t="shared" si="196"/>
        <v/>
      </c>
    </row>
    <row r="59" spans="1:41" ht="14.25" customHeight="1">
      <c r="A59" s="753"/>
      <c r="B59" s="755"/>
      <c r="C59" s="184" t="s">
        <v>618</v>
      </c>
      <c r="D59" s="365" t="s">
        <v>628</v>
      </c>
      <c r="E59" s="161">
        <f>E3*E3*E3</f>
        <v>2.0201922078936715E-2</v>
      </c>
      <c r="F59" s="176">
        <v>-3</v>
      </c>
      <c r="G59" s="177">
        <f t="shared" si="180"/>
        <v>20.201922078936715</v>
      </c>
      <c r="H59" s="178" t="s">
        <v>749</v>
      </c>
      <c r="I59" s="172">
        <v>1</v>
      </c>
      <c r="J59" s="365" t="s">
        <v>628</v>
      </c>
      <c r="K59" s="8">
        <v>9</v>
      </c>
      <c r="L59" s="21">
        <f>1/E59</f>
        <v>49.50024042725309</v>
      </c>
      <c r="M59" s="37" t="str">
        <f>Q59&amp;";"&amp;S59&amp;U59&amp;W59&amp;Y59&amp;AA59&amp;AC59&amp;AE59&amp;AG59&amp;AI59&amp;AK59&amp;AM59&amp;AO59</f>
        <v>4;16004E9XE</v>
      </c>
      <c r="N59" s="38">
        <v>1</v>
      </c>
      <c r="O59" s="61">
        <f t="shared" si="165"/>
        <v>4.1250200356044244</v>
      </c>
      <c r="P59" s="39" t="str">
        <f>INDEX(powers!$H$2:$H$75,33+N59)</f>
        <v>dirac</v>
      </c>
      <c r="Q59" s="40" t="str">
        <f t="shared" si="184"/>
        <v>4</v>
      </c>
      <c r="R59" s="24">
        <f>(O59-INT(O59))*12</f>
        <v>1.5002404272530931</v>
      </c>
      <c r="S59" s="41" t="str">
        <f t="shared" si="185"/>
        <v>1</v>
      </c>
      <c r="T59" s="24">
        <f>(R59-INT(R59))*12</f>
        <v>6.0028851270371177</v>
      </c>
      <c r="U59" s="41" t="str">
        <f t="shared" si="186"/>
        <v>6</v>
      </c>
      <c r="V59" s="24">
        <f>(T59-INT(T59))*12</f>
        <v>3.4621524445412888E-2</v>
      </c>
      <c r="W59" s="41" t="str">
        <f t="shared" si="187"/>
        <v>0</v>
      </c>
      <c r="X59" s="24">
        <f>(V59-INT(V59))*12</f>
        <v>0.41545829334495465</v>
      </c>
      <c r="Y59" s="41" t="str">
        <f t="shared" si="188"/>
        <v>0</v>
      </c>
      <c r="Z59" s="24">
        <f>(X59-INT(X59))*12</f>
        <v>4.9854995201394559</v>
      </c>
      <c r="AA59" s="41" t="str">
        <f t="shared" si="189"/>
        <v>4</v>
      </c>
      <c r="AB59" s="24">
        <f>(Z59-INT(Z59))*12</f>
        <v>11.82599424167347</v>
      </c>
      <c r="AC59" s="41" t="str">
        <f t="shared" si="190"/>
        <v>E</v>
      </c>
      <c r="AD59" s="24">
        <f>(AB59-INT(AB59))*12</f>
        <v>9.9119309000816429</v>
      </c>
      <c r="AE59" s="41" t="str">
        <f t="shared" si="191"/>
        <v>9</v>
      </c>
      <c r="AF59" s="24">
        <f>(AD59-INT(AD59))*12</f>
        <v>10.943170800979715</v>
      </c>
      <c r="AG59" s="41" t="str">
        <f t="shared" si="192"/>
        <v>X</v>
      </c>
      <c r="AH59" s="24">
        <f>(AF59-INT(AF59))*12</f>
        <v>11.318049611756578</v>
      </c>
      <c r="AI59" s="41" t="str">
        <f t="shared" si="193"/>
        <v>E</v>
      </c>
      <c r="AJ59" s="24">
        <f>(AH59-INT(AH59))*12</f>
        <v>3.8165953410789371</v>
      </c>
      <c r="AK59" s="41" t="str">
        <f t="shared" si="194"/>
        <v/>
      </c>
      <c r="AL59" s="24">
        <f>(AJ59-INT(AJ59))*12</f>
        <v>9.7991440929472446</v>
      </c>
      <c r="AM59" s="41" t="str">
        <f t="shared" si="195"/>
        <v/>
      </c>
      <c r="AN59" s="24">
        <f>(AL59-INT(AL59))*12</f>
        <v>9.5897291153669357</v>
      </c>
      <c r="AO59" s="41" t="str">
        <f t="shared" si="196"/>
        <v/>
      </c>
    </row>
    <row r="60" spans="1:41" ht="14.25" customHeight="1">
      <c r="A60" s="753"/>
      <c r="B60" s="755"/>
      <c r="C60" s="184" t="s">
        <v>374</v>
      </c>
      <c r="D60" s="365" t="str">
        <f t="shared" ref="D60:D64" si="198">D59</f>
        <v>m^3</v>
      </c>
      <c r="E60" s="161">
        <f>E59*12</f>
        <v>0.24242306494724059</v>
      </c>
      <c r="F60" s="176">
        <v>-3</v>
      </c>
      <c r="G60" s="177">
        <f t="shared" si="180"/>
        <v>242.42306494724059</v>
      </c>
      <c r="H60" s="178" t="s">
        <v>749</v>
      </c>
      <c r="I60" s="172">
        <f>I59*10</f>
        <v>10</v>
      </c>
      <c r="J60" s="365" t="str">
        <f t="shared" ref="J60:J64" si="199">J59</f>
        <v>m^3</v>
      </c>
      <c r="K60" s="8">
        <v>9</v>
      </c>
      <c r="L60" s="21">
        <f>L59*10</f>
        <v>495.0024042725309</v>
      </c>
      <c r="M60" s="37" t="str">
        <f>Q60&amp;";"&amp;S60&amp;U60&amp;W60&amp;Y60&amp;AA60&amp;AC60&amp;AE60&amp;AG60&amp;AI60&amp;AK60&amp;AM60&amp;AO60</f>
        <v>3;530041X31</v>
      </c>
      <c r="N60" s="38">
        <f>N59+1</f>
        <v>2</v>
      </c>
      <c r="O60" s="61">
        <f t="shared" si="165"/>
        <v>3.4375166963370201</v>
      </c>
      <c r="P60" s="39" t="str">
        <f>INDEX(powers!$H$2:$H$75,33+N60)</f>
        <v>hecty</v>
      </c>
      <c r="Q60" s="40" t="str">
        <f t="shared" si="184"/>
        <v>3</v>
      </c>
      <c r="R60" s="24">
        <f>(O60-INT(O60))*12</f>
        <v>5.2502003560442407</v>
      </c>
      <c r="S60" s="41" t="str">
        <f t="shared" si="185"/>
        <v>5</v>
      </c>
      <c r="T60" s="24">
        <f>(R60-INT(R60))*12</f>
        <v>3.0024042725308888</v>
      </c>
      <c r="U60" s="41" t="str">
        <f t="shared" si="186"/>
        <v>3</v>
      </c>
      <c r="V60" s="24">
        <f>(T60-INT(T60))*12</f>
        <v>2.8851270370665816E-2</v>
      </c>
      <c r="W60" s="41" t="str">
        <f t="shared" si="187"/>
        <v>0</v>
      </c>
      <c r="X60" s="24">
        <f>(V60-INT(V60))*12</f>
        <v>0.34621524444798979</v>
      </c>
      <c r="Y60" s="41" t="str">
        <f t="shared" si="188"/>
        <v>0</v>
      </c>
      <c r="Z60" s="24">
        <f>(X60-INT(X60))*12</f>
        <v>4.1545829333758775</v>
      </c>
      <c r="AA60" s="41" t="str">
        <f t="shared" si="189"/>
        <v>4</v>
      </c>
      <c r="AB60" s="24">
        <f>(Z60-INT(Z60))*12</f>
        <v>1.8549952005105297</v>
      </c>
      <c r="AC60" s="41" t="str">
        <f t="shared" si="190"/>
        <v>1</v>
      </c>
      <c r="AD60" s="24">
        <f>(AB60-INT(AB60))*12</f>
        <v>10.259942406126356</v>
      </c>
      <c r="AE60" s="41" t="str">
        <f t="shared" si="191"/>
        <v>X</v>
      </c>
      <c r="AF60" s="24">
        <f>(AD60-INT(AD60))*12</f>
        <v>3.1193088735162746</v>
      </c>
      <c r="AG60" s="41" t="str">
        <f t="shared" si="192"/>
        <v>3</v>
      </c>
      <c r="AH60" s="24">
        <f>(AF60-INT(AF60))*12</f>
        <v>1.4317064821952954</v>
      </c>
      <c r="AI60" s="41" t="str">
        <f t="shared" si="193"/>
        <v>1</v>
      </c>
      <c r="AJ60" s="24">
        <f>(AH60-INT(AH60))*12</f>
        <v>5.1804777863435447</v>
      </c>
      <c r="AK60" s="41" t="str">
        <f t="shared" si="194"/>
        <v/>
      </c>
      <c r="AL60" s="24">
        <f>(AJ60-INT(AJ60))*12</f>
        <v>2.1657334361225367</v>
      </c>
      <c r="AM60" s="41" t="str">
        <f t="shared" si="195"/>
        <v/>
      </c>
      <c r="AN60" s="24">
        <f>(AL60-INT(AL60))*12</f>
        <v>1.9888012334704399</v>
      </c>
      <c r="AO60" s="41" t="str">
        <f t="shared" si="196"/>
        <v/>
      </c>
    </row>
    <row r="61" spans="1:41" ht="14.25" customHeight="1">
      <c r="A61" s="753"/>
      <c r="B61" s="755"/>
      <c r="C61" s="184" t="s">
        <v>375</v>
      </c>
      <c r="D61" s="365" t="str">
        <f t="shared" si="198"/>
        <v>m^3</v>
      </c>
      <c r="E61" s="161">
        <f t="shared" ref="E61:E64" si="200">E60*12</f>
        <v>2.9090767793668872</v>
      </c>
      <c r="F61" s="176">
        <v>0</v>
      </c>
      <c r="G61" s="177">
        <f t="shared" si="180"/>
        <v>2.9090767793668872</v>
      </c>
      <c r="H61" s="178" t="s">
        <v>628</v>
      </c>
      <c r="I61" s="172">
        <f>I60*10</f>
        <v>100</v>
      </c>
      <c r="J61" s="365" t="str">
        <f t="shared" si="199"/>
        <v>m^3</v>
      </c>
      <c r="K61" s="8">
        <v>9</v>
      </c>
      <c r="L61" s="21">
        <f>L60*10</f>
        <v>4950.0240427253093</v>
      </c>
      <c r="M61" s="37" t="str">
        <f>Q61&amp;";"&amp;S61&amp;U61&amp;W61&amp;Y61&amp;AA61&amp;AC61&amp;AE61&amp;AG61&amp;AI61&amp;AK61&amp;AM61&amp;AO61</f>
        <v>2;X46035667</v>
      </c>
      <c r="N61" s="38">
        <f>N60+1</f>
        <v>3</v>
      </c>
      <c r="O61" s="61">
        <f t="shared" si="165"/>
        <v>2.8645972469475169</v>
      </c>
      <c r="P61" s="39" t="str">
        <f>INDEX(powers!$H$2:$H$75,33+N61)</f>
        <v>kily</v>
      </c>
      <c r="Q61" s="40" t="str">
        <f t="shared" si="184"/>
        <v>2</v>
      </c>
      <c r="R61" s="24">
        <f>(O61-INT(O61))*12</f>
        <v>10.375166963370203</v>
      </c>
      <c r="S61" s="41" t="str">
        <f t="shared" si="185"/>
        <v>X</v>
      </c>
      <c r="T61" s="24">
        <f>(R61-INT(R61))*12</f>
        <v>4.5020035604424393</v>
      </c>
      <c r="U61" s="41" t="str">
        <f t="shared" si="186"/>
        <v>4</v>
      </c>
      <c r="V61" s="24">
        <f>(T61-INT(T61))*12</f>
        <v>6.0240427253092719</v>
      </c>
      <c r="W61" s="41" t="str">
        <f t="shared" si="187"/>
        <v>6</v>
      </c>
      <c r="X61" s="24">
        <f>(V61-INT(V61))*12</f>
        <v>0.28851270371126247</v>
      </c>
      <c r="Y61" s="41" t="str">
        <f t="shared" si="188"/>
        <v>0</v>
      </c>
      <c r="Z61" s="24">
        <f>(X61-INT(X61))*12</f>
        <v>3.4621524445351497</v>
      </c>
      <c r="AA61" s="41" t="str">
        <f t="shared" si="189"/>
        <v>3</v>
      </c>
      <c r="AB61" s="24">
        <f>(Z61-INT(Z61))*12</f>
        <v>5.5458293344217964</v>
      </c>
      <c r="AC61" s="41" t="str">
        <f t="shared" si="190"/>
        <v>5</v>
      </c>
      <c r="AD61" s="24">
        <f>(AB61-INT(AB61))*12</f>
        <v>6.5499520130615565</v>
      </c>
      <c r="AE61" s="41" t="str">
        <f t="shared" si="191"/>
        <v>6</v>
      </c>
      <c r="AF61" s="24">
        <f>(AD61-INT(AD61))*12</f>
        <v>6.599424156738678</v>
      </c>
      <c r="AG61" s="41" t="str">
        <f t="shared" si="192"/>
        <v>6</v>
      </c>
      <c r="AH61" s="24">
        <f>(AF61-INT(AF61))*12</f>
        <v>7.1930898808641359</v>
      </c>
      <c r="AI61" s="41" t="str">
        <f t="shared" si="193"/>
        <v>7</v>
      </c>
      <c r="AJ61" s="24">
        <f>(AH61-INT(AH61))*12</f>
        <v>2.3170785703696311</v>
      </c>
      <c r="AK61" s="41" t="str">
        <f t="shared" si="194"/>
        <v/>
      </c>
      <c r="AL61" s="24">
        <f>(AJ61-INT(AJ61))*12</f>
        <v>3.8049428444355726</v>
      </c>
      <c r="AM61" s="41" t="str">
        <f t="shared" si="195"/>
        <v/>
      </c>
      <c r="AN61" s="24">
        <f>(AL61-INT(AL61))*12</f>
        <v>9.6593141332268715</v>
      </c>
      <c r="AO61" s="41" t="str">
        <f t="shared" si="196"/>
        <v/>
      </c>
    </row>
    <row r="62" spans="1:41" ht="14.25" customHeight="1">
      <c r="A62" s="753"/>
      <c r="B62" s="755"/>
      <c r="C62" s="201" t="s">
        <v>376</v>
      </c>
      <c r="D62" s="365" t="str">
        <f t="shared" si="198"/>
        <v>m^3</v>
      </c>
      <c r="E62" s="161">
        <f t="shared" si="200"/>
        <v>34.908921352402643</v>
      </c>
      <c r="F62" s="176">
        <v>0</v>
      </c>
      <c r="G62" s="177">
        <f t="shared" si="180"/>
        <v>34.908921352402643</v>
      </c>
      <c r="H62" s="178" t="s">
        <v>628</v>
      </c>
      <c r="I62" s="172">
        <f t="shared" ref="I62:I64" si="201">I61*10</f>
        <v>1000</v>
      </c>
      <c r="J62" s="365" t="str">
        <f t="shared" si="199"/>
        <v>m^3</v>
      </c>
      <c r="K62" s="8">
        <v>9</v>
      </c>
      <c r="L62" s="21">
        <f t="shared" ref="L62:L64" si="202">L61*10</f>
        <v>49500.240427253091</v>
      </c>
      <c r="M62" s="37" t="str">
        <f t="shared" ref="M62:M66" si="203">Q62&amp;";"&amp;S62&amp;U62&amp;W62&amp;Y62&amp;AA62&amp;AC62&amp;AE62&amp;AG62&amp;AI62&amp;AK62&amp;AM62&amp;AO62</f>
        <v>2;47902X756</v>
      </c>
      <c r="N62" s="38">
        <f t="shared" ref="N62:N64" si="204">N61+1</f>
        <v>4</v>
      </c>
      <c r="O62" s="61">
        <f t="shared" ref="O62:O66" si="205">L62/POWER(12,N62)</f>
        <v>2.3871643724562639</v>
      </c>
      <c r="P62" s="39" t="str">
        <f>INDEX(powers!$H$2:$H$75,33+N62)</f>
        <v>super</v>
      </c>
      <c r="Q62" s="40" t="str">
        <f t="shared" si="184"/>
        <v>2</v>
      </c>
      <c r="R62" s="24">
        <f t="shared" ref="R62:R66" si="206">(O62-INT(O62))*12</f>
        <v>4.6459724694751667</v>
      </c>
      <c r="S62" s="41" t="str">
        <f t="shared" si="185"/>
        <v>4</v>
      </c>
      <c r="T62" s="24">
        <f t="shared" ref="T62:T66" si="207">(R62-INT(R62))*12</f>
        <v>7.7516696337020008</v>
      </c>
      <c r="U62" s="41" t="str">
        <f t="shared" si="186"/>
        <v>7</v>
      </c>
      <c r="V62" s="24">
        <f t="shared" ref="V62:V66" si="208">(T62-INT(T62))*12</f>
        <v>9.0200356044240095</v>
      </c>
      <c r="W62" s="41" t="str">
        <f t="shared" si="187"/>
        <v>9</v>
      </c>
      <c r="X62" s="24">
        <f t="shared" ref="X62:X66" si="209">(V62-INT(V62))*12</f>
        <v>0.24042725308811441</v>
      </c>
      <c r="Y62" s="41" t="str">
        <f t="shared" si="188"/>
        <v>0</v>
      </c>
      <c r="Z62" s="24">
        <f t="shared" ref="Z62:Z66" si="210">(X62-INT(X62))*12</f>
        <v>2.8851270370573729</v>
      </c>
      <c r="AA62" s="41" t="str">
        <f t="shared" si="189"/>
        <v>2</v>
      </c>
      <c r="AB62" s="24">
        <f t="shared" ref="AB62:AB66" si="211">(Z62-INT(Z62))*12</f>
        <v>10.621524444688475</v>
      </c>
      <c r="AC62" s="41" t="str">
        <f t="shared" si="190"/>
        <v>X</v>
      </c>
      <c r="AD62" s="24">
        <f t="shared" ref="AD62:AD66" si="212">(AB62-INT(AB62))*12</f>
        <v>7.4582933362617041</v>
      </c>
      <c r="AE62" s="41" t="str">
        <f t="shared" si="191"/>
        <v>7</v>
      </c>
      <c r="AF62" s="24">
        <f t="shared" ref="AF62:AF66" si="213">(AD62-INT(AD62))*12</f>
        <v>5.4995200351404492</v>
      </c>
      <c r="AG62" s="41" t="str">
        <f t="shared" si="192"/>
        <v>5</v>
      </c>
      <c r="AH62" s="24">
        <f t="shared" ref="AH62:AH66" si="214">(AF62-INT(AF62))*12</f>
        <v>5.9942404216853902</v>
      </c>
      <c r="AI62" s="41" t="str">
        <f t="shared" si="193"/>
        <v>6</v>
      </c>
      <c r="AJ62" s="24">
        <f t="shared" ref="AJ62:AJ66" si="215">(AH62-INT(AH62))*12</f>
        <v>11.930885060224682</v>
      </c>
      <c r="AK62" s="41" t="str">
        <f t="shared" si="194"/>
        <v/>
      </c>
      <c r="AL62" s="24">
        <f t="shared" ref="AL62:AL66" si="216">(AJ62-INT(AJ62))*12</f>
        <v>11.170620722696185</v>
      </c>
      <c r="AM62" s="41" t="str">
        <f t="shared" si="195"/>
        <v/>
      </c>
      <c r="AN62" s="24">
        <f t="shared" ref="AN62:AN66" si="217">(AL62-INT(AL62))*12</f>
        <v>2.0474486723542213</v>
      </c>
      <c r="AO62" s="41" t="str">
        <f t="shared" si="196"/>
        <v/>
      </c>
    </row>
    <row r="63" spans="1:41" ht="14.25" customHeight="1">
      <c r="A63" s="753"/>
      <c r="B63" s="755"/>
      <c r="C63" s="199" t="s">
        <v>377</v>
      </c>
      <c r="D63" s="365" t="str">
        <f t="shared" si="198"/>
        <v>m^3</v>
      </c>
      <c r="E63" s="161">
        <f t="shared" si="200"/>
        <v>418.90705622883172</v>
      </c>
      <c r="F63" s="176">
        <v>0</v>
      </c>
      <c r="G63" s="177">
        <f t="shared" si="180"/>
        <v>418.90705622883172</v>
      </c>
      <c r="H63" s="178" t="s">
        <v>628</v>
      </c>
      <c r="I63" s="172">
        <f t="shared" si="201"/>
        <v>10000</v>
      </c>
      <c r="J63" s="365" t="str">
        <f t="shared" si="199"/>
        <v>m^3</v>
      </c>
      <c r="K63" s="8">
        <v>9</v>
      </c>
      <c r="L63" s="21">
        <f t="shared" si="202"/>
        <v>495002.40427253093</v>
      </c>
      <c r="M63" s="37" t="str">
        <f t="shared" si="203"/>
        <v>1;EX5624X27</v>
      </c>
      <c r="N63" s="38">
        <f t="shared" si="204"/>
        <v>5</v>
      </c>
      <c r="O63" s="61">
        <f t="shared" si="205"/>
        <v>1.9893036437135534</v>
      </c>
      <c r="P63" s="39" t="str">
        <f>INDEX(powers!$H$2:$H$75,33+N63)</f>
        <v>cosmic milly</v>
      </c>
      <c r="Q63" s="40" t="str">
        <f t="shared" si="184"/>
        <v>1</v>
      </c>
      <c r="R63" s="24">
        <f t="shared" si="206"/>
        <v>11.871643724562642</v>
      </c>
      <c r="S63" s="41" t="str">
        <f t="shared" si="185"/>
        <v>E</v>
      </c>
      <c r="T63" s="24">
        <f t="shared" si="207"/>
        <v>10.459724694751699</v>
      </c>
      <c r="U63" s="41" t="str">
        <f t="shared" si="186"/>
        <v>X</v>
      </c>
      <c r="V63" s="24">
        <f t="shared" si="208"/>
        <v>5.5166963370203916</v>
      </c>
      <c r="W63" s="41" t="str">
        <f t="shared" si="187"/>
        <v>5</v>
      </c>
      <c r="X63" s="24">
        <f t="shared" si="209"/>
        <v>6.2003560442446997</v>
      </c>
      <c r="Y63" s="41" t="str">
        <f t="shared" si="188"/>
        <v>6</v>
      </c>
      <c r="Z63" s="24">
        <f t="shared" si="210"/>
        <v>2.4042725309363959</v>
      </c>
      <c r="AA63" s="41" t="str">
        <f t="shared" si="189"/>
        <v>2</v>
      </c>
      <c r="AB63" s="24">
        <f t="shared" si="211"/>
        <v>4.8512703712367511</v>
      </c>
      <c r="AC63" s="41" t="str">
        <f t="shared" si="190"/>
        <v>4</v>
      </c>
      <c r="AD63" s="24">
        <f t="shared" si="212"/>
        <v>10.215244454841013</v>
      </c>
      <c r="AE63" s="41" t="str">
        <f t="shared" si="191"/>
        <v>X</v>
      </c>
      <c r="AF63" s="24">
        <f t="shared" si="213"/>
        <v>2.5829334580921568</v>
      </c>
      <c r="AG63" s="41" t="str">
        <f t="shared" si="192"/>
        <v>2</v>
      </c>
      <c r="AH63" s="24">
        <f t="shared" si="214"/>
        <v>6.9952014971058816</v>
      </c>
      <c r="AI63" s="41" t="str">
        <f t="shared" si="193"/>
        <v>7</v>
      </c>
      <c r="AJ63" s="24">
        <f t="shared" si="215"/>
        <v>11.942417965270579</v>
      </c>
      <c r="AK63" s="41" t="str">
        <f t="shared" si="194"/>
        <v/>
      </c>
      <c r="AL63" s="24">
        <f t="shared" si="216"/>
        <v>11.309015583246946</v>
      </c>
      <c r="AM63" s="41" t="str">
        <f t="shared" si="195"/>
        <v/>
      </c>
      <c r="AN63" s="24">
        <f t="shared" si="217"/>
        <v>3.708186998963356</v>
      </c>
      <c r="AO63" s="41" t="str">
        <f t="shared" si="196"/>
        <v/>
      </c>
    </row>
    <row r="64" spans="1:41" ht="14.25" customHeight="1">
      <c r="A64" s="753"/>
      <c r="B64" s="755"/>
      <c r="C64" s="199" t="s">
        <v>378</v>
      </c>
      <c r="D64" s="365" t="str">
        <f t="shared" si="198"/>
        <v>m^3</v>
      </c>
      <c r="E64" s="161">
        <f t="shared" si="200"/>
        <v>5026.8846747459811</v>
      </c>
      <c r="F64" s="176">
        <v>3</v>
      </c>
      <c r="G64" s="177">
        <f t="shared" si="180"/>
        <v>5.0268846747459808</v>
      </c>
      <c r="H64" s="178" t="s">
        <v>748</v>
      </c>
      <c r="I64" s="172">
        <f t="shared" si="201"/>
        <v>100000</v>
      </c>
      <c r="J64" s="365" t="str">
        <f t="shared" si="199"/>
        <v>m^3</v>
      </c>
      <c r="K64" s="8">
        <v>9</v>
      </c>
      <c r="L64" s="21">
        <f t="shared" si="202"/>
        <v>4950024.0427253097</v>
      </c>
      <c r="M64" s="37" t="str">
        <f t="shared" si="203"/>
        <v>1;7X8720062</v>
      </c>
      <c r="N64" s="38">
        <f t="shared" si="204"/>
        <v>6</v>
      </c>
      <c r="O64" s="61">
        <f t="shared" si="205"/>
        <v>1.6577530364279613</v>
      </c>
      <c r="P64" s="39" t="str">
        <f>INDEX(powers!$H$2:$H$75,33+N64)</f>
        <v>cosmic centy</v>
      </c>
      <c r="Q64" s="40" t="str">
        <f t="shared" si="184"/>
        <v>1</v>
      </c>
      <c r="R64" s="24">
        <f t="shared" si="206"/>
        <v>7.8930364371355362</v>
      </c>
      <c r="S64" s="41" t="str">
        <f t="shared" si="185"/>
        <v>7</v>
      </c>
      <c r="T64" s="24">
        <f t="shared" si="207"/>
        <v>10.716437245626434</v>
      </c>
      <c r="U64" s="41" t="str">
        <f t="shared" si="186"/>
        <v>X</v>
      </c>
      <c r="V64" s="24">
        <f t="shared" si="208"/>
        <v>8.5972469475172062</v>
      </c>
      <c r="W64" s="41" t="str">
        <f t="shared" si="187"/>
        <v>8</v>
      </c>
      <c r="X64" s="24">
        <f t="shared" si="209"/>
        <v>7.1669633702064743</v>
      </c>
      <c r="Y64" s="41" t="str">
        <f t="shared" si="188"/>
        <v>7</v>
      </c>
      <c r="Z64" s="24">
        <f t="shared" si="210"/>
        <v>2.003560442477692</v>
      </c>
      <c r="AA64" s="41" t="str">
        <f t="shared" si="189"/>
        <v>2</v>
      </c>
      <c r="AB64" s="24">
        <f t="shared" si="211"/>
        <v>4.2725309732304595E-2</v>
      </c>
      <c r="AC64" s="41" t="str">
        <f t="shared" si="190"/>
        <v>0</v>
      </c>
      <c r="AD64" s="24">
        <f t="shared" si="212"/>
        <v>0.51270371678765514</v>
      </c>
      <c r="AE64" s="41" t="str">
        <f t="shared" si="191"/>
        <v>0</v>
      </c>
      <c r="AF64" s="24">
        <f t="shared" si="213"/>
        <v>6.1524446014518617</v>
      </c>
      <c r="AG64" s="41" t="str">
        <f t="shared" si="192"/>
        <v>6</v>
      </c>
      <c r="AH64" s="24">
        <f t="shared" si="214"/>
        <v>1.8293352174223401</v>
      </c>
      <c r="AI64" s="41" t="str">
        <f t="shared" si="193"/>
        <v>2</v>
      </c>
      <c r="AJ64" s="24">
        <f t="shared" si="215"/>
        <v>9.9520226090680808</v>
      </c>
      <c r="AK64" s="41" t="str">
        <f t="shared" si="194"/>
        <v/>
      </c>
      <c r="AL64" s="24">
        <f t="shared" si="216"/>
        <v>11.424271308816969</v>
      </c>
      <c r="AM64" s="41" t="str">
        <f t="shared" si="195"/>
        <v/>
      </c>
      <c r="AN64" s="24">
        <f t="shared" si="217"/>
        <v>5.0912557058036327</v>
      </c>
      <c r="AO64" s="41" t="str">
        <f t="shared" si="196"/>
        <v/>
      </c>
    </row>
    <row r="65" spans="1:41" ht="14.25" customHeight="1">
      <c r="A65" s="753"/>
      <c r="B65" s="755"/>
      <c r="C65" s="225" t="s">
        <v>379</v>
      </c>
      <c r="D65" s="5" t="str">
        <f>D63</f>
        <v>m^3</v>
      </c>
      <c r="E65" s="272">
        <f>E64*12</f>
        <v>60322.616096951773</v>
      </c>
      <c r="F65" s="273">
        <v>3</v>
      </c>
      <c r="G65" s="274">
        <f t="shared" si="180"/>
        <v>60.322616096951776</v>
      </c>
      <c r="H65" s="275" t="s">
        <v>748</v>
      </c>
      <c r="I65" s="173">
        <f>I64*10</f>
        <v>1000000</v>
      </c>
      <c r="J65" s="5" t="str">
        <f>J63</f>
        <v>m^3</v>
      </c>
      <c r="K65" s="30">
        <v>9</v>
      </c>
      <c r="L65" s="29">
        <f>L64*10</f>
        <v>49500240.427253097</v>
      </c>
      <c r="M65" s="112" t="str">
        <f t="shared" si="203"/>
        <v>1;46E1E8052</v>
      </c>
      <c r="N65" s="43">
        <v>7</v>
      </c>
      <c r="O65" s="62">
        <f t="shared" si="205"/>
        <v>1.3814608636899677</v>
      </c>
      <c r="P65" s="44" t="str">
        <f>INDEX(powers!$H$2:$H$75,33+N65)</f>
        <v>cosmic dour</v>
      </c>
      <c r="Q65" s="40" t="str">
        <f t="shared" si="184"/>
        <v>1</v>
      </c>
      <c r="R65" s="24">
        <f t="shared" si="206"/>
        <v>4.5775303642796121</v>
      </c>
      <c r="S65" s="41" t="str">
        <f t="shared" si="185"/>
        <v>4</v>
      </c>
      <c r="T65" s="24">
        <f t="shared" si="207"/>
        <v>6.9303643713553456</v>
      </c>
      <c r="U65" s="41" t="str">
        <f t="shared" si="186"/>
        <v>6</v>
      </c>
      <c r="V65" s="24">
        <f t="shared" si="208"/>
        <v>11.164372456264147</v>
      </c>
      <c r="W65" s="41" t="str">
        <f t="shared" si="187"/>
        <v>E</v>
      </c>
      <c r="X65" s="24">
        <f t="shared" si="209"/>
        <v>1.9724694751697598</v>
      </c>
      <c r="Y65" s="41" t="str">
        <f t="shared" si="188"/>
        <v>1</v>
      </c>
      <c r="Z65" s="24">
        <f t="shared" si="210"/>
        <v>11.669633702037117</v>
      </c>
      <c r="AA65" s="41" t="str">
        <f t="shared" si="189"/>
        <v>E</v>
      </c>
      <c r="AB65" s="24">
        <f t="shared" si="211"/>
        <v>8.0356044244454097</v>
      </c>
      <c r="AC65" s="41" t="str">
        <f t="shared" si="190"/>
        <v>8</v>
      </c>
      <c r="AD65" s="24">
        <f t="shared" si="212"/>
        <v>0.42725309334491612</v>
      </c>
      <c r="AE65" s="41" t="str">
        <f t="shared" si="191"/>
        <v>0</v>
      </c>
      <c r="AF65" s="24">
        <f t="shared" si="213"/>
        <v>5.1270371201389935</v>
      </c>
      <c r="AG65" s="41" t="str">
        <f t="shared" si="192"/>
        <v>5</v>
      </c>
      <c r="AH65" s="24">
        <f t="shared" si="214"/>
        <v>1.5244454416679218</v>
      </c>
      <c r="AI65" s="41" t="str">
        <f t="shared" si="193"/>
        <v>2</v>
      </c>
      <c r="AJ65" s="24">
        <f t="shared" si="215"/>
        <v>6.2933453000150621</v>
      </c>
      <c r="AK65" s="41" t="str">
        <f t="shared" si="194"/>
        <v/>
      </c>
      <c r="AL65" s="24">
        <f t="shared" si="216"/>
        <v>3.5201436001807451</v>
      </c>
      <c r="AM65" s="41" t="str">
        <f t="shared" si="195"/>
        <v/>
      </c>
      <c r="AN65" s="24">
        <f t="shared" si="217"/>
        <v>6.2417232021689415</v>
      </c>
      <c r="AO65" s="41" t="str">
        <f t="shared" si="196"/>
        <v/>
      </c>
    </row>
    <row r="66" spans="1:41" ht="14.25" customHeight="1" thickBot="1">
      <c r="A66" s="753"/>
      <c r="B66" s="756"/>
      <c r="C66" s="200" t="s">
        <v>380</v>
      </c>
      <c r="D66" s="366" t="str">
        <f>D64</f>
        <v>m^3</v>
      </c>
      <c r="E66" s="186">
        <f>E65*12</f>
        <v>723871.39316342131</v>
      </c>
      <c r="F66" s="187">
        <v>3</v>
      </c>
      <c r="G66" s="188">
        <f t="shared" si="180"/>
        <v>723.87139316342132</v>
      </c>
      <c r="H66" s="189" t="s">
        <v>748</v>
      </c>
      <c r="I66" s="173">
        <f>I65*10</f>
        <v>10000000</v>
      </c>
      <c r="J66" s="366" t="str">
        <f>J64</f>
        <v>m^3</v>
      </c>
      <c r="K66" s="30">
        <v>9</v>
      </c>
      <c r="L66" s="29">
        <f>L65*10</f>
        <v>495002404.27253097</v>
      </c>
      <c r="M66" s="112" t="str">
        <f t="shared" si="203"/>
        <v>1;199378843</v>
      </c>
      <c r="N66" s="43">
        <v>8</v>
      </c>
      <c r="O66" s="62">
        <f t="shared" si="205"/>
        <v>1.1512173864083064</v>
      </c>
      <c r="P66" s="44" t="str">
        <f>INDEX(powers!$H$2:$H$75,33+N66)</f>
        <v>cosmic</v>
      </c>
      <c r="Q66" s="40" t="str">
        <f t="shared" si="184"/>
        <v>1</v>
      </c>
      <c r="R66" s="24">
        <f t="shared" si="206"/>
        <v>1.8146086368996768</v>
      </c>
      <c r="S66" s="41" t="str">
        <f t="shared" si="185"/>
        <v>1</v>
      </c>
      <c r="T66" s="24">
        <f t="shared" si="207"/>
        <v>9.7753036427961213</v>
      </c>
      <c r="U66" s="41" t="str">
        <f t="shared" si="186"/>
        <v>9</v>
      </c>
      <c r="V66" s="24">
        <f t="shared" si="208"/>
        <v>9.3036437135534555</v>
      </c>
      <c r="W66" s="41" t="str">
        <f t="shared" si="187"/>
        <v>9</v>
      </c>
      <c r="X66" s="24">
        <f t="shared" si="209"/>
        <v>3.6437245626414665</v>
      </c>
      <c r="Y66" s="41" t="str">
        <f t="shared" si="188"/>
        <v>3</v>
      </c>
      <c r="Z66" s="24">
        <f t="shared" si="210"/>
        <v>7.7246947516975979</v>
      </c>
      <c r="AA66" s="41" t="str">
        <f t="shared" si="189"/>
        <v>7</v>
      </c>
      <c r="AB66" s="24">
        <f t="shared" si="211"/>
        <v>8.6963370203711747</v>
      </c>
      <c r="AC66" s="41" t="str">
        <f t="shared" si="190"/>
        <v>8</v>
      </c>
      <c r="AD66" s="24">
        <f t="shared" si="212"/>
        <v>8.3560442444540968</v>
      </c>
      <c r="AE66" s="41" t="str">
        <f t="shared" si="191"/>
        <v>8</v>
      </c>
      <c r="AF66" s="24">
        <f t="shared" si="213"/>
        <v>4.2725309334491612</v>
      </c>
      <c r="AG66" s="41" t="str">
        <f t="shared" si="192"/>
        <v>4</v>
      </c>
      <c r="AH66" s="24">
        <f t="shared" si="214"/>
        <v>3.2703712013899349</v>
      </c>
      <c r="AI66" s="41" t="str">
        <f t="shared" si="193"/>
        <v>3</v>
      </c>
      <c r="AJ66" s="24">
        <f t="shared" si="215"/>
        <v>3.2444544166792184</v>
      </c>
      <c r="AK66" s="41" t="str">
        <f t="shared" si="194"/>
        <v/>
      </c>
      <c r="AL66" s="24">
        <f t="shared" si="216"/>
        <v>2.9334530001506209</v>
      </c>
      <c r="AM66" s="41" t="str">
        <f t="shared" si="195"/>
        <v/>
      </c>
      <c r="AN66" s="24">
        <f t="shared" si="217"/>
        <v>11.201436001807451</v>
      </c>
      <c r="AO66" s="41" t="str">
        <f t="shared" si="196"/>
        <v/>
      </c>
    </row>
    <row r="67" spans="1:41" ht="14.25" customHeight="1">
      <c r="A67" s="753"/>
      <c r="B67" s="757" t="s">
        <v>603</v>
      </c>
      <c r="C67" s="175" t="s">
        <v>570</v>
      </c>
      <c r="D67" s="218" t="s">
        <v>576</v>
      </c>
      <c r="E67" s="158">
        <f t="shared" ref="E67:E71" si="218">E68/12</f>
        <v>1.3081956069206795E-7</v>
      </c>
      <c r="F67" s="159">
        <v>-9</v>
      </c>
      <c r="G67" s="160">
        <f t="shared" si="29"/>
        <v>130.81956069206794</v>
      </c>
      <c r="H67" s="191" t="s">
        <v>579</v>
      </c>
      <c r="I67" s="190">
        <f t="shared" ref="I67:I71" si="219">I68/10</f>
        <v>1.0000000000000002E-6</v>
      </c>
      <c r="J67" s="154" t="s">
        <v>576</v>
      </c>
      <c r="K67" s="152">
        <v>9</v>
      </c>
      <c r="L67" s="151">
        <f t="shared" ref="L67:L71" si="220">L68/10</f>
        <v>2.5599992455921012E-6</v>
      </c>
      <c r="M67" s="155" t="str">
        <f t="shared" si="68"/>
        <v>7;78904X508</v>
      </c>
      <c r="N67" s="156">
        <f t="shared" ref="N67:N71" si="221">N68-1</f>
        <v>-6</v>
      </c>
      <c r="O67" s="164">
        <f t="shared" si="70"/>
        <v>7.644116787350085</v>
      </c>
      <c r="P67" s="157" t="str">
        <f>INDEX(powers!$H$2:$H$75,33+N67)</f>
        <v>atomic hecty</v>
      </c>
      <c r="Q67" s="40" t="str">
        <f t="shared" si="35"/>
        <v>7</v>
      </c>
      <c r="R67" s="24">
        <f t="shared" si="71"/>
        <v>7.7294014482010205</v>
      </c>
      <c r="S67" s="41" t="str">
        <f t="shared" si="37"/>
        <v>7</v>
      </c>
      <c r="T67" s="24">
        <f t="shared" si="72"/>
        <v>8.7528173784122458</v>
      </c>
      <c r="U67" s="41" t="str">
        <f t="shared" si="39"/>
        <v>8</v>
      </c>
      <c r="V67" s="24">
        <f t="shared" si="73"/>
        <v>9.03380854094695</v>
      </c>
      <c r="W67" s="41" t="str">
        <f t="shared" si="41"/>
        <v>9</v>
      </c>
      <c r="X67" s="24">
        <f t="shared" si="74"/>
        <v>0.40570249136339953</v>
      </c>
      <c r="Y67" s="41" t="str">
        <f t="shared" si="43"/>
        <v>0</v>
      </c>
      <c r="Z67" s="24">
        <f t="shared" si="75"/>
        <v>4.8684298963607944</v>
      </c>
      <c r="AA67" s="41" t="str">
        <f t="shared" si="45"/>
        <v>4</v>
      </c>
      <c r="AB67" s="24">
        <f t="shared" si="76"/>
        <v>10.421158756329532</v>
      </c>
      <c r="AC67" s="41" t="str">
        <f t="shared" si="47"/>
        <v>X</v>
      </c>
      <c r="AD67" s="24">
        <f t="shared" si="77"/>
        <v>5.0539050759543898</v>
      </c>
      <c r="AE67" s="41" t="str">
        <f t="shared" si="49"/>
        <v>5</v>
      </c>
      <c r="AF67" s="24">
        <f t="shared" si="78"/>
        <v>0.6468609114526771</v>
      </c>
      <c r="AG67" s="41" t="str">
        <f t="shared" si="51"/>
        <v>0</v>
      </c>
      <c r="AH67" s="24">
        <f t="shared" si="79"/>
        <v>7.7623309374321252</v>
      </c>
      <c r="AI67" s="41" t="str">
        <f t="shared" si="53"/>
        <v>8</v>
      </c>
      <c r="AJ67" s="24">
        <f t="shared" si="80"/>
        <v>9.1479712491855025</v>
      </c>
      <c r="AK67" s="41" t="str">
        <f t="shared" si="55"/>
        <v/>
      </c>
      <c r="AL67" s="24">
        <f t="shared" si="81"/>
        <v>1.7756549902260303</v>
      </c>
      <c r="AM67" s="41" t="str">
        <f t="shared" si="57"/>
        <v/>
      </c>
      <c r="AN67" s="24">
        <f t="shared" si="82"/>
        <v>9.3078598827123642</v>
      </c>
      <c r="AO67" s="41" t="str">
        <f t="shared" si="59"/>
        <v/>
      </c>
    </row>
    <row r="68" spans="1:41" ht="14.25" customHeight="1">
      <c r="A68" s="753"/>
      <c r="B68" s="755"/>
      <c r="C68" s="179" t="s">
        <v>571</v>
      </c>
      <c r="D68" s="3" t="str">
        <f>D67</f>
        <v>s</v>
      </c>
      <c r="E68" s="161">
        <f t="shared" si="218"/>
        <v>1.5698347283048154E-6</v>
      </c>
      <c r="F68" s="162">
        <v>-6</v>
      </c>
      <c r="G68" s="163">
        <f t="shared" si="29"/>
        <v>1.5698347283048153</v>
      </c>
      <c r="H68" s="192" t="s">
        <v>580</v>
      </c>
      <c r="I68" s="167">
        <f t="shared" si="219"/>
        <v>1.0000000000000001E-5</v>
      </c>
      <c r="J68" s="2" t="s">
        <v>576</v>
      </c>
      <c r="K68" s="8">
        <v>9</v>
      </c>
      <c r="L68" s="21">
        <f t="shared" si="220"/>
        <v>2.5599992455921014E-5</v>
      </c>
      <c r="M68" s="37" t="str">
        <f t="shared" si="68"/>
        <v>6;453640826</v>
      </c>
      <c r="N68" s="38">
        <f t="shared" si="221"/>
        <v>-5</v>
      </c>
      <c r="O68" s="61">
        <f t="shared" si="70"/>
        <v>6.3700973227917368</v>
      </c>
      <c r="P68" s="39" t="str">
        <f>INDEX(powers!$H$2:$H$75,33+N68)</f>
        <v>atomic kily</v>
      </c>
      <c r="Q68" s="40" t="str">
        <f t="shared" si="35"/>
        <v>6</v>
      </c>
      <c r="R68" s="24">
        <f t="shared" si="71"/>
        <v>4.4411678735008415</v>
      </c>
      <c r="S68" s="41" t="str">
        <f t="shared" si="37"/>
        <v>4</v>
      </c>
      <c r="T68" s="24">
        <f t="shared" si="72"/>
        <v>5.2940144820100983</v>
      </c>
      <c r="U68" s="41" t="str">
        <f t="shared" si="39"/>
        <v>5</v>
      </c>
      <c r="V68" s="24">
        <f t="shared" si="73"/>
        <v>3.5281737841211793</v>
      </c>
      <c r="W68" s="41" t="str">
        <f t="shared" si="41"/>
        <v>3</v>
      </c>
      <c r="X68" s="24">
        <f t="shared" si="74"/>
        <v>6.3380854094541519</v>
      </c>
      <c r="Y68" s="41" t="str">
        <f t="shared" si="43"/>
        <v>6</v>
      </c>
      <c r="Z68" s="24">
        <f t="shared" si="75"/>
        <v>4.0570249134498226</v>
      </c>
      <c r="AA68" s="41" t="str">
        <f t="shared" si="45"/>
        <v>4</v>
      </c>
      <c r="AB68" s="24">
        <f t="shared" si="76"/>
        <v>0.68429896139787161</v>
      </c>
      <c r="AC68" s="41" t="str">
        <f t="shared" si="47"/>
        <v>0</v>
      </c>
      <c r="AD68" s="24">
        <f t="shared" si="77"/>
        <v>8.2115875367744593</v>
      </c>
      <c r="AE68" s="41" t="str">
        <f t="shared" si="49"/>
        <v>8</v>
      </c>
      <c r="AF68" s="24">
        <f t="shared" si="78"/>
        <v>2.5390504412935115</v>
      </c>
      <c r="AG68" s="41" t="str">
        <f t="shared" si="51"/>
        <v>2</v>
      </c>
      <c r="AH68" s="24">
        <f t="shared" si="79"/>
        <v>6.4686052955221385</v>
      </c>
      <c r="AI68" s="41" t="str">
        <f t="shared" si="53"/>
        <v>6</v>
      </c>
      <c r="AJ68" s="24">
        <f t="shared" si="80"/>
        <v>5.6232635462656617</v>
      </c>
      <c r="AK68" s="41" t="str">
        <f t="shared" si="55"/>
        <v/>
      </c>
      <c r="AL68" s="24">
        <f t="shared" si="81"/>
        <v>7.4791625551879406</v>
      </c>
      <c r="AM68" s="41" t="str">
        <f t="shared" si="57"/>
        <v/>
      </c>
      <c r="AN68" s="24">
        <f t="shared" si="82"/>
        <v>5.7499506622552872</v>
      </c>
      <c r="AO68" s="41" t="str">
        <f t="shared" si="59"/>
        <v/>
      </c>
    </row>
    <row r="69" spans="1:41" ht="14.25" customHeight="1">
      <c r="A69" s="753"/>
      <c r="B69" s="755"/>
      <c r="C69" s="180" t="s">
        <v>572</v>
      </c>
      <c r="D69" s="3" t="str">
        <f t="shared" ref="D69:D81" si="222">D68</f>
        <v>s</v>
      </c>
      <c r="E69" s="161">
        <f t="shared" si="218"/>
        <v>1.8838016739657784E-5</v>
      </c>
      <c r="F69" s="162">
        <v>-6</v>
      </c>
      <c r="G69" s="163">
        <f t="shared" si="29"/>
        <v>18.838016739657785</v>
      </c>
      <c r="H69" s="192" t="s">
        <v>580</v>
      </c>
      <c r="I69" s="168">
        <f t="shared" si="219"/>
        <v>1E-4</v>
      </c>
      <c r="J69" s="2" t="s">
        <v>576</v>
      </c>
      <c r="K69" s="8">
        <v>9</v>
      </c>
      <c r="L69" s="21">
        <f t="shared" si="220"/>
        <v>2.5599992455921014E-4</v>
      </c>
      <c r="M69" s="37" t="str">
        <f t="shared" si="68"/>
        <v>5;384E346X1</v>
      </c>
      <c r="N69" s="38">
        <f t="shared" si="221"/>
        <v>-4</v>
      </c>
      <c r="O69" s="61">
        <f t="shared" si="70"/>
        <v>5.308414435659782</v>
      </c>
      <c r="P69" s="39" t="str">
        <f>INDEX(powers!$H$2:$H$75,33+N69)</f>
        <v>sub</v>
      </c>
      <c r="Q69" s="40" t="str">
        <f t="shared" si="35"/>
        <v>5</v>
      </c>
      <c r="R69" s="24">
        <f t="shared" si="71"/>
        <v>3.7009732279173839</v>
      </c>
      <c r="S69" s="41" t="str">
        <f t="shared" si="37"/>
        <v>3</v>
      </c>
      <c r="T69" s="24">
        <f t="shared" si="72"/>
        <v>8.4116787350086071</v>
      </c>
      <c r="U69" s="41" t="str">
        <f t="shared" si="39"/>
        <v>8</v>
      </c>
      <c r="V69" s="24">
        <f t="shared" si="73"/>
        <v>4.9401448201032849</v>
      </c>
      <c r="W69" s="41" t="str">
        <f t="shared" si="41"/>
        <v>4</v>
      </c>
      <c r="X69" s="24">
        <f t="shared" si="74"/>
        <v>11.281737841239419</v>
      </c>
      <c r="Y69" s="41" t="str">
        <f t="shared" si="43"/>
        <v>E</v>
      </c>
      <c r="Z69" s="24">
        <f t="shared" si="75"/>
        <v>3.3808540948730297</v>
      </c>
      <c r="AA69" s="41" t="str">
        <f t="shared" si="45"/>
        <v>3</v>
      </c>
      <c r="AB69" s="24">
        <f t="shared" si="76"/>
        <v>4.5702491384763562</v>
      </c>
      <c r="AC69" s="41" t="str">
        <f t="shared" si="47"/>
        <v>4</v>
      </c>
      <c r="AD69" s="24">
        <f t="shared" si="77"/>
        <v>6.842989661716274</v>
      </c>
      <c r="AE69" s="41" t="str">
        <f t="shared" si="49"/>
        <v>6</v>
      </c>
      <c r="AF69" s="24">
        <f t="shared" si="78"/>
        <v>10.115875940595288</v>
      </c>
      <c r="AG69" s="41" t="str">
        <f t="shared" si="51"/>
        <v>X</v>
      </c>
      <c r="AH69" s="24">
        <f t="shared" si="79"/>
        <v>1.390511287143454</v>
      </c>
      <c r="AI69" s="41" t="str">
        <f t="shared" si="53"/>
        <v>1</v>
      </c>
      <c r="AJ69" s="24">
        <f t="shared" si="80"/>
        <v>4.6861354457214475</v>
      </c>
      <c r="AK69" s="41" t="str">
        <f t="shared" si="55"/>
        <v/>
      </c>
      <c r="AL69" s="24">
        <f t="shared" si="81"/>
        <v>8.2336253486573696</v>
      </c>
      <c r="AM69" s="41" t="str">
        <f t="shared" si="57"/>
        <v/>
      </c>
      <c r="AN69" s="24">
        <f t="shared" si="82"/>
        <v>2.8035041838884354</v>
      </c>
      <c r="AO69" s="41" t="str">
        <f t="shared" si="59"/>
        <v/>
      </c>
    </row>
    <row r="70" spans="1:41" ht="14.25" customHeight="1">
      <c r="A70" s="753"/>
      <c r="B70" s="755"/>
      <c r="C70" s="181" t="s">
        <v>573</v>
      </c>
      <c r="D70" s="3" t="str">
        <f t="shared" si="222"/>
        <v>s</v>
      </c>
      <c r="E70" s="161">
        <f t="shared" si="218"/>
        <v>2.260562008758934E-4</v>
      </c>
      <c r="F70" s="162">
        <v>-6</v>
      </c>
      <c r="G70" s="163">
        <f t="shared" si="29"/>
        <v>226.05620087589341</v>
      </c>
      <c r="H70" s="192" t="s">
        <v>580</v>
      </c>
      <c r="I70" s="169">
        <f t="shared" si="219"/>
        <v>1E-3</v>
      </c>
      <c r="J70" s="2" t="s">
        <v>56</v>
      </c>
      <c r="K70" s="8">
        <v>9</v>
      </c>
      <c r="L70" s="21">
        <f t="shared" si="220"/>
        <v>2.5599992455921016E-3</v>
      </c>
      <c r="M70" s="37" t="str">
        <f t="shared" si="68"/>
        <v>4;510149985</v>
      </c>
      <c r="N70" s="38">
        <f t="shared" si="221"/>
        <v>-3</v>
      </c>
      <c r="O70" s="61">
        <f t="shared" si="70"/>
        <v>4.4236786963831518</v>
      </c>
      <c r="P70" s="39" t="str">
        <f>INDEX(powers!$H$2:$H$75,33+N70)</f>
        <v>milly</v>
      </c>
      <c r="Q70" s="40" t="str">
        <f t="shared" si="35"/>
        <v>4</v>
      </c>
      <c r="R70" s="24">
        <f t="shared" si="71"/>
        <v>5.0841443565978217</v>
      </c>
      <c r="S70" s="41" t="str">
        <f t="shared" si="37"/>
        <v>5</v>
      </c>
      <c r="T70" s="24">
        <f t="shared" si="72"/>
        <v>1.0097322791738605</v>
      </c>
      <c r="U70" s="41" t="str">
        <f t="shared" si="39"/>
        <v>1</v>
      </c>
      <c r="V70" s="24">
        <f t="shared" si="73"/>
        <v>0.11678735008632657</v>
      </c>
      <c r="W70" s="41" t="str">
        <f t="shared" si="41"/>
        <v>0</v>
      </c>
      <c r="X70" s="24">
        <f t="shared" si="74"/>
        <v>1.4014482010359188</v>
      </c>
      <c r="Y70" s="41" t="str">
        <f t="shared" si="43"/>
        <v>1</v>
      </c>
      <c r="Z70" s="24">
        <f t="shared" si="75"/>
        <v>4.8173784124310259</v>
      </c>
      <c r="AA70" s="41" t="str">
        <f t="shared" si="45"/>
        <v>4</v>
      </c>
      <c r="AB70" s="24">
        <f t="shared" si="76"/>
        <v>9.8085409491723112</v>
      </c>
      <c r="AC70" s="41" t="str">
        <f t="shared" si="47"/>
        <v>9</v>
      </c>
      <c r="AD70" s="24">
        <f t="shared" si="77"/>
        <v>9.7024913900677348</v>
      </c>
      <c r="AE70" s="41" t="str">
        <f t="shared" si="49"/>
        <v>9</v>
      </c>
      <c r="AF70" s="24">
        <f t="shared" si="78"/>
        <v>8.4298966808128171</v>
      </c>
      <c r="AG70" s="41" t="str">
        <f t="shared" si="51"/>
        <v>8</v>
      </c>
      <c r="AH70" s="24">
        <f t="shared" si="79"/>
        <v>5.1587601697538048</v>
      </c>
      <c r="AI70" s="41" t="str">
        <f t="shared" si="53"/>
        <v>5</v>
      </c>
      <c r="AJ70" s="24">
        <f t="shared" si="80"/>
        <v>1.9051220370456576</v>
      </c>
      <c r="AK70" s="41" t="str">
        <f t="shared" si="55"/>
        <v/>
      </c>
      <c r="AL70" s="24">
        <f t="shared" si="81"/>
        <v>10.861464444547892</v>
      </c>
      <c r="AM70" s="41" t="str">
        <f t="shared" si="57"/>
        <v/>
      </c>
      <c r="AN70" s="24">
        <f t="shared" si="82"/>
        <v>10.337573334574699</v>
      </c>
      <c r="AO70" s="41" t="str">
        <f t="shared" si="59"/>
        <v/>
      </c>
    </row>
    <row r="71" spans="1:41" ht="14.25" customHeight="1">
      <c r="A71" s="753"/>
      <c r="B71" s="755"/>
      <c r="C71" s="182" t="s">
        <v>574</v>
      </c>
      <c r="D71" s="3" t="str">
        <f t="shared" si="222"/>
        <v>s</v>
      </c>
      <c r="E71" s="161">
        <f t="shared" si="218"/>
        <v>2.7126744105107209E-3</v>
      </c>
      <c r="F71" s="162">
        <v>-3</v>
      </c>
      <c r="G71" s="163">
        <f t="shared" si="29"/>
        <v>2.7126744105107208</v>
      </c>
      <c r="H71" s="192" t="s">
        <v>229</v>
      </c>
      <c r="I71" s="170">
        <f t="shared" si="219"/>
        <v>0.01</v>
      </c>
      <c r="J71" s="2" t="s">
        <v>56</v>
      </c>
      <c r="K71" s="8">
        <v>9</v>
      </c>
      <c r="L71" s="21">
        <f t="shared" si="220"/>
        <v>2.5599992455921018E-2</v>
      </c>
      <c r="M71" s="37" t="str">
        <f t="shared" si="68"/>
        <v>3;82X120210</v>
      </c>
      <c r="N71" s="38">
        <f t="shared" si="221"/>
        <v>-2</v>
      </c>
      <c r="O71" s="61">
        <f t="shared" si="70"/>
        <v>3.686398913652627</v>
      </c>
      <c r="P71" s="39" t="str">
        <f>INDEX(powers!$H$2:$H$75,33+N71)</f>
        <v>centy</v>
      </c>
      <c r="Q71" s="40" t="str">
        <f t="shared" si="35"/>
        <v>3</v>
      </c>
      <c r="R71" s="24">
        <f t="shared" si="71"/>
        <v>8.2367869638315234</v>
      </c>
      <c r="S71" s="41" t="str">
        <f t="shared" si="37"/>
        <v>8</v>
      </c>
      <c r="T71" s="24">
        <f t="shared" si="72"/>
        <v>2.8414435659782811</v>
      </c>
      <c r="U71" s="41" t="str">
        <f t="shared" si="39"/>
        <v>2</v>
      </c>
      <c r="V71" s="24">
        <f t="shared" si="73"/>
        <v>10.097322791739373</v>
      </c>
      <c r="W71" s="41" t="str">
        <f t="shared" si="41"/>
        <v>X</v>
      </c>
      <c r="X71" s="24">
        <f t="shared" si="74"/>
        <v>1.1678735008724743</v>
      </c>
      <c r="Y71" s="41" t="str">
        <f t="shared" si="43"/>
        <v>1</v>
      </c>
      <c r="Z71" s="24">
        <f t="shared" si="75"/>
        <v>2.0144820104696919</v>
      </c>
      <c r="AA71" s="41" t="str">
        <f t="shared" si="45"/>
        <v>2</v>
      </c>
      <c r="AB71" s="24">
        <f t="shared" si="76"/>
        <v>0.17378412563630263</v>
      </c>
      <c r="AC71" s="41" t="str">
        <f t="shared" si="47"/>
        <v>0</v>
      </c>
      <c r="AD71" s="24">
        <f t="shared" si="77"/>
        <v>2.0854095076356316</v>
      </c>
      <c r="AE71" s="41" t="str">
        <f t="shared" si="49"/>
        <v>2</v>
      </c>
      <c r="AF71" s="24">
        <f t="shared" si="78"/>
        <v>1.0249140916275792</v>
      </c>
      <c r="AG71" s="41" t="str">
        <f t="shared" si="51"/>
        <v>1</v>
      </c>
      <c r="AH71" s="24">
        <f t="shared" si="79"/>
        <v>0.29896909953095019</v>
      </c>
      <c r="AI71" s="41" t="str">
        <f t="shared" si="53"/>
        <v>0</v>
      </c>
      <c r="AJ71" s="24">
        <f t="shared" si="80"/>
        <v>3.5876291943714023</v>
      </c>
      <c r="AK71" s="41" t="str">
        <f t="shared" si="55"/>
        <v/>
      </c>
      <c r="AL71" s="24">
        <f t="shared" si="81"/>
        <v>7.0515503324568272</v>
      </c>
      <c r="AM71" s="41" t="str">
        <f t="shared" si="57"/>
        <v/>
      </c>
      <c r="AN71" s="24">
        <f t="shared" si="82"/>
        <v>0.61860398948192596</v>
      </c>
      <c r="AO71" s="41" t="str">
        <f t="shared" si="59"/>
        <v/>
      </c>
    </row>
    <row r="72" spans="1:41" ht="14.25" customHeight="1">
      <c r="A72" s="753"/>
      <c r="B72" s="755"/>
      <c r="C72" s="183" t="s">
        <v>575</v>
      </c>
      <c r="D72" s="3" t="str">
        <f t="shared" si="222"/>
        <v>s</v>
      </c>
      <c r="E72" s="161">
        <f>E73/12</f>
        <v>3.2552092926128651E-2</v>
      </c>
      <c r="F72" s="162">
        <v>-3</v>
      </c>
      <c r="G72" s="163">
        <f t="shared" si="29"/>
        <v>32.552092926128651</v>
      </c>
      <c r="H72" s="192" t="s">
        <v>229</v>
      </c>
      <c r="I72" s="171">
        <f>I73/10</f>
        <v>0.1</v>
      </c>
      <c r="J72" s="2" t="s">
        <v>576</v>
      </c>
      <c r="K72" s="8">
        <v>9</v>
      </c>
      <c r="L72" s="21">
        <f>L73/10</f>
        <v>0.25599992455921017</v>
      </c>
      <c r="M72" s="37" t="str">
        <f>Q72&amp;";"&amp;S72&amp;U72&amp;W72&amp;Y72&amp;AA72&amp;AC72&amp;AE72&amp;AG72&amp;AI72&amp;AK72&amp;AM72&amp;AO72</f>
        <v>3;0X44E818X</v>
      </c>
      <c r="N72" s="38">
        <f>N73-1</f>
        <v>-1</v>
      </c>
      <c r="O72" s="61">
        <f t="shared" si="70"/>
        <v>3.071999094710522</v>
      </c>
      <c r="P72" s="39" t="str">
        <f>INDEX(powers!$H$2:$H$75,33+N72)</f>
        <v>dour</v>
      </c>
      <c r="Q72" s="40" t="str">
        <f t="shared" si="35"/>
        <v>3</v>
      </c>
      <c r="R72" s="24">
        <f>(O72-INT(O72))*12</f>
        <v>0.86398913652626419</v>
      </c>
      <c r="S72" s="41" t="str">
        <f t="shared" si="37"/>
        <v>0</v>
      </c>
      <c r="T72" s="24">
        <f>(R72-INT(R72))*12</f>
        <v>10.36786963831517</v>
      </c>
      <c r="U72" s="41" t="str">
        <f t="shared" si="39"/>
        <v>X</v>
      </c>
      <c r="V72" s="24">
        <f>(T72-INT(T72))*12</f>
        <v>4.4144356597820433</v>
      </c>
      <c r="W72" s="41" t="str">
        <f t="shared" si="41"/>
        <v>4</v>
      </c>
      <c r="X72" s="24">
        <f>(V72-INT(V72))*12</f>
        <v>4.97322791738452</v>
      </c>
      <c r="Y72" s="41" t="str">
        <f t="shared" si="43"/>
        <v>4</v>
      </c>
      <c r="Z72" s="24">
        <f>(X72-INT(X72))*12</f>
        <v>11.67873500861424</v>
      </c>
      <c r="AA72" s="41" t="str">
        <f t="shared" si="45"/>
        <v>E</v>
      </c>
      <c r="AB72" s="24">
        <f>(Z72-INT(Z72))*12</f>
        <v>8.1448201033708756</v>
      </c>
      <c r="AC72" s="41" t="str">
        <f t="shared" si="47"/>
        <v>8</v>
      </c>
      <c r="AD72" s="24">
        <f>(AB72-INT(AB72))*12</f>
        <v>1.737841240450507</v>
      </c>
      <c r="AE72" s="41" t="str">
        <f t="shared" si="49"/>
        <v>1</v>
      </c>
      <c r="AF72" s="24">
        <f>(AD72-INT(AD72))*12</f>
        <v>8.8540948854060844</v>
      </c>
      <c r="AG72" s="41" t="str">
        <f t="shared" si="51"/>
        <v>8</v>
      </c>
      <c r="AH72" s="24">
        <f>(AF72-INT(AF72))*12</f>
        <v>10.249138624873012</v>
      </c>
      <c r="AI72" s="41" t="str">
        <f t="shared" si="53"/>
        <v>X</v>
      </c>
      <c r="AJ72" s="24">
        <f>(AH72-INT(AH72))*12</f>
        <v>2.9896634984761477</v>
      </c>
      <c r="AK72" s="41" t="str">
        <f t="shared" si="55"/>
        <v/>
      </c>
      <c r="AL72" s="24">
        <f>(AJ72-INT(AJ72))*12</f>
        <v>11.875961981713772</v>
      </c>
      <c r="AM72" s="41" t="str">
        <f t="shared" si="57"/>
        <v/>
      </c>
      <c r="AN72" s="24">
        <f>(AL72-INT(AL72))*12</f>
        <v>10.511543780565262</v>
      </c>
      <c r="AO72" s="41" t="str">
        <f t="shared" si="59"/>
        <v/>
      </c>
    </row>
    <row r="73" spans="1:41" ht="14.25" customHeight="1">
      <c r="A73" s="753"/>
      <c r="B73" s="755"/>
      <c r="C73" s="184" t="s">
        <v>618</v>
      </c>
      <c r="D73" s="209" t="str">
        <f t="shared" si="222"/>
        <v>s</v>
      </c>
      <c r="E73" s="161">
        <f>E4</f>
        <v>0.39062511511354381</v>
      </c>
      <c r="F73" s="162">
        <v>-3</v>
      </c>
      <c r="G73" s="163">
        <f t="shared" si="29"/>
        <v>390.62511511354381</v>
      </c>
      <c r="H73" s="192" t="s">
        <v>229</v>
      </c>
      <c r="I73" s="172">
        <v>1</v>
      </c>
      <c r="J73" s="2" t="s">
        <v>56</v>
      </c>
      <c r="K73" s="8">
        <v>9</v>
      </c>
      <c r="L73" s="21">
        <f>1/E73</f>
        <v>2.5599992455921017</v>
      </c>
      <c r="M73" s="37" t="str">
        <f>Q73&amp;";"&amp;S73&amp;U73&amp;W73&amp;Y73&amp;AA73&amp;AC73&amp;AE73&amp;AG73&amp;AI73&amp;AK73&amp;AM73&amp;AO73</f>
        <v>2;687818955</v>
      </c>
      <c r="N73" s="38">
        <v>0</v>
      </c>
      <c r="O73" s="61">
        <f t="shared" si="70"/>
        <v>2.5599992455921017</v>
      </c>
      <c r="P73" s="39" t="str">
        <f>INDEX(powers!$H$2:$H$75,33+N73)</f>
        <v xml:space="preserve"> </v>
      </c>
      <c r="Q73" s="40" t="str">
        <f t="shared" si="35"/>
        <v>2</v>
      </c>
      <c r="R73" s="24">
        <f>(O73-INT(O73))*12</f>
        <v>6.7199909471052202</v>
      </c>
      <c r="S73" s="41" t="str">
        <f t="shared" si="37"/>
        <v>6</v>
      </c>
      <c r="T73" s="24">
        <f>(R73-INT(R73))*12</f>
        <v>8.6398913652626419</v>
      </c>
      <c r="U73" s="41" t="str">
        <f t="shared" si="39"/>
        <v>8</v>
      </c>
      <c r="V73" s="24">
        <f>(T73-INT(T73))*12</f>
        <v>7.6786963831517028</v>
      </c>
      <c r="W73" s="41" t="str">
        <f t="shared" si="41"/>
        <v>7</v>
      </c>
      <c r="X73" s="24">
        <f>(V73-INT(V73))*12</f>
        <v>8.1443565978204333</v>
      </c>
      <c r="Y73" s="41" t="str">
        <f t="shared" si="43"/>
        <v>8</v>
      </c>
      <c r="Z73" s="24">
        <f>(X73-INT(X73))*12</f>
        <v>1.7322791738451997</v>
      </c>
      <c r="AA73" s="41" t="str">
        <f t="shared" si="45"/>
        <v>1</v>
      </c>
      <c r="AB73" s="24">
        <f>(Z73-INT(Z73))*12</f>
        <v>8.7873500861423963</v>
      </c>
      <c r="AC73" s="41" t="str">
        <f t="shared" si="47"/>
        <v>8</v>
      </c>
      <c r="AD73" s="24">
        <f>(AB73-INT(AB73))*12</f>
        <v>9.4482010337087559</v>
      </c>
      <c r="AE73" s="41" t="str">
        <f t="shared" si="49"/>
        <v>9</v>
      </c>
      <c r="AF73" s="24">
        <f>(AD73-INT(AD73))*12</f>
        <v>5.3784124045050703</v>
      </c>
      <c r="AG73" s="41" t="str">
        <f t="shared" si="51"/>
        <v>5</v>
      </c>
      <c r="AH73" s="24">
        <f>(AF73-INT(AF73))*12</f>
        <v>4.5409488540608436</v>
      </c>
      <c r="AI73" s="41" t="str">
        <f t="shared" si="53"/>
        <v>5</v>
      </c>
      <c r="AJ73" s="24">
        <f>(AH73-INT(AH73))*12</f>
        <v>6.491386248730123</v>
      </c>
      <c r="AK73" s="41" t="str">
        <f t="shared" si="55"/>
        <v/>
      </c>
      <c r="AL73" s="24">
        <f>(AJ73-INT(AJ73))*12</f>
        <v>5.8966349847614765</v>
      </c>
      <c r="AM73" s="41" t="str">
        <f t="shared" si="57"/>
        <v/>
      </c>
      <c r="AN73" s="24">
        <f>(AL73-INT(AL73))*12</f>
        <v>10.759619817137718</v>
      </c>
      <c r="AO73" s="41" t="str">
        <f t="shared" si="59"/>
        <v/>
      </c>
    </row>
    <row r="74" spans="1:41" ht="14.25" customHeight="1">
      <c r="A74" s="753"/>
      <c r="B74" s="755"/>
      <c r="C74" s="184" t="s">
        <v>619</v>
      </c>
      <c r="D74" s="209" t="str">
        <f t="shared" si="222"/>
        <v>s</v>
      </c>
      <c r="E74" s="161">
        <f>E73*12</f>
        <v>4.6875013813625257</v>
      </c>
      <c r="F74" s="162">
        <v>0</v>
      </c>
      <c r="G74" s="163">
        <f t="shared" si="29"/>
        <v>4.6875013813625257</v>
      </c>
      <c r="H74" s="192" t="s">
        <v>576</v>
      </c>
      <c r="I74" s="172">
        <f>I73*10</f>
        <v>10</v>
      </c>
      <c r="J74" s="2" t="s">
        <v>56</v>
      </c>
      <c r="K74" s="8">
        <v>9</v>
      </c>
      <c r="L74" s="21">
        <f>L73*10</f>
        <v>25.599992455921019</v>
      </c>
      <c r="M74" s="37" t="str">
        <f>Q74&amp;";"&amp;S74&amp;U74&amp;W74&amp;Y74&amp;AA74&amp;AC74&amp;AE74&amp;AG74&amp;AI74&amp;AK74&amp;AM74&amp;AO74</f>
        <v>2;1724953X6</v>
      </c>
      <c r="N74" s="38">
        <f>N73+1</f>
        <v>1</v>
      </c>
      <c r="O74" s="61">
        <f t="shared" si="70"/>
        <v>2.1333327046600847</v>
      </c>
      <c r="P74" s="39" t="str">
        <f>INDEX(powers!$H$2:$H$75,33+N74)</f>
        <v>dirac</v>
      </c>
      <c r="Q74" s="40" t="str">
        <f t="shared" si="35"/>
        <v>2</v>
      </c>
      <c r="R74" s="24">
        <f>(O74-INT(O74))*12</f>
        <v>1.5999924559210168</v>
      </c>
      <c r="S74" s="41" t="str">
        <f t="shared" si="37"/>
        <v>1</v>
      </c>
      <c r="T74" s="24">
        <f>(R74-INT(R74))*12</f>
        <v>7.1999094710522016</v>
      </c>
      <c r="U74" s="41" t="str">
        <f t="shared" si="39"/>
        <v>7</v>
      </c>
      <c r="V74" s="24">
        <f>(T74-INT(T74))*12</f>
        <v>2.398913652626419</v>
      </c>
      <c r="W74" s="41" t="str">
        <f t="shared" si="41"/>
        <v>2</v>
      </c>
      <c r="X74" s="24">
        <f>(V74-INT(V74))*12</f>
        <v>4.7869638315170278</v>
      </c>
      <c r="Y74" s="41" t="str">
        <f t="shared" si="43"/>
        <v>4</v>
      </c>
      <c r="Z74" s="24">
        <f>(X74-INT(X74))*12</f>
        <v>9.4435659782043331</v>
      </c>
      <c r="AA74" s="41" t="str">
        <f t="shared" si="45"/>
        <v>9</v>
      </c>
      <c r="AB74" s="24">
        <f>(Z74-INT(Z74))*12</f>
        <v>5.3227917384519969</v>
      </c>
      <c r="AC74" s="41" t="str">
        <f t="shared" si="47"/>
        <v>5</v>
      </c>
      <c r="AD74" s="24">
        <f>(AB74-INT(AB74))*12</f>
        <v>3.8735008614239632</v>
      </c>
      <c r="AE74" s="41" t="str">
        <f t="shared" si="49"/>
        <v>3</v>
      </c>
      <c r="AF74" s="24">
        <f>(AD74-INT(AD74))*12</f>
        <v>10.482010337087559</v>
      </c>
      <c r="AG74" s="41" t="str">
        <f t="shared" si="51"/>
        <v>X</v>
      </c>
      <c r="AH74" s="24">
        <f>(AF74-INT(AF74))*12</f>
        <v>5.784124045050703</v>
      </c>
      <c r="AI74" s="41" t="str">
        <f t="shared" si="53"/>
        <v>6</v>
      </c>
      <c r="AJ74" s="24">
        <f>(AH74-INT(AH74))*12</f>
        <v>9.4094885406084359</v>
      </c>
      <c r="AK74" s="41" t="str">
        <f t="shared" si="55"/>
        <v/>
      </c>
      <c r="AL74" s="24">
        <f>(AJ74-INT(AJ74))*12</f>
        <v>4.9138624873012304</v>
      </c>
      <c r="AM74" s="41" t="str">
        <f t="shared" si="57"/>
        <v/>
      </c>
      <c r="AN74" s="24">
        <f>(AL74-INT(AL74))*12</f>
        <v>10.966349847614765</v>
      </c>
      <c r="AO74" s="41" t="str">
        <f t="shared" si="59"/>
        <v/>
      </c>
    </row>
    <row r="75" spans="1:41" ht="14.25" customHeight="1">
      <c r="A75" s="753"/>
      <c r="B75" s="755"/>
      <c r="C75" s="184" t="s">
        <v>620</v>
      </c>
      <c r="D75" s="209" t="str">
        <f t="shared" si="222"/>
        <v>s</v>
      </c>
      <c r="E75" s="161">
        <f t="shared" ref="E75:E81" si="223">E74*12</f>
        <v>56.250016576350305</v>
      </c>
      <c r="F75" s="162">
        <v>0</v>
      </c>
      <c r="G75" s="163">
        <f t="shared" si="29"/>
        <v>56.250016576350305</v>
      </c>
      <c r="H75" s="192" t="s">
        <v>576</v>
      </c>
      <c r="I75" s="172">
        <f>I74*10</f>
        <v>100</v>
      </c>
      <c r="J75" s="2" t="s">
        <v>576</v>
      </c>
      <c r="K75" s="8">
        <v>9</v>
      </c>
      <c r="L75" s="21">
        <f>L74*10</f>
        <v>255.99992455921017</v>
      </c>
      <c r="M75" s="37" t="str">
        <f>Q75&amp;";"&amp;S75&amp;U75&amp;W75&amp;Y75&amp;AA75&amp;AC75&amp;AE75&amp;AG75&amp;AI75&amp;AK75&amp;AM75&amp;AO75</f>
        <v>1;93EEEX529</v>
      </c>
      <c r="N75" s="38">
        <f>N74+1</f>
        <v>2</v>
      </c>
      <c r="O75" s="61">
        <f t="shared" si="70"/>
        <v>1.777777253883404</v>
      </c>
      <c r="P75" s="39" t="str">
        <f>INDEX(powers!$H$2:$H$75,33+N75)</f>
        <v>hecty</v>
      </c>
      <c r="Q75" s="40" t="str">
        <f t="shared" si="35"/>
        <v>1</v>
      </c>
      <c r="R75" s="24">
        <f>(O75-INT(O75))*12</f>
        <v>9.3333270466008482</v>
      </c>
      <c r="S75" s="41" t="str">
        <f t="shared" si="37"/>
        <v>9</v>
      </c>
      <c r="T75" s="24">
        <f>(R75-INT(R75))*12</f>
        <v>3.9999245592101786</v>
      </c>
      <c r="U75" s="41" t="str">
        <f t="shared" si="39"/>
        <v>3</v>
      </c>
      <c r="V75" s="24">
        <f>(T75-INT(T75))*12</f>
        <v>11.999094710522144</v>
      </c>
      <c r="W75" s="41" t="str">
        <f t="shared" si="41"/>
        <v>E</v>
      </c>
      <c r="X75" s="24">
        <f>(V75-INT(V75))*12</f>
        <v>11.989136526265725</v>
      </c>
      <c r="Y75" s="41" t="str">
        <f t="shared" si="43"/>
        <v>E</v>
      </c>
      <c r="Z75" s="24">
        <f>(X75-INT(X75))*12</f>
        <v>11.869638315188695</v>
      </c>
      <c r="AA75" s="41" t="str">
        <f t="shared" si="45"/>
        <v>E</v>
      </c>
      <c r="AB75" s="24">
        <f>(Z75-INT(Z75))*12</f>
        <v>10.435659782264338</v>
      </c>
      <c r="AC75" s="41" t="str">
        <f t="shared" si="47"/>
        <v>X</v>
      </c>
      <c r="AD75" s="24">
        <f>(AB75-INT(AB75))*12</f>
        <v>5.2279173871720559</v>
      </c>
      <c r="AE75" s="41" t="str">
        <f t="shared" si="49"/>
        <v>5</v>
      </c>
      <c r="AF75" s="24">
        <f>(AD75-INT(AD75))*12</f>
        <v>2.7350086460646708</v>
      </c>
      <c r="AG75" s="41" t="str">
        <f t="shared" si="51"/>
        <v>2</v>
      </c>
      <c r="AH75" s="24">
        <f>(AF75-INT(AF75))*12</f>
        <v>8.8201037527760491</v>
      </c>
      <c r="AI75" s="41" t="str">
        <f t="shared" si="53"/>
        <v>9</v>
      </c>
      <c r="AJ75" s="24">
        <f>(AH75-INT(AH75))*12</f>
        <v>9.8412450333125889</v>
      </c>
      <c r="AK75" s="41" t="str">
        <f t="shared" si="55"/>
        <v/>
      </c>
      <c r="AL75" s="24">
        <f>(AJ75-INT(AJ75))*12</f>
        <v>10.094940399751067</v>
      </c>
      <c r="AM75" s="41" t="str">
        <f t="shared" si="57"/>
        <v/>
      </c>
      <c r="AN75" s="24">
        <f>(AL75-INT(AL75))*12</f>
        <v>1.1392847970128059</v>
      </c>
      <c r="AO75" s="41" t="str">
        <f t="shared" si="59"/>
        <v/>
      </c>
    </row>
    <row r="76" spans="1:41" ht="14.25" customHeight="1">
      <c r="A76" s="753"/>
      <c r="B76" s="755"/>
      <c r="C76" s="201" t="s">
        <v>621</v>
      </c>
      <c r="D76" s="209" t="str">
        <f t="shared" si="222"/>
        <v>s</v>
      </c>
      <c r="E76" s="161">
        <f t="shared" si="223"/>
        <v>675.00019891620366</v>
      </c>
      <c r="F76" s="162">
        <v>0</v>
      </c>
      <c r="G76" s="163">
        <f t="shared" si="29"/>
        <v>675.00019891620366</v>
      </c>
      <c r="H76" s="192" t="s">
        <v>576</v>
      </c>
      <c r="I76" s="172">
        <f t="shared" ref="I76:I81" si="224">I75*10</f>
        <v>1000</v>
      </c>
      <c r="J76" s="2" t="s">
        <v>56</v>
      </c>
      <c r="K76" s="8">
        <v>9</v>
      </c>
      <c r="L76" s="21">
        <f t="shared" ref="L76:L81" si="225">L75*10</f>
        <v>2559.9992455921019</v>
      </c>
      <c r="M76" s="37" t="str">
        <f t="shared" ref="M76:M86" si="226">Q76&amp;";"&amp;S76&amp;U76&amp;W76&amp;Y76&amp;AA76&amp;AC76&amp;AE76&amp;AG76&amp;AI76&amp;AK76&amp;AM76&amp;AO76</f>
        <v>1;593EEX843</v>
      </c>
      <c r="N76" s="38">
        <f t="shared" ref="N76" si="227">N75+1</f>
        <v>3</v>
      </c>
      <c r="O76" s="61">
        <f t="shared" ref="O76:O90" si="228">L76/POWER(12,N76)</f>
        <v>1.4814810449028368</v>
      </c>
      <c r="P76" s="39" t="str">
        <f>INDEX(powers!$H$2:$H$75,33+N76)</f>
        <v>kily</v>
      </c>
      <c r="Q76" s="40" t="str">
        <f t="shared" si="35"/>
        <v>1</v>
      </c>
      <c r="R76" s="24">
        <f t="shared" ref="R76:R86" si="229">(O76-INT(O76))*12</f>
        <v>5.777772538834042</v>
      </c>
      <c r="S76" s="41" t="str">
        <f t="shared" si="37"/>
        <v>5</v>
      </c>
      <c r="T76" s="24">
        <f t="shared" ref="T76:T86" si="230">(R76-INT(R76))*12</f>
        <v>9.3332704660085035</v>
      </c>
      <c r="U76" s="41" t="str">
        <f t="shared" si="39"/>
        <v>9</v>
      </c>
      <c r="V76" s="24">
        <f t="shared" ref="V76:V86" si="231">(T76-INT(T76))*12</f>
        <v>3.9992455921020422</v>
      </c>
      <c r="W76" s="41" t="str">
        <f t="shared" si="41"/>
        <v>3</v>
      </c>
      <c r="X76" s="24">
        <f t="shared" ref="X76:X86" si="232">(V76-INT(V76))*12</f>
        <v>11.990947105224507</v>
      </c>
      <c r="Y76" s="41" t="str">
        <f t="shared" si="43"/>
        <v>E</v>
      </c>
      <c r="Z76" s="24">
        <f t="shared" ref="Z76:Z86" si="233">(X76-INT(X76))*12</f>
        <v>11.89136526269408</v>
      </c>
      <c r="AA76" s="41" t="str">
        <f t="shared" si="45"/>
        <v>E</v>
      </c>
      <c r="AB76" s="24">
        <f t="shared" ref="AB76:AB86" si="234">(Z76-INT(Z76))*12</f>
        <v>10.696383152328963</v>
      </c>
      <c r="AC76" s="41" t="str">
        <f t="shared" si="47"/>
        <v>X</v>
      </c>
      <c r="AD76" s="24">
        <f t="shared" ref="AD76:AD86" si="235">(AB76-INT(AB76))*12</f>
        <v>8.356597827947553</v>
      </c>
      <c r="AE76" s="41" t="str">
        <f t="shared" si="49"/>
        <v>8</v>
      </c>
      <c r="AF76" s="24">
        <f t="shared" ref="AF76:AF86" si="236">(AD76-INT(AD76))*12</f>
        <v>4.2791739353706362</v>
      </c>
      <c r="AG76" s="41" t="str">
        <f t="shared" si="51"/>
        <v>4</v>
      </c>
      <c r="AH76" s="24">
        <f t="shared" ref="AH76:AH86" si="237">(AF76-INT(AF76))*12</f>
        <v>3.3500872244476341</v>
      </c>
      <c r="AI76" s="41" t="str">
        <f t="shared" si="53"/>
        <v>3</v>
      </c>
      <c r="AJ76" s="24">
        <f t="shared" ref="AJ76:AJ86" si="238">(AH76-INT(AH76))*12</f>
        <v>4.2010466933716089</v>
      </c>
      <c r="AK76" s="41" t="str">
        <f t="shared" si="55"/>
        <v/>
      </c>
      <c r="AL76" s="24">
        <f t="shared" ref="AL76:AL86" si="239">(AJ76-INT(AJ76))*12</f>
        <v>2.4125603204593062</v>
      </c>
      <c r="AM76" s="41" t="str">
        <f t="shared" si="57"/>
        <v/>
      </c>
      <c r="AN76" s="24">
        <f t="shared" ref="AN76:AN86" si="240">(AL76-INT(AL76))*12</f>
        <v>4.9507238455116749</v>
      </c>
      <c r="AO76" s="41" t="str">
        <f t="shared" si="59"/>
        <v/>
      </c>
    </row>
    <row r="77" spans="1:41" ht="14.25" customHeight="1">
      <c r="A77" s="753"/>
      <c r="B77" s="755"/>
      <c r="C77" s="201" t="s">
        <v>621</v>
      </c>
      <c r="D77" s="209" t="str">
        <f t="shared" si="222"/>
        <v>s</v>
      </c>
      <c r="E77" s="161">
        <f t="shared" si="223"/>
        <v>8100.0023869944434</v>
      </c>
      <c r="F77" s="162">
        <v>0</v>
      </c>
      <c r="G77" s="163">
        <f>G76/3600</f>
        <v>0.187500055254501</v>
      </c>
      <c r="H77" s="192" t="s">
        <v>629</v>
      </c>
      <c r="I77" s="172">
        <v>1</v>
      </c>
      <c r="J77" s="2" t="s">
        <v>629</v>
      </c>
      <c r="K77" s="8">
        <v>9</v>
      </c>
      <c r="L77" s="21">
        <f>1/G77*POWER(12,3)</f>
        <v>9215.9972841315666</v>
      </c>
      <c r="M77" s="37" t="str">
        <f t="shared" ref="M77" si="241">Q77&amp;";"&amp;S77&amp;U77&amp;W77&amp;Y77&amp;AA77&amp;AC77&amp;AE77&amp;AG77&amp;AI77&amp;AK77&amp;AM77&amp;AO77</f>
        <v>5;3EEEE7382</v>
      </c>
      <c r="N77" s="38">
        <v>3</v>
      </c>
      <c r="O77" s="61">
        <f t="shared" ref="O77" si="242">L77/POWER(12,N77)</f>
        <v>5.3333317616502125</v>
      </c>
      <c r="P77" s="39" t="str">
        <f>INDEX(powers!$H$2:$H$75,33+N77)</f>
        <v>kily</v>
      </c>
      <c r="Q77" s="40" t="str">
        <f t="shared" ref="Q77" si="243">IF($K77&gt;=Q$23,MID($N$23,IF($K77&gt;Q$23,INT(O77),ROUND(O77,0))+1,1),"")</f>
        <v>5</v>
      </c>
      <c r="R77" s="24">
        <f t="shared" ref="R77" si="244">(O77-INT(O77))*12</f>
        <v>3.99998113980255</v>
      </c>
      <c r="S77" s="41" t="str">
        <f t="shared" si="37"/>
        <v>3</v>
      </c>
      <c r="T77" s="24">
        <f t="shared" ref="T77" si="245">(R77-INT(R77))*12</f>
        <v>11.9997736776306</v>
      </c>
      <c r="U77" s="41" t="str">
        <f t="shared" si="39"/>
        <v>E</v>
      </c>
      <c r="V77" s="24">
        <f t="shared" ref="V77" si="246">(T77-INT(T77))*12</f>
        <v>11.997284131567199</v>
      </c>
      <c r="W77" s="41" t="str">
        <f t="shared" si="41"/>
        <v>E</v>
      </c>
      <c r="X77" s="24">
        <f t="shared" ref="X77" si="247">(V77-INT(V77))*12</f>
        <v>11.967409578806382</v>
      </c>
      <c r="Y77" s="41" t="str">
        <f t="shared" si="43"/>
        <v>E</v>
      </c>
      <c r="Z77" s="24">
        <f t="shared" ref="Z77" si="248">(X77-INT(X77))*12</f>
        <v>11.608914945676588</v>
      </c>
      <c r="AA77" s="41" t="str">
        <f t="shared" si="45"/>
        <v>E</v>
      </c>
      <c r="AB77" s="24">
        <f t="shared" ref="AB77" si="249">(Z77-INT(Z77))*12</f>
        <v>7.3069793481190572</v>
      </c>
      <c r="AC77" s="41" t="str">
        <f t="shared" si="47"/>
        <v>7</v>
      </c>
      <c r="AD77" s="24">
        <f t="shared" ref="AD77" si="250">(AB77-INT(AB77))*12</f>
        <v>3.683752177428687</v>
      </c>
      <c r="AE77" s="41" t="str">
        <f t="shared" si="49"/>
        <v>3</v>
      </c>
      <c r="AF77" s="24">
        <f t="shared" ref="AF77" si="251">(AD77-INT(AD77))*12</f>
        <v>8.2050261291442439</v>
      </c>
      <c r="AG77" s="41" t="str">
        <f t="shared" si="51"/>
        <v>8</v>
      </c>
      <c r="AH77" s="24">
        <f t="shared" ref="AH77" si="252">(AF77-INT(AF77))*12</f>
        <v>2.4603135497309268</v>
      </c>
      <c r="AI77" s="41" t="str">
        <f t="shared" si="53"/>
        <v>2</v>
      </c>
      <c r="AJ77" s="24">
        <f t="shared" ref="AJ77" si="253">(AH77-INT(AH77))*12</f>
        <v>5.523762596771121</v>
      </c>
      <c r="AK77" s="41" t="str">
        <f t="shared" si="55"/>
        <v/>
      </c>
      <c r="AL77" s="24">
        <f t="shared" ref="AL77" si="254">(AJ77-INT(AJ77))*12</f>
        <v>6.2851511612534523</v>
      </c>
      <c r="AM77" s="41" t="str">
        <f t="shared" si="57"/>
        <v/>
      </c>
      <c r="AN77" s="24">
        <f t="shared" ref="AN77" si="255">(AL77-INT(AL77))*12</f>
        <v>3.4218139350414276</v>
      </c>
      <c r="AO77" s="41" t="str">
        <f t="shared" si="59"/>
        <v/>
      </c>
    </row>
    <row r="78" spans="1:41" ht="14.25" customHeight="1">
      <c r="A78" s="753"/>
      <c r="B78" s="755"/>
      <c r="C78" s="199" t="s">
        <v>377</v>
      </c>
      <c r="D78" s="209" t="str">
        <f>D76</f>
        <v>s</v>
      </c>
      <c r="E78" s="161">
        <f>E76*12</f>
        <v>8100.0023869944434</v>
      </c>
      <c r="F78" s="162">
        <v>3</v>
      </c>
      <c r="G78" s="163">
        <f t="shared" si="29"/>
        <v>8.1000023869944435</v>
      </c>
      <c r="H78" s="192" t="s">
        <v>577</v>
      </c>
      <c r="I78" s="172">
        <f>I76*10</f>
        <v>10000</v>
      </c>
      <c r="J78" s="2" t="s">
        <v>56</v>
      </c>
      <c r="K78" s="8">
        <v>9</v>
      </c>
      <c r="L78" s="21">
        <f>L76*10</f>
        <v>25599.992455921019</v>
      </c>
      <c r="M78" s="37" t="str">
        <f t="shared" si="226"/>
        <v>1;2993EXXE7</v>
      </c>
      <c r="N78" s="38">
        <f>N76+1</f>
        <v>4</v>
      </c>
      <c r="O78" s="61">
        <f t="shared" si="228"/>
        <v>1.2345675374190306</v>
      </c>
      <c r="P78" s="39" t="str">
        <f>INDEX(powers!$H$2:$H$75,33+N78)</f>
        <v>super</v>
      </c>
      <c r="Q78" s="40" t="str">
        <f t="shared" si="35"/>
        <v>1</v>
      </c>
      <c r="R78" s="24">
        <f t="shared" si="229"/>
        <v>2.814810449028367</v>
      </c>
      <c r="S78" s="41" t="str">
        <f t="shared" si="37"/>
        <v>2</v>
      </c>
      <c r="T78" s="24">
        <f t="shared" si="230"/>
        <v>9.7777253883404036</v>
      </c>
      <c r="U78" s="41" t="str">
        <f t="shared" si="39"/>
        <v>9</v>
      </c>
      <c r="V78" s="24">
        <f t="shared" si="231"/>
        <v>9.3327046600848433</v>
      </c>
      <c r="W78" s="41" t="str">
        <f t="shared" si="41"/>
        <v>9</v>
      </c>
      <c r="X78" s="24">
        <f t="shared" si="232"/>
        <v>3.9924559210181201</v>
      </c>
      <c r="Y78" s="41" t="str">
        <f t="shared" si="43"/>
        <v>3</v>
      </c>
      <c r="Z78" s="24">
        <f t="shared" si="233"/>
        <v>11.909471052217441</v>
      </c>
      <c r="AA78" s="41" t="str">
        <f t="shared" si="45"/>
        <v>E</v>
      </c>
      <c r="AB78" s="24">
        <f t="shared" si="234"/>
        <v>10.913652626609291</v>
      </c>
      <c r="AC78" s="41" t="str">
        <f t="shared" si="47"/>
        <v>X</v>
      </c>
      <c r="AD78" s="24">
        <f t="shared" si="235"/>
        <v>10.963831519311498</v>
      </c>
      <c r="AE78" s="41" t="str">
        <f t="shared" si="49"/>
        <v>X</v>
      </c>
      <c r="AF78" s="24">
        <f t="shared" si="236"/>
        <v>11.565978231737972</v>
      </c>
      <c r="AG78" s="41" t="str">
        <f t="shared" si="51"/>
        <v>E</v>
      </c>
      <c r="AH78" s="24">
        <f t="shared" si="237"/>
        <v>6.7917387808556668</v>
      </c>
      <c r="AI78" s="41" t="str">
        <f t="shared" si="53"/>
        <v>7</v>
      </c>
      <c r="AJ78" s="24">
        <f t="shared" si="238"/>
        <v>9.5008653702680022</v>
      </c>
      <c r="AK78" s="41" t="str">
        <f t="shared" si="55"/>
        <v/>
      </c>
      <c r="AL78" s="24">
        <f t="shared" si="239"/>
        <v>6.0103844432160258</v>
      </c>
      <c r="AM78" s="41" t="str">
        <f t="shared" si="57"/>
        <v/>
      </c>
      <c r="AN78" s="24">
        <f t="shared" si="240"/>
        <v>0.12461331859230995</v>
      </c>
      <c r="AO78" s="41" t="str">
        <f t="shared" si="59"/>
        <v/>
      </c>
    </row>
    <row r="79" spans="1:41" ht="14.25" customHeight="1">
      <c r="A79" s="753"/>
      <c r="B79" s="755"/>
      <c r="C79" s="199" t="s">
        <v>378</v>
      </c>
      <c r="D79" s="209" t="str">
        <f>D77</f>
        <v>s</v>
      </c>
      <c r="E79" s="161">
        <f>E80/86400</f>
        <v>1.1250003315270061</v>
      </c>
      <c r="F79" s="162">
        <v>0</v>
      </c>
      <c r="G79" s="163">
        <f t="shared" ref="G79" si="256">E79*POWER(10,-F79)</f>
        <v>1.1250003315270061</v>
      </c>
      <c r="H79" s="192" t="s">
        <v>630</v>
      </c>
      <c r="I79" s="172">
        <v>1</v>
      </c>
      <c r="J79" s="2" t="s">
        <v>630</v>
      </c>
      <c r="K79" s="8">
        <v>9</v>
      </c>
      <c r="L79" s="21">
        <f>1/G79*POWER(12,5)</f>
        <v>221183.93481915758</v>
      </c>
      <c r="M79" s="37" t="str">
        <f t="shared" ref="M79" si="257">Q79&amp;";"&amp;S79&amp;U79&amp;W79&amp;Y79&amp;AA79&amp;AC79&amp;AE79&amp;AG79&amp;AI79&amp;AK79&amp;AM79&amp;AO79</f>
        <v>X;7EEEE2745</v>
      </c>
      <c r="N79" s="38">
        <f>N77+1</f>
        <v>4</v>
      </c>
      <c r="O79" s="61">
        <f t="shared" ref="O79" si="258">L79/POWER(12,N79)</f>
        <v>10.666663523300423</v>
      </c>
      <c r="P79" s="39" t="str">
        <f>INDEX(powers!$H$2:$H$75,33+N79)</f>
        <v>super</v>
      </c>
      <c r="Q79" s="40" t="str">
        <f t="shared" ref="Q79" si="259">IF($K79&gt;=Q$23,MID($N$23,IF($K79&gt;Q$23,INT(O79),ROUND(O79,0))+1,1),"")</f>
        <v>X</v>
      </c>
      <c r="R79" s="24">
        <f t="shared" ref="R79" si="260">(O79-INT(O79))*12</f>
        <v>7.9999622796050787</v>
      </c>
      <c r="S79" s="41" t="str">
        <f t="shared" si="37"/>
        <v>7</v>
      </c>
      <c r="T79" s="24">
        <f t="shared" ref="T79" si="261">(R79-INT(R79))*12</f>
        <v>11.999547355260944</v>
      </c>
      <c r="U79" s="41" t="str">
        <f t="shared" si="39"/>
        <v>E</v>
      </c>
      <c r="V79" s="24">
        <f t="shared" ref="V79" si="262">(T79-INT(T79))*12</f>
        <v>11.994568263131328</v>
      </c>
      <c r="W79" s="41" t="str">
        <f t="shared" si="41"/>
        <v>E</v>
      </c>
      <c r="X79" s="24">
        <f t="shared" ref="X79" si="263">(V79-INT(V79))*12</f>
        <v>11.93481915757593</v>
      </c>
      <c r="Y79" s="41" t="str">
        <f t="shared" si="43"/>
        <v>E</v>
      </c>
      <c r="Z79" s="24">
        <f t="shared" ref="Z79" si="264">(X79-INT(X79))*12</f>
        <v>11.217829890911162</v>
      </c>
      <c r="AA79" s="41" t="str">
        <f t="shared" si="45"/>
        <v>E</v>
      </c>
      <c r="AB79" s="24">
        <f t="shared" ref="AB79" si="265">(Z79-INT(Z79))*12</f>
        <v>2.6139586909339414</v>
      </c>
      <c r="AC79" s="41" t="str">
        <f t="shared" si="47"/>
        <v>2</v>
      </c>
      <c r="AD79" s="24">
        <f t="shared" ref="AD79" si="266">(AB79-INT(AB79))*12</f>
        <v>7.3675042912072968</v>
      </c>
      <c r="AE79" s="41" t="str">
        <f t="shared" si="49"/>
        <v>7</v>
      </c>
      <c r="AF79" s="24">
        <f t="shared" ref="AF79" si="267">(AD79-INT(AD79))*12</f>
        <v>4.4100514944875613</v>
      </c>
      <c r="AG79" s="41" t="str">
        <f t="shared" si="51"/>
        <v>4</v>
      </c>
      <c r="AH79" s="24">
        <f t="shared" ref="AH79" si="268">(AF79-INT(AF79))*12</f>
        <v>4.9206179338507354</v>
      </c>
      <c r="AI79" s="41" t="str">
        <f t="shared" si="53"/>
        <v>5</v>
      </c>
      <c r="AJ79" s="24">
        <f t="shared" ref="AJ79" si="269">(AH79-INT(AH79))*12</f>
        <v>11.047415206208825</v>
      </c>
      <c r="AK79" s="41" t="str">
        <f t="shared" si="55"/>
        <v/>
      </c>
      <c r="AL79" s="24">
        <f t="shared" ref="AL79" si="270">(AJ79-INT(AJ79))*12</f>
        <v>0.56898247450590134</v>
      </c>
      <c r="AM79" s="41" t="str">
        <f t="shared" si="57"/>
        <v/>
      </c>
      <c r="AN79" s="24">
        <f t="shared" ref="AN79" si="271">(AL79-INT(AL79))*12</f>
        <v>6.827789694070816</v>
      </c>
      <c r="AO79" s="41" t="str">
        <f t="shared" si="59"/>
        <v/>
      </c>
    </row>
    <row r="80" spans="1:41" ht="14.25" customHeight="1">
      <c r="A80" s="753"/>
      <c r="B80" s="755"/>
      <c r="C80" s="199" t="s">
        <v>378</v>
      </c>
      <c r="D80" s="209" t="str">
        <f>D78</f>
        <v>s</v>
      </c>
      <c r="E80" s="161">
        <f>E78*12</f>
        <v>97200.028643933329</v>
      </c>
      <c r="F80" s="162">
        <v>3</v>
      </c>
      <c r="G80" s="163">
        <f t="shared" si="29"/>
        <v>97.200028643933337</v>
      </c>
      <c r="H80" s="192" t="s">
        <v>577</v>
      </c>
      <c r="I80" s="172">
        <f>I78*10</f>
        <v>100000</v>
      </c>
      <c r="J80" s="2" t="s">
        <v>576</v>
      </c>
      <c r="K80" s="8">
        <v>9</v>
      </c>
      <c r="L80" s="21">
        <f>L78*10</f>
        <v>255999.92455921019</v>
      </c>
      <c r="M80" s="37" t="str">
        <f t="shared" si="226"/>
        <v>1;04193E118</v>
      </c>
      <c r="N80" s="38">
        <f>N78+1</f>
        <v>5</v>
      </c>
      <c r="O80" s="61">
        <f t="shared" si="228"/>
        <v>1.0288062811825256</v>
      </c>
      <c r="P80" s="39" t="str">
        <f>INDEX(powers!$H$2:$H$75,33+N80)</f>
        <v>cosmic milly</v>
      </c>
      <c r="Q80" s="40" t="str">
        <f t="shared" si="35"/>
        <v>1</v>
      </c>
      <c r="R80" s="24">
        <f t="shared" si="229"/>
        <v>0.34567537419030714</v>
      </c>
      <c r="S80" s="41" t="str">
        <f t="shared" si="37"/>
        <v>0</v>
      </c>
      <c r="T80" s="24">
        <f t="shared" si="230"/>
        <v>4.1481044902836857</v>
      </c>
      <c r="U80" s="41" t="str">
        <f t="shared" si="39"/>
        <v>4</v>
      </c>
      <c r="V80" s="24">
        <f t="shared" si="231"/>
        <v>1.777253883404228</v>
      </c>
      <c r="W80" s="41" t="str">
        <f t="shared" si="41"/>
        <v>1</v>
      </c>
      <c r="X80" s="24">
        <f t="shared" si="232"/>
        <v>9.3270466008507356</v>
      </c>
      <c r="Y80" s="41" t="str">
        <f t="shared" si="43"/>
        <v>9</v>
      </c>
      <c r="Z80" s="24">
        <f t="shared" si="233"/>
        <v>3.9245592102088267</v>
      </c>
      <c r="AA80" s="41" t="str">
        <f t="shared" si="45"/>
        <v>3</v>
      </c>
      <c r="AB80" s="24">
        <f t="shared" si="234"/>
        <v>11.09471052250592</v>
      </c>
      <c r="AC80" s="41" t="str">
        <f t="shared" si="47"/>
        <v>E</v>
      </c>
      <c r="AD80" s="24">
        <f t="shared" si="235"/>
        <v>1.1365262700710446</v>
      </c>
      <c r="AE80" s="41" t="str">
        <f t="shared" si="49"/>
        <v>1</v>
      </c>
      <c r="AF80" s="24">
        <f t="shared" si="236"/>
        <v>1.6383152408525348</v>
      </c>
      <c r="AG80" s="41" t="str">
        <f t="shared" si="51"/>
        <v>1</v>
      </c>
      <c r="AH80" s="24">
        <f t="shared" si="237"/>
        <v>7.6597828902304173</v>
      </c>
      <c r="AI80" s="41" t="str">
        <f t="shared" si="53"/>
        <v>8</v>
      </c>
      <c r="AJ80" s="24">
        <f t="shared" si="238"/>
        <v>7.917394682765007</v>
      </c>
      <c r="AK80" s="41" t="str">
        <f t="shared" si="55"/>
        <v/>
      </c>
      <c r="AL80" s="24">
        <f t="shared" si="239"/>
        <v>11.008736193180084</v>
      </c>
      <c r="AM80" s="41" t="str">
        <f t="shared" si="57"/>
        <v/>
      </c>
      <c r="AN80" s="24">
        <f t="shared" si="240"/>
        <v>0.10483431816101074</v>
      </c>
      <c r="AO80" s="41" t="str">
        <f t="shared" si="59"/>
        <v/>
      </c>
    </row>
    <row r="81" spans="1:41" ht="14.25" customHeight="1" thickBot="1">
      <c r="A81" s="753"/>
      <c r="B81" s="756"/>
      <c r="C81" s="200" t="s">
        <v>379</v>
      </c>
      <c r="D81" s="209" t="str">
        <f t="shared" si="222"/>
        <v>s</v>
      </c>
      <c r="E81" s="186">
        <f t="shared" si="223"/>
        <v>1166400.3437271998</v>
      </c>
      <c r="F81" s="193">
        <v>6</v>
      </c>
      <c r="G81" s="194">
        <f t="shared" si="29"/>
        <v>1.1664003437271997</v>
      </c>
      <c r="H81" s="195" t="s">
        <v>578</v>
      </c>
      <c r="I81" s="172">
        <f t="shared" si="224"/>
        <v>1000000</v>
      </c>
      <c r="J81" s="2" t="s">
        <v>56</v>
      </c>
      <c r="K81" s="8">
        <v>9</v>
      </c>
      <c r="L81" s="21">
        <f t="shared" si="225"/>
        <v>2559999.2455921019</v>
      </c>
      <c r="M81" s="37" t="str">
        <f t="shared" si="226"/>
        <v>X;355932E45</v>
      </c>
      <c r="N81" s="38">
        <v>5</v>
      </c>
      <c r="O81" s="61">
        <f t="shared" si="228"/>
        <v>10.288062811825256</v>
      </c>
      <c r="P81" s="39" t="str">
        <f>INDEX(powers!$H$2:$H$75,33+N81)</f>
        <v>cosmic milly</v>
      </c>
      <c r="Q81" s="40" t="str">
        <f t="shared" si="35"/>
        <v>X</v>
      </c>
      <c r="R81" s="24">
        <f t="shared" si="229"/>
        <v>3.4567537419030714</v>
      </c>
      <c r="S81" s="41" t="str">
        <f t="shared" si="37"/>
        <v>3</v>
      </c>
      <c r="T81" s="24">
        <f t="shared" si="230"/>
        <v>5.4810449028368566</v>
      </c>
      <c r="U81" s="41" t="str">
        <f t="shared" si="39"/>
        <v>5</v>
      </c>
      <c r="V81" s="24">
        <f t="shared" si="231"/>
        <v>5.7725388340422796</v>
      </c>
      <c r="W81" s="41" t="str">
        <f t="shared" si="41"/>
        <v>5</v>
      </c>
      <c r="X81" s="24">
        <f t="shared" si="232"/>
        <v>9.2704660085073556</v>
      </c>
      <c r="Y81" s="41" t="str">
        <f t="shared" si="43"/>
        <v>9</v>
      </c>
      <c r="Z81" s="24">
        <f t="shared" si="233"/>
        <v>3.245592102088267</v>
      </c>
      <c r="AA81" s="41" t="str">
        <f t="shared" si="45"/>
        <v>3</v>
      </c>
      <c r="AB81" s="24">
        <f t="shared" si="234"/>
        <v>2.9471052250592038</v>
      </c>
      <c r="AC81" s="41" t="str">
        <f t="shared" si="47"/>
        <v>2</v>
      </c>
      <c r="AD81" s="24">
        <f t="shared" si="235"/>
        <v>11.365262700710446</v>
      </c>
      <c r="AE81" s="41" t="str">
        <f t="shared" si="49"/>
        <v>E</v>
      </c>
      <c r="AF81" s="24">
        <f t="shared" si="236"/>
        <v>4.3831524085253477</v>
      </c>
      <c r="AG81" s="41" t="str">
        <f t="shared" si="51"/>
        <v>4</v>
      </c>
      <c r="AH81" s="24">
        <f t="shared" si="237"/>
        <v>4.5978289023041725</v>
      </c>
      <c r="AI81" s="41" t="str">
        <f t="shared" si="53"/>
        <v>5</v>
      </c>
      <c r="AJ81" s="24">
        <f t="shared" si="238"/>
        <v>7.1739468276500702</v>
      </c>
      <c r="AK81" s="41" t="str">
        <f t="shared" si="55"/>
        <v/>
      </c>
      <c r="AL81" s="24">
        <f t="shared" si="239"/>
        <v>2.0873619318008423</v>
      </c>
      <c r="AM81" s="41" t="str">
        <f t="shared" si="57"/>
        <v/>
      </c>
      <c r="AN81" s="24">
        <f t="shared" si="240"/>
        <v>1.0483431816101074</v>
      </c>
      <c r="AO81" s="41" t="str">
        <f t="shared" si="59"/>
        <v/>
      </c>
    </row>
    <row r="82" spans="1:41" ht="14.25" customHeight="1">
      <c r="A82" s="753"/>
      <c r="B82" s="757" t="s">
        <v>604</v>
      </c>
      <c r="C82" s="175" t="s">
        <v>570</v>
      </c>
      <c r="D82" s="218" t="s">
        <v>581</v>
      </c>
      <c r="E82" s="158">
        <f t="shared" ref="E82:E86" si="272">E83/12</f>
        <v>4.4149361511287814E-8</v>
      </c>
      <c r="F82" s="196">
        <v>-9</v>
      </c>
      <c r="G82" s="197">
        <f t="shared" si="29"/>
        <v>44.149361511287815</v>
      </c>
      <c r="H82" s="198" t="s">
        <v>582</v>
      </c>
      <c r="I82" s="190">
        <f t="shared" ref="I82:I86" si="273">I83/10</f>
        <v>1.0000000000000002E-6</v>
      </c>
      <c r="J82" s="154" t="s">
        <v>61</v>
      </c>
      <c r="K82" s="152">
        <v>9</v>
      </c>
      <c r="L82" s="151">
        <f t="shared" ref="L82:L86" si="274">L83/10</f>
        <v>7.5855678364625889E-6</v>
      </c>
      <c r="M82" s="155" t="str">
        <f t="shared" si="226"/>
        <v>1;X797X4495</v>
      </c>
      <c r="N82" s="156">
        <f t="shared" ref="N82:N86" si="275">N83-1</f>
        <v>-5</v>
      </c>
      <c r="O82" s="164">
        <f t="shared" si="228"/>
        <v>1.8875320158826587</v>
      </c>
      <c r="P82" s="157" t="str">
        <f>INDEX(powers!$H$2:$H$75,33+N82)</f>
        <v>atomic kily</v>
      </c>
      <c r="Q82" s="40" t="str">
        <f t="shared" si="35"/>
        <v>1</v>
      </c>
      <c r="R82" s="24">
        <f t="shared" si="229"/>
        <v>10.650384190591904</v>
      </c>
      <c r="S82" s="41" t="str">
        <f t="shared" si="37"/>
        <v>X</v>
      </c>
      <c r="T82" s="24">
        <f t="shared" si="230"/>
        <v>7.8046102871028467</v>
      </c>
      <c r="U82" s="41" t="str">
        <f t="shared" si="39"/>
        <v>7</v>
      </c>
      <c r="V82" s="24">
        <f t="shared" si="231"/>
        <v>9.6553234452341599</v>
      </c>
      <c r="W82" s="41" t="str">
        <f t="shared" si="41"/>
        <v>9</v>
      </c>
      <c r="X82" s="24">
        <f t="shared" si="232"/>
        <v>7.8638813428099184</v>
      </c>
      <c r="Y82" s="41" t="str">
        <f t="shared" si="43"/>
        <v>7</v>
      </c>
      <c r="Z82" s="24">
        <f t="shared" si="233"/>
        <v>10.36657611371902</v>
      </c>
      <c r="AA82" s="41" t="str">
        <f t="shared" si="45"/>
        <v>X</v>
      </c>
      <c r="AB82" s="24">
        <f t="shared" si="234"/>
        <v>4.3989133646282426</v>
      </c>
      <c r="AC82" s="41" t="str">
        <f t="shared" si="47"/>
        <v>4</v>
      </c>
      <c r="AD82" s="24">
        <f t="shared" si="235"/>
        <v>4.7869603755389107</v>
      </c>
      <c r="AE82" s="41" t="str">
        <f t="shared" si="49"/>
        <v>4</v>
      </c>
      <c r="AF82" s="24">
        <f t="shared" si="236"/>
        <v>9.4435245064669289</v>
      </c>
      <c r="AG82" s="41" t="str">
        <f t="shared" si="51"/>
        <v>9</v>
      </c>
      <c r="AH82" s="24">
        <f t="shared" si="237"/>
        <v>5.3222940776031464</v>
      </c>
      <c r="AI82" s="41" t="str">
        <f t="shared" si="53"/>
        <v>5</v>
      </c>
      <c r="AJ82" s="24">
        <f t="shared" si="238"/>
        <v>3.8675289312377572</v>
      </c>
      <c r="AK82" s="41" t="str">
        <f t="shared" si="55"/>
        <v/>
      </c>
      <c r="AL82" s="24">
        <f t="shared" si="239"/>
        <v>10.410347174853086</v>
      </c>
      <c r="AM82" s="41" t="str">
        <f t="shared" si="57"/>
        <v/>
      </c>
      <c r="AN82" s="24">
        <f t="shared" si="240"/>
        <v>4.9241660982370377</v>
      </c>
      <c r="AO82" s="41" t="str">
        <f t="shared" si="59"/>
        <v/>
      </c>
    </row>
    <row r="83" spans="1:41" ht="14.25" customHeight="1">
      <c r="A83" s="753"/>
      <c r="B83" s="755"/>
      <c r="C83" s="179" t="s">
        <v>571</v>
      </c>
      <c r="D83" s="3" t="str">
        <f>D82</f>
        <v>g</v>
      </c>
      <c r="E83" s="161">
        <f t="shared" si="272"/>
        <v>5.2979233813545374E-7</v>
      </c>
      <c r="F83" s="176">
        <v>-9</v>
      </c>
      <c r="G83" s="177">
        <f t="shared" si="29"/>
        <v>529.79233813545375</v>
      </c>
      <c r="H83" s="178" t="s">
        <v>582</v>
      </c>
      <c r="I83" s="167">
        <f t="shared" si="273"/>
        <v>1.0000000000000001E-5</v>
      </c>
      <c r="J83" s="2" t="s">
        <v>61</v>
      </c>
      <c r="K83" s="8">
        <v>9</v>
      </c>
      <c r="L83" s="21">
        <f t="shared" si="274"/>
        <v>7.5855678364625891E-5</v>
      </c>
      <c r="M83" s="37" t="str">
        <f t="shared" si="226"/>
        <v>1;6X60677EX</v>
      </c>
      <c r="N83" s="38">
        <f t="shared" si="275"/>
        <v>-4</v>
      </c>
      <c r="O83" s="61">
        <f t="shared" si="228"/>
        <v>1.5729433465688825</v>
      </c>
      <c r="P83" s="39" t="str">
        <f>INDEX(powers!$H$2:$H$75,33+N83)</f>
        <v>sub</v>
      </c>
      <c r="Q83" s="40" t="str">
        <f t="shared" si="35"/>
        <v>1</v>
      </c>
      <c r="R83" s="24">
        <f t="shared" si="229"/>
        <v>6.8753201588265895</v>
      </c>
      <c r="S83" s="41" t="str">
        <f t="shared" si="37"/>
        <v>6</v>
      </c>
      <c r="T83" s="24">
        <f t="shared" si="230"/>
        <v>10.503841905919074</v>
      </c>
      <c r="U83" s="41" t="str">
        <f t="shared" si="39"/>
        <v>X</v>
      </c>
      <c r="V83" s="24">
        <f t="shared" si="231"/>
        <v>6.0461028710288929</v>
      </c>
      <c r="W83" s="41" t="str">
        <f t="shared" si="41"/>
        <v>6</v>
      </c>
      <c r="X83" s="24">
        <f t="shared" si="232"/>
        <v>0.55323445234671453</v>
      </c>
      <c r="Y83" s="41" t="str">
        <f t="shared" si="43"/>
        <v>0</v>
      </c>
      <c r="Z83" s="24">
        <f t="shared" si="233"/>
        <v>6.6388134281605744</v>
      </c>
      <c r="AA83" s="41" t="str">
        <f t="shared" si="45"/>
        <v>6</v>
      </c>
      <c r="AB83" s="24">
        <f t="shared" si="234"/>
        <v>7.6657611379268928</v>
      </c>
      <c r="AC83" s="41" t="str">
        <f t="shared" si="47"/>
        <v>7</v>
      </c>
      <c r="AD83" s="24">
        <f t="shared" si="235"/>
        <v>7.9891336551227141</v>
      </c>
      <c r="AE83" s="41" t="str">
        <f t="shared" si="49"/>
        <v>7</v>
      </c>
      <c r="AF83" s="24">
        <f t="shared" si="236"/>
        <v>11.869603861472569</v>
      </c>
      <c r="AG83" s="41" t="str">
        <f t="shared" si="51"/>
        <v>E</v>
      </c>
      <c r="AH83" s="24">
        <f t="shared" si="237"/>
        <v>10.435246337670833</v>
      </c>
      <c r="AI83" s="41" t="str">
        <f t="shared" si="53"/>
        <v>X</v>
      </c>
      <c r="AJ83" s="24">
        <f t="shared" si="238"/>
        <v>5.2229560520499945</v>
      </c>
      <c r="AK83" s="41" t="str">
        <f t="shared" si="55"/>
        <v/>
      </c>
      <c r="AL83" s="24">
        <f t="shared" si="239"/>
        <v>2.6754726245999336</v>
      </c>
      <c r="AM83" s="41" t="str">
        <f t="shared" si="57"/>
        <v/>
      </c>
      <c r="AN83" s="24">
        <f t="shared" si="240"/>
        <v>8.1056714951992035</v>
      </c>
      <c r="AO83" s="41" t="str">
        <f t="shared" si="59"/>
        <v/>
      </c>
    </row>
    <row r="84" spans="1:41" ht="14.25" customHeight="1">
      <c r="A84" s="753"/>
      <c r="B84" s="755"/>
      <c r="C84" s="180" t="s">
        <v>572</v>
      </c>
      <c r="D84" s="3" t="str">
        <f t="shared" ref="D84:D94" si="276">D83</f>
        <v>g</v>
      </c>
      <c r="E84" s="161">
        <f t="shared" si="272"/>
        <v>6.3575080576254445E-6</v>
      </c>
      <c r="F84" s="176">
        <v>-6</v>
      </c>
      <c r="G84" s="177">
        <f t="shared" si="29"/>
        <v>6.3575080576254441</v>
      </c>
      <c r="H84" s="178" t="s">
        <v>583</v>
      </c>
      <c r="I84" s="168">
        <f t="shared" si="273"/>
        <v>1E-4</v>
      </c>
      <c r="J84" s="2" t="s">
        <v>61</v>
      </c>
      <c r="K84" s="8">
        <v>9</v>
      </c>
      <c r="L84" s="21">
        <f t="shared" si="274"/>
        <v>7.5855678364625885E-4</v>
      </c>
      <c r="M84" s="37" t="str">
        <f t="shared" si="226"/>
        <v>1;38905647E</v>
      </c>
      <c r="N84" s="38">
        <f t="shared" si="275"/>
        <v>-3</v>
      </c>
      <c r="O84" s="61">
        <f t="shared" si="228"/>
        <v>1.3107861221407353</v>
      </c>
      <c r="P84" s="39" t="str">
        <f>INDEX(powers!$H$2:$H$75,33+N84)</f>
        <v>milly</v>
      </c>
      <c r="Q84" s="40" t="str">
        <f t="shared" si="35"/>
        <v>1</v>
      </c>
      <c r="R84" s="24">
        <f t="shared" si="229"/>
        <v>3.7294334656888237</v>
      </c>
      <c r="S84" s="41" t="str">
        <f t="shared" si="37"/>
        <v>3</v>
      </c>
      <c r="T84" s="24">
        <f t="shared" si="230"/>
        <v>8.7532015882658847</v>
      </c>
      <c r="U84" s="41" t="str">
        <f t="shared" si="39"/>
        <v>8</v>
      </c>
      <c r="V84" s="24">
        <f t="shared" si="231"/>
        <v>9.0384190591906162</v>
      </c>
      <c r="W84" s="41" t="str">
        <f t="shared" si="41"/>
        <v>9</v>
      </c>
      <c r="X84" s="24">
        <f t="shared" si="232"/>
        <v>0.46102871028739401</v>
      </c>
      <c r="Y84" s="41" t="str">
        <f t="shared" si="43"/>
        <v>0</v>
      </c>
      <c r="Z84" s="24">
        <f t="shared" si="233"/>
        <v>5.5323445234487281</v>
      </c>
      <c r="AA84" s="41" t="str">
        <f t="shared" si="45"/>
        <v>5</v>
      </c>
      <c r="AB84" s="24">
        <f t="shared" si="234"/>
        <v>6.3881342813847368</v>
      </c>
      <c r="AC84" s="41" t="str">
        <f t="shared" si="47"/>
        <v>6</v>
      </c>
      <c r="AD84" s="24">
        <f t="shared" si="235"/>
        <v>4.6576113766168419</v>
      </c>
      <c r="AE84" s="41" t="str">
        <f t="shared" si="49"/>
        <v>4</v>
      </c>
      <c r="AF84" s="24">
        <f t="shared" si="236"/>
        <v>7.8913365194021026</v>
      </c>
      <c r="AG84" s="41" t="str">
        <f t="shared" si="51"/>
        <v>7</v>
      </c>
      <c r="AH84" s="24">
        <f t="shared" si="237"/>
        <v>10.696038232825231</v>
      </c>
      <c r="AI84" s="41" t="str">
        <f t="shared" si="53"/>
        <v>E</v>
      </c>
      <c r="AJ84" s="24">
        <f t="shared" si="238"/>
        <v>8.3524587939027697</v>
      </c>
      <c r="AK84" s="41" t="str">
        <f t="shared" si="55"/>
        <v/>
      </c>
      <c r="AL84" s="24">
        <f t="shared" si="239"/>
        <v>4.2295055268332362</v>
      </c>
      <c r="AM84" s="41" t="str">
        <f t="shared" si="57"/>
        <v/>
      </c>
      <c r="AN84" s="24">
        <f t="shared" si="240"/>
        <v>2.7540663219988346</v>
      </c>
      <c r="AO84" s="41" t="str">
        <f t="shared" si="59"/>
        <v/>
      </c>
    </row>
    <row r="85" spans="1:41" ht="14.25" customHeight="1">
      <c r="A85" s="753"/>
      <c r="B85" s="755"/>
      <c r="C85" s="181" t="s">
        <v>573</v>
      </c>
      <c r="D85" s="3" t="str">
        <f t="shared" si="276"/>
        <v>g</v>
      </c>
      <c r="E85" s="161">
        <f t="shared" si="272"/>
        <v>7.6290096691505337E-5</v>
      </c>
      <c r="F85" s="176">
        <v>-6</v>
      </c>
      <c r="G85" s="177">
        <f t="shared" si="29"/>
        <v>76.29009669150534</v>
      </c>
      <c r="H85" s="178" t="s">
        <v>583</v>
      </c>
      <c r="I85" s="169">
        <f t="shared" si="273"/>
        <v>1E-3</v>
      </c>
      <c r="J85" s="2" t="s">
        <v>61</v>
      </c>
      <c r="K85" s="8">
        <v>9</v>
      </c>
      <c r="L85" s="21">
        <f t="shared" si="274"/>
        <v>7.5855678364625881E-3</v>
      </c>
      <c r="M85" s="37" t="str">
        <f t="shared" si="226"/>
        <v>1;1136473X7</v>
      </c>
      <c r="N85" s="38">
        <v>-2</v>
      </c>
      <c r="O85" s="61">
        <f t="shared" si="228"/>
        <v>1.0923217684506128</v>
      </c>
      <c r="P85" s="39" t="str">
        <f>INDEX(powers!$H$2:$H$75,33+N85)</f>
        <v>centy</v>
      </c>
      <c r="Q85" s="40" t="str">
        <f t="shared" si="35"/>
        <v>1</v>
      </c>
      <c r="R85" s="24">
        <f t="shared" si="229"/>
        <v>1.1078612214073535</v>
      </c>
      <c r="S85" s="41" t="str">
        <f t="shared" si="37"/>
        <v>1</v>
      </c>
      <c r="T85" s="24">
        <f t="shared" si="230"/>
        <v>1.2943346568882426</v>
      </c>
      <c r="U85" s="41" t="str">
        <f t="shared" si="39"/>
        <v>1</v>
      </c>
      <c r="V85" s="24">
        <f t="shared" si="231"/>
        <v>3.5320158826589108</v>
      </c>
      <c r="W85" s="41" t="str">
        <f t="shared" si="41"/>
        <v>3</v>
      </c>
      <c r="X85" s="24">
        <f t="shared" si="232"/>
        <v>6.3841905919069291</v>
      </c>
      <c r="Y85" s="41" t="str">
        <f t="shared" si="43"/>
        <v>6</v>
      </c>
      <c r="Z85" s="24">
        <f t="shared" si="233"/>
        <v>4.6102871028831487</v>
      </c>
      <c r="AA85" s="41" t="str">
        <f t="shared" si="45"/>
        <v>4</v>
      </c>
      <c r="AB85" s="24">
        <f t="shared" si="234"/>
        <v>7.3234452345977843</v>
      </c>
      <c r="AC85" s="41" t="str">
        <f t="shared" si="47"/>
        <v>7</v>
      </c>
      <c r="AD85" s="24">
        <f t="shared" si="235"/>
        <v>3.8813428151734115</v>
      </c>
      <c r="AE85" s="41" t="str">
        <f t="shared" si="49"/>
        <v>3</v>
      </c>
      <c r="AF85" s="24">
        <f t="shared" si="236"/>
        <v>10.576113782080938</v>
      </c>
      <c r="AG85" s="41" t="str">
        <f t="shared" si="51"/>
        <v>X</v>
      </c>
      <c r="AH85" s="24">
        <f t="shared" si="237"/>
        <v>6.9133653849712573</v>
      </c>
      <c r="AI85" s="41" t="str">
        <f t="shared" si="53"/>
        <v>7</v>
      </c>
      <c r="AJ85" s="24">
        <f t="shared" si="238"/>
        <v>10.960384619655088</v>
      </c>
      <c r="AK85" s="41" t="str">
        <f t="shared" si="55"/>
        <v/>
      </c>
      <c r="AL85" s="24">
        <f t="shared" si="239"/>
        <v>11.524615435861051</v>
      </c>
      <c r="AM85" s="41" t="str">
        <f t="shared" si="57"/>
        <v/>
      </c>
      <c r="AN85" s="24">
        <f t="shared" si="240"/>
        <v>6.295385230332613</v>
      </c>
      <c r="AO85" s="41" t="str">
        <f t="shared" si="59"/>
        <v/>
      </c>
    </row>
    <row r="86" spans="1:41" ht="14.25" customHeight="1">
      <c r="A86" s="753"/>
      <c r="B86" s="755"/>
      <c r="C86" s="182" t="s">
        <v>574</v>
      </c>
      <c r="D86" s="3" t="str">
        <f t="shared" si="276"/>
        <v>g</v>
      </c>
      <c r="E86" s="161">
        <f t="shared" si="272"/>
        <v>9.1548116029806399E-4</v>
      </c>
      <c r="F86" s="176">
        <v>-6</v>
      </c>
      <c r="G86" s="177">
        <f t="shared" si="29"/>
        <v>915.48116029806397</v>
      </c>
      <c r="H86" s="178" t="s">
        <v>583</v>
      </c>
      <c r="I86" s="170">
        <f t="shared" si="273"/>
        <v>0.01</v>
      </c>
      <c r="J86" s="2" t="s">
        <v>61</v>
      </c>
      <c r="K86" s="8">
        <v>9</v>
      </c>
      <c r="L86" s="21">
        <f t="shared" si="274"/>
        <v>7.5855678364625881E-2</v>
      </c>
      <c r="M86" s="37" t="str">
        <f t="shared" si="226"/>
        <v>X;E0E3X1299</v>
      </c>
      <c r="N86" s="38">
        <f t="shared" si="275"/>
        <v>-2</v>
      </c>
      <c r="O86" s="61">
        <f t="shared" si="228"/>
        <v>10.923217684506128</v>
      </c>
      <c r="P86" s="39" t="str">
        <f>INDEX(powers!$H$2:$H$75,33+N86)</f>
        <v>centy</v>
      </c>
      <c r="Q86" s="40" t="str">
        <f t="shared" si="35"/>
        <v>X</v>
      </c>
      <c r="R86" s="24">
        <f t="shared" si="229"/>
        <v>11.07861221407353</v>
      </c>
      <c r="S86" s="41" t="str">
        <f t="shared" si="37"/>
        <v>E</v>
      </c>
      <c r="T86" s="24">
        <f t="shared" si="230"/>
        <v>0.94334656888236168</v>
      </c>
      <c r="U86" s="41" t="str">
        <f t="shared" si="39"/>
        <v>0</v>
      </c>
      <c r="V86" s="24">
        <f t="shared" si="231"/>
        <v>11.32015882658834</v>
      </c>
      <c r="W86" s="41" t="str">
        <f t="shared" si="41"/>
        <v>E</v>
      </c>
      <c r="X86" s="24">
        <f t="shared" si="232"/>
        <v>3.8419059190600819</v>
      </c>
      <c r="Y86" s="41" t="str">
        <f t="shared" si="43"/>
        <v>3</v>
      </c>
      <c r="Z86" s="24">
        <f t="shared" si="233"/>
        <v>10.102871028720983</v>
      </c>
      <c r="AA86" s="41" t="str">
        <f t="shared" si="45"/>
        <v>X</v>
      </c>
      <c r="AB86" s="24">
        <f t="shared" si="234"/>
        <v>1.2344523446517996</v>
      </c>
      <c r="AC86" s="41" t="str">
        <f t="shared" si="47"/>
        <v>1</v>
      </c>
      <c r="AD86" s="24">
        <f t="shared" si="235"/>
        <v>2.8134281358215958</v>
      </c>
      <c r="AE86" s="41" t="str">
        <f t="shared" si="49"/>
        <v>2</v>
      </c>
      <c r="AF86" s="24">
        <f t="shared" si="236"/>
        <v>9.7611376298591495</v>
      </c>
      <c r="AG86" s="41" t="str">
        <f t="shared" si="51"/>
        <v>9</v>
      </c>
      <c r="AH86" s="24">
        <f t="shared" si="237"/>
        <v>9.1336515583097935</v>
      </c>
      <c r="AI86" s="41" t="str">
        <f t="shared" si="53"/>
        <v>9</v>
      </c>
      <c r="AJ86" s="24">
        <f t="shared" si="238"/>
        <v>1.6038186997175217</v>
      </c>
      <c r="AK86" s="41" t="str">
        <f t="shared" si="55"/>
        <v/>
      </c>
      <c r="AL86" s="24">
        <f t="shared" si="239"/>
        <v>7.24582439661026</v>
      </c>
      <c r="AM86" s="41" t="str">
        <f t="shared" si="57"/>
        <v/>
      </c>
      <c r="AN86" s="24">
        <f t="shared" si="240"/>
        <v>2.9498927593231201</v>
      </c>
      <c r="AO86" s="41" t="str">
        <f t="shared" si="59"/>
        <v/>
      </c>
    </row>
    <row r="87" spans="1:41" ht="14.25" customHeight="1">
      <c r="A87" s="753"/>
      <c r="B87" s="755"/>
      <c r="C87" s="183" t="s">
        <v>575</v>
      </c>
      <c r="D87" s="3" t="str">
        <f t="shared" si="276"/>
        <v>g</v>
      </c>
      <c r="E87" s="161">
        <f>E88/12</f>
        <v>1.0985773923576768E-2</v>
      </c>
      <c r="F87" s="176">
        <v>-3</v>
      </c>
      <c r="G87" s="177">
        <f t="shared" si="29"/>
        <v>10.985773923576767</v>
      </c>
      <c r="H87" s="178" t="s">
        <v>581</v>
      </c>
      <c r="I87" s="171">
        <f>I88/10</f>
        <v>0.1</v>
      </c>
      <c r="J87" s="2" t="s">
        <v>61</v>
      </c>
      <c r="K87" s="8">
        <v>9</v>
      </c>
      <c r="L87" s="21">
        <f>L88/10</f>
        <v>0.75855678364625878</v>
      </c>
      <c r="M87" s="37" t="str">
        <f>Q87&amp;";"&amp;S87&amp;U87&amp;W87&amp;Y87&amp;AA87&amp;AC87&amp;AE87&amp;AG87&amp;AI87&amp;AK87&amp;AM87&amp;AO87</f>
        <v>9;129525042</v>
      </c>
      <c r="N87" s="38">
        <f>N88-1</f>
        <v>-1</v>
      </c>
      <c r="O87" s="61">
        <f t="shared" si="228"/>
        <v>9.1026814037551063</v>
      </c>
      <c r="P87" s="39" t="str">
        <f>INDEX(powers!$H$2:$H$75,33+N87)</f>
        <v>dour</v>
      </c>
      <c r="Q87" s="40" t="str">
        <f t="shared" si="35"/>
        <v>9</v>
      </c>
      <c r="R87" s="24">
        <f>(O87-INT(O87))*12</f>
        <v>1.2321768450612751</v>
      </c>
      <c r="S87" s="41" t="str">
        <f t="shared" si="37"/>
        <v>1</v>
      </c>
      <c r="T87" s="24">
        <f>(R87-INT(R87))*12</f>
        <v>2.7861221407353014</v>
      </c>
      <c r="U87" s="41" t="str">
        <f t="shared" si="39"/>
        <v>2</v>
      </c>
      <c r="V87" s="24">
        <f>(T87-INT(T87))*12</f>
        <v>9.4334656888236168</v>
      </c>
      <c r="W87" s="41" t="str">
        <f t="shared" si="41"/>
        <v>9</v>
      </c>
      <c r="X87" s="24">
        <f>(V87-INT(V87))*12</f>
        <v>5.2015882658834016</v>
      </c>
      <c r="Y87" s="41" t="str">
        <f t="shared" si="43"/>
        <v>5</v>
      </c>
      <c r="Z87" s="24">
        <f>(X87-INT(X87))*12</f>
        <v>2.4190591906008194</v>
      </c>
      <c r="AA87" s="41" t="str">
        <f t="shared" si="45"/>
        <v>2</v>
      </c>
      <c r="AB87" s="24">
        <f>(Z87-INT(Z87))*12</f>
        <v>5.028710287209833</v>
      </c>
      <c r="AC87" s="41" t="str">
        <f t="shared" si="47"/>
        <v>5</v>
      </c>
      <c r="AD87" s="24">
        <f>(AB87-INT(AB87))*12</f>
        <v>0.34452344651799649</v>
      </c>
      <c r="AE87" s="41" t="str">
        <f t="shared" si="49"/>
        <v>0</v>
      </c>
      <c r="AF87" s="24">
        <f>(AD87-INT(AD87))*12</f>
        <v>4.1342813582159579</v>
      </c>
      <c r="AG87" s="41" t="str">
        <f t="shared" si="51"/>
        <v>4</v>
      </c>
      <c r="AH87" s="24">
        <f>(AF87-INT(AF87))*12</f>
        <v>1.6113762985914946</v>
      </c>
      <c r="AI87" s="41" t="str">
        <f t="shared" si="53"/>
        <v>2</v>
      </c>
      <c r="AJ87" s="24">
        <f>(AH87-INT(AH87))*12</f>
        <v>7.3365155830979347</v>
      </c>
      <c r="AK87" s="41" t="str">
        <f t="shared" si="55"/>
        <v/>
      </c>
      <c r="AL87" s="24">
        <f>(AJ87-INT(AJ87))*12</f>
        <v>4.0381869971752167</v>
      </c>
      <c r="AM87" s="41" t="str">
        <f t="shared" si="57"/>
        <v/>
      </c>
      <c r="AN87" s="24">
        <f>(AL87-INT(AL87))*12</f>
        <v>0.4582439661026001</v>
      </c>
      <c r="AO87" s="41" t="str">
        <f t="shared" si="59"/>
        <v/>
      </c>
    </row>
    <row r="88" spans="1:41" ht="14.25" customHeight="1">
      <c r="A88" s="753"/>
      <c r="B88" s="755"/>
      <c r="C88" s="184" t="s">
        <v>618</v>
      </c>
      <c r="D88" s="209" t="str">
        <f t="shared" si="276"/>
        <v>g</v>
      </c>
      <c r="E88" s="161">
        <f>E8</f>
        <v>0.13182928708292121</v>
      </c>
      <c r="F88" s="176">
        <v>-3</v>
      </c>
      <c r="G88" s="177">
        <f t="shared" si="29"/>
        <v>131.82928708292121</v>
      </c>
      <c r="H88" s="178" t="s">
        <v>581</v>
      </c>
      <c r="I88" s="172">
        <v>1</v>
      </c>
      <c r="J88" s="2" t="s">
        <v>61</v>
      </c>
      <c r="K88" s="8">
        <v>9</v>
      </c>
      <c r="L88" s="21">
        <f>1/E88</f>
        <v>7.5855678364625874</v>
      </c>
      <c r="M88" s="37" t="str">
        <f>Q88&amp;";"&amp;S88&amp;U88&amp;W88&amp;Y88&amp;AA88&amp;AC88&amp;AE88&amp;AG88&amp;AI88&amp;AK88&amp;AM88&amp;AO88</f>
        <v>7;703X40235</v>
      </c>
      <c r="N88" s="38">
        <v>0</v>
      </c>
      <c r="O88" s="61">
        <f t="shared" si="228"/>
        <v>7.5855678364625874</v>
      </c>
      <c r="P88" s="39" t="str">
        <f>INDEX(powers!$H$2:$H$75,33+N88)</f>
        <v xml:space="preserve"> </v>
      </c>
      <c r="Q88" s="40" t="str">
        <f t="shared" si="35"/>
        <v>7</v>
      </c>
      <c r="R88" s="24">
        <f>(O88-INT(O88))*12</f>
        <v>7.0268140375510484</v>
      </c>
      <c r="S88" s="41" t="str">
        <f t="shared" ref="S88:S117" si="277">IF($K88&gt;=S$23,MID($N$23,IF($K88&gt;S$23,INT(R88),ROUND(R88,0))+1,1),"")</f>
        <v>7</v>
      </c>
      <c r="T88" s="24">
        <f>(R88-INT(R88))*12</f>
        <v>0.32176845061258064</v>
      </c>
      <c r="U88" s="41" t="str">
        <f t="shared" ref="U88:U117" si="278">IF($K88&gt;=U$23,MID($N$23,IF($K88&gt;U$23,INT(T88),ROUND(T88,0))+1,1),"")</f>
        <v>0</v>
      </c>
      <c r="V88" s="24">
        <f>(T88-INT(T88))*12</f>
        <v>3.8612214073509676</v>
      </c>
      <c r="W88" s="41" t="str">
        <f t="shared" ref="W88:W117" si="279">IF($K88&gt;=W$23,MID($N$23,IF($K88&gt;W$23,INT(V88),ROUND(V88,0))+1,1),"")</f>
        <v>3</v>
      </c>
      <c r="X88" s="24">
        <f>(V88-INT(V88))*12</f>
        <v>10.334656888211612</v>
      </c>
      <c r="Y88" s="41" t="str">
        <f t="shared" ref="Y88:Y117" si="280">IF($K88&gt;=Y$23,MID($N$23,IF($K88&gt;Y$23,INT(X88),ROUND(X88,0))+1,1),"")</f>
        <v>X</v>
      </c>
      <c r="Z88" s="24">
        <f>(X88-INT(X88))*12</f>
        <v>4.0158826585393399</v>
      </c>
      <c r="AA88" s="41" t="str">
        <f t="shared" ref="AA88:AA117" si="281">IF($K88&gt;=AA$23,MID($N$23,IF($K88&gt;AA$23,INT(Z88),ROUND(Z88,0))+1,1),"")</f>
        <v>4</v>
      </c>
      <c r="AB88" s="24">
        <f>(Z88-INT(Z88))*12</f>
        <v>0.1905919024720788</v>
      </c>
      <c r="AC88" s="41" t="str">
        <f t="shared" ref="AC88:AC117" si="282">IF($K88&gt;=AC$23,MID($N$23,IF($K88&gt;AC$23,INT(AB88),ROUND(AB88,0))+1,1),"")</f>
        <v>0</v>
      </c>
      <c r="AD88" s="24">
        <f>(AB88-INT(AB88))*12</f>
        <v>2.2871028296649456</v>
      </c>
      <c r="AE88" s="41" t="str">
        <f t="shared" ref="AE88:AE117" si="283">IF($K88&gt;=AE$23,MID($N$23,IF($K88&gt;AE$23,INT(AD88),ROUND(AD88,0))+1,1),"")</f>
        <v>2</v>
      </c>
      <c r="AF88" s="24">
        <f>(AD88-INT(AD88))*12</f>
        <v>3.4452339559793472</v>
      </c>
      <c r="AG88" s="41" t="str">
        <f t="shared" ref="AG88:AG117" si="284">IF($K88&gt;=AG$23,MID($N$23,IF($K88&gt;AG$23,INT(AF88),ROUND(AF88,0))+1,1),"")</f>
        <v>3</v>
      </c>
      <c r="AH88" s="24">
        <f>(AF88-INT(AF88))*12</f>
        <v>5.3428074717521667</v>
      </c>
      <c r="AI88" s="41" t="str">
        <f t="shared" ref="AI88:AI117" si="285">IF($K88&gt;=AI$23,MID($N$23,IF($K88&gt;AI$23,INT(AH88),ROUND(AH88,0))+1,1),"")</f>
        <v>5</v>
      </c>
      <c r="AJ88" s="24">
        <f>(AH88-INT(AH88))*12</f>
        <v>4.113689661026001</v>
      </c>
      <c r="AK88" s="41" t="str">
        <f t="shared" ref="AK88:AK117" si="286">IF($K88&gt;=AK$23,MID($N$23,IF($K88&gt;AK$23,INT(AJ88),ROUND(AJ88,0))+1,1),"")</f>
        <v/>
      </c>
      <c r="AL88" s="24">
        <f>(AJ88-INT(AJ88))*12</f>
        <v>1.3642759323120117</v>
      </c>
      <c r="AM88" s="41" t="str">
        <f t="shared" ref="AM88:AM117" si="287">IF($K88&gt;=AM$23,MID($N$23,IF($K88&gt;AM$23,INT(AL88),ROUND(AL88,0))+1,1),"")</f>
        <v/>
      </c>
      <c r="AN88" s="24">
        <f>(AL88-INT(AL88))*12</f>
        <v>4.3713111877441406</v>
      </c>
      <c r="AO88" s="41" t="str">
        <f t="shared" ref="AO88:AO117" si="288">IF($K88&gt;=AO$23,MID($N$23,IF($K88&gt;AO$23,INT(AN88),ROUND(AN88,0))+1,1),"")</f>
        <v/>
      </c>
    </row>
    <row r="89" spans="1:41" ht="14.25" customHeight="1">
      <c r="A89" s="753"/>
      <c r="B89" s="755"/>
      <c r="C89" s="184" t="s">
        <v>619</v>
      </c>
      <c r="D89" s="209" t="str">
        <f t="shared" si="276"/>
        <v>g</v>
      </c>
      <c r="E89" s="161">
        <f>E88*12</f>
        <v>1.5819514449950547</v>
      </c>
      <c r="F89" s="176">
        <v>0</v>
      </c>
      <c r="G89" s="177">
        <f t="shared" si="29"/>
        <v>1.5819514449950547</v>
      </c>
      <c r="H89" s="178" t="s">
        <v>584</v>
      </c>
      <c r="I89" s="172">
        <f>I88*10</f>
        <v>10</v>
      </c>
      <c r="J89" s="2" t="s">
        <v>61</v>
      </c>
      <c r="K89" s="8">
        <v>9</v>
      </c>
      <c r="L89" s="21">
        <f>L88*10</f>
        <v>75.855678364625874</v>
      </c>
      <c r="M89" s="37" t="str">
        <f>Q89&amp;";"&amp;S89&amp;U89&amp;W89&amp;Y89&amp;AA89&amp;AC89&amp;AE89&amp;AG89&amp;AI89&amp;AK89&amp;AM89&amp;AO89</f>
        <v>6;3X32741XX</v>
      </c>
      <c r="N89" s="38">
        <f>N88+1</f>
        <v>1</v>
      </c>
      <c r="O89" s="61">
        <f t="shared" si="228"/>
        <v>6.3213065303854892</v>
      </c>
      <c r="P89" s="39" t="str">
        <f>INDEX(powers!$H$2:$H$75,33+N89)</f>
        <v>dirac</v>
      </c>
      <c r="Q89" s="40" t="str">
        <f t="shared" si="35"/>
        <v>6</v>
      </c>
      <c r="R89" s="24">
        <f>(O89-INT(O89))*12</f>
        <v>3.8556783646258701</v>
      </c>
      <c r="S89" s="41" t="str">
        <f t="shared" si="277"/>
        <v>3</v>
      </c>
      <c r="T89" s="24">
        <f>(R89-INT(R89))*12</f>
        <v>10.268140375510441</v>
      </c>
      <c r="U89" s="41" t="str">
        <f t="shared" si="278"/>
        <v>X</v>
      </c>
      <c r="V89" s="24">
        <f>(T89-INT(T89))*12</f>
        <v>3.2176845061252948</v>
      </c>
      <c r="W89" s="41" t="str">
        <f t="shared" si="279"/>
        <v>3</v>
      </c>
      <c r="X89" s="24">
        <f>(V89-INT(V89))*12</f>
        <v>2.6122140735035373</v>
      </c>
      <c r="Y89" s="41" t="str">
        <f t="shared" si="280"/>
        <v>2</v>
      </c>
      <c r="Z89" s="24">
        <f>(X89-INT(X89))*12</f>
        <v>7.3465688820424475</v>
      </c>
      <c r="AA89" s="41" t="str">
        <f t="shared" si="281"/>
        <v>7</v>
      </c>
      <c r="AB89" s="24">
        <f>(Z89-INT(Z89))*12</f>
        <v>4.1588265845093702</v>
      </c>
      <c r="AC89" s="41" t="str">
        <f t="shared" si="282"/>
        <v>4</v>
      </c>
      <c r="AD89" s="24">
        <f>(AB89-INT(AB89))*12</f>
        <v>1.9059190141124418</v>
      </c>
      <c r="AE89" s="41" t="str">
        <f t="shared" si="283"/>
        <v>1</v>
      </c>
      <c r="AF89" s="24">
        <f>(AD89-INT(AD89))*12</f>
        <v>10.871028169349302</v>
      </c>
      <c r="AG89" s="41" t="str">
        <f t="shared" si="284"/>
        <v>X</v>
      </c>
      <c r="AH89" s="24">
        <f>(AF89-INT(AF89))*12</f>
        <v>10.452338032191619</v>
      </c>
      <c r="AI89" s="41" t="str">
        <f t="shared" si="285"/>
        <v>X</v>
      </c>
      <c r="AJ89" s="24">
        <f>(AH89-INT(AH89))*12</f>
        <v>5.4280563862994313</v>
      </c>
      <c r="AK89" s="41" t="str">
        <f t="shared" si="286"/>
        <v/>
      </c>
      <c r="AL89" s="24">
        <f>(AJ89-INT(AJ89))*12</f>
        <v>5.1366766355931759</v>
      </c>
      <c r="AM89" s="41" t="str">
        <f t="shared" si="287"/>
        <v/>
      </c>
      <c r="AN89" s="24">
        <f>(AL89-INT(AL89))*12</f>
        <v>1.6401196271181107</v>
      </c>
      <c r="AO89" s="41" t="str">
        <f t="shared" si="288"/>
        <v/>
      </c>
    </row>
    <row r="90" spans="1:41" ht="14.25" customHeight="1">
      <c r="A90" s="753"/>
      <c r="B90" s="755"/>
      <c r="C90" s="184" t="s">
        <v>620</v>
      </c>
      <c r="D90" s="209" t="str">
        <f t="shared" si="276"/>
        <v>g</v>
      </c>
      <c r="E90" s="161">
        <f t="shared" ref="E90:E94" si="289">E89*12</f>
        <v>18.983417339940658</v>
      </c>
      <c r="F90" s="176">
        <v>0</v>
      </c>
      <c r="G90" s="177">
        <f t="shared" si="29"/>
        <v>18.983417339940658</v>
      </c>
      <c r="H90" s="178" t="s">
        <v>61</v>
      </c>
      <c r="I90" s="172">
        <f>I89*10</f>
        <v>100</v>
      </c>
      <c r="J90" s="2" t="s">
        <v>61</v>
      </c>
      <c r="K90" s="8">
        <v>9</v>
      </c>
      <c r="L90" s="21">
        <f>L89*10</f>
        <v>758.55678364625874</v>
      </c>
      <c r="M90" s="37" t="str">
        <f>Q90&amp;";"&amp;S90&amp;U90&amp;W90&amp;Y90&amp;AA90&amp;AC90&amp;AE90&amp;AG90&amp;AI90&amp;AK90&amp;AM90&amp;AO90</f>
        <v>5;326821571</v>
      </c>
      <c r="N90" s="38">
        <f>N89+1</f>
        <v>2</v>
      </c>
      <c r="O90" s="61">
        <f t="shared" si="228"/>
        <v>5.2677554419879078</v>
      </c>
      <c r="P90" s="39" t="str">
        <f>INDEX(powers!$H$2:$H$75,33+N90)</f>
        <v>hecty</v>
      </c>
      <c r="Q90" s="40" t="str">
        <f t="shared" si="35"/>
        <v>5</v>
      </c>
      <c r="R90" s="24">
        <f>(O90-INT(O90))*12</f>
        <v>3.2130653038548935</v>
      </c>
      <c r="S90" s="41" t="str">
        <f t="shared" si="277"/>
        <v>3</v>
      </c>
      <c r="T90" s="24">
        <f>(R90-INT(R90))*12</f>
        <v>2.5567836462587223</v>
      </c>
      <c r="U90" s="41" t="str">
        <f t="shared" si="278"/>
        <v>2</v>
      </c>
      <c r="V90" s="24">
        <f>(T90-INT(T90))*12</f>
        <v>6.6814037551046681</v>
      </c>
      <c r="W90" s="41" t="str">
        <f t="shared" si="279"/>
        <v>6</v>
      </c>
      <c r="X90" s="24">
        <f>(V90-INT(V90))*12</f>
        <v>8.1768450612560173</v>
      </c>
      <c r="Y90" s="41" t="str">
        <f t="shared" si="280"/>
        <v>8</v>
      </c>
      <c r="Z90" s="24">
        <f>(X90-INT(X90))*12</f>
        <v>2.1221407350722075</v>
      </c>
      <c r="AA90" s="41" t="str">
        <f t="shared" si="281"/>
        <v>2</v>
      </c>
      <c r="AB90" s="24">
        <f>(Z90-INT(Z90))*12</f>
        <v>1.4656888208664896</v>
      </c>
      <c r="AC90" s="41" t="str">
        <f t="shared" si="282"/>
        <v>1</v>
      </c>
      <c r="AD90" s="24">
        <f>(AB90-INT(AB90))*12</f>
        <v>5.5882658503978746</v>
      </c>
      <c r="AE90" s="41" t="str">
        <f t="shared" si="283"/>
        <v>5</v>
      </c>
      <c r="AF90" s="24">
        <f>(AD90-INT(AD90))*12</f>
        <v>7.0591902047744952</v>
      </c>
      <c r="AG90" s="41" t="str">
        <f t="shared" si="284"/>
        <v>7</v>
      </c>
      <c r="AH90" s="24">
        <f>(AF90-INT(AF90))*12</f>
        <v>0.71028245729394257</v>
      </c>
      <c r="AI90" s="41" t="str">
        <f t="shared" si="285"/>
        <v>1</v>
      </c>
      <c r="AJ90" s="24">
        <f>(AH90-INT(AH90))*12</f>
        <v>8.5233894875273108</v>
      </c>
      <c r="AK90" s="41" t="str">
        <f t="shared" si="286"/>
        <v/>
      </c>
      <c r="AL90" s="24">
        <f>(AJ90-INT(AJ90))*12</f>
        <v>6.2806738503277302</v>
      </c>
      <c r="AM90" s="41" t="str">
        <f t="shared" si="287"/>
        <v/>
      </c>
      <c r="AN90" s="24">
        <f>(AL90-INT(AL90))*12</f>
        <v>3.3680862039327621</v>
      </c>
      <c r="AO90" s="41" t="str">
        <f t="shared" si="288"/>
        <v/>
      </c>
    </row>
    <row r="91" spans="1:41" ht="14.25" customHeight="1">
      <c r="A91" s="753"/>
      <c r="B91" s="755"/>
      <c r="C91" s="201" t="s">
        <v>621</v>
      </c>
      <c r="D91" s="209" t="str">
        <f t="shared" si="276"/>
        <v>g</v>
      </c>
      <c r="E91" s="161">
        <f t="shared" si="289"/>
        <v>227.8010080792879</v>
      </c>
      <c r="F91" s="176">
        <v>0</v>
      </c>
      <c r="G91" s="177">
        <f t="shared" si="29"/>
        <v>227.8010080792879</v>
      </c>
      <c r="H91" s="178" t="s">
        <v>61</v>
      </c>
      <c r="I91" s="172">
        <f t="shared" ref="I91:I94" si="290">I90*10</f>
        <v>1000</v>
      </c>
      <c r="J91" s="2" t="s">
        <v>61</v>
      </c>
      <c r="K91" s="8">
        <v>9</v>
      </c>
      <c r="L91" s="21">
        <f t="shared" ref="L91:L94" si="291">L90*10</f>
        <v>7585.5678364625874</v>
      </c>
      <c r="M91" s="37" t="str">
        <f t="shared" ref="M91:M99" si="292">Q91&amp;";"&amp;S91&amp;U91&amp;W91&amp;Y91&amp;AA91&amp;AC91&amp;AE91&amp;AG91&amp;AI91&amp;AK91&amp;AM91&amp;AO91</f>
        <v>4;48169927E</v>
      </c>
      <c r="N91" s="38">
        <f t="shared" ref="N91:N93" si="293">N90+1</f>
        <v>3</v>
      </c>
      <c r="O91" s="61">
        <f t="shared" ref="O91:O103" si="294">L91/POWER(12,N91)</f>
        <v>4.3897962016565897</v>
      </c>
      <c r="P91" s="39" t="str">
        <f>INDEX(powers!$H$2:$H$75,33+N91)</f>
        <v>kily</v>
      </c>
      <c r="Q91" s="40" t="str">
        <f t="shared" si="35"/>
        <v>4</v>
      </c>
      <c r="R91" s="24">
        <f t="shared" ref="R91:R99" si="295">(O91-INT(O91))*12</f>
        <v>4.6775544198790762</v>
      </c>
      <c r="S91" s="41" t="str">
        <f t="shared" si="277"/>
        <v>4</v>
      </c>
      <c r="T91" s="24">
        <f t="shared" ref="T91:T99" si="296">(R91-INT(R91))*12</f>
        <v>8.130653038548914</v>
      </c>
      <c r="U91" s="41" t="str">
        <f t="shared" si="278"/>
        <v>8</v>
      </c>
      <c r="V91" s="24">
        <f t="shared" ref="V91:V99" si="297">(T91-INT(T91))*12</f>
        <v>1.5678364625869676</v>
      </c>
      <c r="W91" s="41" t="str">
        <f t="shared" si="279"/>
        <v>1</v>
      </c>
      <c r="X91" s="24">
        <f t="shared" ref="X91:X99" si="298">(V91-INT(V91))*12</f>
        <v>6.8140375510436115</v>
      </c>
      <c r="Y91" s="41" t="str">
        <f t="shared" si="280"/>
        <v>6</v>
      </c>
      <c r="Z91" s="24">
        <f t="shared" ref="Z91:Z99" si="299">(X91-INT(X91))*12</f>
        <v>9.7684506125233384</v>
      </c>
      <c r="AA91" s="41" t="str">
        <f t="shared" si="281"/>
        <v>9</v>
      </c>
      <c r="AB91" s="24">
        <f t="shared" ref="AB91:AB99" si="300">(Z91-INT(Z91))*12</f>
        <v>9.2214073502800602</v>
      </c>
      <c r="AC91" s="41" t="str">
        <f t="shared" si="282"/>
        <v>9</v>
      </c>
      <c r="AD91" s="24">
        <f t="shared" ref="AD91:AD99" si="301">(AB91-INT(AB91))*12</f>
        <v>2.6568882033607224</v>
      </c>
      <c r="AE91" s="41" t="str">
        <f t="shared" si="283"/>
        <v>2</v>
      </c>
      <c r="AF91" s="24">
        <f t="shared" ref="AF91:AF99" si="302">(AD91-INT(AD91))*12</f>
        <v>7.8826584403286688</v>
      </c>
      <c r="AG91" s="41" t="str">
        <f t="shared" si="284"/>
        <v>7</v>
      </c>
      <c r="AH91" s="24">
        <f t="shared" ref="AH91:AH99" si="303">(AF91-INT(AF91))*12</f>
        <v>10.591901283944026</v>
      </c>
      <c r="AI91" s="41" t="str">
        <f t="shared" si="285"/>
        <v>E</v>
      </c>
      <c r="AJ91" s="24">
        <f t="shared" ref="AJ91:AJ99" si="304">(AH91-INT(AH91))*12</f>
        <v>7.1028154073283076</v>
      </c>
      <c r="AK91" s="41" t="str">
        <f t="shared" si="286"/>
        <v/>
      </c>
      <c r="AL91" s="24">
        <f t="shared" ref="AL91:AL99" si="305">(AJ91-INT(AJ91))*12</f>
        <v>1.2337848879396915</v>
      </c>
      <c r="AM91" s="41" t="str">
        <f t="shared" si="287"/>
        <v/>
      </c>
      <c r="AN91" s="24">
        <f t="shared" ref="AN91:AN99" si="306">(AL91-INT(AL91))*12</f>
        <v>2.8054186552762985</v>
      </c>
      <c r="AO91" s="41" t="str">
        <f t="shared" si="288"/>
        <v/>
      </c>
    </row>
    <row r="92" spans="1:41" ht="14.25" customHeight="1">
      <c r="A92" s="753"/>
      <c r="B92" s="755"/>
      <c r="C92" s="199" t="s">
        <v>377</v>
      </c>
      <c r="D92" s="209" t="str">
        <f t="shared" si="276"/>
        <v>g</v>
      </c>
      <c r="E92" s="161">
        <f t="shared" si="289"/>
        <v>2733.612096951455</v>
      </c>
      <c r="F92" s="176">
        <v>3</v>
      </c>
      <c r="G92" s="177">
        <f t="shared" si="29"/>
        <v>2.7336120969514552</v>
      </c>
      <c r="H92" s="178" t="s">
        <v>585</v>
      </c>
      <c r="I92" s="172">
        <f t="shared" si="290"/>
        <v>10000</v>
      </c>
      <c r="J92" s="2" t="s">
        <v>61</v>
      </c>
      <c r="K92" s="8">
        <v>9</v>
      </c>
      <c r="L92" s="21">
        <f t="shared" si="291"/>
        <v>75855.67836462587</v>
      </c>
      <c r="M92" s="37" t="str">
        <f t="shared" si="292"/>
        <v>3;7X9381827</v>
      </c>
      <c r="N92" s="38">
        <f t="shared" si="293"/>
        <v>4</v>
      </c>
      <c r="O92" s="61">
        <f t="shared" si="294"/>
        <v>3.6581635013804914</v>
      </c>
      <c r="P92" s="39" t="str">
        <f>INDEX(powers!$H$2:$H$75,33+N92)</f>
        <v>super</v>
      </c>
      <c r="Q92" s="40" t="str">
        <f t="shared" si="35"/>
        <v>3</v>
      </c>
      <c r="R92" s="24">
        <f t="shared" si="295"/>
        <v>7.8979620165658968</v>
      </c>
      <c r="S92" s="41" t="str">
        <f t="shared" si="277"/>
        <v>7</v>
      </c>
      <c r="T92" s="24">
        <f t="shared" si="296"/>
        <v>10.775544198790762</v>
      </c>
      <c r="U92" s="41" t="str">
        <f t="shared" si="278"/>
        <v>X</v>
      </c>
      <c r="V92" s="24">
        <f t="shared" si="297"/>
        <v>9.3065303854891397</v>
      </c>
      <c r="W92" s="41" t="str">
        <f t="shared" si="279"/>
        <v>9</v>
      </c>
      <c r="X92" s="24">
        <f t="shared" si="298"/>
        <v>3.6783646258696763</v>
      </c>
      <c r="Y92" s="41" t="str">
        <f t="shared" si="280"/>
        <v>3</v>
      </c>
      <c r="Z92" s="24">
        <f t="shared" si="299"/>
        <v>8.1403755104361153</v>
      </c>
      <c r="AA92" s="41" t="str">
        <f t="shared" si="281"/>
        <v>8</v>
      </c>
      <c r="AB92" s="24">
        <f t="shared" si="300"/>
        <v>1.6845061252333835</v>
      </c>
      <c r="AC92" s="41" t="str">
        <f t="shared" si="282"/>
        <v>1</v>
      </c>
      <c r="AD92" s="24">
        <f t="shared" si="301"/>
        <v>8.214073502800602</v>
      </c>
      <c r="AE92" s="41" t="str">
        <f t="shared" si="283"/>
        <v>8</v>
      </c>
      <c r="AF92" s="24">
        <f t="shared" si="302"/>
        <v>2.568882033607224</v>
      </c>
      <c r="AG92" s="41" t="str">
        <f t="shared" si="284"/>
        <v>2</v>
      </c>
      <c r="AH92" s="24">
        <f t="shared" si="303"/>
        <v>6.826584403286688</v>
      </c>
      <c r="AI92" s="41" t="str">
        <f t="shared" si="285"/>
        <v>7</v>
      </c>
      <c r="AJ92" s="24">
        <f t="shared" si="304"/>
        <v>9.9190128394402564</v>
      </c>
      <c r="AK92" s="41" t="str">
        <f t="shared" si="286"/>
        <v/>
      </c>
      <c r="AL92" s="24">
        <f t="shared" si="305"/>
        <v>11.028154073283076</v>
      </c>
      <c r="AM92" s="41" t="str">
        <f t="shared" si="287"/>
        <v/>
      </c>
      <c r="AN92" s="24">
        <f t="shared" si="306"/>
        <v>0.33784887939691544</v>
      </c>
      <c r="AO92" s="41" t="str">
        <f t="shared" si="288"/>
        <v/>
      </c>
    </row>
    <row r="93" spans="1:41" ht="14.25" customHeight="1">
      <c r="A93" s="753"/>
      <c r="B93" s="755"/>
      <c r="C93" s="199" t="s">
        <v>378</v>
      </c>
      <c r="D93" s="209" t="str">
        <f t="shared" si="276"/>
        <v>g</v>
      </c>
      <c r="E93" s="161">
        <f t="shared" si="289"/>
        <v>32803.345163417456</v>
      </c>
      <c r="F93" s="176">
        <v>3</v>
      </c>
      <c r="G93" s="177">
        <f t="shared" si="29"/>
        <v>32.803345163417454</v>
      </c>
      <c r="H93" s="178" t="s">
        <v>585</v>
      </c>
      <c r="I93" s="172">
        <f t="shared" si="290"/>
        <v>100000</v>
      </c>
      <c r="J93" s="2" t="s">
        <v>61</v>
      </c>
      <c r="K93" s="8">
        <v>9</v>
      </c>
      <c r="L93" s="21">
        <f t="shared" si="291"/>
        <v>758556.78364625876</v>
      </c>
      <c r="M93" s="37" t="str">
        <f t="shared" si="292"/>
        <v>3;06E9094X2</v>
      </c>
      <c r="N93" s="38">
        <f t="shared" si="293"/>
        <v>5</v>
      </c>
      <c r="O93" s="61">
        <f t="shared" si="294"/>
        <v>3.0484695844837431</v>
      </c>
      <c r="P93" s="39" t="str">
        <f>INDEX(powers!$H$2:$H$75,33+N93)</f>
        <v>cosmic milly</v>
      </c>
      <c r="Q93" s="40" t="str">
        <f t="shared" si="35"/>
        <v>3</v>
      </c>
      <c r="R93" s="24">
        <f t="shared" si="295"/>
        <v>0.58163501380491667</v>
      </c>
      <c r="S93" s="41" t="str">
        <f t="shared" si="277"/>
        <v>0</v>
      </c>
      <c r="T93" s="24">
        <f t="shared" si="296"/>
        <v>6.979620165659</v>
      </c>
      <c r="U93" s="41" t="str">
        <f t="shared" si="278"/>
        <v>6</v>
      </c>
      <c r="V93" s="24">
        <f t="shared" si="297"/>
        <v>11.755441987908</v>
      </c>
      <c r="W93" s="41" t="str">
        <f t="shared" si="279"/>
        <v>E</v>
      </c>
      <c r="X93" s="24">
        <f t="shared" si="298"/>
        <v>9.0653038548960012</v>
      </c>
      <c r="Y93" s="41" t="str">
        <f t="shared" si="280"/>
        <v>9</v>
      </c>
      <c r="Z93" s="24">
        <f t="shared" si="299"/>
        <v>0.78364625875201455</v>
      </c>
      <c r="AA93" s="41" t="str">
        <f t="shared" si="281"/>
        <v>0</v>
      </c>
      <c r="AB93" s="24">
        <f t="shared" si="300"/>
        <v>9.4037551050241746</v>
      </c>
      <c r="AC93" s="41" t="str">
        <f t="shared" si="282"/>
        <v>9</v>
      </c>
      <c r="AD93" s="24">
        <f t="shared" si="301"/>
        <v>4.8450612602900947</v>
      </c>
      <c r="AE93" s="41" t="str">
        <f t="shared" si="283"/>
        <v>4</v>
      </c>
      <c r="AF93" s="24">
        <f t="shared" si="302"/>
        <v>10.140735123481136</v>
      </c>
      <c r="AG93" s="41" t="str">
        <f t="shared" si="284"/>
        <v>X</v>
      </c>
      <c r="AH93" s="24">
        <f t="shared" si="303"/>
        <v>1.6888214817736298</v>
      </c>
      <c r="AI93" s="41" t="str">
        <f t="shared" si="285"/>
        <v>2</v>
      </c>
      <c r="AJ93" s="24">
        <f t="shared" si="304"/>
        <v>8.2658577812835574</v>
      </c>
      <c r="AK93" s="41" t="str">
        <f t="shared" si="286"/>
        <v/>
      </c>
      <c r="AL93" s="24">
        <f t="shared" si="305"/>
        <v>3.190293375402689</v>
      </c>
      <c r="AM93" s="41" t="str">
        <f t="shared" si="287"/>
        <v/>
      </c>
      <c r="AN93" s="24">
        <f t="shared" si="306"/>
        <v>2.2835205048322678</v>
      </c>
      <c r="AO93" s="41" t="str">
        <f t="shared" si="288"/>
        <v/>
      </c>
    </row>
    <row r="94" spans="1:41" ht="14.25" customHeight="1" thickBot="1">
      <c r="A94" s="753"/>
      <c r="B94" s="756"/>
      <c r="C94" s="200" t="s">
        <v>379</v>
      </c>
      <c r="D94" s="209" t="str">
        <f t="shared" si="276"/>
        <v>g</v>
      </c>
      <c r="E94" s="186">
        <f t="shared" si="289"/>
        <v>393640.14196100947</v>
      </c>
      <c r="F94" s="187">
        <v>3</v>
      </c>
      <c r="G94" s="188">
        <f t="shared" si="29"/>
        <v>393.64014196100948</v>
      </c>
      <c r="H94" s="189" t="s">
        <v>585</v>
      </c>
      <c r="I94" s="172">
        <f t="shared" si="290"/>
        <v>1000000</v>
      </c>
      <c r="J94" s="2" t="s">
        <v>61</v>
      </c>
      <c r="K94" s="8">
        <v>9</v>
      </c>
      <c r="L94" s="21">
        <f t="shared" si="291"/>
        <v>7585567.8364625871</v>
      </c>
      <c r="M94" s="37" t="str">
        <f t="shared" si="292"/>
        <v>2;659967X05</v>
      </c>
      <c r="N94" s="38">
        <v>6</v>
      </c>
      <c r="O94" s="61">
        <f t="shared" si="294"/>
        <v>2.5403913204031192</v>
      </c>
      <c r="P94" s="39" t="str">
        <f>INDEX(powers!$H$2:$H$75,33+N94)</f>
        <v>cosmic centy</v>
      </c>
      <c r="Q94" s="40" t="str">
        <f t="shared" si="35"/>
        <v>2</v>
      </c>
      <c r="R94" s="24">
        <f t="shared" si="295"/>
        <v>6.4846958448374306</v>
      </c>
      <c r="S94" s="41" t="str">
        <f t="shared" si="277"/>
        <v>6</v>
      </c>
      <c r="T94" s="24">
        <f t="shared" si="296"/>
        <v>5.8163501380491667</v>
      </c>
      <c r="U94" s="41" t="str">
        <f t="shared" si="278"/>
        <v>5</v>
      </c>
      <c r="V94" s="24">
        <f t="shared" si="297"/>
        <v>9.7962016565900001</v>
      </c>
      <c r="W94" s="41" t="str">
        <f t="shared" si="279"/>
        <v>9</v>
      </c>
      <c r="X94" s="24">
        <f t="shared" si="298"/>
        <v>9.554419879080001</v>
      </c>
      <c r="Y94" s="41" t="str">
        <f t="shared" si="280"/>
        <v>9</v>
      </c>
      <c r="Z94" s="24">
        <f t="shared" si="299"/>
        <v>6.6530385489600121</v>
      </c>
      <c r="AA94" s="41" t="str">
        <f t="shared" si="281"/>
        <v>6</v>
      </c>
      <c r="AB94" s="24">
        <f t="shared" si="300"/>
        <v>7.8364625875201455</v>
      </c>
      <c r="AC94" s="41" t="str">
        <f t="shared" si="282"/>
        <v>7</v>
      </c>
      <c r="AD94" s="24">
        <f t="shared" si="301"/>
        <v>10.037551050241746</v>
      </c>
      <c r="AE94" s="41" t="str">
        <f t="shared" si="283"/>
        <v>X</v>
      </c>
      <c r="AF94" s="24">
        <f t="shared" si="302"/>
        <v>0.45061260290094651</v>
      </c>
      <c r="AG94" s="41" t="str">
        <f t="shared" si="284"/>
        <v>0</v>
      </c>
      <c r="AH94" s="24">
        <f t="shared" si="303"/>
        <v>5.4073512348113582</v>
      </c>
      <c r="AI94" s="41" t="str">
        <f t="shared" si="285"/>
        <v>5</v>
      </c>
      <c r="AJ94" s="24">
        <f t="shared" si="304"/>
        <v>4.8882148177362978</v>
      </c>
      <c r="AK94" s="41" t="str">
        <f t="shared" si="286"/>
        <v/>
      </c>
      <c r="AL94" s="24">
        <f t="shared" si="305"/>
        <v>10.658577812835574</v>
      </c>
      <c r="AM94" s="41" t="str">
        <f t="shared" si="287"/>
        <v/>
      </c>
      <c r="AN94" s="24">
        <f t="shared" si="306"/>
        <v>7.9029337540268898</v>
      </c>
      <c r="AO94" s="41" t="str">
        <f t="shared" si="288"/>
        <v/>
      </c>
    </row>
    <row r="95" spans="1:41" ht="14.25" customHeight="1">
      <c r="A95" s="753"/>
      <c r="B95" s="757" t="s">
        <v>605</v>
      </c>
      <c r="C95" s="202" t="s">
        <v>574</v>
      </c>
      <c r="D95" s="218" t="s">
        <v>590</v>
      </c>
      <c r="E95" s="158">
        <f t="shared" ref="E95:E96" si="307">E96/12</f>
        <v>4.0546917520758439E-7</v>
      </c>
      <c r="F95" s="196">
        <v>-9</v>
      </c>
      <c r="G95" s="197">
        <f t="shared" ref="G95:G121" si="308">E95*POWER(10,-F95)</f>
        <v>405.46917520758439</v>
      </c>
      <c r="H95" s="198" t="s">
        <v>596</v>
      </c>
      <c r="I95" s="190">
        <f t="shared" ref="I95:I99" si="309">I96/10</f>
        <v>1.0000000000000002E-6</v>
      </c>
      <c r="J95" s="154" t="s">
        <v>59</v>
      </c>
      <c r="K95" s="152">
        <v>9</v>
      </c>
      <c r="L95" s="151">
        <f t="shared" ref="L95:L100" si="310">L96/10</f>
        <v>1.7126935582437702E-2</v>
      </c>
      <c r="M95" s="155" t="str">
        <f t="shared" si="292"/>
        <v>2;571890986</v>
      </c>
      <c r="N95" s="156">
        <f t="shared" ref="N95:N98" si="311">N96-1</f>
        <v>-2</v>
      </c>
      <c r="O95" s="164">
        <f t="shared" si="294"/>
        <v>2.4662787238710293</v>
      </c>
      <c r="P95" s="157" t="str">
        <f>INDEX(powers!$H$2:$H$75,33+N95)</f>
        <v>centy</v>
      </c>
      <c r="Q95" s="40" t="str">
        <f t="shared" ref="Q95:Q110" si="312">IF($K95&gt;=Q$23,MID($N$23,IF($K95&gt;Q$23,INT(O95),ROUND(O95,0))+1,1),"")</f>
        <v>2</v>
      </c>
      <c r="R95" s="24">
        <f t="shared" si="295"/>
        <v>5.5953446864523517</v>
      </c>
      <c r="S95" s="41" t="str">
        <f t="shared" si="277"/>
        <v>5</v>
      </c>
      <c r="T95" s="24">
        <f t="shared" si="296"/>
        <v>7.1441362374282207</v>
      </c>
      <c r="U95" s="41" t="str">
        <f t="shared" si="278"/>
        <v>7</v>
      </c>
      <c r="V95" s="24">
        <f t="shared" si="297"/>
        <v>1.7296348491386482</v>
      </c>
      <c r="W95" s="41" t="str">
        <f t="shared" si="279"/>
        <v>1</v>
      </c>
      <c r="X95" s="24">
        <f t="shared" si="298"/>
        <v>8.7556181896637781</v>
      </c>
      <c r="Y95" s="41" t="str">
        <f t="shared" si="280"/>
        <v>8</v>
      </c>
      <c r="Z95" s="24">
        <f t="shared" si="299"/>
        <v>9.0674182759653377</v>
      </c>
      <c r="AA95" s="41" t="str">
        <f t="shared" si="281"/>
        <v>9</v>
      </c>
      <c r="AB95" s="24">
        <f t="shared" si="300"/>
        <v>0.80901931158405205</v>
      </c>
      <c r="AC95" s="41" t="str">
        <f t="shared" si="282"/>
        <v>0</v>
      </c>
      <c r="AD95" s="24">
        <f t="shared" si="301"/>
        <v>9.7082317390086246</v>
      </c>
      <c r="AE95" s="41" t="str">
        <f t="shared" si="283"/>
        <v>9</v>
      </c>
      <c r="AF95" s="24">
        <f t="shared" si="302"/>
        <v>8.4987808681034949</v>
      </c>
      <c r="AG95" s="41" t="str">
        <f t="shared" si="284"/>
        <v>8</v>
      </c>
      <c r="AH95" s="24">
        <f t="shared" si="303"/>
        <v>5.9853704172419384</v>
      </c>
      <c r="AI95" s="41" t="str">
        <f t="shared" si="285"/>
        <v>6</v>
      </c>
      <c r="AJ95" s="24">
        <f t="shared" si="304"/>
        <v>11.824445006903261</v>
      </c>
      <c r="AK95" s="41" t="str">
        <f t="shared" si="286"/>
        <v/>
      </c>
      <c r="AL95" s="24">
        <f t="shared" si="305"/>
        <v>9.8933400828391314</v>
      </c>
      <c r="AM95" s="41" t="str">
        <f t="shared" si="287"/>
        <v/>
      </c>
      <c r="AN95" s="24">
        <f t="shared" si="306"/>
        <v>10.720080994069576</v>
      </c>
      <c r="AO95" s="41" t="str">
        <f t="shared" si="288"/>
        <v/>
      </c>
    </row>
    <row r="96" spans="1:41" ht="14.25" customHeight="1">
      <c r="A96" s="753"/>
      <c r="B96" s="755"/>
      <c r="C96" s="183" t="s">
        <v>575</v>
      </c>
      <c r="D96" s="3" t="str">
        <f>D95</f>
        <v>K</v>
      </c>
      <c r="E96" s="161">
        <f t="shared" si="307"/>
        <v>4.8656301024910129E-6</v>
      </c>
      <c r="F96" s="176">
        <v>-6</v>
      </c>
      <c r="G96" s="177">
        <f t="shared" si="308"/>
        <v>4.8656301024910125</v>
      </c>
      <c r="H96" s="178" t="s">
        <v>594</v>
      </c>
      <c r="I96" s="167">
        <f t="shared" si="309"/>
        <v>1.0000000000000001E-5</v>
      </c>
      <c r="J96" s="2" t="s">
        <v>590</v>
      </c>
      <c r="K96" s="8">
        <v>9</v>
      </c>
      <c r="L96" s="21">
        <f t="shared" si="310"/>
        <v>0.17126935582437702</v>
      </c>
      <c r="M96" s="37" t="str">
        <f t="shared" si="292"/>
        <v>2;07E536811</v>
      </c>
      <c r="N96" s="38">
        <f t="shared" si="311"/>
        <v>-1</v>
      </c>
      <c r="O96" s="61">
        <f t="shared" si="294"/>
        <v>2.0552322698925245</v>
      </c>
      <c r="P96" s="39" t="str">
        <f>INDEX(powers!$H$2:$H$75,33+N96)</f>
        <v>dour</v>
      </c>
      <c r="Q96" s="40" t="str">
        <f t="shared" si="312"/>
        <v>2</v>
      </c>
      <c r="R96" s="24">
        <f t="shared" si="295"/>
        <v>0.66278723871029399</v>
      </c>
      <c r="S96" s="41" t="str">
        <f t="shared" si="277"/>
        <v>0</v>
      </c>
      <c r="T96" s="24">
        <f t="shared" si="296"/>
        <v>7.9534468645235279</v>
      </c>
      <c r="U96" s="41" t="str">
        <f t="shared" si="278"/>
        <v>7</v>
      </c>
      <c r="V96" s="24">
        <f t="shared" si="297"/>
        <v>11.441362374282335</v>
      </c>
      <c r="W96" s="41" t="str">
        <f t="shared" si="279"/>
        <v>E</v>
      </c>
      <c r="X96" s="24">
        <f t="shared" si="298"/>
        <v>5.2963484913880166</v>
      </c>
      <c r="Y96" s="41" t="str">
        <f t="shared" si="280"/>
        <v>5</v>
      </c>
      <c r="Z96" s="24">
        <f t="shared" si="299"/>
        <v>3.5561818966561987</v>
      </c>
      <c r="AA96" s="41" t="str">
        <f t="shared" si="281"/>
        <v>3</v>
      </c>
      <c r="AB96" s="24">
        <f t="shared" si="300"/>
        <v>6.6741827598743839</v>
      </c>
      <c r="AC96" s="41" t="str">
        <f t="shared" si="282"/>
        <v>6</v>
      </c>
      <c r="AD96" s="24">
        <f t="shared" si="301"/>
        <v>8.090193118492607</v>
      </c>
      <c r="AE96" s="41" t="str">
        <f t="shared" si="283"/>
        <v>8</v>
      </c>
      <c r="AF96" s="24">
        <f t="shared" si="302"/>
        <v>1.0823174219112843</v>
      </c>
      <c r="AG96" s="41" t="str">
        <f t="shared" si="284"/>
        <v>1</v>
      </c>
      <c r="AH96" s="24">
        <f t="shared" si="303"/>
        <v>0.98780906293541193</v>
      </c>
      <c r="AI96" s="41" t="str">
        <f t="shared" si="285"/>
        <v>1</v>
      </c>
      <c r="AJ96" s="24">
        <f t="shared" si="304"/>
        <v>11.853708755224943</v>
      </c>
      <c r="AK96" s="41" t="str">
        <f t="shared" si="286"/>
        <v/>
      </c>
      <c r="AL96" s="24">
        <f t="shared" si="305"/>
        <v>10.244505062699318</v>
      </c>
      <c r="AM96" s="41" t="str">
        <f t="shared" si="287"/>
        <v/>
      </c>
      <c r="AN96" s="24">
        <f t="shared" si="306"/>
        <v>2.9340607523918152</v>
      </c>
      <c r="AO96" s="41" t="str">
        <f t="shared" si="288"/>
        <v/>
      </c>
    </row>
    <row r="97" spans="1:41" ht="14.25" customHeight="1">
      <c r="A97" s="753"/>
      <c r="B97" s="755"/>
      <c r="C97" s="184" t="s">
        <v>618</v>
      </c>
      <c r="D97" s="209" t="str">
        <f t="shared" ref="D97:D107" si="313">D96</f>
        <v>K</v>
      </c>
      <c r="E97" s="161">
        <f>E6</f>
        <v>5.8387561229892158E-5</v>
      </c>
      <c r="F97" s="176">
        <v>-6</v>
      </c>
      <c r="G97" s="177">
        <f t="shared" si="308"/>
        <v>58.387561229892157</v>
      </c>
      <c r="H97" s="178" t="s">
        <v>594</v>
      </c>
      <c r="I97" s="168">
        <f t="shared" si="309"/>
        <v>1E-4</v>
      </c>
      <c r="J97" s="2" t="s">
        <v>589</v>
      </c>
      <c r="K97" s="8">
        <v>9</v>
      </c>
      <c r="L97" s="21">
        <f t="shared" si="310"/>
        <v>1.7126935582437703</v>
      </c>
      <c r="M97" s="37" t="str">
        <f t="shared" si="292"/>
        <v>1;86764E68E</v>
      </c>
      <c r="N97" s="38">
        <f t="shared" si="311"/>
        <v>0</v>
      </c>
      <c r="O97" s="61">
        <f t="shared" si="294"/>
        <v>1.7126935582437703</v>
      </c>
      <c r="P97" s="39" t="str">
        <f>INDEX(powers!$H$2:$H$75,33+N97)</f>
        <v xml:space="preserve"> </v>
      </c>
      <c r="Q97" s="40" t="str">
        <f t="shared" si="312"/>
        <v>1</v>
      </c>
      <c r="R97" s="24">
        <f t="shared" si="295"/>
        <v>8.552322698925245</v>
      </c>
      <c r="S97" s="41" t="str">
        <f t="shared" si="277"/>
        <v>8</v>
      </c>
      <c r="T97" s="24">
        <f t="shared" si="296"/>
        <v>6.6278723871029399</v>
      </c>
      <c r="U97" s="41" t="str">
        <f t="shared" si="278"/>
        <v>6</v>
      </c>
      <c r="V97" s="24">
        <f t="shared" si="297"/>
        <v>7.5344686452352789</v>
      </c>
      <c r="W97" s="41" t="str">
        <f t="shared" si="279"/>
        <v>7</v>
      </c>
      <c r="X97" s="24">
        <f t="shared" si="298"/>
        <v>6.4136237428233471</v>
      </c>
      <c r="Y97" s="41" t="str">
        <f t="shared" si="280"/>
        <v>6</v>
      </c>
      <c r="Z97" s="24">
        <f t="shared" si="299"/>
        <v>4.9634849138801655</v>
      </c>
      <c r="AA97" s="41" t="str">
        <f t="shared" si="281"/>
        <v>4</v>
      </c>
      <c r="AB97" s="24">
        <f t="shared" si="300"/>
        <v>11.561818966561987</v>
      </c>
      <c r="AC97" s="41" t="str">
        <f t="shared" si="282"/>
        <v>E</v>
      </c>
      <c r="AD97" s="24">
        <f t="shared" si="301"/>
        <v>6.7418275987438392</v>
      </c>
      <c r="AE97" s="41" t="str">
        <f t="shared" si="283"/>
        <v>6</v>
      </c>
      <c r="AF97" s="24">
        <f t="shared" si="302"/>
        <v>8.9019311849260703</v>
      </c>
      <c r="AG97" s="41" t="str">
        <f t="shared" si="284"/>
        <v>8</v>
      </c>
      <c r="AH97" s="24">
        <f t="shared" si="303"/>
        <v>10.823174219112843</v>
      </c>
      <c r="AI97" s="41" t="str">
        <f t="shared" si="285"/>
        <v>E</v>
      </c>
      <c r="AJ97" s="24">
        <f t="shared" si="304"/>
        <v>9.8780906293541193</v>
      </c>
      <c r="AK97" s="41" t="str">
        <f t="shared" si="286"/>
        <v/>
      </c>
      <c r="AL97" s="24">
        <f t="shared" si="305"/>
        <v>10.537087552249432</v>
      </c>
      <c r="AM97" s="41" t="str">
        <f t="shared" si="287"/>
        <v/>
      </c>
      <c r="AN97" s="24">
        <f t="shared" si="306"/>
        <v>6.4450506269931793</v>
      </c>
      <c r="AO97" s="41" t="str">
        <f t="shared" si="288"/>
        <v/>
      </c>
    </row>
    <row r="98" spans="1:41" ht="14.25" customHeight="1">
      <c r="A98" s="753"/>
      <c r="B98" s="755"/>
      <c r="C98" s="184" t="s">
        <v>619</v>
      </c>
      <c r="D98" s="209" t="str">
        <f t="shared" si="313"/>
        <v>K</v>
      </c>
      <c r="E98" s="161">
        <f t="shared" ref="E98:E101" si="314">E97*12</f>
        <v>7.0065073475870585E-4</v>
      </c>
      <c r="F98" s="176">
        <v>-6</v>
      </c>
      <c r="G98" s="177">
        <f t="shared" si="308"/>
        <v>700.65073475870588</v>
      </c>
      <c r="H98" s="178" t="s">
        <v>594</v>
      </c>
      <c r="I98" s="169">
        <f t="shared" si="309"/>
        <v>1E-3</v>
      </c>
      <c r="J98" s="2" t="s">
        <v>589</v>
      </c>
      <c r="K98" s="8">
        <v>9</v>
      </c>
      <c r="L98" s="21">
        <f t="shared" si="310"/>
        <v>17.126935582437703</v>
      </c>
      <c r="M98" s="37" t="str">
        <f t="shared" si="292"/>
        <v>1;516341775</v>
      </c>
      <c r="N98" s="38">
        <f t="shared" si="311"/>
        <v>1</v>
      </c>
      <c r="O98" s="61">
        <f t="shared" si="294"/>
        <v>1.4272446318698087</v>
      </c>
      <c r="P98" s="39" t="str">
        <f>INDEX(powers!$H$2:$H$75,33+N98)</f>
        <v>dirac</v>
      </c>
      <c r="Q98" s="40" t="str">
        <f t="shared" si="312"/>
        <v>1</v>
      </c>
      <c r="R98" s="24">
        <f t="shared" si="295"/>
        <v>5.1269355824377039</v>
      </c>
      <c r="S98" s="41" t="str">
        <f t="shared" si="277"/>
        <v>5</v>
      </c>
      <c r="T98" s="24">
        <f t="shared" si="296"/>
        <v>1.5232269892524464</v>
      </c>
      <c r="U98" s="41" t="str">
        <f t="shared" si="278"/>
        <v>1</v>
      </c>
      <c r="V98" s="24">
        <f t="shared" si="297"/>
        <v>6.2787238710293565</v>
      </c>
      <c r="W98" s="41" t="str">
        <f t="shared" si="279"/>
        <v>6</v>
      </c>
      <c r="X98" s="24">
        <f t="shared" si="298"/>
        <v>3.3446864523522777</v>
      </c>
      <c r="Y98" s="41" t="str">
        <f t="shared" si="280"/>
        <v>3</v>
      </c>
      <c r="Z98" s="24">
        <f t="shared" si="299"/>
        <v>4.1362374282273322</v>
      </c>
      <c r="AA98" s="41" t="str">
        <f t="shared" si="281"/>
        <v>4</v>
      </c>
      <c r="AB98" s="24">
        <f t="shared" si="300"/>
        <v>1.6348491387279864</v>
      </c>
      <c r="AC98" s="41" t="str">
        <f t="shared" si="282"/>
        <v>1</v>
      </c>
      <c r="AD98" s="24">
        <f t="shared" si="301"/>
        <v>7.6181896647358371</v>
      </c>
      <c r="AE98" s="41" t="str">
        <f t="shared" si="283"/>
        <v>7</v>
      </c>
      <c r="AF98" s="24">
        <f t="shared" si="302"/>
        <v>7.4182759768300457</v>
      </c>
      <c r="AG98" s="41" t="str">
        <f t="shared" si="284"/>
        <v>7</v>
      </c>
      <c r="AH98" s="24">
        <f t="shared" si="303"/>
        <v>5.0193117219605483</v>
      </c>
      <c r="AI98" s="41" t="str">
        <f t="shared" si="285"/>
        <v>5</v>
      </c>
      <c r="AJ98" s="24">
        <f t="shared" si="304"/>
        <v>0.23174066352657974</v>
      </c>
      <c r="AK98" s="41" t="str">
        <f t="shared" si="286"/>
        <v/>
      </c>
      <c r="AL98" s="24">
        <f t="shared" si="305"/>
        <v>2.7808879623189569</v>
      </c>
      <c r="AM98" s="41" t="str">
        <f t="shared" si="287"/>
        <v/>
      </c>
      <c r="AN98" s="24">
        <f t="shared" si="306"/>
        <v>9.3706555478274822</v>
      </c>
      <c r="AO98" s="41" t="str">
        <f t="shared" si="288"/>
        <v/>
      </c>
    </row>
    <row r="99" spans="1:41" ht="14.25" customHeight="1">
      <c r="A99" s="753"/>
      <c r="B99" s="755"/>
      <c r="C99" s="184" t="s">
        <v>620</v>
      </c>
      <c r="D99" s="209" t="str">
        <f t="shared" si="313"/>
        <v>K</v>
      </c>
      <c r="E99" s="161">
        <f t="shared" si="314"/>
        <v>8.4078088171044701E-3</v>
      </c>
      <c r="F99" s="176">
        <v>-3</v>
      </c>
      <c r="G99" s="177">
        <f t="shared" si="308"/>
        <v>8.4078088171044705</v>
      </c>
      <c r="H99" s="178" t="s">
        <v>591</v>
      </c>
      <c r="I99" s="170">
        <f t="shared" si="309"/>
        <v>0.01</v>
      </c>
      <c r="J99" s="2" t="s">
        <v>589</v>
      </c>
      <c r="K99" s="8">
        <v>9</v>
      </c>
      <c r="L99" s="21">
        <f t="shared" si="310"/>
        <v>171.26935582437702</v>
      </c>
      <c r="M99" s="37" t="str">
        <f t="shared" si="292"/>
        <v>1;233295442</v>
      </c>
      <c r="N99" s="38">
        <v>2</v>
      </c>
      <c r="O99" s="61">
        <f t="shared" si="294"/>
        <v>1.1893705265581738</v>
      </c>
      <c r="P99" s="39" t="str">
        <f>INDEX(powers!$H$2:$H$75,33+N99)</f>
        <v>hecty</v>
      </c>
      <c r="Q99" s="40" t="str">
        <f t="shared" si="312"/>
        <v>1</v>
      </c>
      <c r="R99" s="24">
        <f t="shared" si="295"/>
        <v>2.2724463186980852</v>
      </c>
      <c r="S99" s="41" t="str">
        <f t="shared" si="277"/>
        <v>2</v>
      </c>
      <c r="T99" s="24">
        <f t="shared" si="296"/>
        <v>3.2693558243770227</v>
      </c>
      <c r="U99" s="41" t="str">
        <f t="shared" si="278"/>
        <v>3</v>
      </c>
      <c r="V99" s="24">
        <f t="shared" si="297"/>
        <v>3.2322698925242719</v>
      </c>
      <c r="W99" s="41" t="str">
        <f t="shared" si="279"/>
        <v>3</v>
      </c>
      <c r="X99" s="24">
        <f t="shared" si="298"/>
        <v>2.7872387102912626</v>
      </c>
      <c r="Y99" s="41" t="str">
        <f t="shared" si="280"/>
        <v>2</v>
      </c>
      <c r="Z99" s="24">
        <f t="shared" si="299"/>
        <v>9.4468645234951509</v>
      </c>
      <c r="AA99" s="41" t="str">
        <f t="shared" si="281"/>
        <v>9</v>
      </c>
      <c r="AB99" s="24">
        <f t="shared" si="300"/>
        <v>5.3623742819418112</v>
      </c>
      <c r="AC99" s="41" t="str">
        <f t="shared" si="282"/>
        <v>5</v>
      </c>
      <c r="AD99" s="24">
        <f t="shared" si="301"/>
        <v>4.3484913833017345</v>
      </c>
      <c r="AE99" s="41" t="str">
        <f t="shared" si="283"/>
        <v>4</v>
      </c>
      <c r="AF99" s="24">
        <f t="shared" si="302"/>
        <v>4.1818965996208135</v>
      </c>
      <c r="AG99" s="41" t="str">
        <f t="shared" si="284"/>
        <v>4</v>
      </c>
      <c r="AH99" s="24">
        <f t="shared" si="303"/>
        <v>2.182759195449762</v>
      </c>
      <c r="AI99" s="41" t="str">
        <f t="shared" si="285"/>
        <v>2</v>
      </c>
      <c r="AJ99" s="24">
        <f t="shared" si="304"/>
        <v>2.1931103453971446</v>
      </c>
      <c r="AK99" s="41" t="str">
        <f t="shared" si="286"/>
        <v/>
      </c>
      <c r="AL99" s="24">
        <f t="shared" si="305"/>
        <v>2.3173241447657347</v>
      </c>
      <c r="AM99" s="41" t="str">
        <f t="shared" si="287"/>
        <v/>
      </c>
      <c r="AN99" s="24">
        <f t="shared" si="306"/>
        <v>3.8078897371888161</v>
      </c>
      <c r="AO99" s="41" t="str">
        <f t="shared" si="288"/>
        <v/>
      </c>
    </row>
    <row r="100" spans="1:41" ht="14.25" customHeight="1">
      <c r="A100" s="753"/>
      <c r="B100" s="755"/>
      <c r="C100" s="201" t="s">
        <v>621</v>
      </c>
      <c r="D100" s="209" t="str">
        <f t="shared" si="313"/>
        <v>K</v>
      </c>
      <c r="E100" s="161">
        <f t="shared" si="314"/>
        <v>0.10089370580525364</v>
      </c>
      <c r="F100" s="176">
        <v>-3</v>
      </c>
      <c r="G100" s="177">
        <f t="shared" si="308"/>
        <v>100.89370580525365</v>
      </c>
      <c r="H100" s="178" t="s">
        <v>591</v>
      </c>
      <c r="I100" s="171">
        <f>I101/10</f>
        <v>0.1</v>
      </c>
      <c r="J100" s="2" t="s">
        <v>589</v>
      </c>
      <c r="K100" s="8">
        <v>9</v>
      </c>
      <c r="L100" s="21">
        <f t="shared" si="310"/>
        <v>1712.6935582437702</v>
      </c>
      <c r="M100" s="37" t="str">
        <f>Q100&amp;";"&amp;S100&amp;U100&amp;W100&amp;Y100&amp;AA100&amp;AC100&amp;AE100&amp;AG100&amp;AI100&amp;AK100&amp;AM100&amp;AO100</f>
        <v>E;X883X575X</v>
      </c>
      <c r="N100" s="38">
        <f>N101-1</f>
        <v>2</v>
      </c>
      <c r="O100" s="61">
        <f t="shared" si="294"/>
        <v>11.893705265581737</v>
      </c>
      <c r="P100" s="39" t="str">
        <f>INDEX(powers!$H$2:$H$75,33+N100)</f>
        <v>hecty</v>
      </c>
      <c r="Q100" s="40" t="str">
        <f t="shared" si="312"/>
        <v>E</v>
      </c>
      <c r="R100" s="24">
        <f>(O100-INT(O100))*12</f>
        <v>10.724463186980842</v>
      </c>
      <c r="S100" s="41" t="str">
        <f t="shared" si="277"/>
        <v>X</v>
      </c>
      <c r="T100" s="24">
        <f>(R100-INT(R100))*12</f>
        <v>8.6935582437700987</v>
      </c>
      <c r="U100" s="41" t="str">
        <f t="shared" si="278"/>
        <v>8</v>
      </c>
      <c r="V100" s="24">
        <f>(T100-INT(T100))*12</f>
        <v>8.322698925241184</v>
      </c>
      <c r="W100" s="41" t="str">
        <f t="shared" si="279"/>
        <v>8</v>
      </c>
      <c r="X100" s="24">
        <f>(V100-INT(V100))*12</f>
        <v>3.8723871028942085</v>
      </c>
      <c r="Y100" s="41" t="str">
        <f t="shared" si="280"/>
        <v>3</v>
      </c>
      <c r="Z100" s="24">
        <f>(X100-INT(X100))*12</f>
        <v>10.468645234730502</v>
      </c>
      <c r="AA100" s="41" t="str">
        <f t="shared" si="281"/>
        <v>X</v>
      </c>
      <c r="AB100" s="24">
        <f>(Z100-INT(Z100))*12</f>
        <v>5.6237428167660255</v>
      </c>
      <c r="AC100" s="41" t="str">
        <f t="shared" si="282"/>
        <v>5</v>
      </c>
      <c r="AD100" s="24">
        <f>(AB100-INT(AB100))*12</f>
        <v>7.484913801192306</v>
      </c>
      <c r="AE100" s="41" t="str">
        <f t="shared" si="283"/>
        <v>7</v>
      </c>
      <c r="AF100" s="24">
        <f>(AD100-INT(AD100))*12</f>
        <v>5.8189656143076718</v>
      </c>
      <c r="AG100" s="41" t="str">
        <f t="shared" si="284"/>
        <v>5</v>
      </c>
      <c r="AH100" s="24">
        <f>(AF100-INT(AF100))*12</f>
        <v>9.8275873716920614</v>
      </c>
      <c r="AI100" s="41" t="str">
        <f t="shared" si="285"/>
        <v>X</v>
      </c>
      <c r="AJ100" s="24">
        <f>(AH100-INT(AH100))*12</f>
        <v>9.9310484603047371</v>
      </c>
      <c r="AK100" s="41" t="str">
        <f t="shared" si="286"/>
        <v/>
      </c>
      <c r="AL100" s="24">
        <f>(AJ100-INT(AJ100))*12</f>
        <v>11.172581523656845</v>
      </c>
      <c r="AM100" s="41" t="str">
        <f t="shared" si="287"/>
        <v/>
      </c>
      <c r="AN100" s="24">
        <f>(AL100-INT(AL100))*12</f>
        <v>2.0709782838821411</v>
      </c>
      <c r="AO100" s="41" t="str">
        <f t="shared" si="288"/>
        <v/>
      </c>
    </row>
    <row r="101" spans="1:41" ht="14.25" customHeight="1">
      <c r="A101" s="753"/>
      <c r="B101" s="755"/>
      <c r="C101" s="199" t="s">
        <v>377</v>
      </c>
      <c r="D101" s="209" t="str">
        <f t="shared" si="313"/>
        <v>K</v>
      </c>
      <c r="E101" s="161">
        <f t="shared" si="314"/>
        <v>1.2107244696630437</v>
      </c>
      <c r="F101" s="176">
        <v>0</v>
      </c>
      <c r="G101" s="177">
        <f t="shared" si="308"/>
        <v>1.2107244696630437</v>
      </c>
      <c r="H101" s="178" t="s">
        <v>590</v>
      </c>
      <c r="I101" s="172">
        <v>1</v>
      </c>
      <c r="J101" s="2" t="s">
        <v>589</v>
      </c>
      <c r="K101" s="8">
        <v>9</v>
      </c>
      <c r="L101" s="21">
        <f>1/E101*POWER(12,4)</f>
        <v>17126.935582437702</v>
      </c>
      <c r="M101" s="37" t="str">
        <f>Q101&amp;";"&amp;S101&amp;U101&amp;W101&amp;Y101&amp;AA101&amp;AC101&amp;AE101&amp;AG101&amp;AI101&amp;AK101&amp;AM101&amp;AO101</f>
        <v>9;XE2E2882X</v>
      </c>
      <c r="N101" s="38">
        <v>3</v>
      </c>
      <c r="O101" s="61">
        <f t="shared" si="294"/>
        <v>9.9114210546514485</v>
      </c>
      <c r="P101" s="39" t="str">
        <f>INDEX(powers!$H$2:$H$75,33+N101)</f>
        <v>kily</v>
      </c>
      <c r="Q101" s="40" t="str">
        <f t="shared" si="312"/>
        <v>9</v>
      </c>
      <c r="R101" s="24">
        <f>(O101-INT(O101))*12</f>
        <v>10.937052655817382</v>
      </c>
      <c r="S101" s="41" t="str">
        <f t="shared" si="277"/>
        <v>X</v>
      </c>
      <c r="T101" s="24">
        <f>(R101-INT(R101))*12</f>
        <v>11.244631869808586</v>
      </c>
      <c r="U101" s="41" t="str">
        <f t="shared" si="278"/>
        <v>E</v>
      </c>
      <c r="V101" s="24">
        <f>(T101-INT(T101))*12</f>
        <v>2.9355824377030331</v>
      </c>
      <c r="W101" s="41" t="str">
        <f t="shared" si="279"/>
        <v>2</v>
      </c>
      <c r="X101" s="24">
        <f>(V101-INT(V101))*12</f>
        <v>11.226989252436397</v>
      </c>
      <c r="Y101" s="41" t="str">
        <f t="shared" si="280"/>
        <v>E</v>
      </c>
      <c r="Z101" s="24">
        <f>(X101-INT(X101))*12</f>
        <v>2.7238710292367614</v>
      </c>
      <c r="AA101" s="41" t="str">
        <f t="shared" si="281"/>
        <v>2</v>
      </c>
      <c r="AB101" s="24">
        <f>(Z101-INT(Z101))*12</f>
        <v>8.6864523508411366</v>
      </c>
      <c r="AC101" s="41" t="str">
        <f t="shared" si="282"/>
        <v>8</v>
      </c>
      <c r="AD101" s="24">
        <f>(AB101-INT(AB101))*12</f>
        <v>8.2374282100936398</v>
      </c>
      <c r="AE101" s="41" t="str">
        <f t="shared" si="283"/>
        <v>8</v>
      </c>
      <c r="AF101" s="24">
        <f>(AD101-INT(AD101))*12</f>
        <v>2.8491385211236775</v>
      </c>
      <c r="AG101" s="41" t="str">
        <f t="shared" si="284"/>
        <v>2</v>
      </c>
      <c r="AH101" s="24">
        <f>(AF101-INT(AF101))*12</f>
        <v>10.18966225348413</v>
      </c>
      <c r="AI101" s="41" t="str">
        <f t="shared" si="285"/>
        <v>X</v>
      </c>
      <c r="AJ101" s="24">
        <f>(AH101-INT(AH101))*12</f>
        <v>2.2759470418095589</v>
      </c>
      <c r="AK101" s="41" t="str">
        <f t="shared" si="286"/>
        <v/>
      </c>
      <c r="AL101" s="24">
        <f>(AJ101-INT(AJ101))*12</f>
        <v>3.3113645017147064</v>
      </c>
      <c r="AM101" s="41" t="str">
        <f t="shared" si="287"/>
        <v/>
      </c>
      <c r="AN101" s="24">
        <f>(AL101-INT(AL101))*12</f>
        <v>3.7363740205764771</v>
      </c>
      <c r="AO101" s="41" t="str">
        <f t="shared" si="288"/>
        <v/>
      </c>
    </row>
    <row r="102" spans="1:41" ht="14.25" customHeight="1">
      <c r="A102" s="753"/>
      <c r="B102" s="755"/>
      <c r="C102" s="199" t="s">
        <v>378</v>
      </c>
      <c r="D102" s="209" t="str">
        <f t="shared" si="313"/>
        <v>K</v>
      </c>
      <c r="E102" s="161">
        <f>E101*12</f>
        <v>14.528693635956525</v>
      </c>
      <c r="F102" s="176">
        <v>0</v>
      </c>
      <c r="G102" s="177">
        <f t="shared" si="308"/>
        <v>14.528693635956525</v>
      </c>
      <c r="H102" s="178" t="s">
        <v>590</v>
      </c>
      <c r="I102" s="172">
        <f>I101*10</f>
        <v>10</v>
      </c>
      <c r="J102" s="2" t="s">
        <v>589</v>
      </c>
      <c r="K102" s="8">
        <v>9</v>
      </c>
      <c r="L102" s="21">
        <f t="shared" ref="L102" si="315">L101*10</f>
        <v>171269.35582437701</v>
      </c>
      <c r="M102" s="37" t="str">
        <f>Q102&amp;";"&amp;S102&amp;U102&amp;W102&amp;Y102&amp;AA102&amp;AC102&amp;AE102&amp;AG102&amp;AI102&amp;AK102&amp;AM102&amp;AO102</f>
        <v>8;3145432X4</v>
      </c>
      <c r="N102" s="38">
        <f>N101+1</f>
        <v>4</v>
      </c>
      <c r="O102" s="61">
        <f t="shared" si="294"/>
        <v>8.259517545542872</v>
      </c>
      <c r="P102" s="39" t="str">
        <f>INDEX(powers!$H$2:$H$75,33+N102)</f>
        <v>super</v>
      </c>
      <c r="Q102" s="40" t="str">
        <f t="shared" si="312"/>
        <v>8</v>
      </c>
      <c r="R102" s="24">
        <f>(O102-INT(O102))*12</f>
        <v>3.1142105465144638</v>
      </c>
      <c r="S102" s="41" t="str">
        <f t="shared" si="277"/>
        <v>3</v>
      </c>
      <c r="T102" s="24">
        <f>(R102-INT(R102))*12</f>
        <v>1.3705265581735659</v>
      </c>
      <c r="U102" s="41" t="str">
        <f t="shared" si="278"/>
        <v>1</v>
      </c>
      <c r="V102" s="24">
        <f>(T102-INT(T102))*12</f>
        <v>4.4463186980827913</v>
      </c>
      <c r="W102" s="41" t="str">
        <f t="shared" si="279"/>
        <v>4</v>
      </c>
      <c r="X102" s="24">
        <f>(V102-INT(V102))*12</f>
        <v>5.3558243769934961</v>
      </c>
      <c r="Y102" s="41" t="str">
        <f t="shared" si="280"/>
        <v>5</v>
      </c>
      <c r="Z102" s="24">
        <f>(X102-INT(X102))*12</f>
        <v>4.2698925239219534</v>
      </c>
      <c r="AA102" s="41" t="str">
        <f t="shared" si="281"/>
        <v>4</v>
      </c>
      <c r="AB102" s="24">
        <f>(Z102-INT(Z102))*12</f>
        <v>3.2387102870634408</v>
      </c>
      <c r="AC102" s="41" t="str">
        <f t="shared" si="282"/>
        <v>3</v>
      </c>
      <c r="AD102" s="24">
        <f>(AB102-INT(AB102))*12</f>
        <v>2.8645234447612893</v>
      </c>
      <c r="AE102" s="41" t="str">
        <f t="shared" si="283"/>
        <v>2</v>
      </c>
      <c r="AF102" s="24">
        <f>(AD102-INT(AD102))*12</f>
        <v>10.374281337135471</v>
      </c>
      <c r="AG102" s="41" t="str">
        <f t="shared" si="284"/>
        <v>X</v>
      </c>
      <c r="AH102" s="24">
        <f>(AF102-INT(AF102))*12</f>
        <v>4.4913760456256568</v>
      </c>
      <c r="AI102" s="41" t="str">
        <f t="shared" si="285"/>
        <v>4</v>
      </c>
      <c r="AJ102" s="24">
        <f>(AH102-INT(AH102))*12</f>
        <v>5.8965125475078821</v>
      </c>
      <c r="AK102" s="41" t="str">
        <f t="shared" si="286"/>
        <v/>
      </c>
      <c r="AL102" s="24">
        <f>(AJ102-INT(AJ102))*12</f>
        <v>10.758150570094585</v>
      </c>
      <c r="AM102" s="41" t="str">
        <f t="shared" si="287"/>
        <v/>
      </c>
      <c r="AN102" s="24">
        <f>(AL102-INT(AL102))*12</f>
        <v>9.097806841135025</v>
      </c>
      <c r="AO102" s="41" t="str">
        <f t="shared" si="288"/>
        <v/>
      </c>
    </row>
    <row r="103" spans="1:41" ht="14.25" customHeight="1">
      <c r="A103" s="753"/>
      <c r="B103" s="755"/>
      <c r="C103" s="225" t="s">
        <v>379</v>
      </c>
      <c r="D103" s="5" t="str">
        <f t="shared" si="313"/>
        <v>K</v>
      </c>
      <c r="E103" s="161">
        <f t="shared" ref="E103:E107" si="316">E102*12</f>
        <v>174.34432363147829</v>
      </c>
      <c r="F103" s="176">
        <v>0</v>
      </c>
      <c r="G103" s="177">
        <f t="shared" si="308"/>
        <v>174.34432363147829</v>
      </c>
      <c r="H103" s="178" t="s">
        <v>590</v>
      </c>
      <c r="I103" s="172">
        <f>I102*10</f>
        <v>100</v>
      </c>
      <c r="J103" s="2" t="s">
        <v>589</v>
      </c>
      <c r="K103" s="8">
        <v>9</v>
      </c>
      <c r="L103" s="21">
        <f>L102*10</f>
        <v>1712693.5582437702</v>
      </c>
      <c r="M103" s="37" t="str">
        <f>Q103&amp;";"&amp;S103&amp;U103&amp;W103&amp;Y103&amp;AA103&amp;AC103&amp;AE103&amp;AG103&amp;AI103&amp;AK103&amp;AM103&amp;AO103</f>
        <v>6;X71856848</v>
      </c>
      <c r="N103" s="38">
        <f>N102+1</f>
        <v>5</v>
      </c>
      <c r="O103" s="61">
        <f t="shared" si="294"/>
        <v>6.8829312879523945</v>
      </c>
      <c r="P103" s="39" t="str">
        <f>INDEX(powers!$H$2:$H$75,33+N103)</f>
        <v>cosmic milly</v>
      </c>
      <c r="Q103" s="40" t="str">
        <f t="shared" si="312"/>
        <v>6</v>
      </c>
      <c r="R103" s="24">
        <f>(O103-INT(O103))*12</f>
        <v>10.595175455428734</v>
      </c>
      <c r="S103" s="41" t="str">
        <f t="shared" si="277"/>
        <v>X</v>
      </c>
      <c r="T103" s="24">
        <f>(R103-INT(R103))*12</f>
        <v>7.1421054651448088</v>
      </c>
      <c r="U103" s="41" t="str">
        <f t="shared" si="278"/>
        <v>7</v>
      </c>
      <c r="V103" s="24">
        <f>(T103-INT(T103))*12</f>
        <v>1.7052655817377058</v>
      </c>
      <c r="W103" s="41" t="str">
        <f t="shared" si="279"/>
        <v>1</v>
      </c>
      <c r="X103" s="24">
        <f>(V103-INT(V103))*12</f>
        <v>8.4631869808524698</v>
      </c>
      <c r="Y103" s="41" t="str">
        <f t="shared" si="280"/>
        <v>8</v>
      </c>
      <c r="Z103" s="24">
        <f>(X103-INT(X103))*12</f>
        <v>5.5582437702296374</v>
      </c>
      <c r="AA103" s="41" t="str">
        <f t="shared" si="281"/>
        <v>5</v>
      </c>
      <c r="AB103" s="24">
        <f>(Z103-INT(Z103))*12</f>
        <v>6.6989252427556494</v>
      </c>
      <c r="AC103" s="41" t="str">
        <f t="shared" si="282"/>
        <v>6</v>
      </c>
      <c r="AD103" s="24">
        <f>(AB103-INT(AB103))*12</f>
        <v>8.3871029130677925</v>
      </c>
      <c r="AE103" s="41" t="str">
        <f t="shared" si="283"/>
        <v>8</v>
      </c>
      <c r="AF103" s="24">
        <f>(AD103-INT(AD103))*12</f>
        <v>4.6452349568135105</v>
      </c>
      <c r="AG103" s="41" t="str">
        <f t="shared" si="284"/>
        <v>4</v>
      </c>
      <c r="AH103" s="24">
        <f>(AF103-INT(AF103))*12</f>
        <v>7.7428194817621261</v>
      </c>
      <c r="AI103" s="41" t="str">
        <f t="shared" si="285"/>
        <v>8</v>
      </c>
      <c r="AJ103" s="24">
        <f>(AH103-INT(AH103))*12</f>
        <v>8.9138337811455131</v>
      </c>
      <c r="AK103" s="41" t="str">
        <f t="shared" si="286"/>
        <v/>
      </c>
      <c r="AL103" s="24">
        <f>(AJ103-INT(AJ103))*12</f>
        <v>10.966005373746157</v>
      </c>
      <c r="AM103" s="41" t="str">
        <f t="shared" si="287"/>
        <v/>
      </c>
      <c r="AN103" s="24">
        <f>(AL103-INT(AL103))*12</f>
        <v>11.59206448495388</v>
      </c>
      <c r="AO103" s="41" t="str">
        <f t="shared" si="288"/>
        <v/>
      </c>
    </row>
    <row r="104" spans="1:41" ht="14.25" customHeight="1">
      <c r="A104" s="753"/>
      <c r="B104" s="755"/>
      <c r="C104" s="199" t="s">
        <v>380</v>
      </c>
      <c r="D104" s="209" t="str">
        <f t="shared" si="313"/>
        <v>K</v>
      </c>
      <c r="E104" s="161">
        <f t="shared" si="316"/>
        <v>2092.1318835777392</v>
      </c>
      <c r="F104" s="176">
        <v>3</v>
      </c>
      <c r="G104" s="177">
        <f t="shared" si="308"/>
        <v>2.0921318835777392</v>
      </c>
      <c r="H104" s="178" t="s">
        <v>592</v>
      </c>
      <c r="I104" s="172">
        <f t="shared" ref="I104:I107" si="317">I103*10</f>
        <v>1000</v>
      </c>
      <c r="J104" s="2" t="s">
        <v>589</v>
      </c>
      <c r="K104" s="8">
        <v>9</v>
      </c>
      <c r="L104" s="21">
        <f t="shared" ref="L104:L107" si="318">L103*10</f>
        <v>17126935.582437702</v>
      </c>
      <c r="M104" s="37" t="str">
        <f t="shared" ref="M104:M107" si="319">Q104&amp;";"&amp;S104&amp;U104&amp;W104&amp;Y104&amp;AA104&amp;AC104&amp;AE104&amp;AG104&amp;AI104&amp;AK104&amp;AM104&amp;AO104</f>
        <v>5;89E5076EX</v>
      </c>
      <c r="N104" s="38">
        <f t="shared" ref="N104:N106" si="320">N103+1</f>
        <v>6</v>
      </c>
      <c r="O104" s="61">
        <f t="shared" ref="O104:O121" si="321">L104/POWER(12,N104)</f>
        <v>5.7357760732936622</v>
      </c>
      <c r="P104" s="39" t="str">
        <f>INDEX(powers!$H$2:$H$75,33+N104)</f>
        <v>cosmic centy</v>
      </c>
      <c r="Q104" s="40" t="str">
        <f t="shared" si="312"/>
        <v>5</v>
      </c>
      <c r="R104" s="24">
        <f t="shared" ref="R104:R107" si="322">(O104-INT(O104))*12</f>
        <v>8.8293128795239468</v>
      </c>
      <c r="S104" s="41" t="str">
        <f t="shared" si="277"/>
        <v>8</v>
      </c>
      <c r="T104" s="24">
        <f t="shared" ref="T104:T107" si="323">(R104-INT(R104))*12</f>
        <v>9.951754554287362</v>
      </c>
      <c r="U104" s="41" t="str">
        <f t="shared" si="278"/>
        <v>9</v>
      </c>
      <c r="V104" s="24">
        <f t="shared" ref="V104:V107" si="324">(T104-INT(T104))*12</f>
        <v>11.421054651448344</v>
      </c>
      <c r="W104" s="41" t="str">
        <f t="shared" si="279"/>
        <v>E</v>
      </c>
      <c r="X104" s="24">
        <f t="shared" ref="X104:X107" si="325">(V104-INT(V104))*12</f>
        <v>5.0526558173801277</v>
      </c>
      <c r="Y104" s="41" t="str">
        <f t="shared" si="280"/>
        <v>5</v>
      </c>
      <c r="Z104" s="24">
        <f t="shared" ref="Z104:Z107" si="326">(X104-INT(X104))*12</f>
        <v>0.63186980856153241</v>
      </c>
      <c r="AA104" s="41" t="str">
        <f t="shared" si="281"/>
        <v>0</v>
      </c>
      <c r="AB104" s="24">
        <f t="shared" ref="AB104:AB107" si="327">(Z104-INT(Z104))*12</f>
        <v>7.5824377027383889</v>
      </c>
      <c r="AC104" s="41" t="str">
        <f t="shared" si="282"/>
        <v>7</v>
      </c>
      <c r="AD104" s="24">
        <f t="shared" ref="AD104:AD107" si="328">(AB104-INT(AB104))*12</f>
        <v>6.9892524328606669</v>
      </c>
      <c r="AE104" s="41" t="str">
        <f t="shared" si="283"/>
        <v>6</v>
      </c>
      <c r="AF104" s="24">
        <f t="shared" ref="AF104:AF107" si="329">(AD104-INT(AD104))*12</f>
        <v>11.871029194328003</v>
      </c>
      <c r="AG104" s="41" t="str">
        <f t="shared" si="284"/>
        <v>E</v>
      </c>
      <c r="AH104" s="24">
        <f t="shared" ref="AH104:AH107" si="330">(AF104-INT(AF104))*12</f>
        <v>10.452350331936032</v>
      </c>
      <c r="AI104" s="41" t="str">
        <f t="shared" si="285"/>
        <v>X</v>
      </c>
      <c r="AJ104" s="24">
        <f t="shared" ref="AJ104:AJ107" si="331">(AH104-INT(AH104))*12</f>
        <v>5.428203983232379</v>
      </c>
      <c r="AK104" s="41" t="str">
        <f t="shared" si="286"/>
        <v/>
      </c>
      <c r="AL104" s="24">
        <f t="shared" ref="AL104:AL107" si="332">(AJ104-INT(AJ104))*12</f>
        <v>5.1384477987885475</v>
      </c>
      <c r="AM104" s="41" t="str">
        <f t="shared" si="287"/>
        <v/>
      </c>
      <c r="AN104" s="24">
        <f t="shared" ref="AN104:AN107" si="333">(AL104-INT(AL104))*12</f>
        <v>1.6613735854625702</v>
      </c>
      <c r="AO104" s="41" t="str">
        <f t="shared" si="288"/>
        <v/>
      </c>
    </row>
    <row r="105" spans="1:41" ht="14.25" customHeight="1">
      <c r="A105" s="753"/>
      <c r="B105" s="755"/>
      <c r="C105" s="199" t="s">
        <v>381</v>
      </c>
      <c r="D105" s="209" t="str">
        <f t="shared" si="313"/>
        <v>K</v>
      </c>
      <c r="E105" s="161">
        <f t="shared" si="316"/>
        <v>25105.582602932871</v>
      </c>
      <c r="F105" s="176">
        <v>3</v>
      </c>
      <c r="G105" s="177">
        <f t="shared" si="308"/>
        <v>25.10558260293287</v>
      </c>
      <c r="H105" s="178" t="s">
        <v>592</v>
      </c>
      <c r="I105" s="172">
        <f t="shared" si="317"/>
        <v>10000</v>
      </c>
      <c r="J105" s="2" t="s">
        <v>589</v>
      </c>
      <c r="K105" s="8">
        <v>9</v>
      </c>
      <c r="L105" s="21">
        <f t="shared" si="318"/>
        <v>171269355.824377</v>
      </c>
      <c r="M105" s="37" t="str">
        <f t="shared" si="319"/>
        <v>4;94362639E</v>
      </c>
      <c r="N105" s="38">
        <f t="shared" si="320"/>
        <v>7</v>
      </c>
      <c r="O105" s="61">
        <f t="shared" si="321"/>
        <v>4.7798133944113843</v>
      </c>
      <c r="P105" s="39" t="str">
        <f>INDEX(powers!$H$2:$H$75,33+N105)</f>
        <v>cosmic dour</v>
      </c>
      <c r="Q105" s="40" t="str">
        <f t="shared" si="312"/>
        <v>4</v>
      </c>
      <c r="R105" s="24">
        <f t="shared" si="322"/>
        <v>9.3577607329366117</v>
      </c>
      <c r="S105" s="41" t="str">
        <f t="shared" si="277"/>
        <v>9</v>
      </c>
      <c r="T105" s="24">
        <f t="shared" si="323"/>
        <v>4.2931287952393404</v>
      </c>
      <c r="U105" s="41" t="str">
        <f t="shared" si="278"/>
        <v>4</v>
      </c>
      <c r="V105" s="24">
        <f t="shared" si="324"/>
        <v>3.5175455428720852</v>
      </c>
      <c r="W105" s="41" t="str">
        <f t="shared" si="279"/>
        <v>3</v>
      </c>
      <c r="X105" s="24">
        <f t="shared" si="325"/>
        <v>6.2105465144650225</v>
      </c>
      <c r="Y105" s="41" t="str">
        <f t="shared" si="280"/>
        <v>6</v>
      </c>
      <c r="Z105" s="24">
        <f t="shared" si="326"/>
        <v>2.5265581735802698</v>
      </c>
      <c r="AA105" s="41" t="str">
        <f t="shared" si="281"/>
        <v>2</v>
      </c>
      <c r="AB105" s="24">
        <f t="shared" si="327"/>
        <v>6.3186980829632375</v>
      </c>
      <c r="AC105" s="41" t="str">
        <f t="shared" si="282"/>
        <v>6</v>
      </c>
      <c r="AD105" s="24">
        <f t="shared" si="328"/>
        <v>3.8243769955588505</v>
      </c>
      <c r="AE105" s="41" t="str">
        <f t="shared" si="283"/>
        <v>3</v>
      </c>
      <c r="AF105" s="24">
        <f t="shared" si="329"/>
        <v>9.8925239467062056</v>
      </c>
      <c r="AG105" s="41" t="str">
        <f t="shared" si="284"/>
        <v>9</v>
      </c>
      <c r="AH105" s="24">
        <f t="shared" si="330"/>
        <v>10.710287360474467</v>
      </c>
      <c r="AI105" s="41" t="str">
        <f t="shared" si="285"/>
        <v>E</v>
      </c>
      <c r="AJ105" s="24">
        <f t="shared" si="331"/>
        <v>8.5234483256936073</v>
      </c>
      <c r="AK105" s="41" t="str">
        <f t="shared" si="286"/>
        <v/>
      </c>
      <c r="AL105" s="24">
        <f t="shared" si="332"/>
        <v>6.281379908323288</v>
      </c>
      <c r="AM105" s="41" t="str">
        <f t="shared" si="287"/>
        <v/>
      </c>
      <c r="AN105" s="24">
        <f t="shared" si="333"/>
        <v>3.3765588998794556</v>
      </c>
      <c r="AO105" s="41" t="str">
        <f t="shared" si="288"/>
        <v/>
      </c>
    </row>
    <row r="106" spans="1:41" ht="14.25" customHeight="1">
      <c r="A106" s="753"/>
      <c r="B106" s="755"/>
      <c r="C106" s="199" t="s">
        <v>623</v>
      </c>
      <c r="D106" s="209" t="str">
        <f t="shared" si="313"/>
        <v>K</v>
      </c>
      <c r="E106" s="161">
        <f t="shared" si="316"/>
        <v>301266.99123519444</v>
      </c>
      <c r="F106" s="176">
        <v>3</v>
      </c>
      <c r="G106" s="177">
        <f t="shared" si="308"/>
        <v>301.26699123519444</v>
      </c>
      <c r="H106" s="178" t="s">
        <v>592</v>
      </c>
      <c r="I106" s="172">
        <f t="shared" si="317"/>
        <v>100000</v>
      </c>
      <c r="J106" s="2" t="s">
        <v>589</v>
      </c>
      <c r="K106" s="8">
        <v>9</v>
      </c>
      <c r="L106" s="21">
        <f t="shared" si="318"/>
        <v>1712693558.2437701</v>
      </c>
      <c r="M106" s="37" t="str">
        <f t="shared" si="319"/>
        <v>3;E96E21323</v>
      </c>
      <c r="N106" s="38">
        <f t="shared" si="320"/>
        <v>8</v>
      </c>
      <c r="O106" s="61">
        <f t="shared" si="321"/>
        <v>3.9831778286761539</v>
      </c>
      <c r="P106" s="39" t="str">
        <f>INDEX(powers!$H$2:$H$75,33+N106)</f>
        <v>cosmic</v>
      </c>
      <c r="Q106" s="40" t="str">
        <f t="shared" si="312"/>
        <v>3</v>
      </c>
      <c r="R106" s="24">
        <f t="shared" si="322"/>
        <v>11.798133944113847</v>
      </c>
      <c r="S106" s="41" t="str">
        <f t="shared" si="277"/>
        <v>E</v>
      </c>
      <c r="T106" s="24">
        <f t="shared" si="323"/>
        <v>9.5776073293661597</v>
      </c>
      <c r="U106" s="41" t="str">
        <f t="shared" si="278"/>
        <v>9</v>
      </c>
      <c r="V106" s="24">
        <f t="shared" si="324"/>
        <v>6.9312879523939159</v>
      </c>
      <c r="W106" s="41" t="str">
        <f t="shared" si="279"/>
        <v>6</v>
      </c>
      <c r="X106" s="24">
        <f t="shared" si="325"/>
        <v>11.175455428726991</v>
      </c>
      <c r="Y106" s="41" t="str">
        <f t="shared" si="280"/>
        <v>E</v>
      </c>
      <c r="Z106" s="24">
        <f t="shared" si="326"/>
        <v>2.1054651447238939</v>
      </c>
      <c r="AA106" s="41" t="str">
        <f t="shared" si="281"/>
        <v>2</v>
      </c>
      <c r="AB106" s="24">
        <f t="shared" si="327"/>
        <v>1.2655817366867268</v>
      </c>
      <c r="AC106" s="41" t="str">
        <f t="shared" si="282"/>
        <v>1</v>
      </c>
      <c r="AD106" s="24">
        <f t="shared" si="328"/>
        <v>3.1869808402407216</v>
      </c>
      <c r="AE106" s="41" t="str">
        <f t="shared" si="283"/>
        <v>3</v>
      </c>
      <c r="AF106" s="24">
        <f t="shared" si="329"/>
        <v>2.2437700828886591</v>
      </c>
      <c r="AG106" s="41" t="str">
        <f t="shared" si="284"/>
        <v>2</v>
      </c>
      <c r="AH106" s="24">
        <f t="shared" si="330"/>
        <v>2.9252409946639091</v>
      </c>
      <c r="AI106" s="41" t="str">
        <f t="shared" si="285"/>
        <v>3</v>
      </c>
      <c r="AJ106" s="24">
        <f t="shared" si="331"/>
        <v>11.102891935966909</v>
      </c>
      <c r="AK106" s="41" t="str">
        <f t="shared" si="286"/>
        <v/>
      </c>
      <c r="AL106" s="24">
        <f t="shared" si="332"/>
        <v>1.2347032316029072</v>
      </c>
      <c r="AM106" s="41" t="str">
        <f t="shared" si="287"/>
        <v/>
      </c>
      <c r="AN106" s="24">
        <f t="shared" si="333"/>
        <v>2.8164387792348862</v>
      </c>
      <c r="AO106" s="41" t="str">
        <f t="shared" si="288"/>
        <v/>
      </c>
    </row>
    <row r="107" spans="1:41" ht="14.25" customHeight="1" thickBot="1">
      <c r="A107" s="753"/>
      <c r="B107" s="756"/>
      <c r="C107" s="200" t="s">
        <v>624</v>
      </c>
      <c r="D107" s="211" t="str">
        <f t="shared" si="313"/>
        <v>K</v>
      </c>
      <c r="E107" s="186">
        <f t="shared" si="316"/>
        <v>3615203.894822333</v>
      </c>
      <c r="F107" s="187">
        <v>6</v>
      </c>
      <c r="G107" s="188">
        <f t="shared" si="308"/>
        <v>3.6152038948223328</v>
      </c>
      <c r="H107" s="189" t="s">
        <v>593</v>
      </c>
      <c r="I107" s="173">
        <f t="shared" si="317"/>
        <v>1000000</v>
      </c>
      <c r="J107" s="6" t="s">
        <v>589</v>
      </c>
      <c r="K107" s="30">
        <v>9</v>
      </c>
      <c r="L107" s="29">
        <f t="shared" si="318"/>
        <v>17126935582.437702</v>
      </c>
      <c r="M107" s="112" t="str">
        <f t="shared" si="319"/>
        <v>3;39E93907X</v>
      </c>
      <c r="N107" s="43">
        <f>N106+1</f>
        <v>9</v>
      </c>
      <c r="O107" s="62">
        <f t="shared" si="321"/>
        <v>3.3193148572301285</v>
      </c>
      <c r="P107" s="44" t="str">
        <f>INDEX(powers!$H$2:$H$75,33+N107)</f>
        <v>cosmic dirac</v>
      </c>
      <c r="Q107" s="40" t="str">
        <f t="shared" si="312"/>
        <v>3</v>
      </c>
      <c r="R107" s="24">
        <f t="shared" si="322"/>
        <v>3.8317782867615424</v>
      </c>
      <c r="S107" s="41" t="str">
        <f t="shared" si="277"/>
        <v>3</v>
      </c>
      <c r="T107" s="24">
        <f t="shared" si="323"/>
        <v>9.981339441138509</v>
      </c>
      <c r="U107" s="41" t="str">
        <f t="shared" si="278"/>
        <v>9</v>
      </c>
      <c r="V107" s="24">
        <f t="shared" si="324"/>
        <v>11.776073293662108</v>
      </c>
      <c r="W107" s="41" t="str">
        <f t="shared" si="279"/>
        <v>E</v>
      </c>
      <c r="X107" s="24">
        <f t="shared" si="325"/>
        <v>9.3128795239452984</v>
      </c>
      <c r="Y107" s="41" t="str">
        <f t="shared" si="280"/>
        <v>9</v>
      </c>
      <c r="Z107" s="24">
        <f t="shared" si="326"/>
        <v>3.7545542873435807</v>
      </c>
      <c r="AA107" s="41" t="str">
        <f t="shared" si="281"/>
        <v>3</v>
      </c>
      <c r="AB107" s="24">
        <f t="shared" si="327"/>
        <v>9.0546514481229678</v>
      </c>
      <c r="AC107" s="41" t="str">
        <f t="shared" si="282"/>
        <v>9</v>
      </c>
      <c r="AD107" s="24">
        <f t="shared" si="328"/>
        <v>0.65581737747561419</v>
      </c>
      <c r="AE107" s="41" t="str">
        <f t="shared" si="283"/>
        <v>0</v>
      </c>
      <c r="AF107" s="24">
        <f t="shared" si="329"/>
        <v>7.8698085297073703</v>
      </c>
      <c r="AG107" s="41" t="str">
        <f t="shared" si="284"/>
        <v>7</v>
      </c>
      <c r="AH107" s="24">
        <f t="shared" si="330"/>
        <v>10.437702356488444</v>
      </c>
      <c r="AI107" s="41" t="str">
        <f t="shared" si="285"/>
        <v>X</v>
      </c>
      <c r="AJ107" s="24">
        <f t="shared" si="331"/>
        <v>5.2524282778613269</v>
      </c>
      <c r="AK107" s="41" t="str">
        <f t="shared" si="286"/>
        <v/>
      </c>
      <c r="AL107" s="24">
        <f t="shared" si="332"/>
        <v>3.0291393343359232</v>
      </c>
      <c r="AM107" s="41" t="str">
        <f t="shared" si="287"/>
        <v/>
      </c>
      <c r="AN107" s="24">
        <f t="shared" si="333"/>
        <v>0.34967201203107834</v>
      </c>
      <c r="AO107" s="41" t="str">
        <f t="shared" si="288"/>
        <v/>
      </c>
    </row>
    <row r="108" spans="1:41" ht="14.25" customHeight="1">
      <c r="A108" s="753"/>
      <c r="B108" s="757" t="s">
        <v>601</v>
      </c>
      <c r="C108" s="236" t="s">
        <v>575</v>
      </c>
      <c r="D108" s="237" t="s">
        <v>599</v>
      </c>
      <c r="E108" s="161">
        <f>E109/12</f>
        <v>0.89354398271989</v>
      </c>
      <c r="F108" s="176">
        <v>0</v>
      </c>
      <c r="G108" s="177">
        <f t="shared" si="308"/>
        <v>0.89354398271989</v>
      </c>
      <c r="H108" s="178" t="s">
        <v>136</v>
      </c>
      <c r="I108" s="203">
        <v>1</v>
      </c>
      <c r="J108" s="154" t="s">
        <v>136</v>
      </c>
      <c r="K108" s="152">
        <v>9</v>
      </c>
      <c r="L108" s="151">
        <f>L110/12</f>
        <v>9.3261590861674293E-2</v>
      </c>
      <c r="M108" s="155" t="str">
        <f t="shared" ref="M108:M113" si="334">Q108&amp;";"&amp;S108&amp;U108&amp;W108&amp;Y108&amp;AA108&amp;AC108&amp;AE108&amp;AG108&amp;AI108&amp;AK108&amp;AM108&amp;AO108</f>
        <v>1;151X57501</v>
      </c>
      <c r="N108" s="156">
        <v>-1</v>
      </c>
      <c r="O108" s="164">
        <f t="shared" si="321"/>
        <v>1.1191390903400915</v>
      </c>
      <c r="P108" s="157" t="str">
        <f>INDEX(powers!$H$2:$H$75,33+N108)</f>
        <v>dour</v>
      </c>
      <c r="Q108" s="40" t="str">
        <f t="shared" si="312"/>
        <v>1</v>
      </c>
      <c r="R108" s="24">
        <f t="shared" ref="R108:R113" si="335">(O108-INT(O108))*12</f>
        <v>1.4296690840810982</v>
      </c>
      <c r="S108" s="41" t="str">
        <f t="shared" si="277"/>
        <v>1</v>
      </c>
      <c r="T108" s="24">
        <f t="shared" ref="T108:T113" si="336">(R108-INT(R108))*12</f>
        <v>5.156029008973178</v>
      </c>
      <c r="U108" s="41" t="str">
        <f t="shared" si="278"/>
        <v>5</v>
      </c>
      <c r="V108" s="24">
        <f t="shared" ref="V108:V113" si="337">(T108-INT(T108))*12</f>
        <v>1.8723481076781354</v>
      </c>
      <c r="W108" s="41" t="str">
        <f t="shared" si="279"/>
        <v>1</v>
      </c>
      <c r="X108" s="24">
        <f t="shared" ref="X108:X113" si="338">(V108-INT(V108))*12</f>
        <v>10.468177292137625</v>
      </c>
      <c r="Y108" s="41" t="str">
        <f t="shared" si="280"/>
        <v>X</v>
      </c>
      <c r="Z108" s="24">
        <f t="shared" ref="Z108:Z113" si="339">(X108-INT(X108))*12</f>
        <v>5.6181275056515005</v>
      </c>
      <c r="AA108" s="41" t="str">
        <f t="shared" si="281"/>
        <v>5</v>
      </c>
      <c r="AB108" s="24">
        <f t="shared" ref="AB108:AB113" si="340">(Z108-INT(Z108))*12</f>
        <v>7.4175300678180065</v>
      </c>
      <c r="AC108" s="41" t="str">
        <f t="shared" si="282"/>
        <v>7</v>
      </c>
      <c r="AD108" s="24">
        <f t="shared" ref="AD108:AD113" si="341">(AB108-INT(AB108))*12</f>
        <v>5.010360813816078</v>
      </c>
      <c r="AE108" s="41" t="str">
        <f t="shared" si="283"/>
        <v>5</v>
      </c>
      <c r="AF108" s="24">
        <f t="shared" ref="AF108:AF113" si="342">(AD108-INT(AD108))*12</f>
        <v>0.12432976579293609</v>
      </c>
      <c r="AG108" s="41" t="str">
        <f t="shared" si="284"/>
        <v>0</v>
      </c>
      <c r="AH108" s="24">
        <f t="shared" ref="AH108:AH113" si="343">(AF108-INT(AF108))*12</f>
        <v>1.491957189515233</v>
      </c>
      <c r="AI108" s="41" t="str">
        <f t="shared" si="285"/>
        <v>1</v>
      </c>
      <c r="AJ108" s="24">
        <f t="shared" ref="AJ108:AJ113" si="344">(AH108-INT(AH108))*12</f>
        <v>5.9034862741827965</v>
      </c>
      <c r="AK108" s="41" t="str">
        <f t="shared" si="286"/>
        <v/>
      </c>
      <c r="AL108" s="24">
        <f t="shared" ref="AL108:AL113" si="345">(AJ108-INT(AJ108))*12</f>
        <v>10.841835290193558</v>
      </c>
      <c r="AM108" s="41" t="str">
        <f t="shared" si="287"/>
        <v/>
      </c>
      <c r="AN108" s="24">
        <f t="shared" ref="AN108:AN113" si="346">(AL108-INT(AL108))*12</f>
        <v>10.102023482322693</v>
      </c>
      <c r="AO108" s="41" t="str">
        <f t="shared" si="288"/>
        <v/>
      </c>
    </row>
    <row r="109" spans="1:41" ht="14.25" customHeight="1">
      <c r="A109" s="753"/>
      <c r="B109" s="755"/>
      <c r="C109" s="184" t="s">
        <v>618</v>
      </c>
      <c r="D109" s="209" t="s">
        <v>57</v>
      </c>
      <c r="E109" s="161">
        <f>E110*12</f>
        <v>10.72252779263868</v>
      </c>
      <c r="F109" s="176">
        <v>0</v>
      </c>
      <c r="G109" s="177">
        <f t="shared" si="308"/>
        <v>10.72252779263868</v>
      </c>
      <c r="H109" s="178" t="s">
        <v>136</v>
      </c>
      <c r="I109" s="184">
        <v>10</v>
      </c>
      <c r="J109" s="2" t="s">
        <v>136</v>
      </c>
      <c r="K109" s="8">
        <v>9</v>
      </c>
      <c r="L109" s="21">
        <f>L108*10</f>
        <v>0.93261590861674293</v>
      </c>
      <c r="M109" s="37" t="str">
        <f t="shared" si="334"/>
        <v>E;236882213</v>
      </c>
      <c r="N109" s="38">
        <v>-1</v>
      </c>
      <c r="O109" s="61">
        <f t="shared" si="321"/>
        <v>11.191390903400915</v>
      </c>
      <c r="P109" s="39" t="str">
        <f>INDEX(powers!$H$2:$H$75,33+N109)</f>
        <v>dour</v>
      </c>
      <c r="Q109" s="40" t="str">
        <f t="shared" si="312"/>
        <v>E</v>
      </c>
      <c r="R109" s="24">
        <f t="shared" si="335"/>
        <v>2.2966908408109816</v>
      </c>
      <c r="S109" s="41" t="str">
        <f t="shared" si="277"/>
        <v>2</v>
      </c>
      <c r="T109" s="24">
        <f t="shared" si="336"/>
        <v>3.5602900897317795</v>
      </c>
      <c r="U109" s="41" t="str">
        <f t="shared" si="278"/>
        <v>3</v>
      </c>
      <c r="V109" s="24">
        <f t="shared" si="337"/>
        <v>6.7234810767813542</v>
      </c>
      <c r="W109" s="41" t="str">
        <f t="shared" si="279"/>
        <v>6</v>
      </c>
      <c r="X109" s="24">
        <f t="shared" si="338"/>
        <v>8.6817729213762505</v>
      </c>
      <c r="Y109" s="41" t="str">
        <f t="shared" si="280"/>
        <v>8</v>
      </c>
      <c r="Z109" s="24">
        <f t="shared" si="339"/>
        <v>8.1812750565150054</v>
      </c>
      <c r="AA109" s="41" t="str">
        <f t="shared" si="281"/>
        <v>8</v>
      </c>
      <c r="AB109" s="24">
        <f t="shared" si="340"/>
        <v>2.175300678180065</v>
      </c>
      <c r="AC109" s="41" t="str">
        <f t="shared" si="282"/>
        <v>2</v>
      </c>
      <c r="AD109" s="24">
        <f t="shared" si="341"/>
        <v>2.1036081381607801</v>
      </c>
      <c r="AE109" s="41" t="str">
        <f t="shared" si="283"/>
        <v>2</v>
      </c>
      <c r="AF109" s="24">
        <f t="shared" si="342"/>
        <v>1.2432976579293609</v>
      </c>
      <c r="AG109" s="41" t="str">
        <f t="shared" si="284"/>
        <v>1</v>
      </c>
      <c r="AH109" s="24">
        <f t="shared" si="343"/>
        <v>2.9195718951523304</v>
      </c>
      <c r="AI109" s="41" t="str">
        <f t="shared" si="285"/>
        <v>3</v>
      </c>
      <c r="AJ109" s="24">
        <f t="shared" si="344"/>
        <v>11.034862741827965</v>
      </c>
      <c r="AK109" s="41" t="str">
        <f t="shared" si="286"/>
        <v/>
      </c>
      <c r="AL109" s="24">
        <f t="shared" si="345"/>
        <v>0.41835290193557739</v>
      </c>
      <c r="AM109" s="41" t="str">
        <f t="shared" si="287"/>
        <v/>
      </c>
      <c r="AN109" s="24">
        <f t="shared" si="346"/>
        <v>5.0202348232269287</v>
      </c>
      <c r="AO109" s="41" t="str">
        <f t="shared" si="288"/>
        <v/>
      </c>
    </row>
    <row r="110" spans="1:41" ht="14.25" customHeight="1">
      <c r="A110" s="753"/>
      <c r="B110" s="755"/>
      <c r="C110" s="184" t="s">
        <v>618</v>
      </c>
      <c r="D110" s="209" t="s">
        <v>57</v>
      </c>
      <c r="E110" s="161">
        <f>E3/0.3048</f>
        <v>0.89354398271988988</v>
      </c>
      <c r="F110" s="176">
        <v>0</v>
      </c>
      <c r="G110" s="177">
        <f t="shared" si="308"/>
        <v>0.89354398271988988</v>
      </c>
      <c r="H110" s="178" t="s">
        <v>119</v>
      </c>
      <c r="I110" s="184">
        <v>1</v>
      </c>
      <c r="J110" s="2" t="s">
        <v>119</v>
      </c>
      <c r="K110" s="8">
        <v>9</v>
      </c>
      <c r="L110" s="21">
        <f>1/E110</f>
        <v>1.1191390903400915</v>
      </c>
      <c r="M110" s="37" t="str">
        <f t="shared" si="334"/>
        <v>1;151X57501</v>
      </c>
      <c r="N110" s="38">
        <v>0</v>
      </c>
      <c r="O110" s="61">
        <f t="shared" si="321"/>
        <v>1.1191390903400915</v>
      </c>
      <c r="P110" s="39" t="str">
        <f>INDEX(powers!$H$2:$H$75,33+N110)</f>
        <v xml:space="preserve"> </v>
      </c>
      <c r="Q110" s="40" t="str">
        <f t="shared" si="312"/>
        <v>1</v>
      </c>
      <c r="R110" s="24">
        <f t="shared" si="335"/>
        <v>1.4296690840810982</v>
      </c>
      <c r="S110" s="41" t="str">
        <f t="shared" si="277"/>
        <v>1</v>
      </c>
      <c r="T110" s="24">
        <f t="shared" si="336"/>
        <v>5.156029008973178</v>
      </c>
      <c r="U110" s="41" t="str">
        <f t="shared" si="278"/>
        <v>5</v>
      </c>
      <c r="V110" s="24">
        <f t="shared" si="337"/>
        <v>1.8723481076781354</v>
      </c>
      <c r="W110" s="41" t="str">
        <f t="shared" si="279"/>
        <v>1</v>
      </c>
      <c r="X110" s="24">
        <f t="shared" si="338"/>
        <v>10.468177292137625</v>
      </c>
      <c r="Y110" s="41" t="str">
        <f t="shared" si="280"/>
        <v>X</v>
      </c>
      <c r="Z110" s="24">
        <f t="shared" si="339"/>
        <v>5.6181275056515005</v>
      </c>
      <c r="AA110" s="41" t="str">
        <f t="shared" si="281"/>
        <v>5</v>
      </c>
      <c r="AB110" s="24">
        <f t="shared" si="340"/>
        <v>7.4175300678180065</v>
      </c>
      <c r="AC110" s="41" t="str">
        <f t="shared" si="282"/>
        <v>7</v>
      </c>
      <c r="AD110" s="24">
        <f t="shared" si="341"/>
        <v>5.010360813816078</v>
      </c>
      <c r="AE110" s="41" t="str">
        <f t="shared" si="283"/>
        <v>5</v>
      </c>
      <c r="AF110" s="24">
        <f t="shared" si="342"/>
        <v>0.12432976579293609</v>
      </c>
      <c r="AG110" s="41" t="str">
        <f t="shared" si="284"/>
        <v>0</v>
      </c>
      <c r="AH110" s="24">
        <f t="shared" si="343"/>
        <v>1.491957189515233</v>
      </c>
      <c r="AI110" s="41" t="str">
        <f t="shared" si="285"/>
        <v>1</v>
      </c>
      <c r="AJ110" s="24">
        <f t="shared" si="344"/>
        <v>5.9034862741827965</v>
      </c>
      <c r="AK110" s="41" t="str">
        <f t="shared" si="286"/>
        <v/>
      </c>
      <c r="AL110" s="24">
        <f t="shared" si="345"/>
        <v>10.841835290193558</v>
      </c>
      <c r="AM110" s="41" t="str">
        <f t="shared" si="287"/>
        <v/>
      </c>
      <c r="AN110" s="24">
        <f t="shared" si="346"/>
        <v>10.102023482322693</v>
      </c>
      <c r="AO110" s="41" t="str">
        <f t="shared" si="288"/>
        <v/>
      </c>
    </row>
    <row r="111" spans="1:41" ht="14.25" customHeight="1">
      <c r="A111" s="753"/>
      <c r="B111" s="755"/>
      <c r="C111" s="184" t="s">
        <v>618</v>
      </c>
      <c r="D111" s="209" t="s">
        <v>57</v>
      </c>
      <c r="E111" s="161">
        <f>E110/3</f>
        <v>0.29784799423996328</v>
      </c>
      <c r="F111" s="176">
        <v>0</v>
      </c>
      <c r="G111" s="177">
        <f t="shared" ref="G111" si="347">E111*POWER(10,-F111)</f>
        <v>0.29784799423996328</v>
      </c>
      <c r="H111" s="178" t="s">
        <v>147</v>
      </c>
      <c r="I111" s="184">
        <v>1</v>
      </c>
      <c r="J111" s="2" t="s">
        <v>147</v>
      </c>
      <c r="K111" s="8">
        <v>9</v>
      </c>
      <c r="L111" s="21">
        <f>L110*3</f>
        <v>3.3574172710202745</v>
      </c>
      <c r="M111" s="37" t="str">
        <f t="shared" si="334"/>
        <v>3;43574X304</v>
      </c>
      <c r="N111" s="38">
        <v>0</v>
      </c>
      <c r="O111" s="61">
        <f t="shared" ref="O111" si="348">L111/POWER(12,N111)</f>
        <v>3.3574172710202745</v>
      </c>
      <c r="P111" s="39" t="str">
        <f>INDEX(powers!$H$2:$H$75,33+N111)</f>
        <v xml:space="preserve"> </v>
      </c>
      <c r="Q111" s="40" t="str">
        <f t="shared" ref="Q111" si="349">IF($K111&gt;=Q$23,MID($N$23,IF($K111&gt;Q$23,INT(O111),ROUND(O111,0))+1,1),"")</f>
        <v>3</v>
      </c>
      <c r="R111" s="24">
        <f t="shared" si="335"/>
        <v>4.2890072522432945</v>
      </c>
      <c r="S111" s="41" t="str">
        <f t="shared" si="277"/>
        <v>4</v>
      </c>
      <c r="T111" s="24">
        <f t="shared" si="336"/>
        <v>3.4680870269195339</v>
      </c>
      <c r="U111" s="41" t="str">
        <f t="shared" si="278"/>
        <v>3</v>
      </c>
      <c r="V111" s="24">
        <f t="shared" si="337"/>
        <v>5.6170443230344063</v>
      </c>
      <c r="W111" s="41" t="str">
        <f t="shared" si="279"/>
        <v>5</v>
      </c>
      <c r="X111" s="24">
        <f t="shared" si="338"/>
        <v>7.4045318764128751</v>
      </c>
      <c r="Y111" s="41" t="str">
        <f t="shared" si="280"/>
        <v>7</v>
      </c>
      <c r="Z111" s="24">
        <f t="shared" si="339"/>
        <v>4.8543825169545016</v>
      </c>
      <c r="AA111" s="41" t="str">
        <f t="shared" si="281"/>
        <v>4</v>
      </c>
      <c r="AB111" s="24">
        <f t="shared" si="340"/>
        <v>10.25259020345402</v>
      </c>
      <c r="AC111" s="41" t="str">
        <f t="shared" si="282"/>
        <v>X</v>
      </c>
      <c r="AD111" s="24">
        <f t="shared" si="341"/>
        <v>3.031082441448234</v>
      </c>
      <c r="AE111" s="41" t="str">
        <f t="shared" si="283"/>
        <v>3</v>
      </c>
      <c r="AF111" s="24">
        <f t="shared" si="342"/>
        <v>0.37298929737880826</v>
      </c>
      <c r="AG111" s="41" t="str">
        <f t="shared" si="284"/>
        <v>0</v>
      </c>
      <c r="AH111" s="24">
        <f t="shared" si="343"/>
        <v>4.4758715685456991</v>
      </c>
      <c r="AI111" s="41" t="str">
        <f t="shared" si="285"/>
        <v>4</v>
      </c>
      <c r="AJ111" s="24">
        <f t="shared" si="344"/>
        <v>5.7104588225483894</v>
      </c>
      <c r="AK111" s="41" t="str">
        <f t="shared" si="286"/>
        <v/>
      </c>
      <c r="AL111" s="24">
        <f t="shared" si="345"/>
        <v>8.5255058705806732</v>
      </c>
      <c r="AM111" s="41" t="str">
        <f t="shared" si="287"/>
        <v/>
      </c>
      <c r="AN111" s="24">
        <f t="shared" si="346"/>
        <v>6.3060704469680786</v>
      </c>
      <c r="AO111" s="41" t="str">
        <f t="shared" si="288"/>
        <v/>
      </c>
    </row>
    <row r="112" spans="1:41" ht="14.25" customHeight="1">
      <c r="A112" s="753"/>
      <c r="B112" s="755"/>
      <c r="C112" s="201" t="s">
        <v>622</v>
      </c>
      <c r="D112" s="209" t="s">
        <v>57</v>
      </c>
      <c r="E112" s="161">
        <f>E111*12</f>
        <v>3.5741759308795595</v>
      </c>
      <c r="F112" s="176">
        <v>0</v>
      </c>
      <c r="G112" s="177">
        <f t="shared" si="308"/>
        <v>3.5741759308795595</v>
      </c>
      <c r="H112" s="178" t="s">
        <v>147</v>
      </c>
      <c r="I112" s="184">
        <v>10</v>
      </c>
      <c r="J112" s="2" t="s">
        <v>147</v>
      </c>
      <c r="K112" s="8">
        <v>9</v>
      </c>
      <c r="L112" s="21">
        <f>L111*10</f>
        <v>33.574172710202745</v>
      </c>
      <c r="M112" s="37" t="str">
        <f t="shared" si="334"/>
        <v>2;96X820664</v>
      </c>
      <c r="N112" s="38">
        <v>1</v>
      </c>
      <c r="O112" s="61">
        <f t="shared" si="321"/>
        <v>2.7978477258502288</v>
      </c>
      <c r="P112" s="39" t="str">
        <f>INDEX(powers!$H$2:$H$75,33+N112)</f>
        <v>dirac</v>
      </c>
      <c r="Q112" s="40" t="str">
        <f>IF($K112&gt;=Q$23,MID($N$23,IF($K112&gt;Q$23,INT(O112),ROUND(O112,0))+1,1),"")</f>
        <v>2</v>
      </c>
      <c r="R112" s="24">
        <f t="shared" si="335"/>
        <v>9.5741727102027454</v>
      </c>
      <c r="S112" s="41" t="str">
        <f t="shared" si="277"/>
        <v>9</v>
      </c>
      <c r="T112" s="24">
        <f t="shared" si="336"/>
        <v>6.8900725224329449</v>
      </c>
      <c r="U112" s="41" t="str">
        <f t="shared" si="278"/>
        <v>6</v>
      </c>
      <c r="V112" s="24">
        <f t="shared" si="337"/>
        <v>10.680870269195339</v>
      </c>
      <c r="W112" s="41" t="str">
        <f t="shared" si="279"/>
        <v>X</v>
      </c>
      <c r="X112" s="24">
        <f t="shared" si="338"/>
        <v>8.1704432303440626</v>
      </c>
      <c r="Y112" s="41" t="str">
        <f t="shared" si="280"/>
        <v>8</v>
      </c>
      <c r="Z112" s="24">
        <f t="shared" si="339"/>
        <v>2.0453187641287514</v>
      </c>
      <c r="AA112" s="41" t="str">
        <f t="shared" si="281"/>
        <v>2</v>
      </c>
      <c r="AB112" s="24">
        <f t="shared" si="340"/>
        <v>0.54382516954501625</v>
      </c>
      <c r="AC112" s="41" t="str">
        <f t="shared" si="282"/>
        <v>0</v>
      </c>
      <c r="AD112" s="24">
        <f t="shared" si="341"/>
        <v>6.525902034540195</v>
      </c>
      <c r="AE112" s="41" t="str">
        <f t="shared" si="283"/>
        <v>6</v>
      </c>
      <c r="AF112" s="24">
        <f t="shared" si="342"/>
        <v>6.3108244144823402</v>
      </c>
      <c r="AG112" s="41" t="str">
        <f t="shared" si="284"/>
        <v>6</v>
      </c>
      <c r="AH112" s="24">
        <f t="shared" si="343"/>
        <v>3.7298929737880826</v>
      </c>
      <c r="AI112" s="41" t="str">
        <f t="shared" si="285"/>
        <v>4</v>
      </c>
      <c r="AJ112" s="24">
        <f t="shared" si="344"/>
        <v>8.7587156854569912</v>
      </c>
      <c r="AK112" s="41" t="str">
        <f t="shared" si="286"/>
        <v/>
      </c>
      <c r="AL112" s="24">
        <f t="shared" si="345"/>
        <v>9.1045882254838943</v>
      </c>
      <c r="AM112" s="41" t="str">
        <f t="shared" si="287"/>
        <v/>
      </c>
      <c r="AN112" s="24">
        <f t="shared" si="346"/>
        <v>1.2550587058067322</v>
      </c>
      <c r="AO112" s="41" t="str">
        <f t="shared" si="288"/>
        <v/>
      </c>
    </row>
    <row r="113" spans="1:41" ht="14.25" customHeight="1">
      <c r="A113" s="753"/>
      <c r="B113" s="755"/>
      <c r="C113" s="201" t="s">
        <v>620</v>
      </c>
      <c r="D113" s="209" t="s">
        <v>57</v>
      </c>
      <c r="E113" s="161">
        <f t="shared" ref="E113:E118" si="350">E112*12</f>
        <v>42.890111170554718</v>
      </c>
      <c r="F113" s="176">
        <v>0</v>
      </c>
      <c r="G113" s="177">
        <f t="shared" si="308"/>
        <v>42.890111170554718</v>
      </c>
      <c r="H113" s="178" t="s">
        <v>147</v>
      </c>
      <c r="I113" s="184">
        <v>100</v>
      </c>
      <c r="J113" s="2" t="s">
        <v>147</v>
      </c>
      <c r="K113" s="8">
        <v>9</v>
      </c>
      <c r="L113" s="21">
        <f t="shared" ref="L113:L114" si="351">L112*10</f>
        <v>335.74172710202743</v>
      </c>
      <c r="M113" s="37" t="str">
        <f t="shared" si="334"/>
        <v>2;3E8X98553</v>
      </c>
      <c r="N113" s="38">
        <f>N112+1</f>
        <v>2</v>
      </c>
      <c r="O113" s="61">
        <f t="shared" si="321"/>
        <v>2.3315397715418573</v>
      </c>
      <c r="P113" s="39" t="str">
        <f>INDEX(powers!$H$2:$H$75,33+N113)</f>
        <v>hecty</v>
      </c>
      <c r="Q113" s="40" t="str">
        <f>IF($K113&gt;=Q$23,MID($N$23,IF($K113&gt;Q$23,INT(O113),ROUND(O113,0))+1,1),"")</f>
        <v>2</v>
      </c>
      <c r="R113" s="24">
        <f t="shared" si="335"/>
        <v>3.9784772585022878</v>
      </c>
      <c r="S113" s="41" t="str">
        <f t="shared" si="277"/>
        <v>3</v>
      </c>
      <c r="T113" s="24">
        <f t="shared" si="336"/>
        <v>11.741727102027454</v>
      </c>
      <c r="U113" s="41" t="str">
        <f t="shared" si="278"/>
        <v>E</v>
      </c>
      <c r="V113" s="24">
        <f t="shared" si="337"/>
        <v>8.9007252243294488</v>
      </c>
      <c r="W113" s="41" t="str">
        <f t="shared" si="279"/>
        <v>8</v>
      </c>
      <c r="X113" s="24">
        <f t="shared" si="338"/>
        <v>10.808702691953386</v>
      </c>
      <c r="Y113" s="41" t="str">
        <f t="shared" si="280"/>
        <v>X</v>
      </c>
      <c r="Z113" s="24">
        <f t="shared" si="339"/>
        <v>9.7044323034406261</v>
      </c>
      <c r="AA113" s="41" t="str">
        <f t="shared" si="281"/>
        <v>9</v>
      </c>
      <c r="AB113" s="24">
        <f t="shared" si="340"/>
        <v>8.4531876412875135</v>
      </c>
      <c r="AC113" s="41" t="str">
        <f t="shared" si="282"/>
        <v>8</v>
      </c>
      <c r="AD113" s="24">
        <f t="shared" si="341"/>
        <v>5.4382516954501625</v>
      </c>
      <c r="AE113" s="41" t="str">
        <f t="shared" si="283"/>
        <v>5</v>
      </c>
      <c r="AF113" s="24">
        <f t="shared" si="342"/>
        <v>5.2590203454019502</v>
      </c>
      <c r="AG113" s="41" t="str">
        <f t="shared" si="284"/>
        <v>5</v>
      </c>
      <c r="AH113" s="24">
        <f t="shared" si="343"/>
        <v>3.1082441448234022</v>
      </c>
      <c r="AI113" s="41" t="str">
        <f t="shared" si="285"/>
        <v>3</v>
      </c>
      <c r="AJ113" s="24">
        <f t="shared" si="344"/>
        <v>1.298929737880826</v>
      </c>
      <c r="AK113" s="41" t="str">
        <f t="shared" si="286"/>
        <v/>
      </c>
      <c r="AL113" s="24">
        <f t="shared" si="345"/>
        <v>3.587156854569912</v>
      </c>
      <c r="AM113" s="41" t="str">
        <f t="shared" si="287"/>
        <v/>
      </c>
      <c r="AN113" s="24">
        <f t="shared" si="346"/>
        <v>7.0458822548389435</v>
      </c>
      <c r="AO113" s="41" t="str">
        <f t="shared" si="288"/>
        <v/>
      </c>
    </row>
    <row r="114" spans="1:41" ht="14.25" customHeight="1">
      <c r="A114" s="753"/>
      <c r="B114" s="755"/>
      <c r="C114" s="201" t="s">
        <v>621</v>
      </c>
      <c r="D114" s="209" t="s">
        <v>57</v>
      </c>
      <c r="E114" s="161">
        <f t="shared" si="350"/>
        <v>514.68133404665662</v>
      </c>
      <c r="F114" s="176">
        <v>0</v>
      </c>
      <c r="G114" s="177">
        <f t="shared" si="308"/>
        <v>514.68133404665662</v>
      </c>
      <c r="H114" s="178" t="s">
        <v>147</v>
      </c>
      <c r="I114" s="184">
        <f t="shared" ref="I114:I118" si="352">I113*10</f>
        <v>1000</v>
      </c>
      <c r="J114" s="2" t="s">
        <v>147</v>
      </c>
      <c r="K114" s="8">
        <v>9</v>
      </c>
      <c r="L114" s="21">
        <f t="shared" si="351"/>
        <v>3357.4172710202743</v>
      </c>
      <c r="M114" s="37" t="str">
        <f t="shared" ref="M114:M118" si="353">Q114&amp;";"&amp;S114&amp;U114&amp;W114&amp;Y114&amp;AA114&amp;AC114&amp;AE114&amp;AG114&amp;AI114&amp;AK114&amp;AM114&amp;AO114</f>
        <v>1;E39501065</v>
      </c>
      <c r="N114" s="38">
        <f t="shared" ref="N114:N118" si="354">N113+1</f>
        <v>3</v>
      </c>
      <c r="O114" s="61">
        <f t="shared" si="321"/>
        <v>1.9429498096182143</v>
      </c>
      <c r="P114" s="39" t="str">
        <f>INDEX(powers!$H$2:$H$75,33+N114)</f>
        <v>kily</v>
      </c>
      <c r="Q114" s="40" t="str">
        <f>IF($K114&gt;=Q$23,MID($N$23,IF($K114&gt;Q$23,INT(O114),ROUND(O114,0))+1,1),"")</f>
        <v>1</v>
      </c>
      <c r="R114" s="24">
        <f t="shared" ref="R114:R118" si="355">(O114-INT(O114))*12</f>
        <v>11.315397715418571</v>
      </c>
      <c r="S114" s="41" t="str">
        <f t="shared" si="277"/>
        <v>E</v>
      </c>
      <c r="T114" s="24">
        <f t="shared" ref="T114:T118" si="356">(R114-INT(R114))*12</f>
        <v>3.7847725850228571</v>
      </c>
      <c r="U114" s="41" t="str">
        <f t="shared" si="278"/>
        <v>3</v>
      </c>
      <c r="V114" s="24">
        <f t="shared" ref="V114:V118" si="357">(T114-INT(T114))*12</f>
        <v>9.4172710202742849</v>
      </c>
      <c r="W114" s="41" t="str">
        <f t="shared" si="279"/>
        <v>9</v>
      </c>
      <c r="X114" s="24">
        <f t="shared" ref="X114:X118" si="358">(V114-INT(V114))*12</f>
        <v>5.0072522432914184</v>
      </c>
      <c r="Y114" s="41" t="str">
        <f t="shared" si="280"/>
        <v>5</v>
      </c>
      <c r="Z114" s="24">
        <f t="shared" ref="Z114:Z118" si="359">(X114-INT(X114))*12</f>
        <v>8.7026919497020572E-2</v>
      </c>
      <c r="AA114" s="41" t="str">
        <f t="shared" si="281"/>
        <v>0</v>
      </c>
      <c r="AB114" s="24">
        <f t="shared" ref="AB114:AB118" si="360">(Z114-INT(Z114))*12</f>
        <v>1.0443230339642469</v>
      </c>
      <c r="AC114" s="41" t="str">
        <f t="shared" si="282"/>
        <v>1</v>
      </c>
      <c r="AD114" s="24">
        <f t="shared" ref="AD114:AD118" si="361">(AB114-INT(AB114))*12</f>
        <v>0.53187640757096233</v>
      </c>
      <c r="AE114" s="41" t="str">
        <f t="shared" si="283"/>
        <v>0</v>
      </c>
      <c r="AF114" s="24">
        <f t="shared" ref="AF114:AF118" si="362">(AD114-INT(AD114))*12</f>
        <v>6.3825168908515479</v>
      </c>
      <c r="AG114" s="41" t="str">
        <f t="shared" si="284"/>
        <v>6</v>
      </c>
      <c r="AH114" s="24">
        <f t="shared" ref="AH114:AH118" si="363">(AF114-INT(AF114))*12</f>
        <v>4.5902026902185753</v>
      </c>
      <c r="AI114" s="41" t="str">
        <f t="shared" si="285"/>
        <v>5</v>
      </c>
      <c r="AJ114" s="24">
        <f t="shared" ref="AJ114:AJ118" si="364">(AH114-INT(AH114))*12</f>
        <v>7.0824322826229036</v>
      </c>
      <c r="AK114" s="41" t="str">
        <f t="shared" si="286"/>
        <v/>
      </c>
      <c r="AL114" s="24">
        <f t="shared" ref="AL114:AL118" si="365">(AJ114-INT(AJ114))*12</f>
        <v>0.98918739147484303</v>
      </c>
      <c r="AM114" s="41" t="str">
        <f t="shared" si="287"/>
        <v/>
      </c>
      <c r="AN114" s="24">
        <f t="shared" ref="AN114:AN118" si="366">(AL114-INT(AL114))*12</f>
        <v>11.870248697698116</v>
      </c>
      <c r="AO114" s="41" t="str">
        <f t="shared" si="288"/>
        <v/>
      </c>
    </row>
    <row r="115" spans="1:41" ht="14.25" customHeight="1">
      <c r="A115" s="753"/>
      <c r="B115" s="755"/>
      <c r="C115" s="201" t="s">
        <v>621</v>
      </c>
      <c r="D115" s="209" t="s">
        <v>57</v>
      </c>
      <c r="E115" s="161">
        <f>E114/1760</f>
        <v>0.2924325761628731</v>
      </c>
      <c r="F115" s="176">
        <v>0</v>
      </c>
      <c r="G115" s="177">
        <f t="shared" ref="G115" si="367">E115*POWER(10,-F115)</f>
        <v>0.2924325761628731</v>
      </c>
      <c r="H115" s="178" t="s">
        <v>598</v>
      </c>
      <c r="I115" s="184">
        <v>1</v>
      </c>
      <c r="J115" s="2" t="s">
        <v>600</v>
      </c>
      <c r="K115" s="8">
        <v>9</v>
      </c>
      <c r="L115" s="21">
        <f>L111*1760</f>
        <v>5909.0543969956834</v>
      </c>
      <c r="M115" s="37" t="str">
        <f t="shared" ref="M115" si="368">Q115&amp;";"&amp;S115&amp;U115&amp;W115&amp;Y115&amp;AA115&amp;AC115&amp;AE115&amp;AG115&amp;AI115&amp;AK115&amp;AM115&amp;AO115</f>
        <v>3;505079EE9</v>
      </c>
      <c r="N115" s="38">
        <v>3</v>
      </c>
      <c r="O115" s="61">
        <f t="shared" ref="O115" si="369">L115/POWER(12,N115)</f>
        <v>3.4195916649280576</v>
      </c>
      <c r="P115" s="39" t="str">
        <f>INDEX(powers!$H$2:$H$75,33+N115)</f>
        <v>kily</v>
      </c>
      <c r="Q115" s="40" t="str">
        <f t="shared" ref="Q115" si="370">IF($K115&gt;=Q$23,MID($N$23,IF($K115&gt;Q$23,INT(O115),ROUND(O115,0))+1,1),"")</f>
        <v>3</v>
      </c>
      <c r="R115" s="24">
        <f t="shared" ref="R115" si="371">(O115-INT(O115))*12</f>
        <v>5.0350999791366906</v>
      </c>
      <c r="S115" s="41" t="str">
        <f t="shared" si="277"/>
        <v>5</v>
      </c>
      <c r="T115" s="24">
        <f t="shared" ref="T115" si="372">(R115-INT(R115))*12</f>
        <v>0.42119974964028728</v>
      </c>
      <c r="U115" s="41" t="str">
        <f t="shared" si="278"/>
        <v>0</v>
      </c>
      <c r="V115" s="24">
        <f t="shared" ref="V115" si="373">(T115-INT(T115))*12</f>
        <v>5.0543969956834474</v>
      </c>
      <c r="W115" s="41" t="str">
        <f t="shared" si="279"/>
        <v>5</v>
      </c>
      <c r="X115" s="24">
        <f t="shared" ref="X115" si="374">(V115-INT(V115))*12</f>
        <v>0.65276394820136829</v>
      </c>
      <c r="Y115" s="41" t="str">
        <f t="shared" si="280"/>
        <v>0</v>
      </c>
      <c r="Z115" s="24">
        <f t="shared" ref="Z115" si="375">(X115-INT(X115))*12</f>
        <v>7.8331673784164195</v>
      </c>
      <c r="AA115" s="41" t="str">
        <f t="shared" si="281"/>
        <v>7</v>
      </c>
      <c r="AB115" s="24">
        <f t="shared" ref="AB115" si="376">(Z115-INT(Z115))*12</f>
        <v>9.9980085409970343</v>
      </c>
      <c r="AC115" s="41" t="str">
        <f t="shared" si="282"/>
        <v>9</v>
      </c>
      <c r="AD115" s="24">
        <f t="shared" ref="AD115" si="377">(AB115-INT(AB115))*12</f>
        <v>11.976102491964411</v>
      </c>
      <c r="AE115" s="41" t="str">
        <f t="shared" si="283"/>
        <v>E</v>
      </c>
      <c r="AF115" s="24">
        <f t="shared" ref="AF115" si="378">(AD115-INT(AD115))*12</f>
        <v>11.713229903572937</v>
      </c>
      <c r="AG115" s="41" t="str">
        <f t="shared" si="284"/>
        <v>E</v>
      </c>
      <c r="AH115" s="24">
        <f t="shared" ref="AH115" si="379">(AF115-INT(AF115))*12</f>
        <v>8.5587588428752497</v>
      </c>
      <c r="AI115" s="41" t="str">
        <f t="shared" si="285"/>
        <v>9</v>
      </c>
      <c r="AJ115" s="24">
        <f t="shared" ref="AJ115" si="380">(AH115-INT(AH115))*12</f>
        <v>6.7051061145029962</v>
      </c>
      <c r="AK115" s="41" t="str">
        <f t="shared" si="286"/>
        <v/>
      </c>
      <c r="AL115" s="24">
        <f t="shared" ref="AL115" si="381">(AJ115-INT(AJ115))*12</f>
        <v>8.4612733740359545</v>
      </c>
      <c r="AM115" s="41" t="str">
        <f t="shared" si="287"/>
        <v/>
      </c>
      <c r="AN115" s="24">
        <f t="shared" ref="AN115" si="382">(AL115-INT(AL115))*12</f>
        <v>5.5352804884314537</v>
      </c>
      <c r="AO115" s="41" t="str">
        <f t="shared" si="288"/>
        <v/>
      </c>
    </row>
    <row r="116" spans="1:41" ht="14.25" customHeight="1">
      <c r="A116" s="753"/>
      <c r="B116" s="755"/>
      <c r="C116" s="199" t="s">
        <v>377</v>
      </c>
      <c r="D116" s="209" t="s">
        <v>57</v>
      </c>
      <c r="E116" s="161">
        <f>E115*12</f>
        <v>3.5091909139544772</v>
      </c>
      <c r="F116" s="176">
        <v>0</v>
      </c>
      <c r="G116" s="177">
        <f t="shared" si="308"/>
        <v>3.5091909139544772</v>
      </c>
      <c r="H116" s="178" t="s">
        <v>153</v>
      </c>
      <c r="I116" s="184">
        <v>10</v>
      </c>
      <c r="J116" s="2" t="s">
        <v>153</v>
      </c>
      <c r="K116" s="8">
        <v>9</v>
      </c>
      <c r="L116" s="21">
        <f>L115*10</f>
        <v>59090.543969956838</v>
      </c>
      <c r="M116" s="37" t="str">
        <f t="shared" si="353"/>
        <v>2;X242663E9</v>
      </c>
      <c r="N116" s="38">
        <f>N114+1</f>
        <v>4</v>
      </c>
      <c r="O116" s="61">
        <f t="shared" si="321"/>
        <v>2.8496597207733814</v>
      </c>
      <c r="P116" s="39" t="str">
        <f>INDEX(powers!$H$2:$H$75,33+N116)</f>
        <v>super</v>
      </c>
      <c r="Q116" s="40" t="str">
        <f t="shared" ref="Q116:Q134" si="383">IF($K116&gt;=Q$23,MID($N$23,IF($K116&gt;Q$23,INT(O116),ROUND(O116,0))+1,1),"")</f>
        <v>2</v>
      </c>
      <c r="R116" s="24">
        <f t="shared" si="355"/>
        <v>10.195916649280576</v>
      </c>
      <c r="S116" s="41" t="str">
        <f t="shared" si="277"/>
        <v>X</v>
      </c>
      <c r="T116" s="24">
        <f t="shared" si="356"/>
        <v>2.3509997913669167</v>
      </c>
      <c r="U116" s="41" t="str">
        <f t="shared" si="278"/>
        <v>2</v>
      </c>
      <c r="V116" s="24">
        <f t="shared" si="357"/>
        <v>4.2119974964030007</v>
      </c>
      <c r="W116" s="41" t="str">
        <f t="shared" si="279"/>
        <v>4</v>
      </c>
      <c r="X116" s="24">
        <f t="shared" si="358"/>
        <v>2.5439699568360084</v>
      </c>
      <c r="Y116" s="41" t="str">
        <f t="shared" si="280"/>
        <v>2</v>
      </c>
      <c r="Z116" s="24">
        <f t="shared" si="359"/>
        <v>6.5276394820321002</v>
      </c>
      <c r="AA116" s="41" t="str">
        <f t="shared" si="281"/>
        <v>6</v>
      </c>
      <c r="AB116" s="24">
        <f t="shared" si="360"/>
        <v>6.3316737843852025</v>
      </c>
      <c r="AC116" s="41" t="str">
        <f t="shared" si="282"/>
        <v>6</v>
      </c>
      <c r="AD116" s="24">
        <f t="shared" si="361"/>
        <v>3.9800854126224294</v>
      </c>
      <c r="AE116" s="41" t="str">
        <f t="shared" si="283"/>
        <v>3</v>
      </c>
      <c r="AF116" s="24">
        <f t="shared" si="362"/>
        <v>11.761024951469153</v>
      </c>
      <c r="AG116" s="41" t="str">
        <f t="shared" si="284"/>
        <v>E</v>
      </c>
      <c r="AH116" s="24">
        <f t="shared" si="363"/>
        <v>9.132299417629838</v>
      </c>
      <c r="AI116" s="41" t="str">
        <f t="shared" si="285"/>
        <v>9</v>
      </c>
      <c r="AJ116" s="24">
        <f t="shared" si="364"/>
        <v>1.5875930115580559</v>
      </c>
      <c r="AK116" s="41" t="str">
        <f t="shared" si="286"/>
        <v/>
      </c>
      <c r="AL116" s="24">
        <f t="shared" si="365"/>
        <v>7.0511161386966705</v>
      </c>
      <c r="AM116" s="41" t="str">
        <f t="shared" si="287"/>
        <v/>
      </c>
      <c r="AN116" s="24">
        <f t="shared" si="366"/>
        <v>0.61339366436004639</v>
      </c>
      <c r="AO116" s="41" t="str">
        <f t="shared" si="288"/>
        <v/>
      </c>
    </row>
    <row r="117" spans="1:41" ht="14.25" customHeight="1">
      <c r="A117" s="753"/>
      <c r="B117" s="755"/>
      <c r="C117" s="199" t="s">
        <v>378</v>
      </c>
      <c r="D117" s="209" t="s">
        <v>57</v>
      </c>
      <c r="E117" s="161">
        <f t="shared" si="350"/>
        <v>42.110290967453729</v>
      </c>
      <c r="F117" s="176">
        <v>0</v>
      </c>
      <c r="G117" s="177">
        <f t="shared" si="308"/>
        <v>42.110290967453729</v>
      </c>
      <c r="H117" s="178" t="s">
        <v>597</v>
      </c>
      <c r="I117" s="184">
        <f t="shared" si="352"/>
        <v>100</v>
      </c>
      <c r="J117" s="2" t="s">
        <v>153</v>
      </c>
      <c r="K117" s="8">
        <v>9</v>
      </c>
      <c r="L117" s="21">
        <f t="shared" ref="L117:L118" si="384">L116*10</f>
        <v>590905.43969956832</v>
      </c>
      <c r="M117" s="37" t="str">
        <f t="shared" si="353"/>
        <v>2;45E61533X</v>
      </c>
      <c r="N117" s="38">
        <f t="shared" si="354"/>
        <v>5</v>
      </c>
      <c r="O117" s="61">
        <f t="shared" si="321"/>
        <v>2.3747164339778175</v>
      </c>
      <c r="P117" s="39" t="str">
        <f>INDEX(powers!$H$2:$H$75,33+N117)</f>
        <v>cosmic milly</v>
      </c>
      <c r="Q117" s="40" t="str">
        <f t="shared" si="383"/>
        <v>2</v>
      </c>
      <c r="R117" s="24">
        <f t="shared" si="355"/>
        <v>4.4965972077338101</v>
      </c>
      <c r="S117" s="41" t="str">
        <f t="shared" si="277"/>
        <v>4</v>
      </c>
      <c r="T117" s="24">
        <f t="shared" si="356"/>
        <v>5.9591664928057213</v>
      </c>
      <c r="U117" s="41" t="str">
        <f t="shared" si="278"/>
        <v>5</v>
      </c>
      <c r="V117" s="24">
        <f t="shared" si="357"/>
        <v>11.509997913668656</v>
      </c>
      <c r="W117" s="41" t="str">
        <f t="shared" si="279"/>
        <v>E</v>
      </c>
      <c r="X117" s="24">
        <f t="shared" si="358"/>
        <v>6.1199749640238679</v>
      </c>
      <c r="Y117" s="41" t="str">
        <f t="shared" si="280"/>
        <v>6</v>
      </c>
      <c r="Z117" s="24">
        <f t="shared" si="359"/>
        <v>1.4396995682864144</v>
      </c>
      <c r="AA117" s="41" t="str">
        <f t="shared" si="281"/>
        <v>1</v>
      </c>
      <c r="AB117" s="24">
        <f t="shared" si="360"/>
        <v>5.2763948194369732</v>
      </c>
      <c r="AC117" s="41" t="str">
        <f t="shared" si="282"/>
        <v>5</v>
      </c>
      <c r="AD117" s="24">
        <f t="shared" si="361"/>
        <v>3.3167378332436783</v>
      </c>
      <c r="AE117" s="41" t="str">
        <f t="shared" si="283"/>
        <v>3</v>
      </c>
      <c r="AF117" s="24">
        <f t="shared" si="362"/>
        <v>3.8008539989241399</v>
      </c>
      <c r="AG117" s="41" t="str">
        <f t="shared" si="284"/>
        <v>3</v>
      </c>
      <c r="AH117" s="24">
        <f t="shared" si="363"/>
        <v>9.6102479870896786</v>
      </c>
      <c r="AI117" s="41" t="str">
        <f t="shared" si="285"/>
        <v>X</v>
      </c>
      <c r="AJ117" s="24">
        <f t="shared" si="364"/>
        <v>7.3229758450761437</v>
      </c>
      <c r="AK117" s="41" t="str">
        <f t="shared" si="286"/>
        <v/>
      </c>
      <c r="AL117" s="24">
        <f t="shared" si="365"/>
        <v>3.8757101409137249</v>
      </c>
      <c r="AM117" s="41" t="str">
        <f t="shared" si="287"/>
        <v/>
      </c>
      <c r="AN117" s="24">
        <f t="shared" si="366"/>
        <v>10.508521690964699</v>
      </c>
      <c r="AO117" s="41" t="str">
        <f t="shared" si="288"/>
        <v/>
      </c>
    </row>
    <row r="118" spans="1:41" ht="14.25" customHeight="1" thickBot="1">
      <c r="A118" s="753"/>
      <c r="B118" s="755"/>
      <c r="C118" s="200" t="s">
        <v>379</v>
      </c>
      <c r="D118" s="5" t="s">
        <v>57</v>
      </c>
      <c r="E118" s="186">
        <f t="shared" si="350"/>
        <v>505.32349160944477</v>
      </c>
      <c r="F118" s="187">
        <v>0</v>
      </c>
      <c r="G118" s="188">
        <f t="shared" si="308"/>
        <v>505.32349160944477</v>
      </c>
      <c r="H118" s="189" t="s">
        <v>597</v>
      </c>
      <c r="I118" s="185">
        <f t="shared" si="352"/>
        <v>1000</v>
      </c>
      <c r="J118" s="4" t="s">
        <v>153</v>
      </c>
      <c r="K118" s="33">
        <v>9</v>
      </c>
      <c r="L118" s="32">
        <f t="shared" si="384"/>
        <v>5909054.3969956832</v>
      </c>
      <c r="M118" s="47" t="str">
        <f t="shared" si="353"/>
        <v>1;E8E712492</v>
      </c>
      <c r="N118" s="48">
        <f t="shared" si="354"/>
        <v>6</v>
      </c>
      <c r="O118" s="63">
        <f t="shared" si="321"/>
        <v>1.9789303616481815</v>
      </c>
      <c r="P118" s="49" t="str">
        <f>INDEX(powers!$H$2:$H$75,33+N118)</f>
        <v>cosmic centy</v>
      </c>
      <c r="Q118" s="40" t="str">
        <f t="shared" si="383"/>
        <v>1</v>
      </c>
      <c r="R118" s="24">
        <f t="shared" si="355"/>
        <v>11.747164339778177</v>
      </c>
      <c r="S118" s="41" t="str">
        <f t="shared" ref="S118" si="385">IF($K118&gt;=S$23,MID($N$23,IF($K118&gt;S$23,INT(R118),ROUND(R118,0))+1,1),"")</f>
        <v>E</v>
      </c>
      <c r="T118" s="24">
        <f t="shared" si="356"/>
        <v>8.9659720773381224</v>
      </c>
      <c r="U118" s="41" t="str">
        <f t="shared" ref="U118" si="386">IF($K118&gt;=U$23,MID($N$23,IF($K118&gt;U$23,INT(T118),ROUND(T118,0))+1,1),"")</f>
        <v>8</v>
      </c>
      <c r="V118" s="24">
        <f t="shared" si="357"/>
        <v>11.591664928057469</v>
      </c>
      <c r="W118" s="41" t="str">
        <f t="shared" ref="W118" si="387">IF($K118&gt;=W$23,MID($N$23,IF($K118&gt;W$23,INT(V118),ROUND(V118,0))+1,1),"")</f>
        <v>E</v>
      </c>
      <c r="X118" s="24">
        <f t="shared" si="358"/>
        <v>7.0999791366896261</v>
      </c>
      <c r="Y118" s="41" t="str">
        <f t="shared" ref="Y118" si="388">IF($K118&gt;=Y$23,MID($N$23,IF($K118&gt;Y$23,INT(X118),ROUND(X118,0))+1,1),"")</f>
        <v>7</v>
      </c>
      <c r="Z118" s="24">
        <f t="shared" si="359"/>
        <v>1.1997496402755132</v>
      </c>
      <c r="AA118" s="41" t="str">
        <f t="shared" ref="AA118" si="389">IF($K118&gt;=AA$23,MID($N$23,IF($K118&gt;AA$23,INT(Z118),ROUND(Z118,0))+1,1),"")</f>
        <v>1</v>
      </c>
      <c r="AB118" s="24">
        <f t="shared" si="360"/>
        <v>2.3969956833061588</v>
      </c>
      <c r="AC118" s="41" t="str">
        <f t="shared" ref="AC118" si="390">IF($K118&gt;=AC$23,MID($N$23,IF($K118&gt;AC$23,INT(AB118),ROUND(AB118,0))+1,1),"")</f>
        <v>2</v>
      </c>
      <c r="AD118" s="24">
        <f t="shared" si="361"/>
        <v>4.763948199673905</v>
      </c>
      <c r="AE118" s="41" t="str">
        <f t="shared" ref="AE118" si="391">IF($K118&gt;=AE$23,MID($N$23,IF($K118&gt;AE$23,INT(AD118),ROUND(AD118,0))+1,1),"")</f>
        <v>4</v>
      </c>
      <c r="AF118" s="24">
        <f t="shared" si="362"/>
        <v>9.1673783960868604</v>
      </c>
      <c r="AG118" s="41" t="str">
        <f t="shared" ref="AG118" si="392">IF($K118&gt;=AG$23,MID($N$23,IF($K118&gt;AG$23,INT(AF118),ROUND(AF118,0))+1,1),"")</f>
        <v>9</v>
      </c>
      <c r="AH118" s="24">
        <f t="shared" si="363"/>
        <v>2.0085407530423254</v>
      </c>
      <c r="AI118" s="41" t="str">
        <f t="shared" ref="AI118" si="393">IF($K118&gt;=AI$23,MID($N$23,IF($K118&gt;AI$23,INT(AH118),ROUND(AH118,0))+1,1),"")</f>
        <v>2</v>
      </c>
      <c r="AJ118" s="24">
        <f t="shared" si="364"/>
        <v>0.10248903650790453</v>
      </c>
      <c r="AK118" s="41" t="str">
        <f t="shared" ref="AK118" si="394">IF($K118&gt;=AK$23,MID($N$23,IF($K118&gt;AK$23,INT(AJ118),ROUND(AJ118,0))+1,1),"")</f>
        <v/>
      </c>
      <c r="AL118" s="24">
        <f t="shared" si="365"/>
        <v>1.2298684380948544</v>
      </c>
      <c r="AM118" s="41" t="str">
        <f t="shared" ref="AM118" si="395">IF($K118&gt;=AM$23,MID($N$23,IF($K118&gt;AM$23,INT(AL118),ROUND(AL118,0))+1,1),"")</f>
        <v/>
      </c>
      <c r="AN118" s="24">
        <f t="shared" si="366"/>
        <v>2.7584212571382523</v>
      </c>
      <c r="AO118" s="41" t="str">
        <f t="shared" ref="AO118" si="396">IF($K118&gt;=AO$23,MID($N$23,IF($K118&gt;AO$23,INT(AN118),ROUND(AN118,0))+1,1),"")</f>
        <v/>
      </c>
    </row>
    <row r="119" spans="1:41" ht="14.25" customHeight="1">
      <c r="A119" s="753"/>
      <c r="B119" s="755"/>
      <c r="C119" s="225" t="s">
        <v>612</v>
      </c>
      <c r="D119" s="218" t="s">
        <v>613</v>
      </c>
      <c r="E119" s="161">
        <f>E120/12</f>
        <v>0.38751177136693959</v>
      </c>
      <c r="F119" s="176">
        <v>0</v>
      </c>
      <c r="G119" s="177">
        <f t="shared" si="308"/>
        <v>0.38751177136693959</v>
      </c>
      <c r="H119" s="122" t="s">
        <v>176</v>
      </c>
      <c r="I119" s="224">
        <v>0.1</v>
      </c>
      <c r="J119" s="2" t="s">
        <v>176</v>
      </c>
      <c r="K119" s="8">
        <v>9</v>
      </c>
      <c r="L119" s="29">
        <f>L120/10</f>
        <v>2.1504723079605235E-2</v>
      </c>
      <c r="M119" s="37" t="str">
        <f t="shared" ref="M119:M134" si="397">Q119&amp;";"&amp;S119&amp;U119&amp;W119&amp;Y119&amp;AA119&amp;AC119&amp;AE119&amp;AG119&amp;AI119&amp;AK119&amp;AM119&amp;AO119</f>
        <v>3;11E091375</v>
      </c>
      <c r="N119" s="38">
        <v>-2</v>
      </c>
      <c r="O119" s="132">
        <f t="shared" si="321"/>
        <v>3.096680123463154</v>
      </c>
      <c r="P119" s="39" t="str">
        <f>INDEX(powers!$H$2:$H$75,33+N119)</f>
        <v>centy</v>
      </c>
      <c r="Q119" s="40" t="str">
        <f t="shared" si="383"/>
        <v>3</v>
      </c>
      <c r="R119" s="24">
        <f t="shared" ref="R119:R134" si="398">(O119-INT(O119))*12</f>
        <v>1.1601614815578483</v>
      </c>
      <c r="S119" s="41" t="str">
        <f t="shared" ref="S119:S134" si="399">IF($K119&gt;=S$23,MID($N$23,IF($K119&gt;S$23,INT(R119),ROUND(R119,0))+1,1),"")</f>
        <v>1</v>
      </c>
      <c r="T119" s="24">
        <f t="shared" ref="T119:T134" si="400">(R119-INT(R119))*12</f>
        <v>1.9219377786941791</v>
      </c>
      <c r="U119" s="41" t="str">
        <f t="shared" ref="U119:U134" si="401">IF($K119&gt;=U$23,MID($N$23,IF($K119&gt;U$23,INT(T119),ROUND(T119,0))+1,1),"")</f>
        <v>1</v>
      </c>
      <c r="V119" s="24">
        <f t="shared" ref="V119:V134" si="402">(T119-INT(T119))*12</f>
        <v>11.06325334433015</v>
      </c>
      <c r="W119" s="41" t="str">
        <f t="shared" ref="W119:W134" si="403">IF($K119&gt;=W$23,MID($N$23,IF($K119&gt;W$23,INT(V119),ROUND(V119,0))+1,1),"")</f>
        <v>E</v>
      </c>
      <c r="X119" s="24">
        <f t="shared" ref="X119:X134" si="404">(V119-INT(V119))*12</f>
        <v>0.75904013196179676</v>
      </c>
      <c r="Y119" s="41" t="str">
        <f t="shared" ref="Y119:Y134" si="405">IF($K119&gt;=Y$23,MID($N$23,IF($K119&gt;Y$23,INT(X119),ROUND(X119,0))+1,1),"")</f>
        <v>0</v>
      </c>
      <c r="Z119" s="24">
        <f t="shared" ref="Z119:Z134" si="406">(X119-INT(X119))*12</f>
        <v>9.1084815835415611</v>
      </c>
      <c r="AA119" s="41" t="str">
        <f t="shared" ref="AA119:AA134" si="407">IF($K119&gt;=AA$23,MID($N$23,IF($K119&gt;AA$23,INT(Z119),ROUND(Z119,0))+1,1),"")</f>
        <v>9</v>
      </c>
      <c r="AB119" s="24">
        <f t="shared" ref="AB119:AB134" si="408">(Z119-INT(Z119))*12</f>
        <v>1.3017790024987335</v>
      </c>
      <c r="AC119" s="41" t="str">
        <f t="shared" ref="AC119:AC134" si="409">IF($K119&gt;=AC$23,MID($N$23,IF($K119&gt;AC$23,INT(AB119),ROUND(AB119,0))+1,1),"")</f>
        <v>1</v>
      </c>
      <c r="AD119" s="24">
        <f t="shared" ref="AD119:AD134" si="410">(AB119-INT(AB119))*12</f>
        <v>3.6213480299848015</v>
      </c>
      <c r="AE119" s="41" t="str">
        <f t="shared" ref="AE119:AE134" si="411">IF($K119&gt;=AE$23,MID($N$23,IF($K119&gt;AE$23,INT(AD119),ROUND(AD119,0))+1,1),"")</f>
        <v>3</v>
      </c>
      <c r="AF119" s="24">
        <f t="shared" ref="AF119:AF134" si="412">(AD119-INT(AD119))*12</f>
        <v>7.4561763598176185</v>
      </c>
      <c r="AG119" s="41" t="str">
        <f t="shared" ref="AG119:AG134" si="413">IF($K119&gt;=AG$23,MID($N$23,IF($K119&gt;AG$23,INT(AF119),ROUND(AF119,0))+1,1),"")</f>
        <v>7</v>
      </c>
      <c r="AH119" s="24">
        <f t="shared" ref="AH119:AH134" si="414">(AF119-INT(AF119))*12</f>
        <v>5.474116317811422</v>
      </c>
      <c r="AI119" s="41" t="str">
        <f t="shared" ref="AI119:AI134" si="415">IF($K119&gt;=AI$23,MID($N$23,IF($K119&gt;AI$23,INT(AH119),ROUND(AH119,0))+1,1),"")</f>
        <v>5</v>
      </c>
      <c r="AJ119" s="24">
        <f t="shared" ref="AJ119:AJ134" si="416">(AH119-INT(AH119))*12</f>
        <v>5.6893958137370646</v>
      </c>
      <c r="AK119" s="41" t="str">
        <f t="shared" ref="AK119:AK134" si="417">IF($K119&gt;=AK$23,MID($N$23,IF($K119&gt;AK$23,INT(AJ119),ROUND(AJ119,0))+1,1),"")</f>
        <v/>
      </c>
      <c r="AL119" s="24">
        <f t="shared" ref="AL119:AL134" si="418">(AJ119-INT(AJ119))*12</f>
        <v>8.2727497648447752</v>
      </c>
      <c r="AM119" s="41" t="str">
        <f t="shared" ref="AM119:AM134" si="419">IF($K119&gt;=AM$23,MID($N$23,IF($K119&gt;AM$23,INT(AL119),ROUND(AL119,0))+1,1),"")</f>
        <v/>
      </c>
      <c r="AN119" s="24">
        <f t="shared" ref="AN119:AN134" si="420">(AL119-INT(AL119))*12</f>
        <v>3.2729971781373024</v>
      </c>
      <c r="AO119" s="41" t="str">
        <f t="shared" ref="AO119:AO134" si="421">IF($K119&gt;=AO$23,MID($N$23,IF($K119&gt;AO$23,INT(AN119),ROUND(AN119,0))+1,1),"")</f>
        <v/>
      </c>
    </row>
    <row r="120" spans="1:41" ht="14.25" customHeight="1">
      <c r="A120" s="753"/>
      <c r="B120" s="755"/>
      <c r="C120" s="215" t="s">
        <v>618</v>
      </c>
      <c r="D120" s="5" t="s">
        <v>217</v>
      </c>
      <c r="E120" s="161">
        <f t="shared" ref="E120" si="422">1/L120</f>
        <v>4.6501412564032751</v>
      </c>
      <c r="F120" s="176">
        <v>0</v>
      </c>
      <c r="G120" s="177">
        <f t="shared" ref="G120" si="423">E120*POWER(10,-F120)</f>
        <v>4.6501412564032751</v>
      </c>
      <c r="H120" s="122" t="s">
        <v>176</v>
      </c>
      <c r="I120" s="224">
        <v>1</v>
      </c>
      <c r="J120" s="2" t="s">
        <v>176</v>
      </c>
      <c r="K120" s="8">
        <v>9</v>
      </c>
      <c r="L120" s="21">
        <f>L121/16</f>
        <v>0.21504723079605234</v>
      </c>
      <c r="M120" s="37" t="str">
        <f t="shared" si="397"/>
        <v>2;6E7277103</v>
      </c>
      <c r="N120" s="38">
        <v>-1</v>
      </c>
      <c r="O120" s="132">
        <f t="shared" ref="O120" si="424">L120/POWER(12,N120)</f>
        <v>2.5805667695526284</v>
      </c>
      <c r="P120" s="39" t="str">
        <f>INDEX(powers!$H$2:$H$75,33+N120)</f>
        <v>dour</v>
      </c>
      <c r="Q120" s="40" t="str">
        <f t="shared" si="383"/>
        <v>2</v>
      </c>
      <c r="R120" s="24">
        <f t="shared" si="398"/>
        <v>6.9668012346315411</v>
      </c>
      <c r="S120" s="41" t="str">
        <f t="shared" si="399"/>
        <v>6</v>
      </c>
      <c r="T120" s="24">
        <f t="shared" si="400"/>
        <v>11.601614815578493</v>
      </c>
      <c r="U120" s="41" t="str">
        <f t="shared" si="401"/>
        <v>E</v>
      </c>
      <c r="V120" s="24">
        <f t="shared" si="402"/>
        <v>7.2193777869419193</v>
      </c>
      <c r="W120" s="41" t="str">
        <f t="shared" si="403"/>
        <v>7</v>
      </c>
      <c r="X120" s="24">
        <f t="shared" si="404"/>
        <v>2.6325334433030321</v>
      </c>
      <c r="Y120" s="41" t="str">
        <f t="shared" si="405"/>
        <v>2</v>
      </c>
      <c r="Z120" s="24">
        <f t="shared" si="406"/>
        <v>7.5904013196363849</v>
      </c>
      <c r="AA120" s="41" t="str">
        <f t="shared" si="407"/>
        <v>7</v>
      </c>
      <c r="AB120" s="24">
        <f t="shared" si="408"/>
        <v>7.0848158356366184</v>
      </c>
      <c r="AC120" s="41" t="str">
        <f t="shared" si="409"/>
        <v>7</v>
      </c>
      <c r="AD120" s="24">
        <f t="shared" si="410"/>
        <v>1.0177900276394212</v>
      </c>
      <c r="AE120" s="41" t="str">
        <f t="shared" si="411"/>
        <v>1</v>
      </c>
      <c r="AF120" s="24">
        <f t="shared" si="412"/>
        <v>0.21348033167305402</v>
      </c>
      <c r="AG120" s="41" t="str">
        <f t="shared" si="413"/>
        <v>0</v>
      </c>
      <c r="AH120" s="24">
        <f t="shared" si="414"/>
        <v>2.5617639800766483</v>
      </c>
      <c r="AI120" s="41" t="str">
        <f t="shared" si="415"/>
        <v>3</v>
      </c>
      <c r="AJ120" s="24">
        <f t="shared" si="416"/>
        <v>6.7411677609197795</v>
      </c>
      <c r="AK120" s="41" t="str">
        <f t="shared" si="417"/>
        <v/>
      </c>
      <c r="AL120" s="24">
        <f t="shared" si="418"/>
        <v>8.8940131310373545</v>
      </c>
      <c r="AM120" s="41" t="str">
        <f t="shared" si="419"/>
        <v/>
      </c>
      <c r="AN120" s="24">
        <f t="shared" si="420"/>
        <v>10.728157572448254</v>
      </c>
      <c r="AO120" s="41" t="str">
        <f t="shared" si="421"/>
        <v/>
      </c>
    </row>
    <row r="121" spans="1:41" ht="14.25" customHeight="1">
      <c r="A121" s="753"/>
      <c r="B121" s="755"/>
      <c r="C121" s="215" t="s">
        <v>618</v>
      </c>
      <c r="D121" s="5" t="s">
        <v>217</v>
      </c>
      <c r="E121" s="161">
        <f t="shared" ref="E121" si="425">1/L121</f>
        <v>0.2906338285252047</v>
      </c>
      <c r="F121" s="176">
        <v>0</v>
      </c>
      <c r="G121" s="177">
        <f t="shared" si="308"/>
        <v>0.2906338285252047</v>
      </c>
      <c r="H121" s="122" t="s">
        <v>172</v>
      </c>
      <c r="I121" s="224">
        <v>1</v>
      </c>
      <c r="J121" s="2" t="s">
        <v>172</v>
      </c>
      <c r="K121" s="8">
        <v>9</v>
      </c>
      <c r="L121" s="21">
        <f>0.45359237/E$8</f>
        <v>3.4407556927368375</v>
      </c>
      <c r="M121" s="37" t="str">
        <f t="shared" si="397"/>
        <v>3;535761543</v>
      </c>
      <c r="N121" s="38">
        <v>0</v>
      </c>
      <c r="O121" s="132">
        <f t="shared" si="321"/>
        <v>3.4407556927368375</v>
      </c>
      <c r="P121" s="39" t="str">
        <f>INDEX(powers!$H$2:$H$75,33+N121)</f>
        <v xml:space="preserve"> </v>
      </c>
      <c r="Q121" s="40" t="str">
        <f t="shared" si="383"/>
        <v>3</v>
      </c>
      <c r="R121" s="24">
        <f t="shared" si="398"/>
        <v>5.2890683128420495</v>
      </c>
      <c r="S121" s="41" t="str">
        <f t="shared" si="399"/>
        <v>5</v>
      </c>
      <c r="T121" s="24">
        <f t="shared" si="400"/>
        <v>3.4688197541045938</v>
      </c>
      <c r="U121" s="41" t="str">
        <f t="shared" si="401"/>
        <v>3</v>
      </c>
      <c r="V121" s="24">
        <f t="shared" si="402"/>
        <v>5.6258370492551251</v>
      </c>
      <c r="W121" s="41" t="str">
        <f t="shared" si="403"/>
        <v>5</v>
      </c>
      <c r="X121" s="24">
        <f t="shared" si="404"/>
        <v>7.5100445910615008</v>
      </c>
      <c r="Y121" s="41" t="str">
        <f t="shared" si="405"/>
        <v>7</v>
      </c>
      <c r="Z121" s="24">
        <f t="shared" si="406"/>
        <v>6.1205350927380096</v>
      </c>
      <c r="AA121" s="41" t="str">
        <f t="shared" si="407"/>
        <v>6</v>
      </c>
      <c r="AB121" s="24">
        <f t="shared" si="408"/>
        <v>1.4464211128561146</v>
      </c>
      <c r="AC121" s="41" t="str">
        <f t="shared" si="409"/>
        <v>1</v>
      </c>
      <c r="AD121" s="24">
        <f t="shared" si="410"/>
        <v>5.3570533542733756</v>
      </c>
      <c r="AE121" s="41" t="str">
        <f t="shared" si="411"/>
        <v>5</v>
      </c>
      <c r="AF121" s="24">
        <f t="shared" si="412"/>
        <v>4.2846402512805071</v>
      </c>
      <c r="AG121" s="41" t="str">
        <f t="shared" si="413"/>
        <v>4</v>
      </c>
      <c r="AH121" s="24">
        <f t="shared" si="414"/>
        <v>3.4156830153660849</v>
      </c>
      <c r="AI121" s="41" t="str">
        <f t="shared" si="415"/>
        <v>3</v>
      </c>
      <c r="AJ121" s="24">
        <f t="shared" si="416"/>
        <v>4.9881961843930185</v>
      </c>
      <c r="AK121" s="41" t="str">
        <f t="shared" si="417"/>
        <v/>
      </c>
      <c r="AL121" s="24">
        <f t="shared" si="418"/>
        <v>11.858354212716222</v>
      </c>
      <c r="AM121" s="41" t="str">
        <f t="shared" si="419"/>
        <v/>
      </c>
      <c r="AN121" s="24">
        <f t="shared" si="420"/>
        <v>10.300250552594662</v>
      </c>
      <c r="AO121" s="41" t="str">
        <f t="shared" si="421"/>
        <v/>
      </c>
    </row>
    <row r="122" spans="1:41" ht="14.25" customHeight="1">
      <c r="A122" s="753"/>
      <c r="B122" s="755"/>
      <c r="C122" s="215" t="s">
        <v>622</v>
      </c>
      <c r="D122" s="5" t="s">
        <v>217</v>
      </c>
      <c r="E122" s="161">
        <f>E121*12</f>
        <v>3.4876059423024564</v>
      </c>
      <c r="F122" s="176">
        <v>0</v>
      </c>
      <c r="G122" s="177">
        <f t="shared" ref="G122" si="426">E122*POWER(10,-F122)</f>
        <v>3.4876059423024564</v>
      </c>
      <c r="H122" s="122" t="s">
        <v>172</v>
      </c>
      <c r="I122" s="224">
        <v>10</v>
      </c>
      <c r="J122" s="2" t="s">
        <v>172</v>
      </c>
      <c r="K122" s="8">
        <v>9</v>
      </c>
      <c r="L122" s="21">
        <f>L121*10</f>
        <v>34.407556927368375</v>
      </c>
      <c r="M122" s="37" t="str">
        <f t="shared" si="397"/>
        <v>2;X4X831257</v>
      </c>
      <c r="N122" s="38">
        <v>1</v>
      </c>
      <c r="O122" s="132">
        <f t="shared" ref="O122" si="427">L122/POWER(12,N122)</f>
        <v>2.8672964106140313</v>
      </c>
      <c r="P122" s="39" t="str">
        <f>INDEX(powers!$H$2:$H$75,33+N122)</f>
        <v>dirac</v>
      </c>
      <c r="Q122" s="40" t="str">
        <f t="shared" si="383"/>
        <v>2</v>
      </c>
      <c r="R122" s="24">
        <f t="shared" si="398"/>
        <v>10.407556927368375</v>
      </c>
      <c r="S122" s="41" t="str">
        <f t="shared" si="399"/>
        <v>X</v>
      </c>
      <c r="T122" s="24">
        <f t="shared" si="400"/>
        <v>4.8906831284205055</v>
      </c>
      <c r="U122" s="41" t="str">
        <f t="shared" si="401"/>
        <v>4</v>
      </c>
      <c r="V122" s="24">
        <f t="shared" si="402"/>
        <v>10.688197541046065</v>
      </c>
      <c r="W122" s="41" t="str">
        <f t="shared" si="403"/>
        <v>X</v>
      </c>
      <c r="X122" s="24">
        <f t="shared" si="404"/>
        <v>8.2583704925527854</v>
      </c>
      <c r="Y122" s="41" t="str">
        <f t="shared" si="405"/>
        <v>8</v>
      </c>
      <c r="Z122" s="24">
        <f t="shared" si="406"/>
        <v>3.1004459106334252</v>
      </c>
      <c r="AA122" s="41" t="str">
        <f t="shared" si="407"/>
        <v>3</v>
      </c>
      <c r="AB122" s="24">
        <f t="shared" si="408"/>
        <v>1.2053509276011027</v>
      </c>
      <c r="AC122" s="41" t="str">
        <f t="shared" si="409"/>
        <v>1</v>
      </c>
      <c r="AD122" s="24">
        <f t="shared" si="410"/>
        <v>2.4642111312132329</v>
      </c>
      <c r="AE122" s="41" t="str">
        <f t="shared" si="411"/>
        <v>2</v>
      </c>
      <c r="AF122" s="24">
        <f t="shared" si="412"/>
        <v>5.5705335745587945</v>
      </c>
      <c r="AG122" s="41" t="str">
        <f t="shared" si="413"/>
        <v>5</v>
      </c>
      <c r="AH122" s="24">
        <f t="shared" si="414"/>
        <v>6.846402894705534</v>
      </c>
      <c r="AI122" s="41" t="str">
        <f t="shared" si="415"/>
        <v>7</v>
      </c>
      <c r="AJ122" s="24">
        <f t="shared" si="416"/>
        <v>10.156834736466408</v>
      </c>
      <c r="AK122" s="41" t="str">
        <f t="shared" si="417"/>
        <v/>
      </c>
      <c r="AL122" s="24">
        <f t="shared" si="418"/>
        <v>1.8820168375968933</v>
      </c>
      <c r="AM122" s="41" t="str">
        <f t="shared" si="419"/>
        <v/>
      </c>
      <c r="AN122" s="24">
        <f t="shared" si="420"/>
        <v>10.58420205116272</v>
      </c>
      <c r="AO122" s="41" t="str">
        <f t="shared" si="421"/>
        <v/>
      </c>
    </row>
    <row r="123" spans="1:41" ht="14.25" customHeight="1">
      <c r="A123" s="753"/>
      <c r="B123" s="755"/>
      <c r="C123" s="215" t="s">
        <v>620</v>
      </c>
      <c r="D123" s="5" t="s">
        <v>217</v>
      </c>
      <c r="E123" s="161">
        <f>E122*12</f>
        <v>41.851271307629474</v>
      </c>
      <c r="F123" s="176">
        <v>0</v>
      </c>
      <c r="G123" s="177">
        <f t="shared" ref="G123" si="428">E123*POWER(10,-F123)</f>
        <v>41.851271307629474</v>
      </c>
      <c r="H123" s="122" t="s">
        <v>172</v>
      </c>
      <c r="I123" s="224">
        <v>100</v>
      </c>
      <c r="J123" s="2" t="s">
        <v>172</v>
      </c>
      <c r="K123" s="8">
        <v>9</v>
      </c>
      <c r="L123" s="21">
        <f>L122*10</f>
        <v>344.07556927368375</v>
      </c>
      <c r="M123" s="37" t="str">
        <f t="shared" si="397"/>
        <v>2;480XX7008</v>
      </c>
      <c r="N123" s="38">
        <v>2</v>
      </c>
      <c r="O123" s="132">
        <f t="shared" ref="O123" si="429">L123/POWER(12,N123)</f>
        <v>2.3894136755116926</v>
      </c>
      <c r="P123" s="39" t="str">
        <f>INDEX(powers!$H$2:$H$75,33+N123)</f>
        <v>hecty</v>
      </c>
      <c r="Q123" s="40" t="str">
        <f t="shared" si="383"/>
        <v>2</v>
      </c>
      <c r="R123" s="24">
        <f t="shared" si="398"/>
        <v>4.6729641061403111</v>
      </c>
      <c r="S123" s="41" t="str">
        <f t="shared" si="399"/>
        <v>4</v>
      </c>
      <c r="T123" s="24">
        <f t="shared" si="400"/>
        <v>8.0755692736837332</v>
      </c>
      <c r="U123" s="41" t="str">
        <f t="shared" si="401"/>
        <v>8</v>
      </c>
      <c r="V123" s="24">
        <f t="shared" si="402"/>
        <v>0.90683128420479875</v>
      </c>
      <c r="W123" s="41" t="str">
        <f t="shared" si="403"/>
        <v>0</v>
      </c>
      <c r="X123" s="24">
        <f t="shared" si="404"/>
        <v>10.881975410457585</v>
      </c>
      <c r="Y123" s="41" t="str">
        <f t="shared" si="405"/>
        <v>X</v>
      </c>
      <c r="Z123" s="24">
        <f t="shared" si="406"/>
        <v>10.58370492549102</v>
      </c>
      <c r="AA123" s="41" t="str">
        <f t="shared" si="407"/>
        <v>X</v>
      </c>
      <c r="AB123" s="24">
        <f t="shared" si="408"/>
        <v>7.0044591058922379</v>
      </c>
      <c r="AC123" s="41" t="str">
        <f t="shared" si="409"/>
        <v>7</v>
      </c>
      <c r="AD123" s="24">
        <f t="shared" si="410"/>
        <v>5.3509270706854295E-2</v>
      </c>
      <c r="AE123" s="41" t="str">
        <f t="shared" si="411"/>
        <v>0</v>
      </c>
      <c r="AF123" s="24">
        <f t="shared" si="412"/>
        <v>0.64211124848225154</v>
      </c>
      <c r="AG123" s="41" t="str">
        <f t="shared" si="413"/>
        <v>0</v>
      </c>
      <c r="AH123" s="24">
        <f t="shared" si="414"/>
        <v>7.7053349817870185</v>
      </c>
      <c r="AI123" s="41" t="str">
        <f t="shared" si="415"/>
        <v>8</v>
      </c>
      <c r="AJ123" s="24">
        <f t="shared" si="416"/>
        <v>8.4640197814442217</v>
      </c>
      <c r="AK123" s="41" t="str">
        <f t="shared" si="417"/>
        <v/>
      </c>
      <c r="AL123" s="24">
        <f t="shared" si="418"/>
        <v>5.5682373773306608</v>
      </c>
      <c r="AM123" s="41" t="str">
        <f t="shared" si="419"/>
        <v/>
      </c>
      <c r="AN123" s="24">
        <f t="shared" si="420"/>
        <v>6.8188485279679298</v>
      </c>
      <c r="AO123" s="41" t="str">
        <f t="shared" si="421"/>
        <v/>
      </c>
    </row>
    <row r="124" spans="1:41" ht="14.25" customHeight="1" thickBot="1">
      <c r="A124" s="753"/>
      <c r="B124" s="755"/>
      <c r="C124" s="215" t="s">
        <v>625</v>
      </c>
      <c r="D124" s="5" t="s">
        <v>217</v>
      </c>
      <c r="E124" s="161">
        <f>E123*12</f>
        <v>502.21525569155369</v>
      </c>
      <c r="F124" s="176">
        <v>0</v>
      </c>
      <c r="G124" s="177">
        <f t="shared" ref="G124" si="430">E124*POWER(10,-F124)</f>
        <v>502.21525569155369</v>
      </c>
      <c r="H124" s="122" t="s">
        <v>172</v>
      </c>
      <c r="I124" s="172">
        <v>1000</v>
      </c>
      <c r="J124" s="2" t="s">
        <v>172</v>
      </c>
      <c r="K124" s="8">
        <v>9</v>
      </c>
      <c r="L124" s="21">
        <f>L123*10</f>
        <v>3440.7556927368378</v>
      </c>
      <c r="M124" s="37" t="str">
        <f t="shared" si="397"/>
        <v>1;EX8909X06</v>
      </c>
      <c r="N124" s="38">
        <v>3</v>
      </c>
      <c r="O124" s="132">
        <f t="shared" ref="O124" si="431">L124/POWER(12,N124)</f>
        <v>1.9911780629264106</v>
      </c>
      <c r="P124" s="39" t="str">
        <f>INDEX(powers!$H$2:$H$75,33+N124)</f>
        <v>kily</v>
      </c>
      <c r="Q124" s="40" t="str">
        <f t="shared" si="383"/>
        <v>1</v>
      </c>
      <c r="R124" s="24">
        <f t="shared" si="398"/>
        <v>11.894136755116929</v>
      </c>
      <c r="S124" s="41" t="str">
        <f t="shared" si="399"/>
        <v>E</v>
      </c>
      <c r="T124" s="24">
        <f t="shared" si="400"/>
        <v>10.729641061403143</v>
      </c>
      <c r="U124" s="41" t="str">
        <f t="shared" si="401"/>
        <v>X</v>
      </c>
      <c r="V124" s="24">
        <f t="shared" si="402"/>
        <v>8.755692736837716</v>
      </c>
      <c r="W124" s="41" t="str">
        <f t="shared" si="403"/>
        <v>8</v>
      </c>
      <c r="X124" s="24">
        <f t="shared" si="404"/>
        <v>9.0683128420525918</v>
      </c>
      <c r="Y124" s="41" t="str">
        <f t="shared" si="405"/>
        <v>9</v>
      </c>
      <c r="Z124" s="24">
        <f t="shared" si="406"/>
        <v>0.81975410463110165</v>
      </c>
      <c r="AA124" s="41" t="str">
        <f t="shared" si="407"/>
        <v>0</v>
      </c>
      <c r="AB124" s="24">
        <f t="shared" si="408"/>
        <v>9.8370492555732199</v>
      </c>
      <c r="AC124" s="41" t="str">
        <f t="shared" si="409"/>
        <v>9</v>
      </c>
      <c r="AD124" s="24">
        <f t="shared" si="410"/>
        <v>10.044591066878638</v>
      </c>
      <c r="AE124" s="41" t="str">
        <f t="shared" si="411"/>
        <v>X</v>
      </c>
      <c r="AF124" s="24">
        <f t="shared" si="412"/>
        <v>0.53509280254365876</v>
      </c>
      <c r="AG124" s="41" t="str">
        <f t="shared" si="413"/>
        <v>0</v>
      </c>
      <c r="AH124" s="24">
        <f t="shared" si="414"/>
        <v>6.4211136305239052</v>
      </c>
      <c r="AI124" s="41" t="str">
        <f t="shared" si="415"/>
        <v>6</v>
      </c>
      <c r="AJ124" s="24">
        <f t="shared" si="416"/>
        <v>5.0533635662868619</v>
      </c>
      <c r="AK124" s="41" t="str">
        <f t="shared" si="417"/>
        <v/>
      </c>
      <c r="AL124" s="24">
        <f t="shared" si="418"/>
        <v>0.64036279544234276</v>
      </c>
      <c r="AM124" s="41" t="str">
        <f t="shared" si="419"/>
        <v/>
      </c>
      <c r="AN124" s="24">
        <f t="shared" si="420"/>
        <v>7.6843535453081131</v>
      </c>
      <c r="AO124" s="41" t="str">
        <f t="shared" si="421"/>
        <v/>
      </c>
    </row>
    <row r="125" spans="1:41" ht="14.25" customHeight="1">
      <c r="A125" s="753"/>
      <c r="B125" s="755"/>
      <c r="C125" s="214" t="s">
        <v>626</v>
      </c>
      <c r="D125" s="219" t="s">
        <v>627</v>
      </c>
      <c r="E125" s="158">
        <f>POWER(12,4)/L125</f>
        <v>0.38007471822779798</v>
      </c>
      <c r="F125" s="196">
        <v>0</v>
      </c>
      <c r="G125" s="197">
        <f t="shared" ref="G125" si="432">E125*POWER(10,-F125)</f>
        <v>0.38007471822779798</v>
      </c>
      <c r="H125" s="198" t="s">
        <v>607</v>
      </c>
      <c r="I125" s="223">
        <v>1</v>
      </c>
      <c r="J125" s="154" t="s">
        <v>162</v>
      </c>
      <c r="K125" s="152">
        <v>9</v>
      </c>
      <c r="L125" s="151">
        <f>L111*L111*4840</f>
        <v>54557.693541646899</v>
      </c>
      <c r="M125" s="155" t="str">
        <f t="shared" si="397"/>
        <v>2;76X583X53</v>
      </c>
      <c r="N125" s="156">
        <v>4</v>
      </c>
      <c r="O125" s="205">
        <f t="shared" ref="O125:O133" si="433">L125/POWER(12,N125)</f>
        <v>2.6310616098402249</v>
      </c>
      <c r="P125" s="157" t="str">
        <f>INDEX(powers!$H$2:$H$75,33+N125)</f>
        <v>super</v>
      </c>
      <c r="Q125" s="40" t="str">
        <f t="shared" si="383"/>
        <v>2</v>
      </c>
      <c r="R125" s="24">
        <f t="shared" si="398"/>
        <v>7.5727393180826983</v>
      </c>
      <c r="S125" s="41" t="str">
        <f t="shared" si="399"/>
        <v>7</v>
      </c>
      <c r="T125" s="24">
        <f t="shared" si="400"/>
        <v>6.8728718169923795</v>
      </c>
      <c r="U125" s="41" t="str">
        <f t="shared" si="401"/>
        <v>6</v>
      </c>
      <c r="V125" s="24">
        <f t="shared" si="402"/>
        <v>10.474461803908554</v>
      </c>
      <c r="W125" s="41" t="str">
        <f t="shared" si="403"/>
        <v>X</v>
      </c>
      <c r="X125" s="24">
        <f t="shared" si="404"/>
        <v>5.693541646902645</v>
      </c>
      <c r="Y125" s="41" t="str">
        <f t="shared" si="405"/>
        <v>5</v>
      </c>
      <c r="Z125" s="24">
        <f t="shared" si="406"/>
        <v>8.3224997628317396</v>
      </c>
      <c r="AA125" s="41" t="str">
        <f t="shared" si="407"/>
        <v>8</v>
      </c>
      <c r="AB125" s="24">
        <f t="shared" si="408"/>
        <v>3.8699971539808757</v>
      </c>
      <c r="AC125" s="41" t="str">
        <f t="shared" si="409"/>
        <v>3</v>
      </c>
      <c r="AD125" s="24">
        <f t="shared" si="410"/>
        <v>10.439965847770509</v>
      </c>
      <c r="AE125" s="41" t="str">
        <f t="shared" si="411"/>
        <v>X</v>
      </c>
      <c r="AF125" s="24">
        <f t="shared" si="412"/>
        <v>5.2795901732461061</v>
      </c>
      <c r="AG125" s="41" t="str">
        <f t="shared" si="413"/>
        <v>5</v>
      </c>
      <c r="AH125" s="24">
        <f t="shared" si="414"/>
        <v>3.3550820789532736</v>
      </c>
      <c r="AI125" s="41" t="str">
        <f t="shared" si="415"/>
        <v>3</v>
      </c>
      <c r="AJ125" s="24">
        <f t="shared" si="416"/>
        <v>4.2609849474392831</v>
      </c>
      <c r="AK125" s="41" t="str">
        <f t="shared" si="417"/>
        <v/>
      </c>
      <c r="AL125" s="24">
        <f t="shared" si="418"/>
        <v>3.1318193692713976</v>
      </c>
      <c r="AM125" s="41" t="str">
        <f t="shared" si="419"/>
        <v/>
      </c>
      <c r="AN125" s="24">
        <f t="shared" si="420"/>
        <v>1.5818324312567711</v>
      </c>
      <c r="AO125" s="41" t="str">
        <f t="shared" si="421"/>
        <v/>
      </c>
    </row>
    <row r="126" spans="1:41" ht="14.25" customHeight="1">
      <c r="A126" s="753"/>
      <c r="B126" s="755"/>
      <c r="C126" s="215" t="s">
        <v>618</v>
      </c>
      <c r="D126" s="220" t="s">
        <v>628</v>
      </c>
      <c r="E126" s="161">
        <f>1/L126</f>
        <v>4.4438016139004546</v>
      </c>
      <c r="F126" s="176">
        <v>0</v>
      </c>
      <c r="G126" s="177">
        <f t="shared" ref="G126:G133" si="434">E126*POWER(10,-F126)</f>
        <v>4.4438016139004546</v>
      </c>
      <c r="H126" s="122" t="s">
        <v>168</v>
      </c>
      <c r="I126" s="224">
        <v>1</v>
      </c>
      <c r="J126" s="2" t="s">
        <v>168</v>
      </c>
      <c r="K126" s="8">
        <v>9</v>
      </c>
      <c r="L126" s="21">
        <f>0.00454609/(E$3*E$3*E$3)</f>
        <v>0.22503254800393099</v>
      </c>
      <c r="M126" s="37" t="str">
        <f t="shared" si="397"/>
        <v>2;84X337079</v>
      </c>
      <c r="N126" s="38">
        <v>-1</v>
      </c>
      <c r="O126" s="132">
        <f t="shared" si="433"/>
        <v>2.7003905760471723</v>
      </c>
      <c r="P126" s="39" t="str">
        <f>INDEX(powers!$H$2:$H$75,33+N126)</f>
        <v>dour</v>
      </c>
      <c r="Q126" s="40" t="str">
        <f t="shared" si="383"/>
        <v>2</v>
      </c>
      <c r="R126" s="24">
        <f t="shared" si="398"/>
        <v>8.404686912566067</v>
      </c>
      <c r="S126" s="41" t="str">
        <f t="shared" si="399"/>
        <v>8</v>
      </c>
      <c r="T126" s="24">
        <f t="shared" si="400"/>
        <v>4.8562429507928044</v>
      </c>
      <c r="U126" s="41" t="str">
        <f t="shared" si="401"/>
        <v>4</v>
      </c>
      <c r="V126" s="24">
        <f t="shared" si="402"/>
        <v>10.274915409513653</v>
      </c>
      <c r="W126" s="41" t="str">
        <f t="shared" si="403"/>
        <v>X</v>
      </c>
      <c r="X126" s="24">
        <f t="shared" si="404"/>
        <v>3.2989849141638388</v>
      </c>
      <c r="Y126" s="41" t="str">
        <f t="shared" si="405"/>
        <v>3</v>
      </c>
      <c r="Z126" s="24">
        <f t="shared" si="406"/>
        <v>3.5878189699660652</v>
      </c>
      <c r="AA126" s="41" t="str">
        <f t="shared" si="407"/>
        <v>3</v>
      </c>
      <c r="AB126" s="24">
        <f t="shared" si="408"/>
        <v>7.0538276395927824</v>
      </c>
      <c r="AC126" s="41" t="str">
        <f t="shared" si="409"/>
        <v>7</v>
      </c>
      <c r="AD126" s="24">
        <f t="shared" si="410"/>
        <v>0.64593167511338834</v>
      </c>
      <c r="AE126" s="41" t="str">
        <f t="shared" si="411"/>
        <v>0</v>
      </c>
      <c r="AF126" s="24">
        <f t="shared" si="412"/>
        <v>7.75118010136066</v>
      </c>
      <c r="AG126" s="41" t="str">
        <f t="shared" si="413"/>
        <v>7</v>
      </c>
      <c r="AH126" s="24">
        <f t="shared" si="414"/>
        <v>9.0141612163279206</v>
      </c>
      <c r="AI126" s="41" t="str">
        <f t="shared" si="415"/>
        <v>9</v>
      </c>
      <c r="AJ126" s="24">
        <f t="shared" si="416"/>
        <v>0.16993459593504667</v>
      </c>
      <c r="AK126" s="41" t="str">
        <f t="shared" si="417"/>
        <v/>
      </c>
      <c r="AL126" s="24">
        <f t="shared" si="418"/>
        <v>2.0392151512205601</v>
      </c>
      <c r="AM126" s="41" t="str">
        <f t="shared" si="419"/>
        <v/>
      </c>
      <c r="AN126" s="24">
        <f t="shared" si="420"/>
        <v>0.47058181464672089</v>
      </c>
      <c r="AO126" s="41" t="str">
        <f t="shared" si="421"/>
        <v/>
      </c>
    </row>
    <row r="127" spans="1:41" ht="14.25" customHeight="1">
      <c r="A127" s="753"/>
      <c r="B127" s="755"/>
      <c r="C127" s="215" t="s">
        <v>618</v>
      </c>
      <c r="D127" s="220" t="s">
        <v>628</v>
      </c>
      <c r="E127" s="161">
        <f t="shared" ref="E127:E132" si="435">1/L127</f>
        <v>5.3367832171721039</v>
      </c>
      <c r="F127" s="176">
        <v>0</v>
      </c>
      <c r="G127" s="177">
        <f t="shared" si="434"/>
        <v>5.3367832171721039</v>
      </c>
      <c r="H127" s="122" t="s">
        <v>170</v>
      </c>
      <c r="I127" s="224">
        <v>1</v>
      </c>
      <c r="J127" s="2" t="s">
        <v>170</v>
      </c>
      <c r="K127" s="8">
        <v>9</v>
      </c>
      <c r="L127" s="21">
        <f>0.003785411784/(E$3*E$3*E$3)</f>
        <v>0.18737879342415706</v>
      </c>
      <c r="M127" s="37" t="str">
        <f t="shared" si="397"/>
        <v>2;2E95X0E48</v>
      </c>
      <c r="N127" s="38">
        <v>-1</v>
      </c>
      <c r="O127" s="132">
        <f t="shared" si="433"/>
        <v>2.248545521089885</v>
      </c>
      <c r="P127" s="39" t="str">
        <f>INDEX(powers!$H$2:$H$75,33+N127)</f>
        <v>dour</v>
      </c>
      <c r="Q127" s="40" t="str">
        <f t="shared" si="383"/>
        <v>2</v>
      </c>
      <c r="R127" s="24">
        <f t="shared" si="398"/>
        <v>2.9825462530786204</v>
      </c>
      <c r="S127" s="41" t="str">
        <f t="shared" si="399"/>
        <v>2</v>
      </c>
      <c r="T127" s="24">
        <f t="shared" si="400"/>
        <v>11.790555036943445</v>
      </c>
      <c r="U127" s="41" t="str">
        <f t="shared" si="401"/>
        <v>E</v>
      </c>
      <c r="V127" s="24">
        <f t="shared" si="402"/>
        <v>9.4866604433213411</v>
      </c>
      <c r="W127" s="41" t="str">
        <f t="shared" si="403"/>
        <v>9</v>
      </c>
      <c r="X127" s="24">
        <f t="shared" si="404"/>
        <v>5.8399253198560928</v>
      </c>
      <c r="Y127" s="41" t="str">
        <f t="shared" si="405"/>
        <v>5</v>
      </c>
      <c r="Z127" s="24">
        <f t="shared" si="406"/>
        <v>10.079103838273113</v>
      </c>
      <c r="AA127" s="41" t="str">
        <f t="shared" si="407"/>
        <v>X</v>
      </c>
      <c r="AB127" s="24">
        <f t="shared" si="408"/>
        <v>0.94924605927735684</v>
      </c>
      <c r="AC127" s="41" t="str">
        <f t="shared" si="409"/>
        <v>0</v>
      </c>
      <c r="AD127" s="24">
        <f t="shared" si="410"/>
        <v>11.390952711328282</v>
      </c>
      <c r="AE127" s="41" t="str">
        <f t="shared" si="411"/>
        <v>E</v>
      </c>
      <c r="AF127" s="24">
        <f t="shared" si="412"/>
        <v>4.6914325359393843</v>
      </c>
      <c r="AG127" s="41" t="str">
        <f t="shared" si="413"/>
        <v>4</v>
      </c>
      <c r="AH127" s="24">
        <f t="shared" si="414"/>
        <v>8.297190431272611</v>
      </c>
      <c r="AI127" s="41" t="str">
        <f t="shared" si="415"/>
        <v>8</v>
      </c>
      <c r="AJ127" s="24">
        <f t="shared" si="416"/>
        <v>3.5662851752713323</v>
      </c>
      <c r="AK127" s="41" t="str">
        <f t="shared" si="417"/>
        <v/>
      </c>
      <c r="AL127" s="24">
        <f t="shared" si="418"/>
        <v>6.7954221032559872</v>
      </c>
      <c r="AM127" s="41" t="str">
        <f t="shared" si="419"/>
        <v/>
      </c>
      <c r="AN127" s="24">
        <f t="shared" si="420"/>
        <v>9.545065239071846</v>
      </c>
      <c r="AO127" s="41" t="str">
        <f t="shared" si="421"/>
        <v/>
      </c>
    </row>
    <row r="128" spans="1:41" ht="14.25" customHeight="1">
      <c r="A128" s="753"/>
      <c r="B128" s="755"/>
      <c r="C128" s="215" t="s">
        <v>618</v>
      </c>
      <c r="D128" s="220" t="s">
        <v>68</v>
      </c>
      <c r="E128" s="161">
        <f>E$3/E$4*3.6</f>
        <v>2.5099971902059761</v>
      </c>
      <c r="F128" s="176">
        <v>0</v>
      </c>
      <c r="G128" s="177">
        <f t="shared" ref="G128" si="436">E128*POWER(10,-F128)</f>
        <v>2.5099971902059761</v>
      </c>
      <c r="H128" s="122" t="s">
        <v>666</v>
      </c>
      <c r="I128" s="224">
        <v>1</v>
      </c>
      <c r="J128" s="2" t="s">
        <v>666</v>
      </c>
      <c r="K128" s="8">
        <v>9</v>
      </c>
      <c r="L128" s="21">
        <f>1/E128</f>
        <v>0.39840682049446347</v>
      </c>
      <c r="M128" s="37" t="str">
        <f t="shared" ref="M128" si="437">Q128&amp;";"&amp;S128&amp;U128&amp;W128&amp;Y128&amp;AA128&amp;AC128&amp;AE128&amp;AG128&amp;AI128&amp;AK128&amp;AM128&amp;AO128</f>
        <v>4;945444846</v>
      </c>
      <c r="N128" s="38">
        <v>-1</v>
      </c>
      <c r="O128" s="132">
        <f t="shared" ref="O128" si="438">L128/POWER(12,N128)</f>
        <v>4.7808818459335622</v>
      </c>
      <c r="P128" s="39" t="str">
        <f>INDEX(powers!$H$2:$H$75,33+N128)</f>
        <v>dour</v>
      </c>
      <c r="Q128" s="40" t="str">
        <f t="shared" ref="Q128" si="439">IF($K128&gt;=Q$23,MID($N$23,IF($K128&gt;Q$23,INT(O128),ROUND(O128,0))+1,1),"")</f>
        <v>4</v>
      </c>
      <c r="R128" s="24">
        <f t="shared" ref="R128" si="440">(O128-INT(O128))*12</f>
        <v>9.370582151202747</v>
      </c>
      <c r="S128" s="41" t="str">
        <f t="shared" ref="S128" si="441">IF($K128&gt;=S$23,MID($N$23,IF($K128&gt;S$23,INT(R128),ROUND(R128,0))+1,1),"")</f>
        <v>9</v>
      </c>
      <c r="T128" s="24">
        <f t="shared" ref="T128" si="442">(R128-INT(R128))*12</f>
        <v>4.4469858144329635</v>
      </c>
      <c r="U128" s="41" t="str">
        <f t="shared" ref="U128" si="443">IF($K128&gt;=U$23,MID($N$23,IF($K128&gt;U$23,INT(T128),ROUND(T128,0))+1,1),"")</f>
        <v>4</v>
      </c>
      <c r="V128" s="24">
        <f t="shared" ref="V128" si="444">(T128-INT(T128))*12</f>
        <v>5.3638297731955618</v>
      </c>
      <c r="W128" s="41" t="str">
        <f t="shared" ref="W128" si="445">IF($K128&gt;=W$23,MID($N$23,IF($K128&gt;W$23,INT(V128),ROUND(V128,0))+1,1),"")</f>
        <v>5</v>
      </c>
      <c r="X128" s="24">
        <f t="shared" ref="X128" si="446">(V128-INT(V128))*12</f>
        <v>4.3659572783467411</v>
      </c>
      <c r="Y128" s="41" t="str">
        <f t="shared" ref="Y128" si="447">IF($K128&gt;=Y$23,MID($N$23,IF($K128&gt;Y$23,INT(X128),ROUND(X128,0))+1,1),"")</f>
        <v>4</v>
      </c>
      <c r="Z128" s="24">
        <f t="shared" ref="Z128" si="448">(X128-INT(X128))*12</f>
        <v>4.3914873401608929</v>
      </c>
      <c r="AA128" s="41" t="str">
        <f t="shared" ref="AA128" si="449">IF($K128&gt;=AA$23,MID($N$23,IF($K128&gt;AA$23,INT(Z128),ROUND(Z128,0))+1,1),"")</f>
        <v>4</v>
      </c>
      <c r="AB128" s="24">
        <f t="shared" ref="AB128" si="450">(Z128-INT(Z128))*12</f>
        <v>4.6978480819307151</v>
      </c>
      <c r="AC128" s="41" t="str">
        <f t="shared" ref="AC128" si="451">IF($K128&gt;=AC$23,MID($N$23,IF($K128&gt;AC$23,INT(AB128),ROUND(AB128,0))+1,1),"")</f>
        <v>4</v>
      </c>
      <c r="AD128" s="24">
        <f t="shared" ref="AD128" si="452">(AB128-INT(AB128))*12</f>
        <v>8.3741769831685815</v>
      </c>
      <c r="AE128" s="41" t="str">
        <f t="shared" ref="AE128" si="453">IF($K128&gt;=AE$23,MID($N$23,IF($K128&gt;AE$23,INT(AD128),ROUND(AD128,0))+1,1),"")</f>
        <v>8</v>
      </c>
      <c r="AF128" s="24">
        <f t="shared" ref="AF128" si="454">(AD128-INT(AD128))*12</f>
        <v>4.490123798022978</v>
      </c>
      <c r="AG128" s="41" t="str">
        <f t="shared" ref="AG128" si="455">IF($K128&gt;=AG$23,MID($N$23,IF($K128&gt;AG$23,INT(AF128),ROUND(AF128,0))+1,1),"")</f>
        <v>4</v>
      </c>
      <c r="AH128" s="24">
        <f t="shared" ref="AH128" si="456">(AF128-INT(AF128))*12</f>
        <v>5.8814855762757361</v>
      </c>
      <c r="AI128" s="41" t="str">
        <f t="shared" ref="AI128" si="457">IF($K128&gt;=AI$23,MID($N$23,IF($K128&gt;AI$23,INT(AH128),ROUND(AH128,0))+1,1),"")</f>
        <v>6</v>
      </c>
      <c r="AJ128" s="24">
        <f t="shared" ref="AJ128" si="458">(AH128-INT(AH128))*12</f>
        <v>10.577826915308833</v>
      </c>
      <c r="AK128" s="41" t="str">
        <f t="shared" ref="AK128" si="459">IF($K128&gt;=AK$23,MID($N$23,IF($K128&gt;AK$23,INT(AJ128),ROUND(AJ128,0))+1,1),"")</f>
        <v/>
      </c>
      <c r="AL128" s="24">
        <f t="shared" ref="AL128" si="460">(AJ128-INT(AJ128))*12</f>
        <v>6.9339229837059975</v>
      </c>
      <c r="AM128" s="41" t="str">
        <f t="shared" ref="AM128" si="461">IF($K128&gt;=AM$23,MID($N$23,IF($K128&gt;AM$23,INT(AL128),ROUND(AL128,0))+1,1),"")</f>
        <v/>
      </c>
      <c r="AN128" s="24">
        <f t="shared" ref="AN128" si="462">(AL128-INT(AL128))*12</f>
        <v>11.20707580447197</v>
      </c>
      <c r="AO128" s="41" t="str">
        <f t="shared" ref="AO128" si="463">IF($K128&gt;=AO$23,MID($N$23,IF($K128&gt;AO$23,INT(AN128),ROUND(AN128,0))+1,1),"")</f>
        <v/>
      </c>
    </row>
    <row r="129" spans="1:41" ht="14.25" customHeight="1">
      <c r="A129" s="753"/>
      <c r="B129" s="755"/>
      <c r="C129" s="215" t="s">
        <v>618</v>
      </c>
      <c r="D129" s="220" t="s">
        <v>68</v>
      </c>
      <c r="E129" s="161">
        <f>E128/1.609344</f>
        <v>1.5596399465906456</v>
      </c>
      <c r="F129" s="176">
        <v>0</v>
      </c>
      <c r="G129" s="177">
        <f t="shared" ref="G129:G130" si="464">E129*POWER(10,-F129)</f>
        <v>1.5596399465906456</v>
      </c>
      <c r="H129" s="122" t="s">
        <v>188</v>
      </c>
      <c r="I129" s="224">
        <v>1</v>
      </c>
      <c r="J129" s="2" t="s">
        <v>188</v>
      </c>
      <c r="K129" s="8">
        <v>9</v>
      </c>
      <c r="L129" s="21">
        <f>1/E129</f>
        <v>0.64117362612184181</v>
      </c>
      <c r="M129" s="37" t="str">
        <f t="shared" ref="M129:M130" si="465">Q129&amp;";"&amp;S129&amp;U129&amp;W129&amp;Y129&amp;AA129&amp;AC129&amp;AE129&amp;AG129&amp;AI129&amp;AK129&amp;AM129&amp;AO129</f>
        <v>7;83E462323</v>
      </c>
      <c r="N129" s="38">
        <v>-1</v>
      </c>
      <c r="O129" s="132">
        <f t="shared" ref="O129:O130" si="466">L129/POWER(12,N129)</f>
        <v>7.6940835134621022</v>
      </c>
      <c r="P129" s="39" t="str">
        <f>INDEX(powers!$H$2:$H$75,33+N129)</f>
        <v>dour</v>
      </c>
      <c r="Q129" s="40" t="str">
        <f t="shared" ref="Q129:Q130" si="467">IF($K129&gt;=Q$23,MID($N$23,IF($K129&gt;Q$23,INT(O129),ROUND(O129,0))+1,1),"")</f>
        <v>7</v>
      </c>
      <c r="R129" s="24">
        <f t="shared" ref="R129:R130" si="468">(O129-INT(O129))*12</f>
        <v>8.3290021615452261</v>
      </c>
      <c r="S129" s="41" t="str">
        <f t="shared" ref="S129:S130" si="469">IF($K129&gt;=S$23,MID($N$23,IF($K129&gt;S$23,INT(R129),ROUND(R129,0))+1,1),"")</f>
        <v>8</v>
      </c>
      <c r="T129" s="24">
        <f t="shared" ref="T129:T130" si="470">(R129-INT(R129))*12</f>
        <v>3.9480259385427132</v>
      </c>
      <c r="U129" s="41" t="str">
        <f t="shared" ref="U129:U130" si="471">IF($K129&gt;=U$23,MID($N$23,IF($K129&gt;U$23,INT(T129),ROUND(T129,0))+1,1),"")</f>
        <v>3</v>
      </c>
      <c r="V129" s="24">
        <f t="shared" ref="V129:V130" si="472">(T129-INT(T129))*12</f>
        <v>11.376311262512559</v>
      </c>
      <c r="W129" s="41" t="str">
        <f t="shared" ref="W129:W130" si="473">IF($K129&gt;=W$23,MID($N$23,IF($K129&gt;W$23,INT(V129),ROUND(V129,0))+1,1),"")</f>
        <v>E</v>
      </c>
      <c r="X129" s="24">
        <f t="shared" ref="X129:X130" si="474">(V129-INT(V129))*12</f>
        <v>4.5157351501507037</v>
      </c>
      <c r="Y129" s="41" t="str">
        <f t="shared" ref="Y129:Y130" si="475">IF($K129&gt;=Y$23,MID($N$23,IF($K129&gt;Y$23,INT(X129),ROUND(X129,0))+1,1),"")</f>
        <v>4</v>
      </c>
      <c r="Z129" s="24">
        <f t="shared" ref="Z129:Z130" si="476">(X129-INT(X129))*12</f>
        <v>6.1888218018084444</v>
      </c>
      <c r="AA129" s="41" t="str">
        <f t="shared" ref="AA129:AA130" si="477">IF($K129&gt;=AA$23,MID($N$23,IF($K129&gt;AA$23,INT(Z129),ROUND(Z129,0))+1,1),"")</f>
        <v>6</v>
      </c>
      <c r="AB129" s="24">
        <f t="shared" ref="AB129:AB130" si="478">(Z129-INT(Z129))*12</f>
        <v>2.2658616217013332</v>
      </c>
      <c r="AC129" s="41" t="str">
        <f t="shared" ref="AC129:AC130" si="479">IF($K129&gt;=AC$23,MID($N$23,IF($K129&gt;AC$23,INT(AB129),ROUND(AB129,0))+1,1),"")</f>
        <v>2</v>
      </c>
      <c r="AD129" s="24">
        <f t="shared" ref="AD129:AD130" si="480">(AB129-INT(AB129))*12</f>
        <v>3.1903394604159985</v>
      </c>
      <c r="AE129" s="41" t="str">
        <f t="shared" ref="AE129:AE130" si="481">IF($K129&gt;=AE$23,MID($N$23,IF($K129&gt;AE$23,INT(AD129),ROUND(AD129,0))+1,1),"")</f>
        <v>3</v>
      </c>
      <c r="AF129" s="24">
        <f t="shared" ref="AF129:AF130" si="482">(AD129-INT(AD129))*12</f>
        <v>2.2840735249919817</v>
      </c>
      <c r="AG129" s="41" t="str">
        <f t="shared" ref="AG129:AG130" si="483">IF($K129&gt;=AG$23,MID($N$23,IF($K129&gt;AG$23,INT(AF129),ROUND(AF129,0))+1,1),"")</f>
        <v>2</v>
      </c>
      <c r="AH129" s="24">
        <f t="shared" ref="AH129:AH130" si="484">(AF129-INT(AF129))*12</f>
        <v>3.4088822999037802</v>
      </c>
      <c r="AI129" s="41" t="str">
        <f t="shared" ref="AI129:AI130" si="485">IF($K129&gt;=AI$23,MID($N$23,IF($K129&gt;AI$23,INT(AH129),ROUND(AH129,0))+1,1),"")</f>
        <v>3</v>
      </c>
      <c r="AJ129" s="24">
        <f t="shared" ref="AJ129:AJ130" si="486">(AH129-INT(AH129))*12</f>
        <v>4.9065875988453627</v>
      </c>
      <c r="AK129" s="41" t="str">
        <f t="shared" ref="AK129:AK130" si="487">IF($K129&gt;=AK$23,MID($N$23,IF($K129&gt;AK$23,INT(AJ129),ROUND(AJ129,0))+1,1),"")</f>
        <v/>
      </c>
      <c r="AL129" s="24">
        <f t="shared" ref="AL129:AL130" si="488">(AJ129-INT(AJ129))*12</f>
        <v>10.879051186144352</v>
      </c>
      <c r="AM129" s="41" t="str">
        <f t="shared" ref="AM129:AM130" si="489">IF($K129&gt;=AM$23,MID($N$23,IF($K129&gt;AM$23,INT(AL129),ROUND(AL129,0))+1,1),"")</f>
        <v/>
      </c>
      <c r="AN129" s="24">
        <f t="shared" ref="AN129:AN130" si="490">(AL129-INT(AL129))*12</f>
        <v>10.548614233732224</v>
      </c>
      <c r="AO129" s="41" t="str">
        <f t="shared" ref="AO129:AO130" si="491">IF($K129&gt;=AO$23,MID($N$23,IF($K129&gt;AO$23,INT(AN129),ROUND(AN129,0))+1,1),"")</f>
        <v/>
      </c>
    </row>
    <row r="130" spans="1:41" ht="14.25" customHeight="1">
      <c r="A130" s="753"/>
      <c r="B130" s="755"/>
      <c r="C130" s="215" t="s">
        <v>1134</v>
      </c>
      <c r="D130" s="220" t="s">
        <v>1135</v>
      </c>
      <c r="E130" s="161">
        <f>POWER(12,5)*E$3/86400/(1000/3600)</f>
        <v>2.8237476711135767</v>
      </c>
      <c r="F130" s="176">
        <v>0</v>
      </c>
      <c r="G130" s="177">
        <f t="shared" si="464"/>
        <v>2.8237476711135767</v>
      </c>
      <c r="H130" s="122" t="s">
        <v>666</v>
      </c>
      <c r="I130" s="461">
        <f>(4/12+3/144)*E130</f>
        <v>1.0000773001860583</v>
      </c>
      <c r="J130" s="2" t="s">
        <v>666</v>
      </c>
      <c r="K130" s="8">
        <v>9</v>
      </c>
      <c r="L130" s="21">
        <f>I130/E130</f>
        <v>0.35416666666666663</v>
      </c>
      <c r="M130" s="37" t="str">
        <f t="shared" si="465"/>
        <v>4;300000000</v>
      </c>
      <c r="N130" s="38">
        <v>-1</v>
      </c>
      <c r="O130" s="132">
        <f t="shared" si="466"/>
        <v>4.25</v>
      </c>
      <c r="P130" s="39" t="str">
        <f>INDEX(powers!$H$2:$H$75,33+N130)</f>
        <v>dour</v>
      </c>
      <c r="Q130" s="40" t="str">
        <f t="shared" si="467"/>
        <v>4</v>
      </c>
      <c r="R130" s="24">
        <f t="shared" si="468"/>
        <v>3</v>
      </c>
      <c r="S130" s="41" t="str">
        <f t="shared" si="469"/>
        <v>3</v>
      </c>
      <c r="T130" s="24">
        <f t="shared" si="470"/>
        <v>0</v>
      </c>
      <c r="U130" s="41" t="str">
        <f t="shared" si="471"/>
        <v>0</v>
      </c>
      <c r="V130" s="24">
        <f t="shared" si="472"/>
        <v>0</v>
      </c>
      <c r="W130" s="41" t="str">
        <f t="shared" si="473"/>
        <v>0</v>
      </c>
      <c r="X130" s="24">
        <f t="shared" si="474"/>
        <v>0</v>
      </c>
      <c r="Y130" s="41" t="str">
        <f t="shared" si="475"/>
        <v>0</v>
      </c>
      <c r="Z130" s="24">
        <f t="shared" si="476"/>
        <v>0</v>
      </c>
      <c r="AA130" s="41" t="str">
        <f t="shared" si="477"/>
        <v>0</v>
      </c>
      <c r="AB130" s="24">
        <f t="shared" si="478"/>
        <v>0</v>
      </c>
      <c r="AC130" s="41" t="str">
        <f t="shared" si="479"/>
        <v>0</v>
      </c>
      <c r="AD130" s="24">
        <f t="shared" si="480"/>
        <v>0</v>
      </c>
      <c r="AE130" s="41" t="str">
        <f t="shared" si="481"/>
        <v>0</v>
      </c>
      <c r="AF130" s="24">
        <f t="shared" si="482"/>
        <v>0</v>
      </c>
      <c r="AG130" s="41" t="str">
        <f t="shared" si="483"/>
        <v>0</v>
      </c>
      <c r="AH130" s="24">
        <f t="shared" si="484"/>
        <v>0</v>
      </c>
      <c r="AI130" s="41" t="str">
        <f t="shared" si="485"/>
        <v>0</v>
      </c>
      <c r="AJ130" s="24">
        <f t="shared" si="486"/>
        <v>0</v>
      </c>
      <c r="AK130" s="41" t="str">
        <f t="shared" si="487"/>
        <v/>
      </c>
      <c r="AL130" s="24">
        <f t="shared" si="488"/>
        <v>0</v>
      </c>
      <c r="AM130" s="41" t="str">
        <f t="shared" si="489"/>
        <v/>
      </c>
      <c r="AN130" s="24">
        <f t="shared" si="490"/>
        <v>0</v>
      </c>
      <c r="AO130" s="41" t="str">
        <f t="shared" si="491"/>
        <v/>
      </c>
    </row>
    <row r="131" spans="1:41" ht="14.25" customHeight="1">
      <c r="A131" s="753"/>
      <c r="B131" s="755"/>
      <c r="C131" s="215" t="s">
        <v>1134</v>
      </c>
      <c r="D131" s="220" t="s">
        <v>1135</v>
      </c>
      <c r="E131" s="161">
        <f>E130/1.609344</f>
        <v>1.7545954569772382</v>
      </c>
      <c r="F131" s="176">
        <v>0</v>
      </c>
      <c r="G131" s="177">
        <f t="shared" ref="G131" si="492">E131*POWER(10,-F131)</f>
        <v>1.7545954569772382</v>
      </c>
      <c r="H131" s="122" t="s">
        <v>188</v>
      </c>
      <c r="I131" s="461">
        <f>0.57*E131</f>
        <v>1.0001194104770257</v>
      </c>
      <c r="J131" s="2" t="s">
        <v>188</v>
      </c>
      <c r="K131" s="8">
        <v>9</v>
      </c>
      <c r="L131" s="21">
        <f>I131/E131</f>
        <v>0.56999999999999995</v>
      </c>
      <c r="M131" s="37" t="str">
        <f t="shared" ref="M131" si="493">Q131&amp;";"&amp;S131&amp;U131&amp;W131&amp;Y131&amp;AA131&amp;AC131&amp;AE131&amp;AG131&amp;AI131&amp;AK131&amp;AM131&amp;AO131</f>
        <v>6;X0E62X688</v>
      </c>
      <c r="N131" s="38">
        <v>-1</v>
      </c>
      <c r="O131" s="132">
        <f t="shared" ref="O131" si="494">L131/POWER(12,N131)</f>
        <v>6.84</v>
      </c>
      <c r="P131" s="39" t="str">
        <f>INDEX(powers!$H$2:$H$75,33+N131)</f>
        <v>dour</v>
      </c>
      <c r="Q131" s="40" t="str">
        <f t="shared" ref="Q131" si="495">IF($K131&gt;=Q$23,MID($N$23,IF($K131&gt;Q$23,INT(O131),ROUND(O131,0))+1,1),"")</f>
        <v>6</v>
      </c>
      <c r="R131" s="24">
        <f t="shared" ref="R131" si="496">(O131-INT(O131))*12</f>
        <v>10.079999999999998</v>
      </c>
      <c r="S131" s="41" t="str">
        <f t="shared" ref="S131" si="497">IF($K131&gt;=S$23,MID($N$23,IF($K131&gt;S$23,INT(R131),ROUND(R131,0))+1,1),"")</f>
        <v>X</v>
      </c>
      <c r="T131" s="24">
        <f t="shared" ref="T131" si="498">(R131-INT(R131))*12</f>
        <v>0.95999999999997954</v>
      </c>
      <c r="U131" s="41" t="str">
        <f t="shared" ref="U131" si="499">IF($K131&gt;=U$23,MID($N$23,IF($K131&gt;U$23,INT(T131),ROUND(T131,0))+1,1),"")</f>
        <v>0</v>
      </c>
      <c r="V131" s="24">
        <f t="shared" ref="V131" si="500">(T131-INT(T131))*12</f>
        <v>11.519999999999754</v>
      </c>
      <c r="W131" s="41" t="str">
        <f t="shared" ref="W131" si="501">IF($K131&gt;=W$23,MID($N$23,IF($K131&gt;W$23,INT(V131),ROUND(V131,0))+1,1),"")</f>
        <v>E</v>
      </c>
      <c r="X131" s="24">
        <f t="shared" ref="X131" si="502">(V131-INT(V131))*12</f>
        <v>6.2399999999970532</v>
      </c>
      <c r="Y131" s="41" t="str">
        <f t="shared" ref="Y131" si="503">IF($K131&gt;=Y$23,MID($N$23,IF($K131&gt;Y$23,INT(X131),ROUND(X131,0))+1,1),"")</f>
        <v>6</v>
      </c>
      <c r="Z131" s="24">
        <f t="shared" ref="Z131" si="504">(X131-INT(X131))*12</f>
        <v>2.8799999999646388</v>
      </c>
      <c r="AA131" s="41" t="str">
        <f t="shared" ref="AA131" si="505">IF($K131&gt;=AA$23,MID($N$23,IF($K131&gt;AA$23,INT(Z131),ROUND(Z131,0))+1,1),"")</f>
        <v>2</v>
      </c>
      <c r="AB131" s="24">
        <f t="shared" ref="AB131" si="506">(Z131-INT(Z131))*12</f>
        <v>10.559999999575666</v>
      </c>
      <c r="AC131" s="41" t="str">
        <f t="shared" ref="AC131" si="507">IF($K131&gt;=AC$23,MID($N$23,IF($K131&gt;AC$23,INT(AB131),ROUND(AB131,0))+1,1),"")</f>
        <v>X</v>
      </c>
      <c r="AD131" s="24">
        <f t="shared" ref="AD131" si="508">(AB131-INT(AB131))*12</f>
        <v>6.7199999949079938</v>
      </c>
      <c r="AE131" s="41" t="str">
        <f t="shared" ref="AE131" si="509">IF($K131&gt;=AE$23,MID($N$23,IF($K131&gt;AE$23,INT(AD131),ROUND(AD131,0))+1,1),"")</f>
        <v>6</v>
      </c>
      <c r="AF131" s="24">
        <f t="shared" ref="AF131" si="510">(AD131-INT(AD131))*12</f>
        <v>8.6399999388959259</v>
      </c>
      <c r="AG131" s="41" t="str">
        <f t="shared" ref="AG131" si="511">IF($K131&gt;=AG$23,MID($N$23,IF($K131&gt;AG$23,INT(AF131),ROUND(AF131,0))+1,1),"")</f>
        <v>8</v>
      </c>
      <c r="AH131" s="24">
        <f t="shared" ref="AH131" si="512">(AF131-INT(AF131))*12</f>
        <v>7.6799992667511106</v>
      </c>
      <c r="AI131" s="41" t="str">
        <f t="shared" ref="AI131" si="513">IF($K131&gt;=AI$23,MID($N$23,IF($K131&gt;AI$23,INT(AH131),ROUND(AH131,0))+1,1),"")</f>
        <v>8</v>
      </c>
      <c r="AJ131" s="24">
        <f t="shared" ref="AJ131" si="514">(AH131-INT(AH131))*12</f>
        <v>8.1599912010133266</v>
      </c>
      <c r="AK131" s="41" t="str">
        <f t="shared" ref="AK131" si="515">IF($K131&gt;=AK$23,MID($N$23,IF($K131&gt;AK$23,INT(AJ131),ROUND(AJ131,0))+1,1),"")</f>
        <v/>
      </c>
      <c r="AL131" s="24">
        <f t="shared" ref="AL131" si="516">(AJ131-INT(AJ131))*12</f>
        <v>1.9198944121599197</v>
      </c>
      <c r="AM131" s="41" t="str">
        <f t="shared" ref="AM131" si="517">IF($K131&gt;=AM$23,MID($N$23,IF($K131&gt;AM$23,INT(AL131),ROUND(AL131,0))+1,1),"")</f>
        <v/>
      </c>
      <c r="AN131" s="24">
        <f t="shared" ref="AN131" si="518">(AL131-INT(AL131))*12</f>
        <v>11.038732945919037</v>
      </c>
      <c r="AO131" s="41" t="str">
        <f t="shared" ref="AO131" si="519">IF($K131&gt;=AO$23,MID($N$23,IF($K131&gt;AO$23,INT(AN131),ROUND(AN131,0))+1,1),"")</f>
        <v/>
      </c>
    </row>
    <row r="132" spans="1:41" ht="14.25" customHeight="1">
      <c r="A132" s="753"/>
      <c r="B132" s="755"/>
      <c r="C132" s="215" t="s">
        <v>618</v>
      </c>
      <c r="D132" s="220" t="s">
        <v>608</v>
      </c>
      <c r="E132" s="161">
        <f t="shared" si="435"/>
        <v>4.2384099993259019</v>
      </c>
      <c r="F132" s="176">
        <v>0</v>
      </c>
      <c r="G132" s="177">
        <f t="shared" si="434"/>
        <v>4.2384099993259019</v>
      </c>
      <c r="H132" s="122" t="s">
        <v>206</v>
      </c>
      <c r="I132" s="224">
        <v>1</v>
      </c>
      <c r="J132" s="2" t="s">
        <v>206</v>
      </c>
      <c r="K132" s="8">
        <v>9</v>
      </c>
      <c r="L132" s="21">
        <f>L121*480/7000</f>
        <v>0.23593753321624028</v>
      </c>
      <c r="M132" s="37" t="str">
        <f t="shared" si="397"/>
        <v>2;9E8498482</v>
      </c>
      <c r="N132" s="38">
        <v>-1</v>
      </c>
      <c r="O132" s="132">
        <f t="shared" si="433"/>
        <v>2.8312503985948836</v>
      </c>
      <c r="P132" s="39" t="str">
        <f>INDEX(powers!$H$2:$H$75,33+N132)</f>
        <v>dour</v>
      </c>
      <c r="Q132" s="40" t="str">
        <f t="shared" si="383"/>
        <v>2</v>
      </c>
      <c r="R132" s="24">
        <f t="shared" si="398"/>
        <v>9.9750047831386031</v>
      </c>
      <c r="S132" s="41" t="str">
        <f t="shared" si="399"/>
        <v>9</v>
      </c>
      <c r="T132" s="24">
        <f t="shared" si="400"/>
        <v>11.700057397663237</v>
      </c>
      <c r="U132" s="41" t="str">
        <f t="shared" si="401"/>
        <v>E</v>
      </c>
      <c r="V132" s="24">
        <f t="shared" si="402"/>
        <v>8.4006887719588406</v>
      </c>
      <c r="W132" s="41" t="str">
        <f t="shared" si="403"/>
        <v>8</v>
      </c>
      <c r="X132" s="24">
        <f t="shared" si="404"/>
        <v>4.8082652635060867</v>
      </c>
      <c r="Y132" s="41" t="str">
        <f t="shared" si="405"/>
        <v>4</v>
      </c>
      <c r="Z132" s="24">
        <f t="shared" si="406"/>
        <v>9.6991831620730409</v>
      </c>
      <c r="AA132" s="41" t="str">
        <f t="shared" si="407"/>
        <v>9</v>
      </c>
      <c r="AB132" s="24">
        <f t="shared" si="408"/>
        <v>8.3901979448764905</v>
      </c>
      <c r="AC132" s="41" t="str">
        <f t="shared" si="409"/>
        <v>8</v>
      </c>
      <c r="AD132" s="24">
        <f t="shared" si="410"/>
        <v>4.6823753385178861</v>
      </c>
      <c r="AE132" s="41" t="str">
        <f t="shared" si="411"/>
        <v>4</v>
      </c>
      <c r="AF132" s="24">
        <f t="shared" si="412"/>
        <v>8.1885040622146334</v>
      </c>
      <c r="AG132" s="41" t="str">
        <f t="shared" si="413"/>
        <v>8</v>
      </c>
      <c r="AH132" s="24">
        <f t="shared" si="414"/>
        <v>2.2620487465756014</v>
      </c>
      <c r="AI132" s="41" t="str">
        <f t="shared" si="415"/>
        <v>2</v>
      </c>
      <c r="AJ132" s="24">
        <f t="shared" si="416"/>
        <v>3.1445849589072168</v>
      </c>
      <c r="AK132" s="41" t="str">
        <f t="shared" si="417"/>
        <v/>
      </c>
      <c r="AL132" s="24">
        <f t="shared" si="418"/>
        <v>1.7350195068866014</v>
      </c>
      <c r="AM132" s="41" t="str">
        <f t="shared" si="419"/>
        <v/>
      </c>
      <c r="AN132" s="24">
        <f t="shared" si="420"/>
        <v>8.8202340826392174</v>
      </c>
      <c r="AO132" s="41" t="str">
        <f t="shared" si="421"/>
        <v/>
      </c>
    </row>
    <row r="133" spans="1:41" ht="14.25" customHeight="1">
      <c r="A133" s="753"/>
      <c r="B133" s="755"/>
      <c r="C133" s="215" t="s">
        <v>620</v>
      </c>
      <c r="D133" s="220" t="s">
        <v>63</v>
      </c>
      <c r="E133" s="161">
        <f>POWER(12,2)/L133</f>
        <v>7.6172559954243662</v>
      </c>
      <c r="F133" s="176">
        <v>0</v>
      </c>
      <c r="G133" s="177">
        <f t="shared" si="434"/>
        <v>7.6172559954243662</v>
      </c>
      <c r="H133" s="122" t="s">
        <v>180</v>
      </c>
      <c r="I133" s="224">
        <v>1</v>
      </c>
      <c r="J133" s="2" t="s">
        <v>180</v>
      </c>
      <c r="K133" s="8">
        <v>9</v>
      </c>
      <c r="L133" s="21">
        <f>0.45359237*Rydberg!D63/E$10</f>
        <v>18.904445391686956</v>
      </c>
      <c r="M133" s="37" t="str">
        <f t="shared" si="397"/>
        <v>1;6XX2X6E57</v>
      </c>
      <c r="N133" s="38">
        <v>1</v>
      </c>
      <c r="O133" s="132">
        <f t="shared" si="433"/>
        <v>1.5753704493072462</v>
      </c>
      <c r="P133" s="39" t="str">
        <f>INDEX(powers!$H$2:$H$75,33+N133)</f>
        <v>dirac</v>
      </c>
      <c r="Q133" s="40" t="str">
        <f t="shared" si="383"/>
        <v>1</v>
      </c>
      <c r="R133" s="24">
        <f t="shared" si="398"/>
        <v>6.9044453916869548</v>
      </c>
      <c r="S133" s="41" t="str">
        <f t="shared" si="399"/>
        <v>6</v>
      </c>
      <c r="T133" s="24">
        <f t="shared" si="400"/>
        <v>10.853344700243458</v>
      </c>
      <c r="U133" s="41" t="str">
        <f t="shared" si="401"/>
        <v>X</v>
      </c>
      <c r="V133" s="24">
        <f t="shared" si="402"/>
        <v>10.240136402921493</v>
      </c>
      <c r="W133" s="41" t="str">
        <f t="shared" si="403"/>
        <v>X</v>
      </c>
      <c r="X133" s="24">
        <f t="shared" si="404"/>
        <v>2.8816368350579182</v>
      </c>
      <c r="Y133" s="41" t="str">
        <f t="shared" si="405"/>
        <v>2</v>
      </c>
      <c r="Z133" s="24">
        <f t="shared" si="406"/>
        <v>10.579642020695019</v>
      </c>
      <c r="AA133" s="41" t="str">
        <f t="shared" si="407"/>
        <v>X</v>
      </c>
      <c r="AB133" s="24">
        <f t="shared" si="408"/>
        <v>6.9557042483402256</v>
      </c>
      <c r="AC133" s="41" t="str">
        <f t="shared" si="409"/>
        <v>6</v>
      </c>
      <c r="AD133" s="24">
        <f t="shared" si="410"/>
        <v>11.468450980082707</v>
      </c>
      <c r="AE133" s="41" t="str">
        <f t="shared" si="411"/>
        <v>E</v>
      </c>
      <c r="AF133" s="24">
        <f t="shared" si="412"/>
        <v>5.621411760992487</v>
      </c>
      <c r="AG133" s="41" t="str">
        <f t="shared" si="413"/>
        <v>5</v>
      </c>
      <c r="AH133" s="24">
        <f t="shared" si="414"/>
        <v>7.4569411319098435</v>
      </c>
      <c r="AI133" s="41" t="str">
        <f t="shared" si="415"/>
        <v>7</v>
      </c>
      <c r="AJ133" s="24">
        <f t="shared" si="416"/>
        <v>5.4832935829181224</v>
      </c>
      <c r="AK133" s="41" t="str">
        <f t="shared" si="417"/>
        <v/>
      </c>
      <c r="AL133" s="24">
        <f t="shared" si="418"/>
        <v>5.7995229950174689</v>
      </c>
      <c r="AM133" s="41" t="str">
        <f t="shared" si="419"/>
        <v/>
      </c>
      <c r="AN133" s="24">
        <f t="shared" si="420"/>
        <v>9.5942759402096272</v>
      </c>
      <c r="AO133" s="41" t="str">
        <f t="shared" si="421"/>
        <v/>
      </c>
    </row>
    <row r="134" spans="1:41" ht="14.25" customHeight="1" thickBot="1">
      <c r="A134" s="754"/>
      <c r="B134" s="756"/>
      <c r="C134" s="216" t="s">
        <v>611</v>
      </c>
      <c r="D134" s="221" t="s">
        <v>610</v>
      </c>
      <c r="E134" s="186">
        <f>3*POWER(12,3)*L132</f>
        <v>1223.1001721929897</v>
      </c>
      <c r="F134" s="187">
        <v>0</v>
      </c>
      <c r="G134" s="188">
        <f t="shared" ref="G134" si="520">E134*POWER(10,-F134)</f>
        <v>1223.1001721929897</v>
      </c>
      <c r="H134" s="235" t="s">
        <v>208</v>
      </c>
      <c r="I134" s="234">
        <v>1000</v>
      </c>
      <c r="J134" s="206" t="s">
        <v>208</v>
      </c>
      <c r="K134" s="33">
        <v>7</v>
      </c>
      <c r="L134" s="32">
        <f>3*POWER(12,3)/G134*I134</f>
        <v>4238.4099993259015</v>
      </c>
      <c r="M134" s="47" t="str">
        <f t="shared" si="397"/>
        <v>2;5524E06</v>
      </c>
      <c r="N134" s="48">
        <v>3</v>
      </c>
      <c r="O134" s="110">
        <f>L134/POWER(12,N134)+0.00000000001</f>
        <v>2.4527835644347116</v>
      </c>
      <c r="P134" s="49" t="str">
        <f>INDEX(powers!$H$2:$H$75,33+N134)</f>
        <v>kily</v>
      </c>
      <c r="Q134" s="40" t="str">
        <f t="shared" si="383"/>
        <v>2</v>
      </c>
      <c r="R134" s="24">
        <f t="shared" si="398"/>
        <v>5.4334027732165389</v>
      </c>
      <c r="S134" s="41" t="str">
        <f t="shared" si="399"/>
        <v>5</v>
      </c>
      <c r="T134" s="24">
        <f t="shared" si="400"/>
        <v>5.2008332785984663</v>
      </c>
      <c r="U134" s="41" t="str">
        <f t="shared" si="401"/>
        <v>5</v>
      </c>
      <c r="V134" s="24">
        <f t="shared" si="402"/>
        <v>2.409999343181596</v>
      </c>
      <c r="W134" s="41" t="str">
        <f t="shared" si="403"/>
        <v>2</v>
      </c>
      <c r="X134" s="24">
        <f t="shared" si="404"/>
        <v>4.9199921181791524</v>
      </c>
      <c r="Y134" s="41" t="str">
        <f t="shared" si="405"/>
        <v>4</v>
      </c>
      <c r="Z134" s="24">
        <f t="shared" si="406"/>
        <v>11.039905418149829</v>
      </c>
      <c r="AA134" s="41" t="str">
        <f t="shared" si="407"/>
        <v>E</v>
      </c>
      <c r="AB134" s="24">
        <f t="shared" si="408"/>
        <v>0.47886501779794344</v>
      </c>
      <c r="AC134" s="41" t="str">
        <f t="shared" si="409"/>
        <v>0</v>
      </c>
      <c r="AD134" s="24">
        <f t="shared" si="410"/>
        <v>5.7463802135753212</v>
      </c>
      <c r="AE134" s="41" t="str">
        <f t="shared" si="411"/>
        <v>6</v>
      </c>
      <c r="AF134" s="24">
        <f t="shared" si="412"/>
        <v>8.956562562903855</v>
      </c>
      <c r="AG134" s="41" t="str">
        <f t="shared" si="413"/>
        <v/>
      </c>
      <c r="AH134" s="24">
        <f t="shared" si="414"/>
        <v>11.47875075484626</v>
      </c>
      <c r="AI134" s="41" t="str">
        <f t="shared" si="415"/>
        <v/>
      </c>
      <c r="AJ134" s="24">
        <f t="shared" si="416"/>
        <v>5.7450090581551194</v>
      </c>
      <c r="AK134" s="41" t="str">
        <f t="shared" si="417"/>
        <v/>
      </c>
      <c r="AL134" s="24">
        <f t="shared" si="418"/>
        <v>8.940108697861433</v>
      </c>
      <c r="AM134" s="41" t="str">
        <f t="shared" si="419"/>
        <v/>
      </c>
      <c r="AN134" s="24">
        <f t="shared" si="420"/>
        <v>11.281304374337196</v>
      </c>
      <c r="AO134" s="41" t="str">
        <f t="shared" si="421"/>
        <v/>
      </c>
    </row>
    <row r="135" spans="1:41">
      <c r="L135" s="204"/>
    </row>
  </sheetData>
  <mergeCells count="35">
    <mergeCell ref="A23:A134"/>
    <mergeCell ref="B24:B38"/>
    <mergeCell ref="B67:B81"/>
    <mergeCell ref="B82:B94"/>
    <mergeCell ref="B95:B107"/>
    <mergeCell ref="B53:B66"/>
    <mergeCell ref="B39:B52"/>
    <mergeCell ref="B108:B134"/>
    <mergeCell ref="B12:C12"/>
    <mergeCell ref="B13:C13"/>
    <mergeCell ref="B21:C21"/>
    <mergeCell ref="B1:C1"/>
    <mergeCell ref="B16:C16"/>
    <mergeCell ref="B17:C17"/>
    <mergeCell ref="B18:C18"/>
    <mergeCell ref="B19:C19"/>
    <mergeCell ref="B20:C20"/>
    <mergeCell ref="B5:C5"/>
    <mergeCell ref="B6:C6"/>
    <mergeCell ref="N23:O23"/>
    <mergeCell ref="I22:P22"/>
    <mergeCell ref="A22:B22"/>
    <mergeCell ref="C22:H22"/>
    <mergeCell ref="B8:C8"/>
    <mergeCell ref="B9:C9"/>
    <mergeCell ref="B10:C10"/>
    <mergeCell ref="B11:C11"/>
    <mergeCell ref="A1:A21"/>
    <mergeCell ref="B2:C2"/>
    <mergeCell ref="B3:C3"/>
    <mergeCell ref="B4:C4"/>
    <mergeCell ref="B7:C7"/>
    <mergeCell ref="B14:C14"/>
    <mergeCell ref="B15:C15"/>
    <mergeCell ref="I3:J3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31</vt:i4>
      </vt:variant>
    </vt:vector>
  </HeadingPairs>
  <TitlesOfParts>
    <vt:vector size="53" baseType="lpstr">
      <vt:lpstr>Units</vt:lpstr>
      <vt:lpstr>Rydberg</vt:lpstr>
      <vt:lpstr>Bohr</vt:lpstr>
      <vt:lpstr>Gravitic</vt:lpstr>
      <vt:lpstr>Clock</vt:lpstr>
      <vt:lpstr>Clock_by_Rydberg</vt:lpstr>
      <vt:lpstr>Metric</vt:lpstr>
      <vt:lpstr>Atomic</vt:lpstr>
      <vt:lpstr>Conversion</vt:lpstr>
      <vt:lpstr>Natural Time Scale</vt:lpstr>
      <vt:lpstr>Ages</vt:lpstr>
      <vt:lpstr>Atoms</vt:lpstr>
      <vt:lpstr>powers</vt:lpstr>
      <vt:lpstr>comparison</vt:lpstr>
      <vt:lpstr>gravitation</vt:lpstr>
      <vt:lpstr>yard-pound</vt:lpstr>
      <vt:lpstr>TGM</vt:lpstr>
      <vt:lpstr>IDUS</vt:lpstr>
      <vt:lpstr>decimal IDUS</vt:lpstr>
      <vt:lpstr>fathom system</vt:lpstr>
      <vt:lpstr>deci fathom system</vt:lpstr>
      <vt:lpstr>solar_luminosity</vt:lpstr>
      <vt:lpstr>'yard-pound'!c_0</vt:lpstr>
      <vt:lpstr>c_0</vt:lpstr>
      <vt:lpstr>h_bar</vt:lpstr>
      <vt:lpstr>k_B</vt:lpstr>
      <vt:lpstr>'yard-pound'!N_A</vt:lpstr>
      <vt:lpstr>N_A</vt:lpstr>
      <vt:lpstr>Ages!Print_Area</vt:lpstr>
      <vt:lpstr>Atomic!Print_Area</vt:lpstr>
      <vt:lpstr>Atoms!Print_Area</vt:lpstr>
      <vt:lpstr>Bohr!Print_Area</vt:lpstr>
      <vt:lpstr>Clock!Print_Area</vt:lpstr>
      <vt:lpstr>Clock_by_Rydberg!Print_Area</vt:lpstr>
      <vt:lpstr>Conversion!Print_Area</vt:lpstr>
      <vt:lpstr>'deci fathom system'!Print_Area</vt:lpstr>
      <vt:lpstr>'decimal IDUS'!Print_Area</vt:lpstr>
      <vt:lpstr>'fathom system'!Print_Area</vt:lpstr>
      <vt:lpstr>gravitation!Print_Area</vt:lpstr>
      <vt:lpstr>Gravitic!Print_Area</vt:lpstr>
      <vt:lpstr>IDUS!Print_Area</vt:lpstr>
      <vt:lpstr>Metric!Print_Area</vt:lpstr>
      <vt:lpstr>'Natural Time Scale'!Print_Area</vt:lpstr>
      <vt:lpstr>powers!Print_Area</vt:lpstr>
      <vt:lpstr>Rydberg!Print_Area</vt:lpstr>
      <vt:lpstr>solar_luminosity!Print_Area</vt:lpstr>
      <vt:lpstr>TGM!Print_Area</vt:lpstr>
      <vt:lpstr>'yard-pound'!Print_Area</vt:lpstr>
      <vt:lpstr>Units!Print_Titles</vt:lpstr>
      <vt:lpstr>'yard-pound'!R_infinity</vt:lpstr>
      <vt:lpstr>R_infinity</vt:lpstr>
      <vt:lpstr>'yard-pound'!α</vt:lpstr>
      <vt:lpstr>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suchowan</dc:creator>
  <cp:lastModifiedBy>t_suga</cp:lastModifiedBy>
  <cp:lastPrinted>2015-06-28T02:22:24Z</cp:lastPrinted>
  <dcterms:created xsi:type="dcterms:W3CDTF">2010-05-16T05:35:37Z</dcterms:created>
  <dcterms:modified xsi:type="dcterms:W3CDTF">2016-11-14T00:57:48Z</dcterms:modified>
</cp:coreProperties>
</file>