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40" windowWidth="17895" windowHeight="9915"/>
  </bookViews>
  <sheets>
    <sheet name="Previous Day Breakout" sheetId="1" r:id="rId1"/>
    <sheet name="Candlestick Pattern" sheetId="2" r:id="rId2"/>
    <sheet name="Volume Scanner" sheetId="3" r:id="rId3"/>
    <sheet name="Gann Calculator" sheetId="4" r:id="rId4"/>
  </sheets>
  <definedNames>
    <definedName name="_xlnm._FilterDatabase" localSheetId="0" hidden="1">'Previous Day Breakout'!$A$3:$AK$181</definedName>
    <definedName name="_xlnm._FilterDatabase" localSheetId="2" hidden="1">'Volume Scanner'!$A$1:$O$144</definedName>
  </definedNames>
  <calcPr calcId="144525"/>
</workbook>
</file>

<file path=xl/calcChain.xml><?xml version="1.0" encoding="utf-8"?>
<calcChain xmlns="http://schemas.openxmlformats.org/spreadsheetml/2006/main">
  <c r="I272" i="4" l="1"/>
  <c r="H272" i="4"/>
  <c r="I271" i="4"/>
  <c r="H271" i="4"/>
  <c r="I270" i="4"/>
  <c r="H270" i="4"/>
  <c r="I269" i="4"/>
  <c r="H269" i="4"/>
  <c r="I268" i="4"/>
  <c r="H268" i="4"/>
  <c r="I267" i="4"/>
  <c r="H267" i="4"/>
  <c r="I266" i="4"/>
  <c r="H266" i="4"/>
  <c r="I265" i="4"/>
  <c r="H265" i="4"/>
  <c r="I264" i="4"/>
  <c r="H264" i="4"/>
  <c r="I263" i="4"/>
  <c r="H263" i="4"/>
  <c r="I262" i="4"/>
  <c r="H262" i="4"/>
  <c r="I261" i="4"/>
  <c r="H261" i="4"/>
  <c r="I260" i="4"/>
  <c r="H260" i="4"/>
  <c r="I259" i="4"/>
  <c r="H259" i="4"/>
  <c r="I258" i="4"/>
  <c r="H258" i="4"/>
  <c r="I257" i="4"/>
  <c r="H257" i="4"/>
  <c r="I256" i="4"/>
  <c r="H256" i="4"/>
  <c r="I255" i="4"/>
  <c r="H255" i="4"/>
  <c r="I254" i="4"/>
  <c r="H254" i="4"/>
  <c r="I253" i="4"/>
  <c r="H253" i="4"/>
  <c r="I252" i="4"/>
  <c r="H252" i="4"/>
  <c r="I251" i="4"/>
  <c r="H251" i="4"/>
  <c r="I250" i="4"/>
  <c r="H250" i="4"/>
  <c r="I249" i="4"/>
  <c r="H249" i="4"/>
  <c r="I248" i="4"/>
  <c r="H248" i="4"/>
  <c r="I247" i="4"/>
  <c r="H247" i="4"/>
  <c r="I246" i="4"/>
  <c r="H246" i="4"/>
  <c r="I245" i="4"/>
  <c r="H245" i="4"/>
  <c r="I244" i="4"/>
  <c r="H244" i="4"/>
  <c r="I243" i="4"/>
  <c r="H243" i="4"/>
  <c r="I242" i="4"/>
  <c r="H242" i="4"/>
  <c r="I241" i="4"/>
  <c r="H241" i="4"/>
  <c r="I240" i="4"/>
  <c r="H240" i="4"/>
  <c r="I239" i="4"/>
  <c r="H239" i="4"/>
  <c r="I238" i="4"/>
  <c r="H238" i="4"/>
  <c r="I237" i="4"/>
  <c r="H237" i="4"/>
  <c r="I236" i="4"/>
  <c r="H236" i="4"/>
  <c r="I235" i="4"/>
  <c r="H235" i="4"/>
  <c r="I234" i="4"/>
  <c r="H234" i="4"/>
  <c r="I233" i="4"/>
  <c r="H233" i="4"/>
  <c r="I232" i="4"/>
  <c r="H232" i="4"/>
  <c r="I231" i="4"/>
  <c r="H231" i="4"/>
  <c r="I230" i="4"/>
  <c r="H230" i="4"/>
  <c r="I229" i="4"/>
  <c r="H229" i="4"/>
  <c r="I228" i="4"/>
  <c r="H228" i="4"/>
  <c r="I227" i="4"/>
  <c r="H227" i="4"/>
  <c r="I226" i="4"/>
  <c r="H226" i="4"/>
  <c r="I225" i="4"/>
  <c r="H225" i="4"/>
  <c r="I224" i="4"/>
  <c r="H224" i="4"/>
  <c r="I223" i="4"/>
  <c r="H223" i="4"/>
  <c r="I222" i="4"/>
  <c r="H222" i="4"/>
  <c r="I221" i="4"/>
  <c r="H221" i="4"/>
  <c r="I220" i="4"/>
  <c r="H220" i="4"/>
  <c r="I219" i="4"/>
  <c r="H219" i="4"/>
  <c r="I218" i="4"/>
  <c r="H218" i="4"/>
  <c r="I217" i="4"/>
  <c r="H217" i="4"/>
  <c r="I216" i="4"/>
  <c r="H216" i="4"/>
  <c r="I215" i="4"/>
  <c r="H215" i="4"/>
  <c r="I214" i="4"/>
  <c r="H214" i="4"/>
  <c r="I213" i="4"/>
  <c r="H213" i="4"/>
  <c r="I212" i="4"/>
  <c r="H212" i="4"/>
  <c r="I211" i="4"/>
  <c r="H211" i="4"/>
  <c r="I210" i="4"/>
  <c r="H210" i="4"/>
  <c r="I209" i="4"/>
  <c r="H209" i="4"/>
  <c r="I208" i="4"/>
  <c r="H208" i="4"/>
  <c r="I207" i="4"/>
  <c r="H207" i="4"/>
  <c r="I206" i="4"/>
  <c r="H206" i="4"/>
  <c r="I205" i="4"/>
  <c r="H205" i="4"/>
  <c r="I204" i="4"/>
  <c r="H204" i="4"/>
  <c r="I203" i="4"/>
  <c r="H203" i="4"/>
  <c r="I202" i="4"/>
  <c r="H202" i="4"/>
  <c r="I201" i="4"/>
  <c r="H201" i="4"/>
  <c r="I200" i="4"/>
  <c r="H200" i="4"/>
  <c r="I199" i="4"/>
  <c r="H199" i="4"/>
  <c r="I198" i="4"/>
  <c r="H198" i="4"/>
  <c r="I197" i="4"/>
  <c r="H197" i="4"/>
  <c r="I196" i="4"/>
  <c r="H196" i="4"/>
  <c r="I195" i="4"/>
  <c r="H195" i="4"/>
  <c r="I194" i="4"/>
  <c r="H194" i="4"/>
  <c r="I193" i="4"/>
  <c r="H193" i="4"/>
  <c r="I192" i="4"/>
  <c r="H192" i="4"/>
  <c r="I191" i="4"/>
  <c r="H191" i="4"/>
  <c r="I190" i="4"/>
  <c r="H190" i="4"/>
  <c r="I189" i="4"/>
  <c r="H189" i="4"/>
  <c r="I188" i="4"/>
  <c r="H188" i="4"/>
  <c r="I187" i="4"/>
  <c r="H187" i="4"/>
  <c r="I186" i="4"/>
  <c r="H186" i="4"/>
  <c r="I185" i="4"/>
  <c r="H185" i="4"/>
  <c r="I184" i="4"/>
  <c r="H184" i="4"/>
  <c r="I183" i="4"/>
  <c r="H183" i="4"/>
  <c r="I182" i="4"/>
  <c r="H182" i="4"/>
  <c r="I181" i="4"/>
  <c r="H181" i="4"/>
  <c r="I180" i="4"/>
  <c r="H180" i="4"/>
  <c r="I179" i="4"/>
  <c r="H179" i="4"/>
  <c r="I178" i="4"/>
  <c r="H178" i="4"/>
  <c r="I177" i="4"/>
  <c r="H177" i="4"/>
  <c r="I176" i="4"/>
  <c r="H176" i="4"/>
  <c r="I175" i="4"/>
  <c r="H175" i="4"/>
  <c r="I174" i="4"/>
  <c r="H174" i="4"/>
  <c r="I173" i="4"/>
  <c r="H173" i="4"/>
  <c r="I172" i="4"/>
  <c r="H172" i="4"/>
  <c r="I171" i="4"/>
  <c r="H171" i="4"/>
  <c r="I170" i="4"/>
  <c r="H170" i="4"/>
  <c r="I169" i="4"/>
  <c r="H169" i="4"/>
  <c r="I168" i="4"/>
  <c r="H168" i="4"/>
  <c r="I167" i="4"/>
  <c r="H167" i="4"/>
  <c r="I166" i="4"/>
  <c r="H166" i="4"/>
  <c r="I165" i="4"/>
  <c r="H165" i="4"/>
  <c r="I164" i="4"/>
  <c r="H164" i="4"/>
  <c r="I163" i="4"/>
  <c r="H163" i="4"/>
  <c r="I162" i="4"/>
  <c r="H162" i="4"/>
  <c r="I161" i="4"/>
  <c r="H161" i="4"/>
  <c r="I160" i="4"/>
  <c r="H160" i="4"/>
  <c r="I159" i="4"/>
  <c r="H159" i="4"/>
  <c r="I158" i="4"/>
  <c r="H158" i="4"/>
  <c r="I157" i="4"/>
  <c r="H157" i="4"/>
  <c r="I156" i="4"/>
  <c r="H156" i="4"/>
  <c r="I155" i="4"/>
  <c r="H155" i="4"/>
  <c r="I154" i="4"/>
  <c r="H154" i="4"/>
  <c r="I153" i="4"/>
  <c r="H153" i="4"/>
  <c r="I152" i="4"/>
  <c r="H152" i="4"/>
  <c r="I151" i="4"/>
  <c r="H151" i="4"/>
  <c r="I150" i="4"/>
  <c r="H150" i="4"/>
  <c r="I149" i="4"/>
  <c r="H149" i="4"/>
  <c r="I148" i="4"/>
  <c r="H148" i="4"/>
  <c r="I147" i="4"/>
  <c r="H147" i="4"/>
  <c r="I146" i="4"/>
  <c r="H146" i="4"/>
  <c r="I145" i="4"/>
  <c r="H145" i="4"/>
  <c r="I144" i="4"/>
  <c r="H144" i="4"/>
  <c r="I143" i="4"/>
  <c r="H143" i="4"/>
  <c r="I142" i="4"/>
  <c r="H142" i="4"/>
  <c r="I141" i="4"/>
  <c r="H141" i="4"/>
  <c r="I140" i="4"/>
  <c r="H140" i="4"/>
  <c r="I139" i="4"/>
  <c r="H139" i="4"/>
  <c r="I138" i="4"/>
  <c r="H138" i="4"/>
  <c r="I137" i="4"/>
  <c r="H137" i="4"/>
  <c r="I136" i="4"/>
  <c r="H136" i="4"/>
  <c r="I135" i="4"/>
  <c r="H135" i="4"/>
  <c r="I134" i="4"/>
  <c r="H134" i="4"/>
  <c r="I133" i="4"/>
  <c r="H133" i="4"/>
  <c r="I132" i="4"/>
  <c r="H132" i="4"/>
  <c r="I131" i="4"/>
  <c r="H131" i="4"/>
  <c r="I130" i="4"/>
  <c r="H130" i="4"/>
  <c r="I129" i="4"/>
  <c r="H129" i="4"/>
  <c r="I128" i="4"/>
  <c r="H128" i="4"/>
  <c r="I127" i="4"/>
  <c r="H127" i="4"/>
  <c r="I126" i="4"/>
  <c r="H126" i="4"/>
  <c r="I125" i="4"/>
  <c r="H125" i="4"/>
  <c r="I124" i="4"/>
  <c r="H124" i="4"/>
  <c r="I123" i="4"/>
  <c r="H123" i="4"/>
  <c r="I122" i="4"/>
  <c r="H122" i="4"/>
  <c r="I121" i="4"/>
  <c r="H121" i="4"/>
  <c r="I120" i="4"/>
  <c r="H120" i="4"/>
  <c r="I119" i="4"/>
  <c r="H119" i="4"/>
  <c r="I118" i="4"/>
  <c r="H118" i="4"/>
  <c r="I117" i="4"/>
  <c r="H117" i="4"/>
  <c r="I116" i="4"/>
  <c r="H116" i="4"/>
  <c r="I115" i="4"/>
  <c r="H115" i="4"/>
  <c r="I114" i="4"/>
  <c r="H114" i="4"/>
  <c r="I113" i="4"/>
  <c r="H113" i="4"/>
  <c r="I112" i="4"/>
  <c r="H112" i="4"/>
  <c r="I111" i="4"/>
  <c r="H111" i="4"/>
  <c r="I110" i="4"/>
  <c r="H110" i="4"/>
  <c r="I109" i="4"/>
  <c r="H109" i="4"/>
  <c r="I108" i="4"/>
  <c r="H108" i="4"/>
  <c r="I107" i="4"/>
  <c r="H107" i="4"/>
  <c r="I106" i="4"/>
  <c r="H106" i="4"/>
  <c r="I105" i="4"/>
  <c r="H105" i="4"/>
  <c r="I104" i="4"/>
  <c r="H104" i="4"/>
  <c r="I103" i="4"/>
  <c r="H103" i="4"/>
  <c r="I102" i="4"/>
  <c r="H10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L28" i="4"/>
  <c r="L35" i="4" s="1"/>
  <c r="L27" i="4"/>
  <c r="L33" i="4" s="1"/>
  <c r="R2" i="4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A2" i="1"/>
  <c r="F274" i="4"/>
  <c r="L41" i="4"/>
  <c r="L39" i="4"/>
  <c r="L37" i="4"/>
  <c r="S26" i="4"/>
  <c r="Q26" i="4"/>
  <c r="O26" i="4"/>
  <c r="R25" i="4"/>
  <c r="P25" i="4"/>
  <c r="S24" i="4"/>
  <c r="Q24" i="4"/>
  <c r="O24" i="4"/>
  <c r="S23" i="4"/>
  <c r="Q23" i="4"/>
  <c r="O23" i="4"/>
  <c r="S22" i="4"/>
  <c r="Q22" i="4"/>
  <c r="O22" i="4"/>
  <c r="S21" i="4"/>
  <c r="Q21" i="4"/>
  <c r="O21" i="4"/>
  <c r="S20" i="4"/>
  <c r="Q20" i="4"/>
  <c r="O20" i="4"/>
  <c r="R19" i="4"/>
  <c r="P19" i="4"/>
  <c r="S18" i="4"/>
  <c r="Q18" i="4"/>
  <c r="O18" i="4"/>
  <c r="R17" i="4"/>
  <c r="P17" i="4"/>
  <c r="S16" i="4"/>
  <c r="Q16" i="4"/>
  <c r="O16" i="4"/>
  <c r="R15" i="4"/>
  <c r="P15" i="4"/>
  <c r="F2" i="4"/>
  <c r="D2" i="4"/>
  <c r="B2" i="4"/>
  <c r="N144" i="3"/>
  <c r="L144" i="3"/>
  <c r="F144" i="3"/>
  <c r="D144" i="3"/>
  <c r="N143" i="3"/>
  <c r="L143" i="3"/>
  <c r="L42" i="4"/>
  <c r="L40" i="4"/>
  <c r="L38" i="4"/>
  <c r="B27" i="4"/>
  <c r="R26" i="4"/>
  <c r="P26" i="4"/>
  <c r="S25" i="4"/>
  <c r="Q25" i="4"/>
  <c r="O25" i="4"/>
  <c r="R24" i="4"/>
  <c r="P24" i="4"/>
  <c r="R23" i="4"/>
  <c r="P23" i="4"/>
  <c r="R22" i="4"/>
  <c r="P22" i="4"/>
  <c r="R21" i="4"/>
  <c r="P21" i="4"/>
  <c r="R20" i="4"/>
  <c r="P20" i="4"/>
  <c r="S19" i="4"/>
  <c r="Q19" i="4"/>
  <c r="O19" i="4"/>
  <c r="R18" i="4"/>
  <c r="P18" i="4"/>
  <c r="S17" i="4"/>
  <c r="Q17" i="4"/>
  <c r="O17" i="4"/>
  <c r="R16" i="4"/>
  <c r="P16" i="4"/>
  <c r="S15" i="4"/>
  <c r="Q15" i="4"/>
  <c r="O15" i="4"/>
  <c r="I2" i="4"/>
  <c r="G2" i="4"/>
  <c r="E2" i="4"/>
  <c r="C2" i="4"/>
  <c r="O144" i="3"/>
  <c r="M144" i="3"/>
  <c r="E144" i="3"/>
  <c r="C144" i="3"/>
  <c r="O143" i="3"/>
  <c r="M143" i="3"/>
  <c r="E143" i="3"/>
  <c r="C143" i="3"/>
  <c r="O142" i="3"/>
  <c r="M142" i="3"/>
  <c r="E142" i="3"/>
  <c r="C142" i="3"/>
  <c r="O141" i="3"/>
  <c r="M141" i="3"/>
  <c r="E141" i="3"/>
  <c r="C141" i="3"/>
  <c r="O140" i="3"/>
  <c r="M140" i="3"/>
  <c r="E140" i="3"/>
  <c r="C140" i="3"/>
  <c r="O139" i="3"/>
  <c r="M139" i="3"/>
  <c r="E139" i="3"/>
  <c r="C139" i="3"/>
  <c r="O138" i="3"/>
  <c r="M138" i="3"/>
  <c r="E138" i="3"/>
  <c r="C138" i="3"/>
  <c r="O137" i="3"/>
  <c r="M137" i="3"/>
  <c r="E137" i="3"/>
  <c r="C137" i="3"/>
  <c r="O136" i="3"/>
  <c r="M136" i="3"/>
  <c r="E136" i="3"/>
  <c r="C136" i="3"/>
  <c r="O135" i="3"/>
  <c r="M135" i="3"/>
  <c r="E135" i="3"/>
  <c r="C135" i="3"/>
  <c r="O134" i="3"/>
  <c r="M134" i="3"/>
  <c r="E134" i="3"/>
  <c r="C134" i="3"/>
  <c r="O133" i="3"/>
  <c r="M133" i="3"/>
  <c r="E133" i="3"/>
  <c r="C133" i="3"/>
  <c r="O132" i="3"/>
  <c r="M132" i="3"/>
  <c r="E132" i="3"/>
  <c r="C132" i="3"/>
  <c r="O131" i="3"/>
  <c r="M131" i="3"/>
  <c r="E131" i="3"/>
  <c r="C131" i="3"/>
  <c r="O130" i="3"/>
  <c r="M130" i="3"/>
  <c r="E130" i="3"/>
  <c r="C130" i="3"/>
  <c r="O129" i="3"/>
  <c r="M129" i="3"/>
  <c r="E129" i="3"/>
  <c r="C129" i="3"/>
  <c r="O128" i="3"/>
  <c r="M128" i="3"/>
  <c r="E128" i="3"/>
  <c r="C128" i="3"/>
  <c r="O127" i="3"/>
  <c r="M127" i="3"/>
  <c r="E127" i="3"/>
  <c r="C127" i="3"/>
  <c r="O126" i="3"/>
  <c r="M126" i="3"/>
  <c r="E126" i="3"/>
  <c r="C126" i="3"/>
  <c r="O125" i="3"/>
  <c r="M125" i="3"/>
  <c r="E125" i="3"/>
  <c r="C125" i="3"/>
  <c r="O124" i="3"/>
  <c r="M124" i="3"/>
  <c r="E124" i="3"/>
  <c r="C124" i="3"/>
  <c r="O123" i="3"/>
  <c r="M123" i="3"/>
  <c r="E123" i="3"/>
  <c r="C123" i="3"/>
  <c r="O122" i="3"/>
  <c r="M122" i="3"/>
  <c r="E122" i="3"/>
  <c r="C122" i="3"/>
  <c r="O121" i="3"/>
  <c r="M121" i="3"/>
  <c r="E121" i="3"/>
  <c r="C121" i="3"/>
  <c r="O120" i="3"/>
  <c r="M120" i="3"/>
  <c r="E120" i="3"/>
  <c r="C120" i="3"/>
  <c r="O119" i="3"/>
  <c r="M119" i="3"/>
  <c r="E119" i="3"/>
  <c r="C119" i="3"/>
  <c r="O118" i="3"/>
  <c r="M118" i="3"/>
  <c r="E118" i="3"/>
  <c r="C118" i="3"/>
  <c r="O117" i="3"/>
  <c r="M117" i="3"/>
  <c r="E117" i="3"/>
  <c r="C117" i="3"/>
  <c r="O116" i="3"/>
  <c r="M116" i="3"/>
  <c r="E116" i="3"/>
  <c r="C116" i="3"/>
  <c r="O115" i="3"/>
  <c r="M115" i="3"/>
  <c r="E115" i="3"/>
  <c r="C115" i="3"/>
  <c r="O114" i="3"/>
  <c r="M114" i="3"/>
  <c r="E114" i="3"/>
  <c r="C114" i="3"/>
  <c r="O113" i="3"/>
  <c r="M113" i="3"/>
  <c r="F143" i="3"/>
  <c r="D143" i="3"/>
  <c r="N142" i="3"/>
  <c r="L142" i="3"/>
  <c r="F142" i="3"/>
  <c r="D142" i="3"/>
  <c r="N141" i="3"/>
  <c r="L141" i="3"/>
  <c r="F141" i="3"/>
  <c r="D141" i="3"/>
  <c r="N140" i="3"/>
  <c r="L140" i="3"/>
  <c r="F140" i="3"/>
  <c r="D140" i="3"/>
  <c r="N139" i="3"/>
  <c r="L139" i="3"/>
  <c r="F139" i="3"/>
  <c r="D139" i="3"/>
  <c r="N138" i="3"/>
  <c r="L138" i="3"/>
  <c r="F138" i="3"/>
  <c r="D138" i="3"/>
  <c r="N137" i="3"/>
  <c r="L137" i="3"/>
  <c r="F137" i="3"/>
  <c r="D137" i="3"/>
  <c r="N136" i="3"/>
  <c r="L136" i="3"/>
  <c r="F136" i="3"/>
  <c r="D136" i="3"/>
  <c r="N135" i="3"/>
  <c r="L135" i="3"/>
  <c r="F135" i="3"/>
  <c r="D135" i="3"/>
  <c r="N134" i="3"/>
  <c r="L134" i="3"/>
  <c r="F134" i="3"/>
  <c r="D134" i="3"/>
  <c r="N133" i="3"/>
  <c r="L133" i="3"/>
  <c r="F133" i="3"/>
  <c r="D133" i="3"/>
  <c r="N132" i="3"/>
  <c r="L132" i="3"/>
  <c r="F132" i="3"/>
  <c r="D132" i="3"/>
  <c r="N131" i="3"/>
  <c r="L131" i="3"/>
  <c r="F131" i="3"/>
  <c r="D131" i="3"/>
  <c r="N130" i="3"/>
  <c r="L130" i="3"/>
  <c r="F130" i="3"/>
  <c r="D130" i="3"/>
  <c r="N129" i="3"/>
  <c r="L129" i="3"/>
  <c r="F129" i="3"/>
  <c r="D129" i="3"/>
  <c r="N128" i="3"/>
  <c r="L128" i="3"/>
  <c r="F128" i="3"/>
  <c r="D128" i="3"/>
  <c r="N127" i="3"/>
  <c r="L127" i="3"/>
  <c r="F127" i="3"/>
  <c r="D127" i="3"/>
  <c r="N126" i="3"/>
  <c r="L126" i="3"/>
  <c r="F126" i="3"/>
  <c r="D126" i="3"/>
  <c r="N125" i="3"/>
  <c r="L125" i="3"/>
  <c r="F125" i="3"/>
  <c r="D125" i="3"/>
  <c r="N124" i="3"/>
  <c r="L124" i="3"/>
  <c r="F124" i="3"/>
  <c r="D124" i="3"/>
  <c r="N123" i="3"/>
  <c r="L123" i="3"/>
  <c r="F123" i="3"/>
  <c r="D123" i="3"/>
  <c r="N122" i="3"/>
  <c r="L122" i="3"/>
  <c r="F122" i="3"/>
  <c r="D122" i="3"/>
  <c r="N121" i="3"/>
  <c r="L121" i="3"/>
  <c r="F121" i="3"/>
  <c r="D121" i="3"/>
  <c r="N120" i="3"/>
  <c r="L120" i="3"/>
  <c r="F120" i="3"/>
  <c r="D120" i="3"/>
  <c r="N119" i="3"/>
  <c r="L119" i="3"/>
  <c r="F119" i="3"/>
  <c r="D119" i="3"/>
  <c r="N118" i="3"/>
  <c r="L118" i="3"/>
  <c r="F118" i="3"/>
  <c r="D118" i="3"/>
  <c r="N117" i="3"/>
  <c r="L117" i="3"/>
  <c r="F117" i="3"/>
  <c r="D117" i="3"/>
  <c r="N116" i="3"/>
  <c r="L116" i="3"/>
  <c r="F116" i="3"/>
  <c r="D116" i="3"/>
  <c r="N115" i="3"/>
  <c r="L115" i="3"/>
  <c r="F115" i="3"/>
  <c r="D115" i="3"/>
  <c r="N114" i="3"/>
  <c r="L114" i="3"/>
  <c r="F114" i="3"/>
  <c r="D114" i="3"/>
  <c r="N113" i="3"/>
  <c r="L113" i="3"/>
  <c r="E113" i="3"/>
  <c r="C113" i="3"/>
  <c r="O112" i="3"/>
  <c r="M112" i="3"/>
  <c r="E112" i="3"/>
  <c r="C112" i="3"/>
  <c r="O111" i="3"/>
  <c r="M111" i="3"/>
  <c r="E111" i="3"/>
  <c r="C111" i="3"/>
  <c r="O110" i="3"/>
  <c r="M110" i="3"/>
  <c r="E110" i="3"/>
  <c r="C110" i="3"/>
  <c r="O109" i="3"/>
  <c r="M109" i="3"/>
  <c r="E109" i="3"/>
  <c r="C109" i="3"/>
  <c r="O108" i="3"/>
  <c r="M108" i="3"/>
  <c r="E108" i="3"/>
  <c r="C108" i="3"/>
  <c r="O107" i="3"/>
  <c r="M107" i="3"/>
  <c r="E107" i="3"/>
  <c r="C107" i="3"/>
  <c r="O106" i="3"/>
  <c r="M106" i="3"/>
  <c r="E106" i="3"/>
  <c r="C106" i="3"/>
  <c r="O105" i="3"/>
  <c r="M105" i="3"/>
  <c r="E105" i="3"/>
  <c r="C105" i="3"/>
  <c r="O104" i="3"/>
  <c r="M104" i="3"/>
  <c r="E104" i="3"/>
  <c r="C104" i="3"/>
  <c r="O103" i="3"/>
  <c r="M103" i="3"/>
  <c r="E103" i="3"/>
  <c r="C103" i="3"/>
  <c r="O102" i="3"/>
  <c r="M102" i="3"/>
  <c r="E102" i="3"/>
  <c r="C102" i="3"/>
  <c r="O101" i="3"/>
  <c r="M101" i="3"/>
  <c r="E101" i="3"/>
  <c r="C101" i="3"/>
  <c r="O100" i="3"/>
  <c r="M100" i="3"/>
  <c r="E100" i="3"/>
  <c r="C100" i="3"/>
  <c r="O99" i="3"/>
  <c r="M99" i="3"/>
  <c r="E99" i="3"/>
  <c r="C99" i="3"/>
  <c r="O98" i="3"/>
  <c r="M98" i="3"/>
  <c r="E98" i="3"/>
  <c r="C98" i="3"/>
  <c r="O97" i="3"/>
  <c r="M97" i="3"/>
  <c r="E97" i="3"/>
  <c r="C97" i="3"/>
  <c r="O96" i="3"/>
  <c r="M96" i="3"/>
  <c r="E96" i="3"/>
  <c r="C96" i="3"/>
  <c r="O95" i="3"/>
  <c r="M95" i="3"/>
  <c r="E95" i="3"/>
  <c r="C95" i="3"/>
  <c r="O94" i="3"/>
  <c r="M94" i="3"/>
  <c r="E94" i="3"/>
  <c r="C94" i="3"/>
  <c r="O93" i="3"/>
  <c r="M93" i="3"/>
  <c r="E93" i="3"/>
  <c r="C93" i="3"/>
  <c r="O92" i="3"/>
  <c r="M92" i="3"/>
  <c r="E92" i="3"/>
  <c r="C92" i="3"/>
  <c r="O91" i="3"/>
  <c r="M91" i="3"/>
  <c r="E91" i="3"/>
  <c r="C91" i="3"/>
  <c r="O90" i="3"/>
  <c r="M90" i="3"/>
  <c r="E90" i="3"/>
  <c r="C90" i="3"/>
  <c r="O89" i="3"/>
  <c r="M89" i="3"/>
  <c r="E89" i="3"/>
  <c r="C89" i="3"/>
  <c r="O88" i="3"/>
  <c r="M88" i="3"/>
  <c r="E88" i="3"/>
  <c r="C88" i="3"/>
  <c r="O87" i="3"/>
  <c r="M87" i="3"/>
  <c r="E87" i="3"/>
  <c r="C87" i="3"/>
  <c r="O86" i="3"/>
  <c r="M86" i="3"/>
  <c r="E86" i="3"/>
  <c r="C86" i="3"/>
  <c r="O85" i="3"/>
  <c r="M85" i="3"/>
  <c r="E85" i="3"/>
  <c r="C85" i="3"/>
  <c r="O84" i="3"/>
  <c r="M84" i="3"/>
  <c r="E84" i="3"/>
  <c r="C84" i="3"/>
  <c r="O83" i="3"/>
  <c r="M83" i="3"/>
  <c r="F113" i="3"/>
  <c r="D113" i="3"/>
  <c r="N112" i="3"/>
  <c r="L112" i="3"/>
  <c r="F112" i="3"/>
  <c r="D112" i="3"/>
  <c r="N111" i="3"/>
  <c r="L111" i="3"/>
  <c r="F111" i="3"/>
  <c r="D111" i="3"/>
  <c r="N110" i="3"/>
  <c r="L110" i="3"/>
  <c r="F110" i="3"/>
  <c r="D110" i="3"/>
  <c r="N109" i="3"/>
  <c r="L109" i="3"/>
  <c r="F109" i="3"/>
  <c r="D109" i="3"/>
  <c r="N108" i="3"/>
  <c r="L108" i="3"/>
  <c r="F108" i="3"/>
  <c r="D108" i="3"/>
  <c r="N107" i="3"/>
  <c r="L107" i="3"/>
  <c r="F107" i="3"/>
  <c r="D107" i="3"/>
  <c r="N106" i="3"/>
  <c r="L106" i="3"/>
  <c r="F106" i="3"/>
  <c r="D106" i="3"/>
  <c r="N105" i="3"/>
  <c r="L105" i="3"/>
  <c r="F105" i="3"/>
  <c r="D105" i="3"/>
  <c r="N104" i="3"/>
  <c r="L104" i="3"/>
  <c r="F104" i="3"/>
  <c r="D104" i="3"/>
  <c r="N103" i="3"/>
  <c r="L103" i="3"/>
  <c r="F103" i="3"/>
  <c r="D103" i="3"/>
  <c r="N102" i="3"/>
  <c r="L102" i="3"/>
  <c r="F102" i="3"/>
  <c r="D102" i="3"/>
  <c r="N101" i="3"/>
  <c r="L101" i="3"/>
  <c r="F101" i="3"/>
  <c r="D101" i="3"/>
  <c r="N100" i="3"/>
  <c r="L100" i="3"/>
  <c r="F100" i="3"/>
  <c r="D100" i="3"/>
  <c r="N99" i="3"/>
  <c r="L99" i="3"/>
  <c r="F99" i="3"/>
  <c r="D99" i="3"/>
  <c r="N98" i="3"/>
  <c r="L98" i="3"/>
  <c r="F98" i="3"/>
  <c r="D98" i="3"/>
  <c r="N97" i="3"/>
  <c r="L97" i="3"/>
  <c r="F97" i="3"/>
  <c r="D97" i="3"/>
  <c r="N96" i="3"/>
  <c r="L96" i="3"/>
  <c r="F96" i="3"/>
  <c r="D96" i="3"/>
  <c r="N95" i="3"/>
  <c r="L95" i="3"/>
  <c r="F95" i="3"/>
  <c r="D95" i="3"/>
  <c r="N94" i="3"/>
  <c r="L94" i="3"/>
  <c r="F94" i="3"/>
  <c r="D94" i="3"/>
  <c r="N93" i="3"/>
  <c r="L93" i="3"/>
  <c r="F93" i="3"/>
  <c r="D93" i="3"/>
  <c r="N92" i="3"/>
  <c r="L92" i="3"/>
  <c r="F92" i="3"/>
  <c r="D92" i="3"/>
  <c r="N91" i="3"/>
  <c r="L91" i="3"/>
  <c r="F91" i="3"/>
  <c r="D91" i="3"/>
  <c r="N90" i="3"/>
  <c r="L90" i="3"/>
  <c r="F90" i="3"/>
  <c r="D90" i="3"/>
  <c r="N89" i="3"/>
  <c r="L89" i="3"/>
  <c r="F89" i="3"/>
  <c r="D89" i="3"/>
  <c r="N88" i="3"/>
  <c r="L88" i="3"/>
  <c r="F88" i="3"/>
  <c r="D88" i="3"/>
  <c r="N87" i="3"/>
  <c r="L87" i="3"/>
  <c r="F87" i="3"/>
  <c r="D87" i="3"/>
  <c r="N86" i="3"/>
  <c r="L86" i="3"/>
  <c r="F86" i="3"/>
  <c r="D86" i="3"/>
  <c r="N85" i="3"/>
  <c r="L85" i="3"/>
  <c r="F85" i="3"/>
  <c r="D85" i="3"/>
  <c r="N84" i="3"/>
  <c r="L84" i="3"/>
  <c r="F84" i="3"/>
  <c r="D84" i="3"/>
  <c r="N83" i="3"/>
  <c r="L83" i="3"/>
  <c r="F83" i="3"/>
  <c r="D83" i="3"/>
  <c r="N82" i="3"/>
  <c r="L82" i="3"/>
  <c r="F82" i="3"/>
  <c r="D82" i="3"/>
  <c r="N81" i="3"/>
  <c r="L81" i="3"/>
  <c r="F81" i="3"/>
  <c r="D81" i="3"/>
  <c r="N80" i="3"/>
  <c r="L80" i="3"/>
  <c r="F80" i="3"/>
  <c r="D80" i="3"/>
  <c r="N79" i="3"/>
  <c r="L79" i="3"/>
  <c r="F79" i="3"/>
  <c r="D79" i="3"/>
  <c r="N78" i="3"/>
  <c r="L78" i="3"/>
  <c r="F78" i="3"/>
  <c r="D78" i="3"/>
  <c r="N77" i="3"/>
  <c r="L77" i="3"/>
  <c r="F77" i="3"/>
  <c r="D77" i="3"/>
  <c r="N76" i="3"/>
  <c r="L76" i="3"/>
  <c r="F76" i="3"/>
  <c r="D76" i="3"/>
  <c r="N75" i="3"/>
  <c r="L75" i="3"/>
  <c r="F75" i="3"/>
  <c r="D75" i="3"/>
  <c r="N74" i="3"/>
  <c r="L74" i="3"/>
  <c r="F74" i="3"/>
  <c r="D74" i="3"/>
  <c r="N73" i="3"/>
  <c r="L73" i="3"/>
  <c r="F73" i="3"/>
  <c r="D73" i="3"/>
  <c r="N72" i="3"/>
  <c r="L72" i="3"/>
  <c r="F72" i="3"/>
  <c r="D72" i="3"/>
  <c r="N71" i="3"/>
  <c r="L71" i="3"/>
  <c r="F71" i="3"/>
  <c r="D71" i="3"/>
  <c r="N70" i="3"/>
  <c r="E83" i="3"/>
  <c r="O82" i="3"/>
  <c r="C82" i="3"/>
  <c r="M81" i="3"/>
  <c r="E81" i="3"/>
  <c r="O80" i="3"/>
  <c r="C80" i="3"/>
  <c r="M79" i="3"/>
  <c r="E79" i="3"/>
  <c r="O78" i="3"/>
  <c r="C78" i="3"/>
  <c r="M77" i="3"/>
  <c r="E77" i="3"/>
  <c r="O76" i="3"/>
  <c r="C76" i="3"/>
  <c r="M75" i="3"/>
  <c r="E75" i="3"/>
  <c r="O74" i="3"/>
  <c r="C74" i="3"/>
  <c r="M73" i="3"/>
  <c r="E73" i="3"/>
  <c r="O72" i="3"/>
  <c r="C72" i="3"/>
  <c r="M71" i="3"/>
  <c r="E71" i="3"/>
  <c r="O70" i="3"/>
  <c r="L70" i="3"/>
  <c r="F70" i="3"/>
  <c r="D70" i="3"/>
  <c r="N69" i="3"/>
  <c r="L69" i="3"/>
  <c r="F69" i="3"/>
  <c r="D69" i="3"/>
  <c r="N68" i="3"/>
  <c r="L68" i="3"/>
  <c r="F68" i="3"/>
  <c r="D68" i="3"/>
  <c r="N67" i="3"/>
  <c r="L67" i="3"/>
  <c r="F67" i="3"/>
  <c r="D67" i="3"/>
  <c r="N66" i="3"/>
  <c r="L66" i="3"/>
  <c r="F66" i="3"/>
  <c r="D66" i="3"/>
  <c r="N65" i="3"/>
  <c r="L65" i="3"/>
  <c r="F65" i="3"/>
  <c r="D65" i="3"/>
  <c r="N64" i="3"/>
  <c r="L64" i="3"/>
  <c r="F64" i="3"/>
  <c r="D64" i="3"/>
  <c r="N63" i="3"/>
  <c r="L63" i="3"/>
  <c r="F63" i="3"/>
  <c r="D63" i="3"/>
  <c r="N62" i="3"/>
  <c r="L62" i="3"/>
  <c r="F62" i="3"/>
  <c r="D62" i="3"/>
  <c r="N61" i="3"/>
  <c r="L61" i="3"/>
  <c r="F61" i="3"/>
  <c r="D61" i="3"/>
  <c r="N60" i="3"/>
  <c r="L60" i="3"/>
  <c r="F60" i="3"/>
  <c r="D60" i="3"/>
  <c r="N59" i="3"/>
  <c r="L59" i="3"/>
  <c r="F59" i="3"/>
  <c r="D59" i="3"/>
  <c r="N58" i="3"/>
  <c r="L58" i="3"/>
  <c r="F58" i="3"/>
  <c r="D58" i="3"/>
  <c r="N57" i="3"/>
  <c r="L57" i="3"/>
  <c r="F57" i="3"/>
  <c r="D57" i="3"/>
  <c r="N56" i="3"/>
  <c r="L56" i="3"/>
  <c r="F56" i="3"/>
  <c r="D56" i="3"/>
  <c r="N55" i="3"/>
  <c r="L55" i="3"/>
  <c r="F55" i="3"/>
  <c r="D55" i="3"/>
  <c r="N54" i="3"/>
  <c r="L54" i="3"/>
  <c r="F54" i="3"/>
  <c r="D54" i="3"/>
  <c r="N53" i="3"/>
  <c r="L53" i="3"/>
  <c r="F53" i="3"/>
  <c r="D53" i="3"/>
  <c r="N52" i="3"/>
  <c r="L52" i="3"/>
  <c r="F52" i="3"/>
  <c r="D52" i="3"/>
  <c r="N51" i="3"/>
  <c r="L51" i="3"/>
  <c r="F51" i="3"/>
  <c r="D51" i="3"/>
  <c r="N50" i="3"/>
  <c r="L50" i="3"/>
  <c r="F50" i="3"/>
  <c r="D50" i="3"/>
  <c r="N49" i="3"/>
  <c r="L49" i="3"/>
  <c r="F49" i="3"/>
  <c r="D49" i="3"/>
  <c r="N48" i="3"/>
  <c r="L48" i="3"/>
  <c r="F48" i="3"/>
  <c r="D48" i="3"/>
  <c r="N47" i="3"/>
  <c r="L47" i="3"/>
  <c r="F47" i="3"/>
  <c r="D47" i="3"/>
  <c r="N46" i="3"/>
  <c r="L46" i="3"/>
  <c r="F46" i="3"/>
  <c r="D46" i="3"/>
  <c r="N45" i="3"/>
  <c r="L45" i="3"/>
  <c r="F45" i="3"/>
  <c r="D45" i="3"/>
  <c r="N44" i="3"/>
  <c r="L44" i="3"/>
  <c r="F44" i="3"/>
  <c r="D44" i="3"/>
  <c r="N43" i="3"/>
  <c r="L43" i="3"/>
  <c r="F43" i="3"/>
  <c r="D43" i="3"/>
  <c r="N42" i="3"/>
  <c r="L42" i="3"/>
  <c r="F42" i="3"/>
  <c r="D42" i="3"/>
  <c r="N41" i="3"/>
  <c r="L41" i="3"/>
  <c r="F41" i="3"/>
  <c r="D41" i="3"/>
  <c r="N40" i="3"/>
  <c r="L40" i="3"/>
  <c r="F40" i="3"/>
  <c r="D40" i="3"/>
  <c r="N39" i="3"/>
  <c r="L39" i="3"/>
  <c r="F39" i="3"/>
  <c r="D39" i="3"/>
  <c r="N38" i="3"/>
  <c r="L38" i="3"/>
  <c r="F38" i="3"/>
  <c r="D38" i="3"/>
  <c r="N37" i="3"/>
  <c r="L37" i="3"/>
  <c r="F37" i="3"/>
  <c r="D37" i="3"/>
  <c r="N36" i="3"/>
  <c r="L36" i="3"/>
  <c r="F36" i="3"/>
  <c r="D36" i="3"/>
  <c r="N35" i="3"/>
  <c r="L35" i="3"/>
  <c r="F35" i="3"/>
  <c r="D35" i="3"/>
  <c r="N34" i="3"/>
  <c r="L34" i="3"/>
  <c r="F34" i="3"/>
  <c r="D34" i="3"/>
  <c r="N33" i="3"/>
  <c r="L33" i="3"/>
  <c r="F33" i="3"/>
  <c r="D33" i="3"/>
  <c r="N32" i="3"/>
  <c r="L32" i="3"/>
  <c r="F32" i="3"/>
  <c r="D32" i="3"/>
  <c r="N31" i="3"/>
  <c r="L31" i="3"/>
  <c r="F31" i="3"/>
  <c r="D31" i="3"/>
  <c r="N30" i="3"/>
  <c r="L30" i="3"/>
  <c r="F30" i="3"/>
  <c r="D30" i="3"/>
  <c r="N29" i="3"/>
  <c r="L29" i="3"/>
  <c r="F29" i="3"/>
  <c r="D29" i="3"/>
  <c r="N28" i="3"/>
  <c r="L28" i="3"/>
  <c r="F28" i="3"/>
  <c r="D28" i="3"/>
  <c r="N27" i="3"/>
  <c r="L27" i="3"/>
  <c r="F27" i="3"/>
  <c r="D27" i="3"/>
  <c r="N26" i="3"/>
  <c r="L26" i="3"/>
  <c r="F26" i="3"/>
  <c r="D26" i="3"/>
  <c r="N25" i="3"/>
  <c r="L25" i="3"/>
  <c r="F25" i="3"/>
  <c r="D25" i="3"/>
  <c r="N24" i="3"/>
  <c r="L24" i="3"/>
  <c r="F24" i="3"/>
  <c r="D24" i="3"/>
  <c r="N23" i="3"/>
  <c r="L23" i="3"/>
  <c r="F23" i="3"/>
  <c r="D23" i="3"/>
  <c r="N22" i="3"/>
  <c r="L22" i="3"/>
  <c r="F22" i="3"/>
  <c r="D22" i="3"/>
  <c r="N21" i="3"/>
  <c r="L21" i="3"/>
  <c r="F21" i="3"/>
  <c r="D21" i="3"/>
  <c r="N20" i="3"/>
  <c r="L20" i="3"/>
  <c r="F20" i="3"/>
  <c r="D20" i="3"/>
  <c r="N19" i="3"/>
  <c r="L19" i="3"/>
  <c r="F19" i="3"/>
  <c r="D19" i="3"/>
  <c r="N18" i="3"/>
  <c r="L18" i="3"/>
  <c r="F18" i="3"/>
  <c r="D18" i="3"/>
  <c r="N17" i="3"/>
  <c r="L17" i="3"/>
  <c r="F17" i="3"/>
  <c r="D17" i="3"/>
  <c r="C83" i="3"/>
  <c r="M82" i="3"/>
  <c r="E82" i="3"/>
  <c r="O81" i="3"/>
  <c r="C81" i="3"/>
  <c r="M80" i="3"/>
  <c r="E80" i="3"/>
  <c r="O79" i="3"/>
  <c r="C79" i="3"/>
  <c r="M78" i="3"/>
  <c r="E78" i="3"/>
  <c r="O77" i="3"/>
  <c r="C77" i="3"/>
  <c r="M76" i="3"/>
  <c r="E76" i="3"/>
  <c r="O75" i="3"/>
  <c r="C75" i="3"/>
  <c r="M74" i="3"/>
  <c r="E74" i="3"/>
  <c r="O73" i="3"/>
  <c r="C73" i="3"/>
  <c r="M72" i="3"/>
  <c r="E72" i="3"/>
  <c r="O71" i="3"/>
  <c r="C71" i="3"/>
  <c r="M70" i="3"/>
  <c r="E70" i="3"/>
  <c r="C70" i="3"/>
  <c r="O69" i="3"/>
  <c r="M69" i="3"/>
  <c r="E69" i="3"/>
  <c r="C69" i="3"/>
  <c r="O68" i="3"/>
  <c r="M68" i="3"/>
  <c r="E68" i="3"/>
  <c r="C68" i="3"/>
  <c r="O67" i="3"/>
  <c r="M67" i="3"/>
  <c r="E67" i="3"/>
  <c r="C67" i="3"/>
  <c r="O66" i="3"/>
  <c r="M66" i="3"/>
  <c r="E66" i="3"/>
  <c r="C66" i="3"/>
  <c r="O65" i="3"/>
  <c r="M65" i="3"/>
  <c r="E65" i="3"/>
  <c r="C65" i="3"/>
  <c r="O64" i="3"/>
  <c r="M64" i="3"/>
  <c r="E64" i="3"/>
  <c r="C64" i="3"/>
  <c r="O63" i="3"/>
  <c r="M63" i="3"/>
  <c r="E63" i="3"/>
  <c r="C63" i="3"/>
  <c r="O62" i="3"/>
  <c r="M62" i="3"/>
  <c r="E62" i="3"/>
  <c r="C62" i="3"/>
  <c r="O61" i="3"/>
  <c r="M61" i="3"/>
  <c r="E61" i="3"/>
  <c r="C61" i="3"/>
  <c r="O60" i="3"/>
  <c r="M60" i="3"/>
  <c r="E60" i="3"/>
  <c r="C60" i="3"/>
  <c r="O59" i="3"/>
  <c r="M59" i="3"/>
  <c r="E59" i="3"/>
  <c r="C59" i="3"/>
  <c r="O58" i="3"/>
  <c r="M58" i="3"/>
  <c r="E58" i="3"/>
  <c r="C58" i="3"/>
  <c r="O57" i="3"/>
  <c r="M57" i="3"/>
  <c r="E57" i="3"/>
  <c r="C57" i="3"/>
  <c r="O56" i="3"/>
  <c r="M56" i="3"/>
  <c r="E56" i="3"/>
  <c r="C56" i="3"/>
  <c r="O55" i="3"/>
  <c r="M55" i="3"/>
  <c r="E55" i="3"/>
  <c r="C55" i="3"/>
  <c r="O54" i="3"/>
  <c r="M54" i="3"/>
  <c r="E54" i="3"/>
  <c r="C54" i="3"/>
  <c r="O53" i="3"/>
  <c r="M53" i="3"/>
  <c r="E53" i="3"/>
  <c r="C53" i="3"/>
  <c r="O52" i="3"/>
  <c r="M52" i="3"/>
  <c r="E52" i="3"/>
  <c r="C52" i="3"/>
  <c r="O51" i="3"/>
  <c r="M51" i="3"/>
  <c r="E51" i="3"/>
  <c r="C51" i="3"/>
  <c r="O50" i="3"/>
  <c r="M50" i="3"/>
  <c r="E50" i="3"/>
  <c r="C50" i="3"/>
  <c r="O49" i="3"/>
  <c r="M49" i="3"/>
  <c r="E49" i="3"/>
  <c r="C49" i="3"/>
  <c r="O48" i="3"/>
  <c r="M48" i="3"/>
  <c r="E48" i="3"/>
  <c r="C48" i="3"/>
  <c r="O47" i="3"/>
  <c r="M47" i="3"/>
  <c r="E47" i="3"/>
  <c r="C47" i="3"/>
  <c r="O46" i="3"/>
  <c r="M46" i="3"/>
  <c r="E46" i="3"/>
  <c r="C46" i="3"/>
  <c r="O45" i="3"/>
  <c r="M45" i="3"/>
  <c r="E45" i="3"/>
  <c r="C45" i="3"/>
  <c r="O44" i="3"/>
  <c r="M44" i="3"/>
  <c r="E44" i="3"/>
  <c r="C44" i="3"/>
  <c r="O43" i="3"/>
  <c r="M43" i="3"/>
  <c r="E43" i="3"/>
  <c r="C43" i="3"/>
  <c r="O42" i="3"/>
  <c r="M42" i="3"/>
  <c r="E42" i="3"/>
  <c r="C42" i="3"/>
  <c r="O41" i="3"/>
  <c r="M41" i="3"/>
  <c r="E41" i="3"/>
  <c r="C41" i="3"/>
  <c r="O40" i="3"/>
  <c r="M40" i="3"/>
  <c r="E40" i="3"/>
  <c r="C40" i="3"/>
  <c r="O39" i="3"/>
  <c r="M39" i="3"/>
  <c r="E39" i="3"/>
  <c r="C39" i="3"/>
  <c r="O38" i="3"/>
  <c r="M38" i="3"/>
  <c r="E38" i="3"/>
  <c r="C38" i="3"/>
  <c r="O37" i="3"/>
  <c r="M37" i="3"/>
  <c r="E37" i="3"/>
  <c r="C37" i="3"/>
  <c r="O36" i="3"/>
  <c r="M36" i="3"/>
  <c r="E36" i="3"/>
  <c r="C36" i="3"/>
  <c r="O35" i="3"/>
  <c r="M35" i="3"/>
  <c r="E35" i="3"/>
  <c r="C35" i="3"/>
  <c r="O34" i="3"/>
  <c r="M34" i="3"/>
  <c r="E34" i="3"/>
  <c r="C34" i="3"/>
  <c r="O33" i="3"/>
  <c r="M33" i="3"/>
  <c r="E33" i="3"/>
  <c r="C33" i="3"/>
  <c r="O32" i="3"/>
  <c r="M32" i="3"/>
  <c r="E32" i="3"/>
  <c r="C32" i="3"/>
  <c r="O31" i="3"/>
  <c r="M31" i="3"/>
  <c r="E31" i="3"/>
  <c r="C31" i="3"/>
  <c r="O30" i="3"/>
  <c r="M30" i="3"/>
  <c r="E30" i="3"/>
  <c r="C30" i="3"/>
  <c r="O29" i="3"/>
  <c r="M29" i="3"/>
  <c r="E29" i="3"/>
  <c r="C29" i="3"/>
  <c r="O28" i="3"/>
  <c r="M28" i="3"/>
  <c r="E28" i="3"/>
  <c r="C28" i="3"/>
  <c r="O27" i="3"/>
  <c r="M27" i="3"/>
  <c r="E27" i="3"/>
  <c r="C27" i="3"/>
  <c r="O26" i="3"/>
  <c r="M26" i="3"/>
  <c r="E26" i="3"/>
  <c r="C26" i="3"/>
  <c r="O25" i="3"/>
  <c r="M25" i="3"/>
  <c r="E25" i="3"/>
  <c r="C25" i="3"/>
  <c r="O24" i="3"/>
  <c r="M24" i="3"/>
  <c r="E24" i="3"/>
  <c r="C24" i="3"/>
  <c r="O23" i="3"/>
  <c r="M23" i="3"/>
  <c r="E23" i="3"/>
  <c r="C23" i="3"/>
  <c r="O22" i="3"/>
  <c r="M22" i="3"/>
  <c r="E22" i="3"/>
  <c r="C22" i="3"/>
  <c r="O21" i="3"/>
  <c r="M21" i="3"/>
  <c r="E21" i="3"/>
  <c r="C21" i="3"/>
  <c r="O20" i="3"/>
  <c r="M20" i="3"/>
  <c r="E20" i="3"/>
  <c r="C20" i="3"/>
  <c r="O19" i="3"/>
  <c r="M19" i="3"/>
  <c r="E19" i="3"/>
  <c r="C19" i="3"/>
  <c r="O18" i="3"/>
  <c r="M18" i="3"/>
  <c r="E18" i="3"/>
  <c r="C18" i="3"/>
  <c r="O17" i="3"/>
  <c r="M17" i="3"/>
  <c r="E17" i="3"/>
  <c r="C17" i="3"/>
  <c r="N16" i="3"/>
  <c r="L16" i="3"/>
  <c r="F16" i="3"/>
  <c r="D16" i="3"/>
  <c r="N15" i="3"/>
  <c r="L15" i="3"/>
  <c r="F15" i="3"/>
  <c r="D15" i="3"/>
  <c r="N14" i="3"/>
  <c r="L14" i="3"/>
  <c r="F14" i="3"/>
  <c r="D14" i="3"/>
  <c r="N13" i="3"/>
  <c r="L13" i="3"/>
  <c r="F13" i="3"/>
  <c r="D13" i="3"/>
  <c r="N12" i="3"/>
  <c r="L12" i="3"/>
  <c r="F12" i="3"/>
  <c r="D12" i="3"/>
  <c r="N11" i="3"/>
  <c r="L11" i="3"/>
  <c r="F11" i="3"/>
  <c r="D11" i="3"/>
  <c r="N10" i="3"/>
  <c r="L10" i="3"/>
  <c r="F10" i="3"/>
  <c r="D10" i="3"/>
  <c r="N9" i="3"/>
  <c r="L9" i="3"/>
  <c r="F9" i="3"/>
  <c r="D9" i="3"/>
  <c r="N8" i="3"/>
  <c r="L8" i="3"/>
  <c r="F8" i="3"/>
  <c r="D8" i="3"/>
  <c r="N7" i="3"/>
  <c r="L7" i="3"/>
  <c r="F7" i="3"/>
  <c r="D7" i="3"/>
  <c r="N6" i="3"/>
  <c r="L6" i="3"/>
  <c r="F6" i="3"/>
  <c r="D6" i="3"/>
  <c r="N5" i="3"/>
  <c r="L5" i="3"/>
  <c r="F5" i="3"/>
  <c r="D5" i="3"/>
  <c r="N4" i="3"/>
  <c r="L4" i="3"/>
  <c r="F4" i="3"/>
  <c r="D4" i="3"/>
  <c r="N3" i="3"/>
  <c r="L3" i="3"/>
  <c r="F3" i="3"/>
  <c r="D3" i="3"/>
  <c r="N2" i="3"/>
  <c r="L2" i="3"/>
  <c r="F2" i="3"/>
  <c r="D2" i="3"/>
  <c r="H149" i="2"/>
  <c r="F149" i="2"/>
  <c r="D149" i="2"/>
  <c r="B149" i="2"/>
  <c r="H148" i="2"/>
  <c r="F148" i="2"/>
  <c r="D148" i="2"/>
  <c r="B148" i="2"/>
  <c r="H147" i="2"/>
  <c r="F147" i="2"/>
  <c r="D147" i="2"/>
  <c r="B147" i="2"/>
  <c r="H146" i="2"/>
  <c r="F146" i="2"/>
  <c r="D146" i="2"/>
  <c r="B146" i="2"/>
  <c r="H145" i="2"/>
  <c r="F145" i="2"/>
  <c r="D145" i="2"/>
  <c r="B145" i="2"/>
  <c r="H144" i="2"/>
  <c r="F144" i="2"/>
  <c r="D144" i="2"/>
  <c r="B144" i="2"/>
  <c r="H143" i="2"/>
  <c r="F143" i="2"/>
  <c r="D143" i="2"/>
  <c r="B143" i="2"/>
  <c r="H142" i="2"/>
  <c r="F142" i="2"/>
  <c r="D142" i="2"/>
  <c r="B142" i="2"/>
  <c r="H141" i="2"/>
  <c r="F141" i="2"/>
  <c r="D141" i="2"/>
  <c r="B141" i="2"/>
  <c r="H140" i="2"/>
  <c r="F140" i="2"/>
  <c r="D140" i="2"/>
  <c r="B140" i="2"/>
  <c r="H139" i="2"/>
  <c r="F139" i="2"/>
  <c r="D139" i="2"/>
  <c r="B139" i="2"/>
  <c r="H138" i="2"/>
  <c r="F138" i="2"/>
  <c r="D138" i="2"/>
  <c r="B138" i="2"/>
  <c r="H137" i="2"/>
  <c r="F137" i="2"/>
  <c r="D137" i="2"/>
  <c r="B137" i="2"/>
  <c r="H136" i="2"/>
  <c r="F136" i="2"/>
  <c r="D136" i="2"/>
  <c r="B136" i="2"/>
  <c r="H135" i="2"/>
  <c r="F135" i="2"/>
  <c r="D135" i="2"/>
  <c r="B135" i="2"/>
  <c r="H134" i="2"/>
  <c r="F134" i="2"/>
  <c r="D134" i="2"/>
  <c r="B134" i="2"/>
  <c r="H133" i="2"/>
  <c r="F133" i="2"/>
  <c r="D133" i="2"/>
  <c r="B133" i="2"/>
  <c r="H132" i="2"/>
  <c r="F132" i="2"/>
  <c r="D132" i="2"/>
  <c r="B132" i="2"/>
  <c r="H131" i="2"/>
  <c r="F131" i="2"/>
  <c r="D131" i="2"/>
  <c r="B131" i="2"/>
  <c r="H130" i="2"/>
  <c r="F130" i="2"/>
  <c r="D130" i="2"/>
  <c r="B130" i="2"/>
  <c r="H129" i="2"/>
  <c r="F129" i="2"/>
  <c r="D129" i="2"/>
  <c r="B129" i="2"/>
  <c r="H128" i="2"/>
  <c r="F128" i="2"/>
  <c r="D128" i="2"/>
  <c r="B128" i="2"/>
  <c r="H127" i="2"/>
  <c r="F127" i="2"/>
  <c r="D127" i="2"/>
  <c r="B127" i="2"/>
  <c r="H126" i="2"/>
  <c r="F126" i="2"/>
  <c r="D126" i="2"/>
  <c r="B126" i="2"/>
  <c r="H125" i="2"/>
  <c r="F125" i="2"/>
  <c r="D125" i="2"/>
  <c r="B125" i="2"/>
  <c r="H124" i="2"/>
  <c r="F124" i="2"/>
  <c r="D124" i="2"/>
  <c r="B124" i="2"/>
  <c r="H123" i="2"/>
  <c r="F123" i="2"/>
  <c r="D123" i="2"/>
  <c r="B123" i="2"/>
  <c r="H122" i="2"/>
  <c r="F122" i="2"/>
  <c r="D122" i="2"/>
  <c r="B122" i="2"/>
  <c r="H121" i="2"/>
  <c r="F121" i="2"/>
  <c r="D121" i="2"/>
  <c r="B121" i="2"/>
  <c r="H120" i="2"/>
  <c r="F120" i="2"/>
  <c r="D120" i="2"/>
  <c r="B120" i="2"/>
  <c r="H119" i="2"/>
  <c r="F119" i="2"/>
  <c r="D119" i="2"/>
  <c r="B119" i="2"/>
  <c r="H118" i="2"/>
  <c r="F118" i="2"/>
  <c r="D118" i="2"/>
  <c r="B118" i="2"/>
  <c r="H117" i="2"/>
  <c r="F117" i="2"/>
  <c r="D117" i="2"/>
  <c r="B117" i="2"/>
  <c r="H116" i="2"/>
  <c r="F116" i="2"/>
  <c r="D116" i="2"/>
  <c r="B116" i="2"/>
  <c r="H115" i="2"/>
  <c r="F115" i="2"/>
  <c r="D115" i="2"/>
  <c r="B115" i="2"/>
  <c r="H114" i="2"/>
  <c r="F114" i="2"/>
  <c r="D114" i="2"/>
  <c r="B114" i="2"/>
  <c r="H113" i="2"/>
  <c r="F113" i="2"/>
  <c r="D113" i="2"/>
  <c r="B113" i="2"/>
  <c r="H112" i="2"/>
  <c r="F112" i="2"/>
  <c r="D112" i="2"/>
  <c r="B112" i="2"/>
  <c r="H111" i="2"/>
  <c r="F111" i="2"/>
  <c r="D111" i="2"/>
  <c r="B111" i="2"/>
  <c r="H110" i="2"/>
  <c r="F110" i="2"/>
  <c r="D110" i="2"/>
  <c r="B110" i="2"/>
  <c r="H109" i="2"/>
  <c r="F109" i="2"/>
  <c r="D109" i="2"/>
  <c r="B109" i="2"/>
  <c r="H108" i="2"/>
  <c r="F108" i="2"/>
  <c r="D108" i="2"/>
  <c r="B108" i="2"/>
  <c r="H107" i="2"/>
  <c r="F107" i="2"/>
  <c r="D107" i="2"/>
  <c r="B107" i="2"/>
  <c r="H106" i="2"/>
  <c r="F106" i="2"/>
  <c r="D106" i="2"/>
  <c r="B106" i="2"/>
  <c r="H105" i="2"/>
  <c r="F105" i="2"/>
  <c r="D105" i="2"/>
  <c r="B105" i="2"/>
  <c r="H104" i="2"/>
  <c r="F104" i="2"/>
  <c r="D104" i="2"/>
  <c r="B104" i="2"/>
  <c r="H103" i="2"/>
  <c r="F103" i="2"/>
  <c r="D103" i="2"/>
  <c r="B103" i="2"/>
  <c r="H102" i="2"/>
  <c r="F102" i="2"/>
  <c r="D102" i="2"/>
  <c r="B102" i="2"/>
  <c r="H101" i="2"/>
  <c r="F101" i="2"/>
  <c r="D101" i="2"/>
  <c r="B101" i="2"/>
  <c r="H100" i="2"/>
  <c r="F100" i="2"/>
  <c r="D100" i="2"/>
  <c r="B100" i="2"/>
  <c r="H99" i="2"/>
  <c r="F99" i="2"/>
  <c r="D99" i="2"/>
  <c r="B99" i="2"/>
  <c r="H98" i="2"/>
  <c r="F98" i="2"/>
  <c r="D98" i="2"/>
  <c r="B98" i="2"/>
  <c r="H97" i="2"/>
  <c r="F97" i="2"/>
  <c r="D97" i="2"/>
  <c r="B97" i="2"/>
  <c r="H96" i="2"/>
  <c r="F96" i="2"/>
  <c r="D96" i="2"/>
  <c r="B96" i="2"/>
  <c r="H95" i="2"/>
  <c r="F95" i="2"/>
  <c r="D95" i="2"/>
  <c r="B95" i="2"/>
  <c r="H94" i="2"/>
  <c r="F94" i="2"/>
  <c r="D94" i="2"/>
  <c r="B94" i="2"/>
  <c r="H93" i="2"/>
  <c r="F93" i="2"/>
  <c r="D93" i="2"/>
  <c r="B93" i="2"/>
  <c r="H92" i="2"/>
  <c r="F92" i="2"/>
  <c r="D92" i="2"/>
  <c r="B92" i="2"/>
  <c r="H91" i="2"/>
  <c r="F91" i="2"/>
  <c r="D91" i="2"/>
  <c r="B91" i="2"/>
  <c r="H90" i="2"/>
  <c r="F90" i="2"/>
  <c r="D90" i="2"/>
  <c r="B90" i="2"/>
  <c r="H89" i="2"/>
  <c r="F89" i="2"/>
  <c r="D89" i="2"/>
  <c r="B89" i="2"/>
  <c r="H88" i="2"/>
  <c r="F88" i="2"/>
  <c r="D88" i="2"/>
  <c r="B88" i="2"/>
  <c r="H87" i="2"/>
  <c r="F87" i="2"/>
  <c r="D87" i="2"/>
  <c r="B87" i="2"/>
  <c r="H86" i="2"/>
  <c r="F86" i="2"/>
  <c r="D86" i="2"/>
  <c r="B86" i="2"/>
  <c r="H85" i="2"/>
  <c r="F85" i="2"/>
  <c r="D85" i="2"/>
  <c r="B85" i="2"/>
  <c r="H84" i="2"/>
  <c r="F84" i="2"/>
  <c r="D84" i="2"/>
  <c r="B84" i="2"/>
  <c r="H83" i="2"/>
  <c r="F83" i="2"/>
  <c r="D83" i="2"/>
  <c r="B83" i="2"/>
  <c r="H82" i="2"/>
  <c r="F82" i="2"/>
  <c r="D82" i="2"/>
  <c r="B82" i="2"/>
  <c r="H81" i="2"/>
  <c r="F81" i="2"/>
  <c r="D81" i="2"/>
  <c r="B81" i="2"/>
  <c r="H80" i="2"/>
  <c r="F80" i="2"/>
  <c r="D80" i="2"/>
  <c r="B80" i="2"/>
  <c r="H79" i="2"/>
  <c r="F79" i="2"/>
  <c r="D79" i="2"/>
  <c r="B79" i="2"/>
  <c r="H78" i="2"/>
  <c r="F78" i="2"/>
  <c r="D78" i="2"/>
  <c r="B78" i="2"/>
  <c r="H77" i="2"/>
  <c r="F77" i="2"/>
  <c r="D77" i="2"/>
  <c r="B77" i="2"/>
  <c r="H76" i="2"/>
  <c r="F76" i="2"/>
  <c r="D76" i="2"/>
  <c r="B76" i="2"/>
  <c r="H75" i="2"/>
  <c r="F75" i="2"/>
  <c r="D75" i="2"/>
  <c r="B75" i="2"/>
  <c r="H74" i="2"/>
  <c r="F74" i="2"/>
  <c r="D74" i="2"/>
  <c r="B74" i="2"/>
  <c r="H73" i="2"/>
  <c r="F73" i="2"/>
  <c r="D73" i="2"/>
  <c r="B73" i="2"/>
  <c r="H72" i="2"/>
  <c r="F72" i="2"/>
  <c r="D72" i="2"/>
  <c r="B72" i="2"/>
  <c r="H71" i="2"/>
  <c r="F71" i="2"/>
  <c r="D71" i="2"/>
  <c r="B71" i="2"/>
  <c r="H70" i="2"/>
  <c r="F70" i="2"/>
  <c r="D70" i="2"/>
  <c r="B70" i="2"/>
  <c r="H69" i="2"/>
  <c r="F69" i="2"/>
  <c r="D69" i="2"/>
  <c r="B69" i="2"/>
  <c r="H68" i="2"/>
  <c r="F68" i="2"/>
  <c r="D68" i="2"/>
  <c r="B68" i="2"/>
  <c r="H67" i="2"/>
  <c r="F67" i="2"/>
  <c r="D67" i="2"/>
  <c r="B67" i="2"/>
  <c r="H66" i="2"/>
  <c r="F66" i="2"/>
  <c r="D66" i="2"/>
  <c r="B66" i="2"/>
  <c r="H65" i="2"/>
  <c r="F65" i="2"/>
  <c r="D65" i="2"/>
  <c r="B65" i="2"/>
  <c r="H64" i="2"/>
  <c r="F64" i="2"/>
  <c r="D64" i="2"/>
  <c r="B64" i="2"/>
  <c r="H63" i="2"/>
  <c r="F63" i="2"/>
  <c r="D63" i="2"/>
  <c r="B63" i="2"/>
  <c r="H62" i="2"/>
  <c r="F62" i="2"/>
  <c r="D62" i="2"/>
  <c r="B62" i="2"/>
  <c r="H61" i="2"/>
  <c r="F61" i="2"/>
  <c r="D61" i="2"/>
  <c r="B61" i="2"/>
  <c r="H60" i="2"/>
  <c r="F60" i="2"/>
  <c r="D60" i="2"/>
  <c r="B60" i="2"/>
  <c r="H59" i="2"/>
  <c r="F59" i="2"/>
  <c r="D59" i="2"/>
  <c r="B59" i="2"/>
  <c r="H58" i="2"/>
  <c r="F58" i="2"/>
  <c r="D58" i="2"/>
  <c r="B58" i="2"/>
  <c r="H57" i="2"/>
  <c r="F57" i="2"/>
  <c r="D57" i="2"/>
  <c r="B57" i="2"/>
  <c r="H56" i="2"/>
  <c r="F56" i="2"/>
  <c r="D56" i="2"/>
  <c r="B56" i="2"/>
  <c r="H55" i="2"/>
  <c r="F55" i="2"/>
  <c r="D55" i="2"/>
  <c r="B55" i="2"/>
  <c r="H54" i="2"/>
  <c r="F54" i="2"/>
  <c r="D54" i="2"/>
  <c r="B54" i="2"/>
  <c r="H53" i="2"/>
  <c r="F53" i="2"/>
  <c r="D53" i="2"/>
  <c r="B53" i="2"/>
  <c r="H52" i="2"/>
  <c r="F52" i="2"/>
  <c r="D52" i="2"/>
  <c r="B52" i="2"/>
  <c r="H51" i="2"/>
  <c r="F51" i="2"/>
  <c r="D51" i="2"/>
  <c r="B51" i="2"/>
  <c r="H50" i="2"/>
  <c r="O16" i="3"/>
  <c r="M16" i="3"/>
  <c r="E16" i="3"/>
  <c r="C16" i="3"/>
  <c r="O15" i="3"/>
  <c r="M15" i="3"/>
  <c r="E15" i="3"/>
  <c r="C15" i="3"/>
  <c r="O14" i="3"/>
  <c r="M14" i="3"/>
  <c r="E14" i="3"/>
  <c r="C14" i="3"/>
  <c r="O13" i="3"/>
  <c r="M13" i="3"/>
  <c r="E13" i="3"/>
  <c r="C13" i="3"/>
  <c r="O12" i="3"/>
  <c r="M12" i="3"/>
  <c r="E12" i="3"/>
  <c r="C12" i="3"/>
  <c r="O11" i="3"/>
  <c r="M11" i="3"/>
  <c r="E11" i="3"/>
  <c r="C11" i="3"/>
  <c r="O10" i="3"/>
  <c r="M10" i="3"/>
  <c r="E10" i="3"/>
  <c r="C10" i="3"/>
  <c r="O9" i="3"/>
  <c r="M9" i="3"/>
  <c r="E9" i="3"/>
  <c r="C9" i="3"/>
  <c r="O8" i="3"/>
  <c r="M8" i="3"/>
  <c r="E8" i="3"/>
  <c r="C8" i="3"/>
  <c r="O7" i="3"/>
  <c r="M7" i="3"/>
  <c r="E7" i="3"/>
  <c r="C7" i="3"/>
  <c r="O6" i="3"/>
  <c r="M6" i="3"/>
  <c r="E6" i="3"/>
  <c r="C6" i="3"/>
  <c r="O5" i="3"/>
  <c r="M5" i="3"/>
  <c r="E5" i="3"/>
  <c r="C5" i="3"/>
  <c r="O4" i="3"/>
  <c r="M4" i="3"/>
  <c r="E4" i="3"/>
  <c r="C4" i="3"/>
  <c r="O3" i="3"/>
  <c r="M3" i="3"/>
  <c r="E3" i="3"/>
  <c r="C3" i="3"/>
  <c r="O2" i="3"/>
  <c r="M2" i="3"/>
  <c r="E2" i="3"/>
  <c r="C2" i="3"/>
  <c r="I149" i="2"/>
  <c r="G149" i="2"/>
  <c r="E149" i="2"/>
  <c r="I148" i="2"/>
  <c r="G148" i="2"/>
  <c r="E148" i="2"/>
  <c r="I147" i="2"/>
  <c r="G147" i="2"/>
  <c r="E147" i="2"/>
  <c r="I146" i="2"/>
  <c r="G146" i="2"/>
  <c r="E146" i="2"/>
  <c r="I145" i="2"/>
  <c r="G145" i="2"/>
  <c r="E145" i="2"/>
  <c r="I144" i="2"/>
  <c r="G144" i="2"/>
  <c r="E144" i="2"/>
  <c r="I143" i="2"/>
  <c r="G143" i="2"/>
  <c r="E143" i="2"/>
  <c r="I142" i="2"/>
  <c r="G142" i="2"/>
  <c r="E142" i="2"/>
  <c r="I141" i="2"/>
  <c r="G141" i="2"/>
  <c r="E141" i="2"/>
  <c r="I140" i="2"/>
  <c r="G140" i="2"/>
  <c r="E140" i="2"/>
  <c r="I139" i="2"/>
  <c r="G139" i="2"/>
  <c r="E139" i="2"/>
  <c r="I138" i="2"/>
  <c r="G138" i="2"/>
  <c r="E138" i="2"/>
  <c r="I137" i="2"/>
  <c r="G137" i="2"/>
  <c r="E137" i="2"/>
  <c r="I136" i="2"/>
  <c r="G136" i="2"/>
  <c r="E136" i="2"/>
  <c r="I135" i="2"/>
  <c r="G135" i="2"/>
  <c r="E135" i="2"/>
  <c r="I134" i="2"/>
  <c r="G134" i="2"/>
  <c r="E134" i="2"/>
  <c r="I133" i="2"/>
  <c r="G133" i="2"/>
  <c r="E133" i="2"/>
  <c r="I132" i="2"/>
  <c r="G132" i="2"/>
  <c r="E132" i="2"/>
  <c r="I131" i="2"/>
  <c r="G131" i="2"/>
  <c r="E131" i="2"/>
  <c r="I130" i="2"/>
  <c r="G130" i="2"/>
  <c r="E130" i="2"/>
  <c r="I129" i="2"/>
  <c r="G129" i="2"/>
  <c r="E129" i="2"/>
  <c r="I128" i="2"/>
  <c r="G128" i="2"/>
  <c r="E128" i="2"/>
  <c r="I127" i="2"/>
  <c r="G127" i="2"/>
  <c r="E127" i="2"/>
  <c r="I126" i="2"/>
  <c r="G126" i="2"/>
  <c r="E126" i="2"/>
  <c r="I125" i="2"/>
  <c r="G125" i="2"/>
  <c r="E125" i="2"/>
  <c r="I124" i="2"/>
  <c r="G124" i="2"/>
  <c r="E124" i="2"/>
  <c r="I123" i="2"/>
  <c r="G123" i="2"/>
  <c r="E123" i="2"/>
  <c r="I122" i="2"/>
  <c r="G122" i="2"/>
  <c r="E122" i="2"/>
  <c r="I121" i="2"/>
  <c r="G121" i="2"/>
  <c r="E121" i="2"/>
  <c r="I120" i="2"/>
  <c r="G120" i="2"/>
  <c r="E120" i="2"/>
  <c r="I119" i="2"/>
  <c r="G119" i="2"/>
  <c r="E119" i="2"/>
  <c r="I118" i="2"/>
  <c r="G118" i="2"/>
  <c r="E118" i="2"/>
  <c r="I117" i="2"/>
  <c r="G117" i="2"/>
  <c r="E117" i="2"/>
  <c r="I116" i="2"/>
  <c r="G116" i="2"/>
  <c r="E116" i="2"/>
  <c r="I115" i="2"/>
  <c r="G115" i="2"/>
  <c r="E115" i="2"/>
  <c r="I114" i="2"/>
  <c r="G114" i="2"/>
  <c r="E114" i="2"/>
  <c r="I113" i="2"/>
  <c r="G113" i="2"/>
  <c r="E113" i="2"/>
  <c r="I112" i="2"/>
  <c r="G112" i="2"/>
  <c r="E112" i="2"/>
  <c r="I111" i="2"/>
  <c r="G111" i="2"/>
  <c r="E111" i="2"/>
  <c r="I110" i="2"/>
  <c r="G110" i="2"/>
  <c r="E110" i="2"/>
  <c r="I109" i="2"/>
  <c r="G109" i="2"/>
  <c r="E109" i="2"/>
  <c r="I108" i="2"/>
  <c r="G108" i="2"/>
  <c r="E108" i="2"/>
  <c r="I107" i="2"/>
  <c r="G107" i="2"/>
  <c r="E107" i="2"/>
  <c r="I106" i="2"/>
  <c r="G106" i="2"/>
  <c r="E106" i="2"/>
  <c r="I105" i="2"/>
  <c r="G105" i="2"/>
  <c r="E105" i="2"/>
  <c r="I104" i="2"/>
  <c r="G104" i="2"/>
  <c r="E104" i="2"/>
  <c r="I103" i="2"/>
  <c r="G103" i="2"/>
  <c r="E103" i="2"/>
  <c r="I102" i="2"/>
  <c r="G102" i="2"/>
  <c r="E102" i="2"/>
  <c r="I101" i="2"/>
  <c r="G101" i="2"/>
  <c r="E101" i="2"/>
  <c r="I100" i="2"/>
  <c r="G100" i="2"/>
  <c r="E100" i="2"/>
  <c r="I99" i="2"/>
  <c r="G99" i="2"/>
  <c r="E99" i="2"/>
  <c r="I98" i="2"/>
  <c r="G98" i="2"/>
  <c r="E98" i="2"/>
  <c r="I97" i="2"/>
  <c r="G97" i="2"/>
  <c r="E97" i="2"/>
  <c r="I96" i="2"/>
  <c r="G96" i="2"/>
  <c r="E96" i="2"/>
  <c r="I95" i="2"/>
  <c r="G95" i="2"/>
  <c r="E95" i="2"/>
  <c r="I94" i="2"/>
  <c r="G94" i="2"/>
  <c r="E94" i="2"/>
  <c r="I93" i="2"/>
  <c r="G93" i="2"/>
  <c r="E93" i="2"/>
  <c r="I92" i="2"/>
  <c r="G92" i="2"/>
  <c r="E92" i="2"/>
  <c r="I91" i="2"/>
  <c r="G91" i="2"/>
  <c r="E91" i="2"/>
  <c r="I90" i="2"/>
  <c r="G90" i="2"/>
  <c r="E90" i="2"/>
  <c r="I89" i="2"/>
  <c r="G89" i="2"/>
  <c r="E89" i="2"/>
  <c r="I88" i="2"/>
  <c r="G88" i="2"/>
  <c r="E88" i="2"/>
  <c r="I87" i="2"/>
  <c r="G87" i="2"/>
  <c r="E87" i="2"/>
  <c r="I86" i="2"/>
  <c r="G86" i="2"/>
  <c r="E86" i="2"/>
  <c r="I85" i="2"/>
  <c r="G85" i="2"/>
  <c r="E85" i="2"/>
  <c r="I84" i="2"/>
  <c r="G84" i="2"/>
  <c r="E84" i="2"/>
  <c r="I83" i="2"/>
  <c r="G83" i="2"/>
  <c r="E83" i="2"/>
  <c r="I82" i="2"/>
  <c r="G82" i="2"/>
  <c r="E82" i="2"/>
  <c r="I81" i="2"/>
  <c r="G81" i="2"/>
  <c r="E81" i="2"/>
  <c r="I80" i="2"/>
  <c r="G80" i="2"/>
  <c r="E80" i="2"/>
  <c r="I79" i="2"/>
  <c r="G79" i="2"/>
  <c r="E79" i="2"/>
  <c r="I78" i="2"/>
  <c r="G78" i="2"/>
  <c r="E78" i="2"/>
  <c r="I77" i="2"/>
  <c r="G77" i="2"/>
  <c r="E77" i="2"/>
  <c r="I76" i="2"/>
  <c r="G76" i="2"/>
  <c r="E76" i="2"/>
  <c r="I75" i="2"/>
  <c r="G75" i="2"/>
  <c r="E75" i="2"/>
  <c r="I74" i="2"/>
  <c r="G74" i="2"/>
  <c r="E74" i="2"/>
  <c r="I73" i="2"/>
  <c r="G73" i="2"/>
  <c r="E73" i="2"/>
  <c r="I72" i="2"/>
  <c r="G72" i="2"/>
  <c r="E72" i="2"/>
  <c r="I71" i="2"/>
  <c r="G71" i="2"/>
  <c r="E71" i="2"/>
  <c r="I70" i="2"/>
  <c r="G70" i="2"/>
  <c r="E70" i="2"/>
  <c r="I69" i="2"/>
  <c r="G69" i="2"/>
  <c r="E69" i="2"/>
  <c r="I68" i="2"/>
  <c r="G68" i="2"/>
  <c r="E68" i="2"/>
  <c r="I67" i="2"/>
  <c r="G67" i="2"/>
  <c r="E67" i="2"/>
  <c r="I66" i="2"/>
  <c r="G66" i="2"/>
  <c r="E66" i="2"/>
  <c r="I65" i="2"/>
  <c r="G65" i="2"/>
  <c r="E65" i="2"/>
  <c r="I64" i="2"/>
  <c r="G64" i="2"/>
  <c r="E64" i="2"/>
  <c r="I63" i="2"/>
  <c r="G63" i="2"/>
  <c r="E63" i="2"/>
  <c r="I62" i="2"/>
  <c r="G62" i="2"/>
  <c r="E62" i="2"/>
  <c r="I61" i="2"/>
  <c r="G61" i="2"/>
  <c r="E61" i="2"/>
  <c r="I60" i="2"/>
  <c r="G60" i="2"/>
  <c r="E60" i="2"/>
  <c r="I59" i="2"/>
  <c r="G59" i="2"/>
  <c r="E59" i="2"/>
  <c r="I58" i="2"/>
  <c r="G58" i="2"/>
  <c r="E58" i="2"/>
  <c r="I57" i="2"/>
  <c r="G57" i="2"/>
  <c r="E57" i="2"/>
  <c r="I56" i="2"/>
  <c r="G56" i="2"/>
  <c r="E56" i="2"/>
  <c r="I55" i="2"/>
  <c r="G55" i="2"/>
  <c r="E55" i="2"/>
  <c r="I54" i="2"/>
  <c r="G54" i="2"/>
  <c r="E54" i="2"/>
  <c r="I53" i="2"/>
  <c r="G53" i="2"/>
  <c r="E53" i="2"/>
  <c r="I52" i="2"/>
  <c r="G52" i="2"/>
  <c r="E52" i="2"/>
  <c r="I51" i="2"/>
  <c r="G51" i="2"/>
  <c r="E51" i="2"/>
  <c r="G50" i="2"/>
  <c r="E50" i="2"/>
  <c r="I49" i="2"/>
  <c r="G49" i="2"/>
  <c r="E49" i="2"/>
  <c r="I48" i="2"/>
  <c r="G48" i="2"/>
  <c r="E48" i="2"/>
  <c r="I47" i="2"/>
  <c r="G47" i="2"/>
  <c r="E47" i="2"/>
  <c r="I46" i="2"/>
  <c r="G46" i="2"/>
  <c r="E46" i="2"/>
  <c r="I45" i="2"/>
  <c r="G45" i="2"/>
  <c r="E45" i="2"/>
  <c r="I44" i="2"/>
  <c r="G44" i="2"/>
  <c r="E44" i="2"/>
  <c r="I43" i="2"/>
  <c r="G43" i="2"/>
  <c r="E43" i="2"/>
  <c r="I42" i="2"/>
  <c r="G42" i="2"/>
  <c r="E42" i="2"/>
  <c r="I41" i="2"/>
  <c r="G41" i="2"/>
  <c r="E41" i="2"/>
  <c r="I40" i="2"/>
  <c r="G40" i="2"/>
  <c r="E40" i="2"/>
  <c r="I39" i="2"/>
  <c r="G39" i="2"/>
  <c r="E39" i="2"/>
  <c r="I38" i="2"/>
  <c r="G38" i="2"/>
  <c r="E38" i="2"/>
  <c r="I37" i="2"/>
  <c r="G37" i="2"/>
  <c r="E37" i="2"/>
  <c r="I36" i="2"/>
  <c r="G36" i="2"/>
  <c r="E36" i="2"/>
  <c r="I35" i="2"/>
  <c r="G35" i="2"/>
  <c r="E35" i="2"/>
  <c r="I34" i="2"/>
  <c r="G34" i="2"/>
  <c r="E34" i="2"/>
  <c r="I33" i="2"/>
  <c r="G33" i="2"/>
  <c r="E33" i="2"/>
  <c r="I32" i="2"/>
  <c r="G32" i="2"/>
  <c r="E32" i="2"/>
  <c r="I31" i="2"/>
  <c r="G31" i="2"/>
  <c r="E31" i="2"/>
  <c r="I30" i="2"/>
  <c r="G30" i="2"/>
  <c r="E30" i="2"/>
  <c r="I29" i="2"/>
  <c r="G29" i="2"/>
  <c r="E29" i="2"/>
  <c r="I28" i="2"/>
  <c r="G28" i="2"/>
  <c r="E28" i="2"/>
  <c r="I27" i="2"/>
  <c r="G27" i="2"/>
  <c r="E27" i="2"/>
  <c r="I26" i="2"/>
  <c r="G26" i="2"/>
  <c r="E26" i="2"/>
  <c r="I25" i="2"/>
  <c r="G25" i="2"/>
  <c r="E25" i="2"/>
  <c r="I24" i="2"/>
  <c r="G24" i="2"/>
  <c r="E24" i="2"/>
  <c r="I23" i="2"/>
  <c r="G23" i="2"/>
  <c r="E23" i="2"/>
  <c r="I22" i="2"/>
  <c r="G22" i="2"/>
  <c r="E22" i="2"/>
  <c r="I21" i="2"/>
  <c r="G21" i="2"/>
  <c r="E21" i="2"/>
  <c r="I20" i="2"/>
  <c r="G20" i="2"/>
  <c r="E20" i="2"/>
  <c r="I19" i="2"/>
  <c r="G19" i="2"/>
  <c r="E19" i="2"/>
  <c r="I18" i="2"/>
  <c r="G18" i="2"/>
  <c r="E18" i="2"/>
  <c r="I17" i="2"/>
  <c r="G17" i="2"/>
  <c r="E17" i="2"/>
  <c r="I16" i="2"/>
  <c r="G16" i="2"/>
  <c r="E16" i="2"/>
  <c r="I15" i="2"/>
  <c r="G15" i="2"/>
  <c r="E15" i="2"/>
  <c r="I14" i="2"/>
  <c r="G14" i="2"/>
  <c r="E14" i="2"/>
  <c r="I13" i="2"/>
  <c r="G13" i="2"/>
  <c r="E13" i="2"/>
  <c r="I12" i="2"/>
  <c r="G12" i="2"/>
  <c r="E12" i="2"/>
  <c r="I11" i="2"/>
  <c r="G11" i="2"/>
  <c r="E11" i="2"/>
  <c r="I10" i="2"/>
  <c r="G10" i="2"/>
  <c r="E10" i="2"/>
  <c r="I9" i="2"/>
  <c r="G9" i="2"/>
  <c r="E9" i="2"/>
  <c r="I8" i="2"/>
  <c r="G8" i="2"/>
  <c r="E8" i="2"/>
  <c r="I7" i="2"/>
  <c r="G7" i="2"/>
  <c r="E7" i="2"/>
  <c r="I6" i="2"/>
  <c r="G6" i="2"/>
  <c r="E6" i="2"/>
  <c r="I5" i="2"/>
  <c r="G5" i="2"/>
  <c r="E5" i="2"/>
  <c r="M148" i="1"/>
  <c r="K148" i="1"/>
  <c r="I148" i="1"/>
  <c r="G148" i="1"/>
  <c r="E148" i="1"/>
  <c r="AI147" i="1"/>
  <c r="M147" i="1"/>
  <c r="K147" i="1"/>
  <c r="I147" i="1"/>
  <c r="G147" i="1"/>
  <c r="E147" i="1"/>
  <c r="AI146" i="1"/>
  <c r="M146" i="1"/>
  <c r="K146" i="1"/>
  <c r="I146" i="1"/>
  <c r="G146" i="1"/>
  <c r="E146" i="1"/>
  <c r="AI145" i="1"/>
  <c r="M145" i="1"/>
  <c r="K145" i="1"/>
  <c r="I145" i="1"/>
  <c r="G145" i="1"/>
  <c r="E145" i="1"/>
  <c r="AI144" i="1"/>
  <c r="M144" i="1"/>
  <c r="K144" i="1"/>
  <c r="I144" i="1"/>
  <c r="G144" i="1"/>
  <c r="E144" i="1"/>
  <c r="AI143" i="1"/>
  <c r="M143" i="1"/>
  <c r="K143" i="1"/>
  <c r="I143" i="1"/>
  <c r="G143" i="1"/>
  <c r="E143" i="1"/>
  <c r="AI142" i="1"/>
  <c r="M142" i="1"/>
  <c r="K142" i="1"/>
  <c r="I142" i="1"/>
  <c r="G142" i="1"/>
  <c r="E142" i="1"/>
  <c r="AI141" i="1"/>
  <c r="M141" i="1"/>
  <c r="K141" i="1"/>
  <c r="I141" i="1"/>
  <c r="G141" i="1"/>
  <c r="E141" i="1"/>
  <c r="AI140" i="1"/>
  <c r="M140" i="1"/>
  <c r="K140" i="1"/>
  <c r="I140" i="1"/>
  <c r="G140" i="1"/>
  <c r="E140" i="1"/>
  <c r="AI139" i="1"/>
  <c r="M139" i="1"/>
  <c r="K139" i="1"/>
  <c r="I139" i="1"/>
  <c r="G139" i="1"/>
  <c r="E139" i="1"/>
  <c r="AI138" i="1"/>
  <c r="M138" i="1"/>
  <c r="K138" i="1"/>
  <c r="I138" i="1"/>
  <c r="G138" i="1"/>
  <c r="E138" i="1"/>
  <c r="AI137" i="1"/>
  <c r="M137" i="1"/>
  <c r="K137" i="1"/>
  <c r="I137" i="1"/>
  <c r="G137" i="1"/>
  <c r="E137" i="1"/>
  <c r="AI136" i="1"/>
  <c r="M136" i="1"/>
  <c r="K136" i="1"/>
  <c r="I136" i="1"/>
  <c r="G136" i="1"/>
  <c r="E136" i="1"/>
  <c r="AI135" i="1"/>
  <c r="M135" i="1"/>
  <c r="K135" i="1"/>
  <c r="I135" i="1"/>
  <c r="G135" i="1"/>
  <c r="E135" i="1"/>
  <c r="AI134" i="1"/>
  <c r="M134" i="1"/>
  <c r="K134" i="1"/>
  <c r="I134" i="1"/>
  <c r="G134" i="1"/>
  <c r="E134" i="1"/>
  <c r="AI133" i="1"/>
  <c r="M133" i="1"/>
  <c r="K133" i="1"/>
  <c r="I133" i="1"/>
  <c r="G133" i="1"/>
  <c r="E133" i="1"/>
  <c r="AI132" i="1"/>
  <c r="M132" i="1"/>
  <c r="K132" i="1"/>
  <c r="I132" i="1"/>
  <c r="G132" i="1"/>
  <c r="E132" i="1"/>
  <c r="AI131" i="1"/>
  <c r="M131" i="1"/>
  <c r="K131" i="1"/>
  <c r="I131" i="1"/>
  <c r="G131" i="1"/>
  <c r="E131" i="1"/>
  <c r="AI130" i="1"/>
  <c r="M130" i="1"/>
  <c r="K130" i="1"/>
  <c r="I130" i="1"/>
  <c r="G130" i="1"/>
  <c r="E130" i="1"/>
  <c r="AI129" i="1"/>
  <c r="M129" i="1"/>
  <c r="K129" i="1"/>
  <c r="I129" i="1"/>
  <c r="G129" i="1"/>
  <c r="E129" i="1"/>
  <c r="AI128" i="1"/>
  <c r="M128" i="1"/>
  <c r="K128" i="1"/>
  <c r="I128" i="1"/>
  <c r="G128" i="1"/>
  <c r="E128" i="1"/>
  <c r="AI127" i="1"/>
  <c r="M127" i="1"/>
  <c r="K127" i="1"/>
  <c r="I127" i="1"/>
  <c r="G127" i="1"/>
  <c r="E127" i="1"/>
  <c r="AI126" i="1"/>
  <c r="M126" i="1"/>
  <c r="K126" i="1"/>
  <c r="I126" i="1"/>
  <c r="G126" i="1"/>
  <c r="E126" i="1"/>
  <c r="AI125" i="1"/>
  <c r="M125" i="1"/>
  <c r="K125" i="1"/>
  <c r="I125" i="1"/>
  <c r="G125" i="1"/>
  <c r="E125" i="1"/>
  <c r="AI124" i="1"/>
  <c r="M124" i="1"/>
  <c r="K124" i="1"/>
  <c r="I124" i="1"/>
  <c r="G124" i="1"/>
  <c r="E124" i="1"/>
  <c r="AI123" i="1"/>
  <c r="M123" i="1"/>
  <c r="K123" i="1"/>
  <c r="I123" i="1"/>
  <c r="G123" i="1"/>
  <c r="E123" i="1"/>
  <c r="AI122" i="1"/>
  <c r="I50" i="2"/>
  <c r="F50" i="2"/>
  <c r="D50" i="2"/>
  <c r="B50" i="2"/>
  <c r="H49" i="2"/>
  <c r="F49" i="2"/>
  <c r="D49" i="2"/>
  <c r="B49" i="2"/>
  <c r="H48" i="2"/>
  <c r="F48" i="2"/>
  <c r="D48" i="2"/>
  <c r="B48" i="2"/>
  <c r="H47" i="2"/>
  <c r="F47" i="2"/>
  <c r="D47" i="2"/>
  <c r="B47" i="2"/>
  <c r="H46" i="2"/>
  <c r="F46" i="2"/>
  <c r="D46" i="2"/>
  <c r="B46" i="2"/>
  <c r="H45" i="2"/>
  <c r="F45" i="2"/>
  <c r="D45" i="2"/>
  <c r="B45" i="2"/>
  <c r="H44" i="2"/>
  <c r="F44" i="2"/>
  <c r="D44" i="2"/>
  <c r="B44" i="2"/>
  <c r="H43" i="2"/>
  <c r="F43" i="2"/>
  <c r="D43" i="2"/>
  <c r="B43" i="2"/>
  <c r="H42" i="2"/>
  <c r="F42" i="2"/>
  <c r="D42" i="2"/>
  <c r="B42" i="2"/>
  <c r="H41" i="2"/>
  <c r="F41" i="2"/>
  <c r="D41" i="2"/>
  <c r="B41" i="2"/>
  <c r="H40" i="2"/>
  <c r="F40" i="2"/>
  <c r="D40" i="2"/>
  <c r="B40" i="2"/>
  <c r="H39" i="2"/>
  <c r="F39" i="2"/>
  <c r="D39" i="2"/>
  <c r="B39" i="2"/>
  <c r="H38" i="2"/>
  <c r="F38" i="2"/>
  <c r="D38" i="2"/>
  <c r="B38" i="2"/>
  <c r="H37" i="2"/>
  <c r="F37" i="2"/>
  <c r="D37" i="2"/>
  <c r="B37" i="2"/>
  <c r="H36" i="2"/>
  <c r="F36" i="2"/>
  <c r="D36" i="2"/>
  <c r="B36" i="2"/>
  <c r="H35" i="2"/>
  <c r="F35" i="2"/>
  <c r="D35" i="2"/>
  <c r="B35" i="2"/>
  <c r="H34" i="2"/>
  <c r="F34" i="2"/>
  <c r="D34" i="2"/>
  <c r="B34" i="2"/>
  <c r="H33" i="2"/>
  <c r="F33" i="2"/>
  <c r="D33" i="2"/>
  <c r="B33" i="2"/>
  <c r="H32" i="2"/>
  <c r="F32" i="2"/>
  <c r="D32" i="2"/>
  <c r="B32" i="2"/>
  <c r="H31" i="2"/>
  <c r="F31" i="2"/>
  <c r="D31" i="2"/>
  <c r="B31" i="2"/>
  <c r="H30" i="2"/>
  <c r="F30" i="2"/>
  <c r="D30" i="2"/>
  <c r="B30" i="2"/>
  <c r="H29" i="2"/>
  <c r="F29" i="2"/>
  <c r="D29" i="2"/>
  <c r="B29" i="2"/>
  <c r="H28" i="2"/>
  <c r="F28" i="2"/>
  <c r="D28" i="2"/>
  <c r="B28" i="2"/>
  <c r="H27" i="2"/>
  <c r="F27" i="2"/>
  <c r="D27" i="2"/>
  <c r="B27" i="2"/>
  <c r="H26" i="2"/>
  <c r="F26" i="2"/>
  <c r="D26" i="2"/>
  <c r="B26" i="2"/>
  <c r="H25" i="2"/>
  <c r="F25" i="2"/>
  <c r="D25" i="2"/>
  <c r="B25" i="2"/>
  <c r="H24" i="2"/>
  <c r="F24" i="2"/>
  <c r="D24" i="2"/>
  <c r="B24" i="2"/>
  <c r="H23" i="2"/>
  <c r="F23" i="2"/>
  <c r="D23" i="2"/>
  <c r="B23" i="2"/>
  <c r="H22" i="2"/>
  <c r="F22" i="2"/>
  <c r="D22" i="2"/>
  <c r="B22" i="2"/>
  <c r="H21" i="2"/>
  <c r="F21" i="2"/>
  <c r="D21" i="2"/>
  <c r="B21" i="2"/>
  <c r="H20" i="2"/>
  <c r="F20" i="2"/>
  <c r="D20" i="2"/>
  <c r="B20" i="2"/>
  <c r="H19" i="2"/>
  <c r="F19" i="2"/>
  <c r="D19" i="2"/>
  <c r="B19" i="2"/>
  <c r="H18" i="2"/>
  <c r="F18" i="2"/>
  <c r="D18" i="2"/>
  <c r="B18" i="2"/>
  <c r="H17" i="2"/>
  <c r="F17" i="2"/>
  <c r="D17" i="2"/>
  <c r="B17" i="2"/>
  <c r="H16" i="2"/>
  <c r="F16" i="2"/>
  <c r="D16" i="2"/>
  <c r="B16" i="2"/>
  <c r="H15" i="2"/>
  <c r="F15" i="2"/>
  <c r="D15" i="2"/>
  <c r="B15" i="2"/>
  <c r="H14" i="2"/>
  <c r="F14" i="2"/>
  <c r="D14" i="2"/>
  <c r="B14" i="2"/>
  <c r="H13" i="2"/>
  <c r="F13" i="2"/>
  <c r="D13" i="2"/>
  <c r="B13" i="2"/>
  <c r="H12" i="2"/>
  <c r="F12" i="2"/>
  <c r="D12" i="2"/>
  <c r="B12" i="2"/>
  <c r="H11" i="2"/>
  <c r="F11" i="2"/>
  <c r="D11" i="2"/>
  <c r="B11" i="2"/>
  <c r="H10" i="2"/>
  <c r="F10" i="2"/>
  <c r="D10" i="2"/>
  <c r="B10" i="2"/>
  <c r="H9" i="2"/>
  <c r="F9" i="2"/>
  <c r="D9" i="2"/>
  <c r="B9" i="2"/>
  <c r="H8" i="2"/>
  <c r="F8" i="2"/>
  <c r="D8" i="2"/>
  <c r="B8" i="2"/>
  <c r="H7" i="2"/>
  <c r="F7" i="2"/>
  <c r="D7" i="2"/>
  <c r="B7" i="2"/>
  <c r="H6" i="2"/>
  <c r="F6" i="2"/>
  <c r="D6" i="2"/>
  <c r="B6" i="2"/>
  <c r="H5" i="2"/>
  <c r="F5" i="2"/>
  <c r="D5" i="2"/>
  <c r="B5" i="2"/>
  <c r="N148" i="1"/>
  <c r="J148" i="1"/>
  <c r="F148" i="1"/>
  <c r="B148" i="1"/>
  <c r="N147" i="1"/>
  <c r="J147" i="1"/>
  <c r="F147" i="1"/>
  <c r="B147" i="1"/>
  <c r="N146" i="1"/>
  <c r="J146" i="1"/>
  <c r="F146" i="1"/>
  <c r="B146" i="1"/>
  <c r="N145" i="1"/>
  <c r="J145" i="1"/>
  <c r="F145" i="1"/>
  <c r="B145" i="1"/>
  <c r="N144" i="1"/>
  <c r="J144" i="1"/>
  <c r="F144" i="1"/>
  <c r="B144" i="1"/>
  <c r="N143" i="1"/>
  <c r="J143" i="1"/>
  <c r="F143" i="1"/>
  <c r="B143" i="1"/>
  <c r="N142" i="1"/>
  <c r="J142" i="1"/>
  <c r="F142" i="1"/>
  <c r="B142" i="1"/>
  <c r="N141" i="1"/>
  <c r="J141" i="1"/>
  <c r="F141" i="1"/>
  <c r="B141" i="1"/>
  <c r="N140" i="1"/>
  <c r="J140" i="1"/>
  <c r="F140" i="1"/>
  <c r="B140" i="1"/>
  <c r="N139" i="1"/>
  <c r="J139" i="1"/>
  <c r="F139" i="1"/>
  <c r="B139" i="1"/>
  <c r="N138" i="1"/>
  <c r="J138" i="1"/>
  <c r="F138" i="1"/>
  <c r="B138" i="1"/>
  <c r="N137" i="1"/>
  <c r="J137" i="1"/>
  <c r="F137" i="1"/>
  <c r="B137" i="1"/>
  <c r="N136" i="1"/>
  <c r="J136" i="1"/>
  <c r="F136" i="1"/>
  <c r="B136" i="1"/>
  <c r="N135" i="1"/>
  <c r="J135" i="1"/>
  <c r="F135" i="1"/>
  <c r="B135" i="1"/>
  <c r="N134" i="1"/>
  <c r="J134" i="1"/>
  <c r="F134" i="1"/>
  <c r="B134" i="1"/>
  <c r="N133" i="1"/>
  <c r="J133" i="1"/>
  <c r="F133" i="1"/>
  <c r="B133" i="1"/>
  <c r="N132" i="1"/>
  <c r="J132" i="1"/>
  <c r="F132" i="1"/>
  <c r="B132" i="1"/>
  <c r="N131" i="1"/>
  <c r="J131" i="1"/>
  <c r="F131" i="1"/>
  <c r="B131" i="1"/>
  <c r="N130" i="1"/>
  <c r="J130" i="1"/>
  <c r="F130" i="1"/>
  <c r="B130" i="1"/>
  <c r="N129" i="1"/>
  <c r="J129" i="1"/>
  <c r="F129" i="1"/>
  <c r="B129" i="1"/>
  <c r="N128" i="1"/>
  <c r="J128" i="1"/>
  <c r="F128" i="1"/>
  <c r="B128" i="1"/>
  <c r="N127" i="1"/>
  <c r="J127" i="1"/>
  <c r="F127" i="1"/>
  <c r="B127" i="1"/>
  <c r="N126" i="1"/>
  <c r="J126" i="1"/>
  <c r="F126" i="1"/>
  <c r="B126" i="1"/>
  <c r="N125" i="1"/>
  <c r="J125" i="1"/>
  <c r="F125" i="1"/>
  <c r="B125" i="1"/>
  <c r="N124" i="1"/>
  <c r="J124" i="1"/>
  <c r="F124" i="1"/>
  <c r="B124" i="1"/>
  <c r="N123" i="1"/>
  <c r="J123" i="1"/>
  <c r="F123" i="1"/>
  <c r="B123" i="1"/>
  <c r="N122" i="1"/>
  <c r="L122" i="1"/>
  <c r="J122" i="1"/>
  <c r="H122" i="1"/>
  <c r="F122" i="1"/>
  <c r="D122" i="1"/>
  <c r="B122" i="1"/>
  <c r="AJ121" i="1"/>
  <c r="N121" i="1"/>
  <c r="L121" i="1"/>
  <c r="J121" i="1"/>
  <c r="H121" i="1"/>
  <c r="F121" i="1"/>
  <c r="D121" i="1"/>
  <c r="B121" i="1"/>
  <c r="AJ120" i="1"/>
  <c r="N120" i="1"/>
  <c r="L120" i="1"/>
  <c r="J120" i="1"/>
  <c r="H120" i="1"/>
  <c r="F120" i="1"/>
  <c r="D120" i="1"/>
  <c r="B120" i="1"/>
  <c r="AJ119" i="1"/>
  <c r="N119" i="1"/>
  <c r="L119" i="1"/>
  <c r="J119" i="1"/>
  <c r="H119" i="1"/>
  <c r="F119" i="1"/>
  <c r="D119" i="1"/>
  <c r="B119" i="1"/>
  <c r="AJ118" i="1"/>
  <c r="N118" i="1"/>
  <c r="L118" i="1"/>
  <c r="J118" i="1"/>
  <c r="H118" i="1"/>
  <c r="F118" i="1"/>
  <c r="D118" i="1"/>
  <c r="B118" i="1"/>
  <c r="AJ117" i="1"/>
  <c r="N117" i="1"/>
  <c r="L117" i="1"/>
  <c r="J117" i="1"/>
  <c r="H117" i="1"/>
  <c r="F117" i="1"/>
  <c r="D117" i="1"/>
  <c r="B117" i="1"/>
  <c r="AJ116" i="1"/>
  <c r="N116" i="1"/>
  <c r="L116" i="1"/>
  <c r="J116" i="1"/>
  <c r="H116" i="1"/>
  <c r="F116" i="1"/>
  <c r="D116" i="1"/>
  <c r="B116" i="1"/>
  <c r="AJ115" i="1"/>
  <c r="N115" i="1"/>
  <c r="L115" i="1"/>
  <c r="J115" i="1"/>
  <c r="H115" i="1"/>
  <c r="F115" i="1"/>
  <c r="D115" i="1"/>
  <c r="B115" i="1"/>
  <c r="AJ114" i="1"/>
  <c r="N114" i="1"/>
  <c r="L114" i="1"/>
  <c r="J114" i="1"/>
  <c r="H114" i="1"/>
  <c r="F114" i="1"/>
  <c r="D114" i="1"/>
  <c r="B114" i="1"/>
  <c r="AJ113" i="1"/>
  <c r="N113" i="1"/>
  <c r="L113" i="1"/>
  <c r="J113" i="1"/>
  <c r="H113" i="1"/>
  <c r="F113" i="1"/>
  <c r="D113" i="1"/>
  <c r="B113" i="1"/>
  <c r="AJ112" i="1"/>
  <c r="N112" i="1"/>
  <c r="L112" i="1"/>
  <c r="J112" i="1"/>
  <c r="H112" i="1"/>
  <c r="F112" i="1"/>
  <c r="D112" i="1"/>
  <c r="B112" i="1"/>
  <c r="AJ111" i="1"/>
  <c r="N111" i="1"/>
  <c r="L111" i="1"/>
  <c r="J111" i="1"/>
  <c r="H111" i="1"/>
  <c r="F111" i="1"/>
  <c r="D111" i="1"/>
  <c r="B111" i="1"/>
  <c r="AJ110" i="1"/>
  <c r="N110" i="1"/>
  <c r="L110" i="1"/>
  <c r="J110" i="1"/>
  <c r="H110" i="1"/>
  <c r="F110" i="1"/>
  <c r="D110" i="1"/>
  <c r="B110" i="1"/>
  <c r="AJ109" i="1"/>
  <c r="N109" i="1"/>
  <c r="L109" i="1"/>
  <c r="J109" i="1"/>
  <c r="H109" i="1"/>
  <c r="F109" i="1"/>
  <c r="D109" i="1"/>
  <c r="B109" i="1"/>
  <c r="AJ108" i="1"/>
  <c r="N108" i="1"/>
  <c r="L108" i="1"/>
  <c r="J108" i="1"/>
  <c r="H108" i="1"/>
  <c r="F108" i="1"/>
  <c r="D108" i="1"/>
  <c r="B108" i="1"/>
  <c r="AJ107" i="1"/>
  <c r="N107" i="1"/>
  <c r="L107" i="1"/>
  <c r="J107" i="1"/>
  <c r="H107" i="1"/>
  <c r="F107" i="1"/>
  <c r="D107" i="1"/>
  <c r="B107" i="1"/>
  <c r="AJ106" i="1"/>
  <c r="N106" i="1"/>
  <c r="L106" i="1"/>
  <c r="J106" i="1"/>
  <c r="H106" i="1"/>
  <c r="F106" i="1"/>
  <c r="D106" i="1"/>
  <c r="B106" i="1"/>
  <c r="AJ105" i="1"/>
  <c r="N105" i="1"/>
  <c r="L105" i="1"/>
  <c r="J105" i="1"/>
  <c r="H105" i="1"/>
  <c r="F105" i="1"/>
  <c r="D105" i="1"/>
  <c r="B105" i="1"/>
  <c r="AJ104" i="1"/>
  <c r="N104" i="1"/>
  <c r="L104" i="1"/>
  <c r="J104" i="1"/>
  <c r="H104" i="1"/>
  <c r="F104" i="1"/>
  <c r="D104" i="1"/>
  <c r="B104" i="1"/>
  <c r="AJ103" i="1"/>
  <c r="N103" i="1"/>
  <c r="L103" i="1"/>
  <c r="J103" i="1"/>
  <c r="H103" i="1"/>
  <c r="F103" i="1"/>
  <c r="D103" i="1"/>
  <c r="B103" i="1"/>
  <c r="AJ102" i="1"/>
  <c r="N102" i="1"/>
  <c r="L102" i="1"/>
  <c r="J102" i="1"/>
  <c r="H102" i="1"/>
  <c r="F102" i="1"/>
  <c r="D102" i="1"/>
  <c r="B102" i="1"/>
  <c r="AJ101" i="1"/>
  <c r="N101" i="1"/>
  <c r="L101" i="1"/>
  <c r="J101" i="1"/>
  <c r="H101" i="1"/>
  <c r="F101" i="1"/>
  <c r="D101" i="1"/>
  <c r="B101" i="1"/>
  <c r="AJ100" i="1"/>
  <c r="N100" i="1"/>
  <c r="L100" i="1"/>
  <c r="J100" i="1"/>
  <c r="H100" i="1"/>
  <c r="F100" i="1"/>
  <c r="D100" i="1"/>
  <c r="B100" i="1"/>
  <c r="AJ99" i="1"/>
  <c r="N99" i="1"/>
  <c r="L99" i="1"/>
  <c r="J99" i="1"/>
  <c r="H99" i="1"/>
  <c r="F99" i="1"/>
  <c r="D99" i="1"/>
  <c r="B99" i="1"/>
  <c r="AJ98" i="1"/>
  <c r="N98" i="1"/>
  <c r="L98" i="1"/>
  <c r="J98" i="1"/>
  <c r="H98" i="1"/>
  <c r="F98" i="1"/>
  <c r="D98" i="1"/>
  <c r="B98" i="1"/>
  <c r="AJ97" i="1"/>
  <c r="N97" i="1"/>
  <c r="L97" i="1"/>
  <c r="J97" i="1"/>
  <c r="H97" i="1"/>
  <c r="F97" i="1"/>
  <c r="D97" i="1"/>
  <c r="B97" i="1"/>
  <c r="AJ96" i="1"/>
  <c r="N96" i="1"/>
  <c r="L96" i="1"/>
  <c r="J96" i="1"/>
  <c r="H96" i="1"/>
  <c r="F96" i="1"/>
  <c r="D96" i="1"/>
  <c r="B96" i="1"/>
  <c r="AJ95" i="1"/>
  <c r="N95" i="1"/>
  <c r="L95" i="1"/>
  <c r="J95" i="1"/>
  <c r="H95" i="1"/>
  <c r="F95" i="1"/>
  <c r="D95" i="1"/>
  <c r="B95" i="1"/>
  <c r="AJ94" i="1"/>
  <c r="N94" i="1"/>
  <c r="L94" i="1"/>
  <c r="J94" i="1"/>
  <c r="H94" i="1"/>
  <c r="F94" i="1"/>
  <c r="D94" i="1"/>
  <c r="B94" i="1"/>
  <c r="AJ93" i="1"/>
  <c r="N93" i="1"/>
  <c r="L93" i="1"/>
  <c r="J93" i="1"/>
  <c r="H93" i="1"/>
  <c r="F93" i="1"/>
  <c r="D93" i="1"/>
  <c r="B93" i="1"/>
  <c r="AJ92" i="1"/>
  <c r="N92" i="1"/>
  <c r="L92" i="1"/>
  <c r="J92" i="1"/>
  <c r="H92" i="1"/>
  <c r="F92" i="1"/>
  <c r="D92" i="1"/>
  <c r="B92" i="1"/>
  <c r="AJ91" i="1"/>
  <c r="N91" i="1"/>
  <c r="L91" i="1"/>
  <c r="J91" i="1"/>
  <c r="H91" i="1"/>
  <c r="F91" i="1"/>
  <c r="D91" i="1"/>
  <c r="B91" i="1"/>
  <c r="AJ90" i="1"/>
  <c r="N90" i="1"/>
  <c r="L90" i="1"/>
  <c r="J90" i="1"/>
  <c r="H90" i="1"/>
  <c r="F90" i="1"/>
  <c r="D90" i="1"/>
  <c r="B90" i="1"/>
  <c r="AJ89" i="1"/>
  <c r="N89" i="1"/>
  <c r="L89" i="1"/>
  <c r="J89" i="1"/>
  <c r="H89" i="1"/>
  <c r="F89" i="1"/>
  <c r="D89" i="1"/>
  <c r="B89" i="1"/>
  <c r="AJ88" i="1"/>
  <c r="N88" i="1"/>
  <c r="L88" i="1"/>
  <c r="J88" i="1"/>
  <c r="H88" i="1"/>
  <c r="F88" i="1"/>
  <c r="D88" i="1"/>
  <c r="B88" i="1"/>
  <c r="AJ87" i="1"/>
  <c r="N87" i="1"/>
  <c r="L87" i="1"/>
  <c r="J87" i="1"/>
  <c r="H87" i="1"/>
  <c r="F87" i="1"/>
  <c r="D87" i="1"/>
  <c r="B87" i="1"/>
  <c r="AJ86" i="1"/>
  <c r="N86" i="1"/>
  <c r="L86" i="1"/>
  <c r="J86" i="1"/>
  <c r="H86" i="1"/>
  <c r="F86" i="1"/>
  <c r="D86" i="1"/>
  <c r="B86" i="1"/>
  <c r="AJ85" i="1"/>
  <c r="N85" i="1"/>
  <c r="L85" i="1"/>
  <c r="J85" i="1"/>
  <c r="H85" i="1"/>
  <c r="F85" i="1"/>
  <c r="D85" i="1"/>
  <c r="B85" i="1"/>
  <c r="AJ84" i="1"/>
  <c r="N84" i="1"/>
  <c r="L84" i="1"/>
  <c r="J84" i="1"/>
  <c r="H84" i="1"/>
  <c r="F84" i="1"/>
  <c r="D84" i="1"/>
  <c r="B84" i="1"/>
  <c r="AJ83" i="1"/>
  <c r="N83" i="1"/>
  <c r="L83" i="1"/>
  <c r="J83" i="1"/>
  <c r="H83" i="1"/>
  <c r="F83" i="1"/>
  <c r="D83" i="1"/>
  <c r="B83" i="1"/>
  <c r="AJ82" i="1"/>
  <c r="N82" i="1"/>
  <c r="L82" i="1"/>
  <c r="J82" i="1"/>
  <c r="H82" i="1"/>
  <c r="F82" i="1"/>
  <c r="D82" i="1"/>
  <c r="B82" i="1"/>
  <c r="AJ81" i="1"/>
  <c r="N81" i="1"/>
  <c r="L81" i="1"/>
  <c r="J81" i="1"/>
  <c r="H81" i="1"/>
  <c r="F81" i="1"/>
  <c r="D81" i="1"/>
  <c r="B81" i="1"/>
  <c r="AJ80" i="1"/>
  <c r="N80" i="1"/>
  <c r="L80" i="1"/>
  <c r="J80" i="1"/>
  <c r="H80" i="1"/>
  <c r="F80" i="1"/>
  <c r="D80" i="1"/>
  <c r="B80" i="1"/>
  <c r="AJ79" i="1"/>
  <c r="N79" i="1"/>
  <c r="L79" i="1"/>
  <c r="J79" i="1"/>
  <c r="H79" i="1"/>
  <c r="F79" i="1"/>
  <c r="D79" i="1"/>
  <c r="B79" i="1"/>
  <c r="AJ78" i="1"/>
  <c r="N78" i="1"/>
  <c r="L78" i="1"/>
  <c r="J78" i="1"/>
  <c r="H78" i="1"/>
  <c r="F78" i="1"/>
  <c r="D78" i="1"/>
  <c r="B78" i="1"/>
  <c r="AJ77" i="1"/>
  <c r="N77" i="1"/>
  <c r="L77" i="1"/>
  <c r="J77" i="1"/>
  <c r="H77" i="1"/>
  <c r="F77" i="1"/>
  <c r="D77" i="1"/>
  <c r="B77" i="1"/>
  <c r="AJ76" i="1"/>
  <c r="N76" i="1"/>
  <c r="L76" i="1"/>
  <c r="J76" i="1"/>
  <c r="H76" i="1"/>
  <c r="F76" i="1"/>
  <c r="D76" i="1"/>
  <c r="B76" i="1"/>
  <c r="AJ75" i="1"/>
  <c r="N75" i="1"/>
  <c r="L75" i="1"/>
  <c r="J75" i="1"/>
  <c r="H75" i="1"/>
  <c r="F75" i="1"/>
  <c r="D75" i="1"/>
  <c r="B75" i="1"/>
  <c r="AJ74" i="1"/>
  <c r="N74" i="1"/>
  <c r="L74" i="1"/>
  <c r="J74" i="1"/>
  <c r="H74" i="1"/>
  <c r="F74" i="1"/>
  <c r="D74" i="1"/>
  <c r="B74" i="1"/>
  <c r="AJ73" i="1"/>
  <c r="N73" i="1"/>
  <c r="L73" i="1"/>
  <c r="J73" i="1"/>
  <c r="H73" i="1"/>
  <c r="F73" i="1"/>
  <c r="D73" i="1"/>
  <c r="B73" i="1"/>
  <c r="AJ72" i="1"/>
  <c r="N72" i="1"/>
  <c r="L72" i="1"/>
  <c r="J72" i="1"/>
  <c r="H72" i="1"/>
  <c r="F72" i="1"/>
  <c r="D72" i="1"/>
  <c r="B72" i="1"/>
  <c r="AJ71" i="1"/>
  <c r="N71" i="1"/>
  <c r="L71" i="1"/>
  <c r="J71" i="1"/>
  <c r="H71" i="1"/>
  <c r="F71" i="1"/>
  <c r="D71" i="1"/>
  <c r="B71" i="1"/>
  <c r="AJ70" i="1"/>
  <c r="N70" i="1"/>
  <c r="L70" i="1"/>
  <c r="J70" i="1"/>
  <c r="H70" i="1"/>
  <c r="F70" i="1"/>
  <c r="D70" i="1"/>
  <c r="B70" i="1"/>
  <c r="AJ69" i="1"/>
  <c r="N69" i="1"/>
  <c r="L69" i="1"/>
  <c r="J69" i="1"/>
  <c r="H69" i="1"/>
  <c r="F69" i="1"/>
  <c r="D69" i="1"/>
  <c r="B69" i="1"/>
  <c r="AJ68" i="1"/>
  <c r="N68" i="1"/>
  <c r="L68" i="1"/>
  <c r="J68" i="1"/>
  <c r="H68" i="1"/>
  <c r="F68" i="1"/>
  <c r="D68" i="1"/>
  <c r="B68" i="1"/>
  <c r="AJ67" i="1"/>
  <c r="N67" i="1"/>
  <c r="L67" i="1"/>
  <c r="J67" i="1"/>
  <c r="H67" i="1"/>
  <c r="F67" i="1"/>
  <c r="D67" i="1"/>
  <c r="B67" i="1"/>
  <c r="AJ66" i="1"/>
  <c r="N66" i="1"/>
  <c r="L66" i="1"/>
  <c r="J66" i="1"/>
  <c r="H66" i="1"/>
  <c r="F66" i="1"/>
  <c r="D66" i="1"/>
  <c r="B66" i="1"/>
  <c r="AJ65" i="1"/>
  <c r="N65" i="1"/>
  <c r="L65" i="1"/>
  <c r="J65" i="1"/>
  <c r="H65" i="1"/>
  <c r="F65" i="1"/>
  <c r="D65" i="1"/>
  <c r="B65" i="1"/>
  <c r="AJ64" i="1"/>
  <c r="N64" i="1"/>
  <c r="L64" i="1"/>
  <c r="J64" i="1"/>
  <c r="H64" i="1"/>
  <c r="F64" i="1"/>
  <c r="D64" i="1"/>
  <c r="B64" i="1"/>
  <c r="AJ63" i="1"/>
  <c r="N63" i="1"/>
  <c r="L63" i="1"/>
  <c r="J63" i="1"/>
  <c r="H63" i="1"/>
  <c r="F63" i="1"/>
  <c r="D63" i="1"/>
  <c r="B63" i="1"/>
  <c r="AJ62" i="1"/>
  <c r="N62" i="1"/>
  <c r="L62" i="1"/>
  <c r="J62" i="1"/>
  <c r="H62" i="1"/>
  <c r="F62" i="1"/>
  <c r="D62" i="1"/>
  <c r="B62" i="1"/>
  <c r="AJ61" i="1"/>
  <c r="N61" i="1"/>
  <c r="L61" i="1"/>
  <c r="J61" i="1"/>
  <c r="H61" i="1"/>
  <c r="F61" i="1"/>
  <c r="D61" i="1"/>
  <c r="B61" i="1"/>
  <c r="AJ60" i="1"/>
  <c r="N60" i="1"/>
  <c r="L60" i="1"/>
  <c r="J60" i="1"/>
  <c r="H60" i="1"/>
  <c r="F60" i="1"/>
  <c r="D60" i="1"/>
  <c r="B60" i="1"/>
  <c r="AJ59" i="1"/>
  <c r="N59" i="1"/>
  <c r="L59" i="1"/>
  <c r="J59" i="1"/>
  <c r="H59" i="1"/>
  <c r="F59" i="1"/>
  <c r="D59" i="1"/>
  <c r="B59" i="1"/>
  <c r="AJ58" i="1"/>
  <c r="N58" i="1"/>
  <c r="L58" i="1"/>
  <c r="J58" i="1"/>
  <c r="H58" i="1"/>
  <c r="F58" i="1"/>
  <c r="D58" i="1"/>
  <c r="B58" i="1"/>
  <c r="AJ57" i="1"/>
  <c r="N57" i="1"/>
  <c r="L57" i="1"/>
  <c r="J57" i="1"/>
  <c r="H57" i="1"/>
  <c r="F57" i="1"/>
  <c r="D57" i="1"/>
  <c r="B57" i="1"/>
  <c r="AJ56" i="1"/>
  <c r="N56" i="1"/>
  <c r="L56" i="1"/>
  <c r="J56" i="1"/>
  <c r="H56" i="1"/>
  <c r="F56" i="1"/>
  <c r="D56" i="1"/>
  <c r="B56" i="1"/>
  <c r="AJ55" i="1"/>
  <c r="N55" i="1"/>
  <c r="L55" i="1"/>
  <c r="J55" i="1"/>
  <c r="H55" i="1"/>
  <c r="F55" i="1"/>
  <c r="D55" i="1"/>
  <c r="B55" i="1"/>
  <c r="AJ54" i="1"/>
  <c r="N54" i="1"/>
  <c r="L54" i="1"/>
  <c r="J54" i="1"/>
  <c r="H54" i="1"/>
  <c r="F54" i="1"/>
  <c r="D54" i="1"/>
  <c r="B54" i="1"/>
  <c r="AJ53" i="1"/>
  <c r="N53" i="1"/>
  <c r="L53" i="1"/>
  <c r="J53" i="1"/>
  <c r="H53" i="1"/>
  <c r="F53" i="1"/>
  <c r="D53" i="1"/>
  <c r="B53" i="1"/>
  <c r="AJ52" i="1"/>
  <c r="N52" i="1"/>
  <c r="L52" i="1"/>
  <c r="J52" i="1"/>
  <c r="H52" i="1"/>
  <c r="F52" i="1"/>
  <c r="D52" i="1"/>
  <c r="B52" i="1"/>
  <c r="AJ51" i="1"/>
  <c r="N51" i="1"/>
  <c r="L51" i="1"/>
  <c r="J51" i="1"/>
  <c r="H51" i="1"/>
  <c r="F51" i="1"/>
  <c r="D51" i="1"/>
  <c r="B51" i="1"/>
  <c r="AJ50" i="1"/>
  <c r="N50" i="1"/>
  <c r="L50" i="1"/>
  <c r="J50" i="1"/>
  <c r="H50" i="1"/>
  <c r="F50" i="1"/>
  <c r="D50" i="1"/>
  <c r="B50" i="1"/>
  <c r="AJ49" i="1"/>
  <c r="N49" i="1"/>
  <c r="L49" i="1"/>
  <c r="J49" i="1"/>
  <c r="H49" i="1"/>
  <c r="F49" i="1"/>
  <c r="D49" i="1"/>
  <c r="B49" i="1"/>
  <c r="AJ48" i="1"/>
  <c r="N48" i="1"/>
  <c r="L48" i="1"/>
  <c r="J48" i="1"/>
  <c r="H48" i="1"/>
  <c r="F48" i="1"/>
  <c r="D48" i="1"/>
  <c r="B48" i="1"/>
  <c r="AJ47" i="1"/>
  <c r="N47" i="1"/>
  <c r="L47" i="1"/>
  <c r="J47" i="1"/>
  <c r="H47" i="1"/>
  <c r="F47" i="1"/>
  <c r="D47" i="1"/>
  <c r="B47" i="1"/>
  <c r="AJ46" i="1"/>
  <c r="L148" i="1"/>
  <c r="D148" i="1"/>
  <c r="L147" i="1"/>
  <c r="D147" i="1"/>
  <c r="H146" i="1"/>
  <c r="AJ145" i="1"/>
  <c r="L145" i="1"/>
  <c r="D145" i="1"/>
  <c r="H144" i="1"/>
  <c r="AJ143" i="1"/>
  <c r="L143" i="1"/>
  <c r="D143" i="1"/>
  <c r="H142" i="1"/>
  <c r="AJ141" i="1"/>
  <c r="L141" i="1"/>
  <c r="D141" i="1"/>
  <c r="H140" i="1"/>
  <c r="AJ139" i="1"/>
  <c r="L139" i="1"/>
  <c r="D139" i="1"/>
  <c r="H138" i="1"/>
  <c r="AJ137" i="1"/>
  <c r="L137" i="1"/>
  <c r="D137" i="1"/>
  <c r="H136" i="1"/>
  <c r="AJ135" i="1"/>
  <c r="L135" i="1"/>
  <c r="D135" i="1"/>
  <c r="H134" i="1"/>
  <c r="AJ133" i="1"/>
  <c r="L133" i="1"/>
  <c r="D133" i="1"/>
  <c r="H132" i="1"/>
  <c r="AJ131" i="1"/>
  <c r="L131" i="1"/>
  <c r="D131" i="1"/>
  <c r="H130" i="1"/>
  <c r="AJ129" i="1"/>
  <c r="L129" i="1"/>
  <c r="D129" i="1"/>
  <c r="H128" i="1"/>
  <c r="AJ127" i="1"/>
  <c r="L127" i="1"/>
  <c r="D127" i="1"/>
  <c r="H126" i="1"/>
  <c r="AJ125" i="1"/>
  <c r="L125" i="1"/>
  <c r="D125" i="1"/>
  <c r="H124" i="1"/>
  <c r="AJ123" i="1"/>
  <c r="L123" i="1"/>
  <c r="D123" i="1"/>
  <c r="K122" i="1"/>
  <c r="G122" i="1"/>
  <c r="AI121" i="1"/>
  <c r="K121" i="1"/>
  <c r="G121" i="1"/>
  <c r="AI120" i="1"/>
  <c r="K120" i="1"/>
  <c r="G120" i="1"/>
  <c r="AI119" i="1"/>
  <c r="K119" i="1"/>
  <c r="G119" i="1"/>
  <c r="AI118" i="1"/>
  <c r="K118" i="1"/>
  <c r="G118" i="1"/>
  <c r="AI117" i="1"/>
  <c r="K117" i="1"/>
  <c r="G117" i="1"/>
  <c r="AI116" i="1"/>
  <c r="K116" i="1"/>
  <c r="G116" i="1"/>
  <c r="AI115" i="1"/>
  <c r="K115" i="1"/>
  <c r="G115" i="1"/>
  <c r="AI114" i="1"/>
  <c r="K114" i="1"/>
  <c r="G114" i="1"/>
  <c r="AI113" i="1"/>
  <c r="K113" i="1"/>
  <c r="G113" i="1"/>
  <c r="AI112" i="1"/>
  <c r="K112" i="1"/>
  <c r="G112" i="1"/>
  <c r="AI111" i="1"/>
  <c r="K111" i="1"/>
  <c r="G111" i="1"/>
  <c r="AI110" i="1"/>
  <c r="K110" i="1"/>
  <c r="G110" i="1"/>
  <c r="AI109" i="1"/>
  <c r="K109" i="1"/>
  <c r="G109" i="1"/>
  <c r="AI108" i="1"/>
  <c r="K108" i="1"/>
  <c r="G108" i="1"/>
  <c r="AI107" i="1"/>
  <c r="K107" i="1"/>
  <c r="G107" i="1"/>
  <c r="AI106" i="1"/>
  <c r="K106" i="1"/>
  <c r="G106" i="1"/>
  <c r="AI105" i="1"/>
  <c r="K105" i="1"/>
  <c r="G105" i="1"/>
  <c r="AI104" i="1"/>
  <c r="K104" i="1"/>
  <c r="G104" i="1"/>
  <c r="AI103" i="1"/>
  <c r="K103" i="1"/>
  <c r="G103" i="1"/>
  <c r="AI102" i="1"/>
  <c r="K102" i="1"/>
  <c r="G102" i="1"/>
  <c r="AI101" i="1"/>
  <c r="K101" i="1"/>
  <c r="G101" i="1"/>
  <c r="AI100" i="1"/>
  <c r="K100" i="1"/>
  <c r="G100" i="1"/>
  <c r="AI99" i="1"/>
  <c r="K99" i="1"/>
  <c r="G99" i="1"/>
  <c r="AI98" i="1"/>
  <c r="K98" i="1"/>
  <c r="G98" i="1"/>
  <c r="AI97" i="1"/>
  <c r="K97" i="1"/>
  <c r="G97" i="1"/>
  <c r="AI96" i="1"/>
  <c r="K96" i="1"/>
  <c r="G96" i="1"/>
  <c r="AI95" i="1"/>
  <c r="K95" i="1"/>
  <c r="G95" i="1"/>
  <c r="AI94" i="1"/>
  <c r="K94" i="1"/>
  <c r="G94" i="1"/>
  <c r="AI93" i="1"/>
  <c r="K93" i="1"/>
  <c r="G93" i="1"/>
  <c r="AI92" i="1"/>
  <c r="K92" i="1"/>
  <c r="G92" i="1"/>
  <c r="AI91" i="1"/>
  <c r="K91" i="1"/>
  <c r="G91" i="1"/>
  <c r="AI90" i="1"/>
  <c r="K90" i="1"/>
  <c r="G90" i="1"/>
  <c r="AI89" i="1"/>
  <c r="K89" i="1"/>
  <c r="G89" i="1"/>
  <c r="AI88" i="1"/>
  <c r="K88" i="1"/>
  <c r="G88" i="1"/>
  <c r="AI87" i="1"/>
  <c r="K87" i="1"/>
  <c r="G87" i="1"/>
  <c r="AI86" i="1"/>
  <c r="K86" i="1"/>
  <c r="G86" i="1"/>
  <c r="AI85" i="1"/>
  <c r="K85" i="1"/>
  <c r="G85" i="1"/>
  <c r="AI84" i="1"/>
  <c r="K84" i="1"/>
  <c r="G84" i="1"/>
  <c r="AI83" i="1"/>
  <c r="K83" i="1"/>
  <c r="G83" i="1"/>
  <c r="AI82" i="1"/>
  <c r="K82" i="1"/>
  <c r="G82" i="1"/>
  <c r="AI81" i="1"/>
  <c r="K81" i="1"/>
  <c r="G81" i="1"/>
  <c r="AI80" i="1"/>
  <c r="K80" i="1"/>
  <c r="G80" i="1"/>
  <c r="AI79" i="1"/>
  <c r="K79" i="1"/>
  <c r="G79" i="1"/>
  <c r="AI78" i="1"/>
  <c r="K78" i="1"/>
  <c r="G78" i="1"/>
  <c r="AI77" i="1"/>
  <c r="K77" i="1"/>
  <c r="G77" i="1"/>
  <c r="AI76" i="1"/>
  <c r="K76" i="1"/>
  <c r="G76" i="1"/>
  <c r="AI75" i="1"/>
  <c r="K75" i="1"/>
  <c r="G75" i="1"/>
  <c r="AI74" i="1"/>
  <c r="K74" i="1"/>
  <c r="G74" i="1"/>
  <c r="AI73" i="1"/>
  <c r="K73" i="1"/>
  <c r="G73" i="1"/>
  <c r="AI72" i="1"/>
  <c r="K72" i="1"/>
  <c r="G72" i="1"/>
  <c r="AI71" i="1"/>
  <c r="K71" i="1"/>
  <c r="G71" i="1"/>
  <c r="AI70" i="1"/>
  <c r="K70" i="1"/>
  <c r="G70" i="1"/>
  <c r="AI69" i="1"/>
  <c r="K69" i="1"/>
  <c r="G69" i="1"/>
  <c r="AI68" i="1"/>
  <c r="K68" i="1"/>
  <c r="G68" i="1"/>
  <c r="AI67" i="1"/>
  <c r="K67" i="1"/>
  <c r="G67" i="1"/>
  <c r="AI66" i="1"/>
  <c r="K66" i="1"/>
  <c r="G66" i="1"/>
  <c r="AI65" i="1"/>
  <c r="K65" i="1"/>
  <c r="G65" i="1"/>
  <c r="AI64" i="1"/>
  <c r="K64" i="1"/>
  <c r="G64" i="1"/>
  <c r="AI63" i="1"/>
  <c r="K63" i="1"/>
  <c r="G63" i="1"/>
  <c r="AI62" i="1"/>
  <c r="K62" i="1"/>
  <c r="G62" i="1"/>
  <c r="AI61" i="1"/>
  <c r="K61" i="1"/>
  <c r="G61" i="1"/>
  <c r="AI60" i="1"/>
  <c r="K60" i="1"/>
  <c r="G60" i="1"/>
  <c r="AI59" i="1"/>
  <c r="K59" i="1"/>
  <c r="G59" i="1"/>
  <c r="AI58" i="1"/>
  <c r="K58" i="1"/>
  <c r="G58" i="1"/>
  <c r="AI57" i="1"/>
  <c r="K57" i="1"/>
  <c r="G57" i="1"/>
  <c r="AI56" i="1"/>
  <c r="K56" i="1"/>
  <c r="G56" i="1"/>
  <c r="AI55" i="1"/>
  <c r="K55" i="1"/>
  <c r="G55" i="1"/>
  <c r="AI54" i="1"/>
  <c r="K54" i="1"/>
  <c r="G54" i="1"/>
  <c r="AI53" i="1"/>
  <c r="K53" i="1"/>
  <c r="G53" i="1"/>
  <c r="AI52" i="1"/>
  <c r="K52" i="1"/>
  <c r="G52" i="1"/>
  <c r="AI51" i="1"/>
  <c r="K51" i="1"/>
  <c r="G51" i="1"/>
  <c r="AI50" i="1"/>
  <c r="K50" i="1"/>
  <c r="G50" i="1"/>
  <c r="AI49" i="1"/>
  <c r="K49" i="1"/>
  <c r="G49" i="1"/>
  <c r="AI48" i="1"/>
  <c r="K48" i="1"/>
  <c r="G48" i="1"/>
  <c r="AI47" i="1"/>
  <c r="K47" i="1"/>
  <c r="G47" i="1"/>
  <c r="AI46" i="1"/>
  <c r="N46" i="1"/>
  <c r="L46" i="1"/>
  <c r="J46" i="1"/>
  <c r="H46" i="1"/>
  <c r="F46" i="1"/>
  <c r="D46" i="1"/>
  <c r="B46" i="1"/>
  <c r="AJ45" i="1"/>
  <c r="N45" i="1"/>
  <c r="L45" i="1"/>
  <c r="J45" i="1"/>
  <c r="H45" i="1"/>
  <c r="F45" i="1"/>
  <c r="D45" i="1"/>
  <c r="B45" i="1"/>
  <c r="AJ44" i="1"/>
  <c r="N44" i="1"/>
  <c r="L44" i="1"/>
  <c r="J44" i="1"/>
  <c r="H44" i="1"/>
  <c r="F44" i="1"/>
  <c r="D44" i="1"/>
  <c r="B44" i="1"/>
  <c r="AJ43" i="1"/>
  <c r="N43" i="1"/>
  <c r="L43" i="1"/>
  <c r="J43" i="1"/>
  <c r="H43" i="1"/>
  <c r="F43" i="1"/>
  <c r="D43" i="1"/>
  <c r="B43" i="1"/>
  <c r="AJ42" i="1"/>
  <c r="N42" i="1"/>
  <c r="L42" i="1"/>
  <c r="J42" i="1"/>
  <c r="H42" i="1"/>
  <c r="F42" i="1"/>
  <c r="D42" i="1"/>
  <c r="B42" i="1"/>
  <c r="AJ41" i="1"/>
  <c r="N41" i="1"/>
  <c r="L41" i="1"/>
  <c r="J41" i="1"/>
  <c r="H41" i="1"/>
  <c r="F41" i="1"/>
  <c r="D41" i="1"/>
  <c r="B41" i="1"/>
  <c r="AJ40" i="1"/>
  <c r="N40" i="1"/>
  <c r="L40" i="1"/>
  <c r="J40" i="1"/>
  <c r="H40" i="1"/>
  <c r="F40" i="1"/>
  <c r="D40" i="1"/>
  <c r="B40" i="1"/>
  <c r="AJ39" i="1"/>
  <c r="N39" i="1"/>
  <c r="L39" i="1"/>
  <c r="J39" i="1"/>
  <c r="H39" i="1"/>
  <c r="F39" i="1"/>
  <c r="D39" i="1"/>
  <c r="B39" i="1"/>
  <c r="AJ38" i="1"/>
  <c r="N38" i="1"/>
  <c r="L38" i="1"/>
  <c r="J38" i="1"/>
  <c r="H38" i="1"/>
  <c r="F38" i="1"/>
  <c r="D38" i="1"/>
  <c r="B38" i="1"/>
  <c r="AJ37" i="1"/>
  <c r="N37" i="1"/>
  <c r="L37" i="1"/>
  <c r="J37" i="1"/>
  <c r="H37" i="1"/>
  <c r="F37" i="1"/>
  <c r="D37" i="1"/>
  <c r="B37" i="1"/>
  <c r="AJ36" i="1"/>
  <c r="N36" i="1"/>
  <c r="L36" i="1"/>
  <c r="J36" i="1"/>
  <c r="H36" i="1"/>
  <c r="F36" i="1"/>
  <c r="D36" i="1"/>
  <c r="B36" i="1"/>
  <c r="AJ35" i="1"/>
  <c r="N35" i="1"/>
  <c r="L35" i="1"/>
  <c r="J35" i="1"/>
  <c r="H35" i="1"/>
  <c r="F35" i="1"/>
  <c r="D35" i="1"/>
  <c r="B35" i="1"/>
  <c r="AJ34" i="1"/>
  <c r="N34" i="1"/>
  <c r="L34" i="1"/>
  <c r="J34" i="1"/>
  <c r="H34" i="1"/>
  <c r="F34" i="1"/>
  <c r="D34" i="1"/>
  <c r="B34" i="1"/>
  <c r="AJ33" i="1"/>
  <c r="N33" i="1"/>
  <c r="L33" i="1"/>
  <c r="J33" i="1"/>
  <c r="H33" i="1"/>
  <c r="F33" i="1"/>
  <c r="D33" i="1"/>
  <c r="B33" i="1"/>
  <c r="AJ32" i="1"/>
  <c r="N32" i="1"/>
  <c r="L32" i="1"/>
  <c r="J32" i="1"/>
  <c r="H32" i="1"/>
  <c r="F32" i="1"/>
  <c r="D32" i="1"/>
  <c r="B32" i="1"/>
  <c r="AJ31" i="1"/>
  <c r="N31" i="1"/>
  <c r="L31" i="1"/>
  <c r="J31" i="1"/>
  <c r="H31" i="1"/>
  <c r="F31" i="1"/>
  <c r="D31" i="1"/>
  <c r="B31" i="1"/>
  <c r="AJ30" i="1"/>
  <c r="N30" i="1"/>
  <c r="L30" i="1"/>
  <c r="J30" i="1"/>
  <c r="H30" i="1"/>
  <c r="F30" i="1"/>
  <c r="D30" i="1"/>
  <c r="B30" i="1"/>
  <c r="AJ29" i="1"/>
  <c r="N29" i="1"/>
  <c r="L29" i="1"/>
  <c r="J29" i="1"/>
  <c r="H29" i="1"/>
  <c r="F29" i="1"/>
  <c r="D29" i="1"/>
  <c r="B29" i="1"/>
  <c r="AJ28" i="1"/>
  <c r="N28" i="1"/>
  <c r="L28" i="1"/>
  <c r="J28" i="1"/>
  <c r="H28" i="1"/>
  <c r="F28" i="1"/>
  <c r="D28" i="1"/>
  <c r="B28" i="1"/>
  <c r="AJ27" i="1"/>
  <c r="N27" i="1"/>
  <c r="L27" i="1"/>
  <c r="J27" i="1"/>
  <c r="H27" i="1"/>
  <c r="F27" i="1"/>
  <c r="D27" i="1"/>
  <c r="B27" i="1"/>
  <c r="AJ26" i="1"/>
  <c r="N26" i="1"/>
  <c r="L26" i="1"/>
  <c r="J26" i="1"/>
  <c r="H26" i="1"/>
  <c r="F26" i="1"/>
  <c r="D26" i="1"/>
  <c r="B26" i="1"/>
  <c r="AJ25" i="1"/>
  <c r="N25" i="1"/>
  <c r="L25" i="1"/>
  <c r="J25" i="1"/>
  <c r="H25" i="1"/>
  <c r="F25" i="1"/>
  <c r="D25" i="1"/>
  <c r="B25" i="1"/>
  <c r="AJ24" i="1"/>
  <c r="N24" i="1"/>
  <c r="L24" i="1"/>
  <c r="J24" i="1"/>
  <c r="H24" i="1"/>
  <c r="F24" i="1"/>
  <c r="D24" i="1"/>
  <c r="B24" i="1"/>
  <c r="AJ23" i="1"/>
  <c r="N23" i="1"/>
  <c r="L23" i="1"/>
  <c r="J23" i="1"/>
  <c r="H23" i="1"/>
  <c r="F23" i="1"/>
  <c r="D23" i="1"/>
  <c r="B23" i="1"/>
  <c r="AJ22" i="1"/>
  <c r="N22" i="1"/>
  <c r="L22" i="1"/>
  <c r="J22" i="1"/>
  <c r="H22" i="1"/>
  <c r="F22" i="1"/>
  <c r="D22" i="1"/>
  <c r="B22" i="1"/>
  <c r="AJ21" i="1"/>
  <c r="N21" i="1"/>
  <c r="L21" i="1"/>
  <c r="J21" i="1"/>
  <c r="H21" i="1"/>
  <c r="F21" i="1"/>
  <c r="D21" i="1"/>
  <c r="B21" i="1"/>
  <c r="AJ20" i="1"/>
  <c r="N20" i="1"/>
  <c r="L20" i="1"/>
  <c r="J20" i="1"/>
  <c r="H20" i="1"/>
  <c r="F20" i="1"/>
  <c r="D20" i="1"/>
  <c r="B20" i="1"/>
  <c r="AJ19" i="1"/>
  <c r="N19" i="1"/>
  <c r="L19" i="1"/>
  <c r="J19" i="1"/>
  <c r="H19" i="1"/>
  <c r="F19" i="1"/>
  <c r="D19" i="1"/>
  <c r="B19" i="1"/>
  <c r="AJ18" i="1"/>
  <c r="N18" i="1"/>
  <c r="L18" i="1"/>
  <c r="J18" i="1"/>
  <c r="H18" i="1"/>
  <c r="F18" i="1"/>
  <c r="D18" i="1"/>
  <c r="B18" i="1"/>
  <c r="AJ17" i="1"/>
  <c r="N17" i="1"/>
  <c r="L17" i="1"/>
  <c r="J17" i="1"/>
  <c r="H17" i="1"/>
  <c r="F17" i="1"/>
  <c r="D17" i="1"/>
  <c r="B17" i="1"/>
  <c r="AJ16" i="1"/>
  <c r="N16" i="1"/>
  <c r="L16" i="1"/>
  <c r="J16" i="1"/>
  <c r="H16" i="1"/>
  <c r="F16" i="1"/>
  <c r="D16" i="1"/>
  <c r="B16" i="1"/>
  <c r="AJ15" i="1"/>
  <c r="N15" i="1"/>
  <c r="L15" i="1"/>
  <c r="J15" i="1"/>
  <c r="H15" i="1"/>
  <c r="F15" i="1"/>
  <c r="D15" i="1"/>
  <c r="B15" i="1"/>
  <c r="AJ14" i="1"/>
  <c r="N14" i="1"/>
  <c r="L14" i="1"/>
  <c r="J14" i="1"/>
  <c r="H14" i="1"/>
  <c r="F14" i="1"/>
  <c r="D14" i="1"/>
  <c r="B14" i="1"/>
  <c r="AJ13" i="1"/>
  <c r="N13" i="1"/>
  <c r="L13" i="1"/>
  <c r="J13" i="1"/>
  <c r="H13" i="1"/>
  <c r="F13" i="1"/>
  <c r="D13" i="1"/>
  <c r="B13" i="1"/>
  <c r="AJ12" i="1"/>
  <c r="N12" i="1"/>
  <c r="L12" i="1"/>
  <c r="J12" i="1"/>
  <c r="H12" i="1"/>
  <c r="F12" i="1"/>
  <c r="D12" i="1"/>
  <c r="B12" i="1"/>
  <c r="AJ11" i="1"/>
  <c r="N11" i="1"/>
  <c r="L11" i="1"/>
  <c r="J11" i="1"/>
  <c r="H11" i="1"/>
  <c r="F11" i="1"/>
  <c r="D11" i="1"/>
  <c r="B11" i="1"/>
  <c r="AJ10" i="1"/>
  <c r="N10" i="1"/>
  <c r="L10" i="1"/>
  <c r="J10" i="1"/>
  <c r="H10" i="1"/>
  <c r="F10" i="1"/>
  <c r="D10" i="1"/>
  <c r="B10" i="1"/>
  <c r="AJ9" i="1"/>
  <c r="N9" i="1"/>
  <c r="L9" i="1"/>
  <c r="J9" i="1"/>
  <c r="H9" i="1"/>
  <c r="F9" i="1"/>
  <c r="D9" i="1"/>
  <c r="B9" i="1"/>
  <c r="AJ8" i="1"/>
  <c r="N8" i="1"/>
  <c r="L8" i="1"/>
  <c r="J8" i="1"/>
  <c r="H8" i="1"/>
  <c r="F8" i="1"/>
  <c r="D8" i="1"/>
  <c r="B8" i="1"/>
  <c r="AJ7" i="1"/>
  <c r="N7" i="1"/>
  <c r="L7" i="1"/>
  <c r="J7" i="1"/>
  <c r="H7" i="1"/>
  <c r="F7" i="1"/>
  <c r="D7" i="1"/>
  <c r="B7" i="1"/>
  <c r="AJ6" i="1"/>
  <c r="N6" i="1"/>
  <c r="L6" i="1"/>
  <c r="J6" i="1"/>
  <c r="H6" i="1"/>
  <c r="F6" i="1"/>
  <c r="D6" i="1"/>
  <c r="B6" i="1"/>
  <c r="AJ5" i="1"/>
  <c r="N5" i="1"/>
  <c r="H148" i="1"/>
  <c r="AJ147" i="1"/>
  <c r="H147" i="1"/>
  <c r="AJ146" i="1"/>
  <c r="L146" i="1"/>
  <c r="D146" i="1"/>
  <c r="H145" i="1"/>
  <c r="AJ144" i="1"/>
  <c r="L144" i="1"/>
  <c r="D144" i="1"/>
  <c r="H143" i="1"/>
  <c r="AJ142" i="1"/>
  <c r="L142" i="1"/>
  <c r="D142" i="1"/>
  <c r="H141" i="1"/>
  <c r="AJ140" i="1"/>
  <c r="L140" i="1"/>
  <c r="D140" i="1"/>
  <c r="H139" i="1"/>
  <c r="AJ138" i="1"/>
  <c r="L138" i="1"/>
  <c r="D138" i="1"/>
  <c r="H137" i="1"/>
  <c r="AJ136" i="1"/>
  <c r="L136" i="1"/>
  <c r="D136" i="1"/>
  <c r="H135" i="1"/>
  <c r="AJ134" i="1"/>
  <c r="L134" i="1"/>
  <c r="D134" i="1"/>
  <c r="H133" i="1"/>
  <c r="AJ132" i="1"/>
  <c r="L132" i="1"/>
  <c r="D132" i="1"/>
  <c r="H131" i="1"/>
  <c r="AJ130" i="1"/>
  <c r="L130" i="1"/>
  <c r="D130" i="1"/>
  <c r="H129" i="1"/>
  <c r="AJ128" i="1"/>
  <c r="L128" i="1"/>
  <c r="D128" i="1"/>
  <c r="H127" i="1"/>
  <c r="AJ126" i="1"/>
  <c r="L126" i="1"/>
  <c r="D126" i="1"/>
  <c r="H125" i="1"/>
  <c r="AJ124" i="1"/>
  <c r="L124" i="1"/>
  <c r="D124" i="1"/>
  <c r="H123" i="1"/>
  <c r="AJ122" i="1"/>
  <c r="M122" i="1"/>
  <c r="I122" i="1"/>
  <c r="E122" i="1"/>
  <c r="M121" i="1"/>
  <c r="I121" i="1"/>
  <c r="E121" i="1"/>
  <c r="M120" i="1"/>
  <c r="I120" i="1"/>
  <c r="E120" i="1"/>
  <c r="M119" i="1"/>
  <c r="I119" i="1"/>
  <c r="E119" i="1"/>
  <c r="M118" i="1"/>
  <c r="I118" i="1"/>
  <c r="E118" i="1"/>
  <c r="M117" i="1"/>
  <c r="I117" i="1"/>
  <c r="E117" i="1"/>
  <c r="M116" i="1"/>
  <c r="I116" i="1"/>
  <c r="E116" i="1"/>
  <c r="M115" i="1"/>
  <c r="I115" i="1"/>
  <c r="E115" i="1"/>
  <c r="M114" i="1"/>
  <c r="I114" i="1"/>
  <c r="E114" i="1"/>
  <c r="M113" i="1"/>
  <c r="I113" i="1"/>
  <c r="E113" i="1"/>
  <c r="M112" i="1"/>
  <c r="I112" i="1"/>
  <c r="E112" i="1"/>
  <c r="M111" i="1"/>
  <c r="I111" i="1"/>
  <c r="E111" i="1"/>
  <c r="M110" i="1"/>
  <c r="I110" i="1"/>
  <c r="E110" i="1"/>
  <c r="M109" i="1"/>
  <c r="I109" i="1"/>
  <c r="E109" i="1"/>
  <c r="M108" i="1"/>
  <c r="I108" i="1"/>
  <c r="E108" i="1"/>
  <c r="M107" i="1"/>
  <c r="I107" i="1"/>
  <c r="E107" i="1"/>
  <c r="M106" i="1"/>
  <c r="I106" i="1"/>
  <c r="E106" i="1"/>
  <c r="M105" i="1"/>
  <c r="I105" i="1"/>
  <c r="E105" i="1"/>
  <c r="M104" i="1"/>
  <c r="I104" i="1"/>
  <c r="E104" i="1"/>
  <c r="M103" i="1"/>
  <c r="I103" i="1"/>
  <c r="E103" i="1"/>
  <c r="M102" i="1"/>
  <c r="I102" i="1"/>
  <c r="E102" i="1"/>
  <c r="M101" i="1"/>
  <c r="I101" i="1"/>
  <c r="E101" i="1"/>
  <c r="M100" i="1"/>
  <c r="I100" i="1"/>
  <c r="E100" i="1"/>
  <c r="M99" i="1"/>
  <c r="I99" i="1"/>
  <c r="E99" i="1"/>
  <c r="M98" i="1"/>
  <c r="I98" i="1"/>
  <c r="E98" i="1"/>
  <c r="M97" i="1"/>
  <c r="I97" i="1"/>
  <c r="E97" i="1"/>
  <c r="M96" i="1"/>
  <c r="I96" i="1"/>
  <c r="E96" i="1"/>
  <c r="M95" i="1"/>
  <c r="I95" i="1"/>
  <c r="E95" i="1"/>
  <c r="M94" i="1"/>
  <c r="I94" i="1"/>
  <c r="E94" i="1"/>
  <c r="M93" i="1"/>
  <c r="I93" i="1"/>
  <c r="E93" i="1"/>
  <c r="M92" i="1"/>
  <c r="I92" i="1"/>
  <c r="E92" i="1"/>
  <c r="M91" i="1"/>
  <c r="I91" i="1"/>
  <c r="E91" i="1"/>
  <c r="M90" i="1"/>
  <c r="I90" i="1"/>
  <c r="E90" i="1"/>
  <c r="M89" i="1"/>
  <c r="I89" i="1"/>
  <c r="E89" i="1"/>
  <c r="M88" i="1"/>
  <c r="I88" i="1"/>
  <c r="E88" i="1"/>
  <c r="M87" i="1"/>
  <c r="I87" i="1"/>
  <c r="E87" i="1"/>
  <c r="M86" i="1"/>
  <c r="I86" i="1"/>
  <c r="E86" i="1"/>
  <c r="M85" i="1"/>
  <c r="I85" i="1"/>
  <c r="E85" i="1"/>
  <c r="M84" i="1"/>
  <c r="I84" i="1"/>
  <c r="E84" i="1"/>
  <c r="M83" i="1"/>
  <c r="I83" i="1"/>
  <c r="E83" i="1"/>
  <c r="M82" i="1"/>
  <c r="I82" i="1"/>
  <c r="E82" i="1"/>
  <c r="M81" i="1"/>
  <c r="I81" i="1"/>
  <c r="E81" i="1"/>
  <c r="M80" i="1"/>
  <c r="I80" i="1"/>
  <c r="E80" i="1"/>
  <c r="M79" i="1"/>
  <c r="I79" i="1"/>
  <c r="E79" i="1"/>
  <c r="M78" i="1"/>
  <c r="I78" i="1"/>
  <c r="E78" i="1"/>
  <c r="M77" i="1"/>
  <c r="I77" i="1"/>
  <c r="E77" i="1"/>
  <c r="M76" i="1"/>
  <c r="I76" i="1"/>
  <c r="E76" i="1"/>
  <c r="M75" i="1"/>
  <c r="I75" i="1"/>
  <c r="E75" i="1"/>
  <c r="M74" i="1"/>
  <c r="I74" i="1"/>
  <c r="E74" i="1"/>
  <c r="M73" i="1"/>
  <c r="I73" i="1"/>
  <c r="E73" i="1"/>
  <c r="M72" i="1"/>
  <c r="I72" i="1"/>
  <c r="E72" i="1"/>
  <c r="M71" i="1"/>
  <c r="I71" i="1"/>
  <c r="E71" i="1"/>
  <c r="M70" i="1"/>
  <c r="I70" i="1"/>
  <c r="E70" i="1"/>
  <c r="M69" i="1"/>
  <c r="I69" i="1"/>
  <c r="E69" i="1"/>
  <c r="M68" i="1"/>
  <c r="I68" i="1"/>
  <c r="E68" i="1"/>
  <c r="M67" i="1"/>
  <c r="I67" i="1"/>
  <c r="E67" i="1"/>
  <c r="M66" i="1"/>
  <c r="I66" i="1"/>
  <c r="E66" i="1"/>
  <c r="M65" i="1"/>
  <c r="I65" i="1"/>
  <c r="E65" i="1"/>
  <c r="M64" i="1"/>
  <c r="I64" i="1"/>
  <c r="E64" i="1"/>
  <c r="M63" i="1"/>
  <c r="I63" i="1"/>
  <c r="E63" i="1"/>
  <c r="M62" i="1"/>
  <c r="I62" i="1"/>
  <c r="E62" i="1"/>
  <c r="M61" i="1"/>
  <c r="I61" i="1"/>
  <c r="E61" i="1"/>
  <c r="M60" i="1"/>
  <c r="I60" i="1"/>
  <c r="E60" i="1"/>
  <c r="M59" i="1"/>
  <c r="I59" i="1"/>
  <c r="E59" i="1"/>
  <c r="M58" i="1"/>
  <c r="I58" i="1"/>
  <c r="E58" i="1"/>
  <c r="M57" i="1"/>
  <c r="I57" i="1"/>
  <c r="E57" i="1"/>
  <c r="M56" i="1"/>
  <c r="I56" i="1"/>
  <c r="E56" i="1"/>
  <c r="M55" i="1"/>
  <c r="I55" i="1"/>
  <c r="E55" i="1"/>
  <c r="M54" i="1"/>
  <c r="I54" i="1"/>
  <c r="E54" i="1"/>
  <c r="M53" i="1"/>
  <c r="I53" i="1"/>
  <c r="E53" i="1"/>
  <c r="M52" i="1"/>
  <c r="I52" i="1"/>
  <c r="E52" i="1"/>
  <c r="M51" i="1"/>
  <c r="I51" i="1"/>
  <c r="E51" i="1"/>
  <c r="M50" i="1"/>
  <c r="I50" i="1"/>
  <c r="E50" i="1"/>
  <c r="M49" i="1"/>
  <c r="I49" i="1"/>
  <c r="E49" i="1"/>
  <c r="M48" i="1"/>
  <c r="I48" i="1"/>
  <c r="E48" i="1"/>
  <c r="M47" i="1"/>
  <c r="I47" i="1"/>
  <c r="E47" i="1"/>
  <c r="M46" i="1"/>
  <c r="K46" i="1"/>
  <c r="I46" i="1"/>
  <c r="G46" i="1"/>
  <c r="E46" i="1"/>
  <c r="AI45" i="1"/>
  <c r="M45" i="1"/>
  <c r="K45" i="1"/>
  <c r="I45" i="1"/>
  <c r="G45" i="1"/>
  <c r="E45" i="1"/>
  <c r="AI44" i="1"/>
  <c r="M44" i="1"/>
  <c r="K44" i="1"/>
  <c r="I44" i="1"/>
  <c r="G44" i="1"/>
  <c r="E44" i="1"/>
  <c r="AI43" i="1"/>
  <c r="M43" i="1"/>
  <c r="K43" i="1"/>
  <c r="I43" i="1"/>
  <c r="G43" i="1"/>
  <c r="E43" i="1"/>
  <c r="AI42" i="1"/>
  <c r="M42" i="1"/>
  <c r="K42" i="1"/>
  <c r="I42" i="1"/>
  <c r="G42" i="1"/>
  <c r="E42" i="1"/>
  <c r="AI41" i="1"/>
  <c r="M41" i="1"/>
  <c r="K41" i="1"/>
  <c r="I41" i="1"/>
  <c r="G41" i="1"/>
  <c r="E41" i="1"/>
  <c r="AI40" i="1"/>
  <c r="M40" i="1"/>
  <c r="K40" i="1"/>
  <c r="I40" i="1"/>
  <c r="G40" i="1"/>
  <c r="E40" i="1"/>
  <c r="AI39" i="1"/>
  <c r="M39" i="1"/>
  <c r="K39" i="1"/>
  <c r="I39" i="1"/>
  <c r="G39" i="1"/>
  <c r="E39" i="1"/>
  <c r="AI38" i="1"/>
  <c r="M38" i="1"/>
  <c r="K38" i="1"/>
  <c r="I38" i="1"/>
  <c r="G38" i="1"/>
  <c r="E38" i="1"/>
  <c r="AI37" i="1"/>
  <c r="M37" i="1"/>
  <c r="K37" i="1"/>
  <c r="I37" i="1"/>
  <c r="G37" i="1"/>
  <c r="E37" i="1"/>
  <c r="AI36" i="1"/>
  <c r="M36" i="1"/>
  <c r="K36" i="1"/>
  <c r="I36" i="1"/>
  <c r="G36" i="1"/>
  <c r="E36" i="1"/>
  <c r="AI35" i="1"/>
  <c r="M35" i="1"/>
  <c r="K35" i="1"/>
  <c r="I35" i="1"/>
  <c r="G35" i="1"/>
  <c r="E35" i="1"/>
  <c r="AI34" i="1"/>
  <c r="M34" i="1"/>
  <c r="K34" i="1"/>
  <c r="I34" i="1"/>
  <c r="G34" i="1"/>
  <c r="E34" i="1"/>
  <c r="AI33" i="1"/>
  <c r="M33" i="1"/>
  <c r="K33" i="1"/>
  <c r="I33" i="1"/>
  <c r="G33" i="1"/>
  <c r="E33" i="1"/>
  <c r="AI32" i="1"/>
  <c r="M32" i="1"/>
  <c r="K32" i="1"/>
  <c r="I32" i="1"/>
  <c r="G32" i="1"/>
  <c r="E32" i="1"/>
  <c r="AI31" i="1"/>
  <c r="M31" i="1"/>
  <c r="K31" i="1"/>
  <c r="I31" i="1"/>
  <c r="G31" i="1"/>
  <c r="E31" i="1"/>
  <c r="AI30" i="1"/>
  <c r="M30" i="1"/>
  <c r="K30" i="1"/>
  <c r="I30" i="1"/>
  <c r="G30" i="1"/>
  <c r="E30" i="1"/>
  <c r="AI29" i="1"/>
  <c r="M29" i="1"/>
  <c r="K29" i="1"/>
  <c r="I29" i="1"/>
  <c r="G29" i="1"/>
  <c r="E29" i="1"/>
  <c r="AI28" i="1"/>
  <c r="M28" i="1"/>
  <c r="K28" i="1"/>
  <c r="I28" i="1"/>
  <c r="G28" i="1"/>
  <c r="E28" i="1"/>
  <c r="AI27" i="1"/>
  <c r="M27" i="1"/>
  <c r="K27" i="1"/>
  <c r="I27" i="1"/>
  <c r="G27" i="1"/>
  <c r="E27" i="1"/>
  <c r="AI26" i="1"/>
  <c r="M26" i="1"/>
  <c r="K26" i="1"/>
  <c r="I26" i="1"/>
  <c r="G26" i="1"/>
  <c r="E26" i="1"/>
  <c r="AI25" i="1"/>
  <c r="M25" i="1"/>
  <c r="K25" i="1"/>
  <c r="I25" i="1"/>
  <c r="G25" i="1"/>
  <c r="E25" i="1"/>
  <c r="AI24" i="1"/>
  <c r="M24" i="1"/>
  <c r="K24" i="1"/>
  <c r="I24" i="1"/>
  <c r="G24" i="1"/>
  <c r="E24" i="1"/>
  <c r="AI23" i="1"/>
  <c r="M23" i="1"/>
  <c r="K23" i="1"/>
  <c r="I23" i="1"/>
  <c r="G23" i="1"/>
  <c r="E23" i="1"/>
  <c r="AI22" i="1"/>
  <c r="M22" i="1"/>
  <c r="K22" i="1"/>
  <c r="I22" i="1"/>
  <c r="G22" i="1"/>
  <c r="E22" i="1"/>
  <c r="AI21" i="1"/>
  <c r="M21" i="1"/>
  <c r="K21" i="1"/>
  <c r="I21" i="1"/>
  <c r="G21" i="1"/>
  <c r="E21" i="1"/>
  <c r="AI20" i="1"/>
  <c r="M20" i="1"/>
  <c r="K20" i="1"/>
  <c r="I20" i="1"/>
  <c r="G20" i="1"/>
  <c r="E20" i="1"/>
  <c r="AI19" i="1"/>
  <c r="M19" i="1"/>
  <c r="K19" i="1"/>
  <c r="I19" i="1"/>
  <c r="G19" i="1"/>
  <c r="E19" i="1"/>
  <c r="AI18" i="1"/>
  <c r="M18" i="1"/>
  <c r="K18" i="1"/>
  <c r="I18" i="1"/>
  <c r="G18" i="1"/>
  <c r="E18" i="1"/>
  <c r="AI17" i="1"/>
  <c r="M17" i="1"/>
  <c r="K17" i="1"/>
  <c r="I17" i="1"/>
  <c r="G17" i="1"/>
  <c r="E17" i="1"/>
  <c r="AI16" i="1"/>
  <c r="M16" i="1"/>
  <c r="K16" i="1"/>
  <c r="I16" i="1"/>
  <c r="G16" i="1"/>
  <c r="E16" i="1"/>
  <c r="AI15" i="1"/>
  <c r="M15" i="1"/>
  <c r="K15" i="1"/>
  <c r="I15" i="1"/>
  <c r="G15" i="1"/>
  <c r="E15" i="1"/>
  <c r="AI14" i="1"/>
  <c r="M14" i="1"/>
  <c r="K14" i="1"/>
  <c r="I14" i="1"/>
  <c r="G14" i="1"/>
  <c r="E14" i="1"/>
  <c r="AI13" i="1"/>
  <c r="M13" i="1"/>
  <c r="K13" i="1"/>
  <c r="I13" i="1"/>
  <c r="G13" i="1"/>
  <c r="E13" i="1"/>
  <c r="AI12" i="1"/>
  <c r="M12" i="1"/>
  <c r="K12" i="1"/>
  <c r="I12" i="1"/>
  <c r="G12" i="1"/>
  <c r="E12" i="1"/>
  <c r="AI11" i="1"/>
  <c r="M11" i="1"/>
  <c r="K11" i="1"/>
  <c r="I11" i="1"/>
  <c r="G11" i="1"/>
  <c r="E11" i="1"/>
  <c r="AI10" i="1"/>
  <c r="M10" i="1"/>
  <c r="K10" i="1"/>
  <c r="I10" i="1"/>
  <c r="G10" i="1"/>
  <c r="E10" i="1"/>
  <c r="AI9" i="1"/>
  <c r="M9" i="1"/>
  <c r="K9" i="1"/>
  <c r="I9" i="1"/>
  <c r="G9" i="1"/>
  <c r="E9" i="1"/>
  <c r="AI8" i="1"/>
  <c r="M8" i="1"/>
  <c r="K8" i="1"/>
  <c r="I8" i="1"/>
  <c r="G8" i="1"/>
  <c r="E8" i="1"/>
  <c r="AI7" i="1"/>
  <c r="M7" i="1"/>
  <c r="K7" i="1"/>
  <c r="I7" i="1"/>
  <c r="G7" i="1"/>
  <c r="E7" i="1"/>
  <c r="AI6" i="1"/>
  <c r="M6" i="1"/>
  <c r="K6" i="1"/>
  <c r="I6" i="1"/>
  <c r="G6" i="1"/>
  <c r="E6" i="1"/>
  <c r="AI5" i="1"/>
  <c r="M5" i="1"/>
  <c r="K5" i="1"/>
  <c r="I5" i="1"/>
  <c r="G5" i="1"/>
  <c r="E5" i="1"/>
  <c r="AM4" i="1"/>
  <c r="AJ4" i="1"/>
  <c r="N4" i="1"/>
  <c r="L4" i="1"/>
  <c r="J4" i="1"/>
  <c r="H4" i="1"/>
  <c r="F4" i="1"/>
  <c r="D4" i="1"/>
  <c r="B4" i="1"/>
  <c r="AI4" i="1"/>
  <c r="K4" i="1"/>
  <c r="G4" i="1"/>
  <c r="L5" i="1"/>
  <c r="J5" i="1"/>
  <c r="H5" i="1"/>
  <c r="F5" i="1"/>
  <c r="D5" i="1"/>
  <c r="B5" i="1"/>
  <c r="M4" i="1"/>
  <c r="I4" i="1"/>
  <c r="E4" i="1"/>
  <c r="AH4" i="1" l="1"/>
  <c r="AF5" i="1"/>
  <c r="AG5" i="1" s="1"/>
  <c r="W5" i="1"/>
  <c r="O5" i="1"/>
  <c r="C5" i="1"/>
  <c r="AD4" i="1"/>
  <c r="AE4" i="1" s="1"/>
  <c r="AK4" i="1"/>
  <c r="AF4" i="1"/>
  <c r="AG4" i="1" s="1"/>
  <c r="W4" i="1"/>
  <c r="O4" i="1"/>
  <c r="C4" i="1"/>
  <c r="AD5" i="1"/>
  <c r="AE5" i="1" s="1"/>
  <c r="AH5" i="1"/>
  <c r="AK5" i="1"/>
  <c r="AD6" i="1"/>
  <c r="AH6" i="1"/>
  <c r="AK6" i="1"/>
  <c r="AD7" i="1"/>
  <c r="AH7" i="1"/>
  <c r="AK7" i="1"/>
  <c r="AD8" i="1"/>
  <c r="AH8" i="1"/>
  <c r="AK8" i="1"/>
  <c r="AD9" i="1"/>
  <c r="AH9" i="1"/>
  <c r="AK9" i="1"/>
  <c r="AD10" i="1"/>
  <c r="AH10" i="1"/>
  <c r="AK10" i="1"/>
  <c r="AD11" i="1"/>
  <c r="AH11" i="1"/>
  <c r="AK11" i="1"/>
  <c r="AD12" i="1"/>
  <c r="AH12" i="1"/>
  <c r="AK12" i="1"/>
  <c r="AD13" i="1"/>
  <c r="AH13" i="1"/>
  <c r="AK13" i="1"/>
  <c r="AD14" i="1"/>
  <c r="AH14" i="1"/>
  <c r="AK14" i="1"/>
  <c r="AD15" i="1"/>
  <c r="AH15" i="1"/>
  <c r="AK15" i="1"/>
  <c r="AD16" i="1"/>
  <c r="AH16" i="1"/>
  <c r="AK16" i="1"/>
  <c r="AD17" i="1"/>
  <c r="AH17" i="1"/>
  <c r="AK17" i="1"/>
  <c r="AD18" i="1"/>
  <c r="AH18" i="1"/>
  <c r="AK18" i="1"/>
  <c r="AD19" i="1"/>
  <c r="AH19" i="1"/>
  <c r="AK19" i="1"/>
  <c r="AD20" i="1"/>
  <c r="AH20" i="1"/>
  <c r="AK20" i="1"/>
  <c r="AD21" i="1"/>
  <c r="AH21" i="1"/>
  <c r="AK21" i="1"/>
  <c r="AD22" i="1"/>
  <c r="AH22" i="1"/>
  <c r="AK22" i="1"/>
  <c r="AD23" i="1"/>
  <c r="AH23" i="1"/>
  <c r="AK23" i="1"/>
  <c r="AD24" i="1"/>
  <c r="AH24" i="1"/>
  <c r="AK24" i="1"/>
  <c r="AD25" i="1"/>
  <c r="AH25" i="1"/>
  <c r="AK25" i="1"/>
  <c r="AD26" i="1"/>
  <c r="AH26" i="1"/>
  <c r="AK26" i="1"/>
  <c r="AD27" i="1"/>
  <c r="AH27" i="1"/>
  <c r="AK27" i="1"/>
  <c r="AD28" i="1"/>
  <c r="AH28" i="1"/>
  <c r="AK28" i="1"/>
  <c r="AD29" i="1"/>
  <c r="AH29" i="1"/>
  <c r="AK29" i="1"/>
  <c r="AD30" i="1"/>
  <c r="AH30" i="1"/>
  <c r="AK30" i="1"/>
  <c r="AD31" i="1"/>
  <c r="AH31" i="1"/>
  <c r="AK31" i="1"/>
  <c r="AD32" i="1"/>
  <c r="AH32" i="1"/>
  <c r="AK32" i="1"/>
  <c r="AD33" i="1"/>
  <c r="AH33" i="1"/>
  <c r="AK33" i="1"/>
  <c r="AD34" i="1"/>
  <c r="AH34" i="1"/>
  <c r="AK34" i="1"/>
  <c r="AD35" i="1"/>
  <c r="AH35" i="1"/>
  <c r="AK35" i="1"/>
  <c r="AD36" i="1"/>
  <c r="AH36" i="1"/>
  <c r="AK36" i="1"/>
  <c r="AD37" i="1"/>
  <c r="AH37" i="1"/>
  <c r="AK37" i="1"/>
  <c r="AD38" i="1"/>
  <c r="AH38" i="1"/>
  <c r="AK38" i="1"/>
  <c r="AD39" i="1"/>
  <c r="AH39" i="1"/>
  <c r="AK39" i="1"/>
  <c r="AD40" i="1"/>
  <c r="AH40" i="1"/>
  <c r="AK40" i="1"/>
  <c r="AD41" i="1"/>
  <c r="AH41" i="1"/>
  <c r="AK41" i="1"/>
  <c r="AD42" i="1"/>
  <c r="AH42" i="1"/>
  <c r="AK42" i="1"/>
  <c r="AD43" i="1"/>
  <c r="AH43" i="1"/>
  <c r="AK43" i="1"/>
  <c r="AD44" i="1"/>
  <c r="AH44" i="1"/>
  <c r="AK44" i="1"/>
  <c r="AD45" i="1"/>
  <c r="AH45" i="1"/>
  <c r="AK45" i="1"/>
  <c r="AD46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C123" i="1"/>
  <c r="C125" i="1"/>
  <c r="C127" i="1"/>
  <c r="C129" i="1"/>
  <c r="C131" i="1"/>
  <c r="C133" i="1"/>
  <c r="C135" i="1"/>
  <c r="C137" i="1"/>
  <c r="C139" i="1"/>
  <c r="C141" i="1"/>
  <c r="C143" i="1"/>
  <c r="C145" i="1"/>
  <c r="C147" i="1"/>
  <c r="C148" i="1"/>
  <c r="AF6" i="1"/>
  <c r="AG6" i="1" s="1"/>
  <c r="AE6" i="1"/>
  <c r="W6" i="1"/>
  <c r="O6" i="1"/>
  <c r="C6" i="1"/>
  <c r="AF7" i="1"/>
  <c r="AG7" i="1" s="1"/>
  <c r="AE7" i="1"/>
  <c r="W7" i="1"/>
  <c r="O7" i="1"/>
  <c r="C7" i="1"/>
  <c r="AF8" i="1"/>
  <c r="AG8" i="1" s="1"/>
  <c r="AE8" i="1"/>
  <c r="W8" i="1"/>
  <c r="O8" i="1"/>
  <c r="C8" i="1"/>
  <c r="AF9" i="1"/>
  <c r="AG9" i="1" s="1"/>
  <c r="AE9" i="1"/>
  <c r="W9" i="1"/>
  <c r="O9" i="1"/>
  <c r="C9" i="1"/>
  <c r="AF10" i="1"/>
  <c r="AG10" i="1" s="1"/>
  <c r="AE10" i="1"/>
  <c r="W10" i="1"/>
  <c r="O10" i="1"/>
  <c r="C10" i="1"/>
  <c r="AF11" i="1"/>
  <c r="AG11" i="1" s="1"/>
  <c r="AE11" i="1"/>
  <c r="W11" i="1"/>
  <c r="O11" i="1"/>
  <c r="C11" i="1"/>
  <c r="AF12" i="1"/>
  <c r="AG12" i="1" s="1"/>
  <c r="AE12" i="1"/>
  <c r="W12" i="1"/>
  <c r="O12" i="1"/>
  <c r="C12" i="1"/>
  <c r="AF13" i="1"/>
  <c r="AG13" i="1" s="1"/>
  <c r="AE13" i="1"/>
  <c r="W13" i="1"/>
  <c r="O13" i="1"/>
  <c r="C13" i="1"/>
  <c r="AF14" i="1"/>
  <c r="AG14" i="1" s="1"/>
  <c r="AE14" i="1"/>
  <c r="W14" i="1"/>
  <c r="O14" i="1"/>
  <c r="C14" i="1"/>
  <c r="AF15" i="1"/>
  <c r="AG15" i="1" s="1"/>
  <c r="AE15" i="1"/>
  <c r="W15" i="1"/>
  <c r="O15" i="1"/>
  <c r="C15" i="1"/>
  <c r="AF16" i="1"/>
  <c r="AG16" i="1" s="1"/>
  <c r="AE16" i="1"/>
  <c r="W16" i="1"/>
  <c r="O16" i="1"/>
  <c r="C16" i="1"/>
  <c r="AF17" i="1"/>
  <c r="AG17" i="1" s="1"/>
  <c r="AE17" i="1"/>
  <c r="W17" i="1"/>
  <c r="O17" i="1"/>
  <c r="C17" i="1"/>
  <c r="AF18" i="1"/>
  <c r="AG18" i="1" s="1"/>
  <c r="AE18" i="1"/>
  <c r="W18" i="1"/>
  <c r="O18" i="1"/>
  <c r="C18" i="1"/>
  <c r="AF19" i="1"/>
  <c r="AG19" i="1" s="1"/>
  <c r="AE19" i="1"/>
  <c r="W19" i="1"/>
  <c r="O19" i="1"/>
  <c r="C19" i="1"/>
  <c r="AF20" i="1"/>
  <c r="AG20" i="1" s="1"/>
  <c r="AE20" i="1"/>
  <c r="W20" i="1"/>
  <c r="O20" i="1"/>
  <c r="C20" i="1"/>
  <c r="AF21" i="1"/>
  <c r="AG21" i="1" s="1"/>
  <c r="AE21" i="1"/>
  <c r="W21" i="1"/>
  <c r="O21" i="1"/>
  <c r="C21" i="1"/>
  <c r="AF22" i="1"/>
  <c r="AG22" i="1" s="1"/>
  <c r="AE22" i="1"/>
  <c r="W22" i="1"/>
  <c r="O22" i="1"/>
  <c r="C22" i="1"/>
  <c r="AF23" i="1"/>
  <c r="AG23" i="1" s="1"/>
  <c r="AE23" i="1"/>
  <c r="W23" i="1"/>
  <c r="O23" i="1"/>
  <c r="C23" i="1"/>
  <c r="AF24" i="1"/>
  <c r="AG24" i="1" s="1"/>
  <c r="AE24" i="1"/>
  <c r="W24" i="1"/>
  <c r="O24" i="1"/>
  <c r="C24" i="1"/>
  <c r="AF25" i="1"/>
  <c r="AG25" i="1" s="1"/>
  <c r="AE25" i="1"/>
  <c r="W25" i="1"/>
  <c r="O25" i="1"/>
  <c r="C25" i="1"/>
  <c r="AF26" i="1"/>
  <c r="AG26" i="1" s="1"/>
  <c r="AE26" i="1"/>
  <c r="W26" i="1"/>
  <c r="O26" i="1"/>
  <c r="C26" i="1"/>
  <c r="AF27" i="1"/>
  <c r="AG27" i="1" s="1"/>
  <c r="AE27" i="1"/>
  <c r="W27" i="1"/>
  <c r="O27" i="1"/>
  <c r="C27" i="1"/>
  <c r="AF28" i="1"/>
  <c r="AG28" i="1" s="1"/>
  <c r="AE28" i="1"/>
  <c r="W28" i="1"/>
  <c r="O28" i="1"/>
  <c r="C28" i="1"/>
  <c r="AF29" i="1"/>
  <c r="AG29" i="1" s="1"/>
  <c r="AE29" i="1"/>
  <c r="W29" i="1"/>
  <c r="O29" i="1"/>
  <c r="C29" i="1"/>
  <c r="AF30" i="1"/>
  <c r="AG30" i="1" s="1"/>
  <c r="AE30" i="1"/>
  <c r="W30" i="1"/>
  <c r="O30" i="1"/>
  <c r="C30" i="1"/>
  <c r="AF31" i="1"/>
  <c r="AG31" i="1" s="1"/>
  <c r="AE31" i="1"/>
  <c r="W31" i="1"/>
  <c r="O31" i="1"/>
  <c r="C31" i="1"/>
  <c r="AF32" i="1"/>
  <c r="AG32" i="1" s="1"/>
  <c r="AE32" i="1"/>
  <c r="W32" i="1"/>
  <c r="O32" i="1"/>
  <c r="C32" i="1"/>
  <c r="AF33" i="1"/>
  <c r="AG33" i="1" s="1"/>
  <c r="AE33" i="1"/>
  <c r="W33" i="1"/>
  <c r="O33" i="1"/>
  <c r="C33" i="1"/>
  <c r="AF34" i="1"/>
  <c r="AG34" i="1" s="1"/>
  <c r="AE34" i="1"/>
  <c r="W34" i="1"/>
  <c r="O34" i="1"/>
  <c r="C34" i="1"/>
  <c r="AF35" i="1"/>
  <c r="AG35" i="1" s="1"/>
  <c r="AE35" i="1"/>
  <c r="W35" i="1"/>
  <c r="O35" i="1"/>
  <c r="C35" i="1"/>
  <c r="AF36" i="1"/>
  <c r="AG36" i="1" s="1"/>
  <c r="AE36" i="1"/>
  <c r="W36" i="1"/>
  <c r="O36" i="1"/>
  <c r="C36" i="1"/>
  <c r="AF37" i="1"/>
  <c r="AG37" i="1" s="1"/>
  <c r="AE37" i="1"/>
  <c r="W37" i="1"/>
  <c r="O37" i="1"/>
  <c r="C37" i="1"/>
  <c r="AF38" i="1"/>
  <c r="AG38" i="1" s="1"/>
  <c r="AE38" i="1"/>
  <c r="W38" i="1"/>
  <c r="O38" i="1"/>
  <c r="C38" i="1"/>
  <c r="AF39" i="1"/>
  <c r="AG39" i="1" s="1"/>
  <c r="AE39" i="1"/>
  <c r="W39" i="1"/>
  <c r="O39" i="1"/>
  <c r="C39" i="1"/>
  <c r="AF40" i="1"/>
  <c r="AG40" i="1" s="1"/>
  <c r="AE40" i="1"/>
  <c r="W40" i="1"/>
  <c r="O40" i="1"/>
  <c r="C40" i="1"/>
  <c r="AF41" i="1"/>
  <c r="AG41" i="1" s="1"/>
  <c r="AE41" i="1"/>
  <c r="W41" i="1"/>
  <c r="O41" i="1"/>
  <c r="C41" i="1"/>
  <c r="AF42" i="1"/>
  <c r="AG42" i="1" s="1"/>
  <c r="AE42" i="1"/>
  <c r="W42" i="1"/>
  <c r="O42" i="1"/>
  <c r="C42" i="1"/>
  <c r="AF43" i="1"/>
  <c r="AG43" i="1" s="1"/>
  <c r="AE43" i="1"/>
  <c r="W43" i="1"/>
  <c r="O43" i="1"/>
  <c r="C43" i="1"/>
  <c r="AF44" i="1"/>
  <c r="AG44" i="1" s="1"/>
  <c r="AE44" i="1"/>
  <c r="W44" i="1"/>
  <c r="O44" i="1"/>
  <c r="C44" i="1"/>
  <c r="AF45" i="1"/>
  <c r="AG45" i="1" s="1"/>
  <c r="AE45" i="1"/>
  <c r="W45" i="1"/>
  <c r="O45" i="1"/>
  <c r="C45" i="1"/>
  <c r="AF46" i="1"/>
  <c r="AG46" i="1" s="1"/>
  <c r="AE46" i="1"/>
  <c r="W46" i="1"/>
  <c r="O46" i="1"/>
  <c r="C46" i="1"/>
  <c r="AK46" i="1"/>
  <c r="AD47" i="1"/>
  <c r="AK47" i="1"/>
  <c r="AD48" i="1"/>
  <c r="AK48" i="1"/>
  <c r="AD49" i="1"/>
  <c r="AK49" i="1"/>
  <c r="AD50" i="1"/>
  <c r="AK50" i="1"/>
  <c r="AD51" i="1"/>
  <c r="AK51" i="1"/>
  <c r="AD52" i="1"/>
  <c r="AK52" i="1"/>
  <c r="AD53" i="1"/>
  <c r="AK53" i="1"/>
  <c r="AD54" i="1"/>
  <c r="AK54" i="1"/>
  <c r="AD55" i="1"/>
  <c r="AK55" i="1"/>
  <c r="AD56" i="1"/>
  <c r="AK56" i="1"/>
  <c r="AD57" i="1"/>
  <c r="AK57" i="1"/>
  <c r="AD58" i="1"/>
  <c r="AK58" i="1"/>
  <c r="AD59" i="1"/>
  <c r="AK59" i="1"/>
  <c r="AD60" i="1"/>
  <c r="AK60" i="1"/>
  <c r="AD61" i="1"/>
  <c r="AK61" i="1"/>
  <c r="AD62" i="1"/>
  <c r="AK62" i="1"/>
  <c r="AD63" i="1"/>
  <c r="AK63" i="1"/>
  <c r="AD64" i="1"/>
  <c r="AK64" i="1"/>
  <c r="AD65" i="1"/>
  <c r="AK65" i="1"/>
  <c r="AD66" i="1"/>
  <c r="AK66" i="1"/>
  <c r="AD67" i="1"/>
  <c r="AK67" i="1"/>
  <c r="AD68" i="1"/>
  <c r="AK68" i="1"/>
  <c r="AD69" i="1"/>
  <c r="AK69" i="1"/>
  <c r="AD70" i="1"/>
  <c r="AK70" i="1"/>
  <c r="AD71" i="1"/>
  <c r="AK71" i="1"/>
  <c r="AD72" i="1"/>
  <c r="AK72" i="1"/>
  <c r="AD73" i="1"/>
  <c r="AK73" i="1"/>
  <c r="AD74" i="1"/>
  <c r="AK74" i="1"/>
  <c r="AD75" i="1"/>
  <c r="AK75" i="1"/>
  <c r="AD76" i="1"/>
  <c r="AK76" i="1"/>
  <c r="AD77" i="1"/>
  <c r="AK77" i="1"/>
  <c r="AD78" i="1"/>
  <c r="AK78" i="1"/>
  <c r="AD79" i="1"/>
  <c r="AK79" i="1"/>
  <c r="AD80" i="1"/>
  <c r="AK80" i="1"/>
  <c r="AD81" i="1"/>
  <c r="AK81" i="1"/>
  <c r="AD82" i="1"/>
  <c r="AK82" i="1"/>
  <c r="AD83" i="1"/>
  <c r="AK83" i="1"/>
  <c r="AD84" i="1"/>
  <c r="AK84" i="1"/>
  <c r="AD85" i="1"/>
  <c r="AK85" i="1"/>
  <c r="AD86" i="1"/>
  <c r="AK86" i="1"/>
  <c r="AD87" i="1"/>
  <c r="AK87" i="1"/>
  <c r="AD88" i="1"/>
  <c r="AK88" i="1"/>
  <c r="AD89" i="1"/>
  <c r="AK89" i="1"/>
  <c r="AD90" i="1"/>
  <c r="AK90" i="1"/>
  <c r="AD91" i="1"/>
  <c r="AK91" i="1"/>
  <c r="AD92" i="1"/>
  <c r="AK92" i="1"/>
  <c r="AD93" i="1"/>
  <c r="AK93" i="1"/>
  <c r="AD94" i="1"/>
  <c r="AK94" i="1"/>
  <c r="AD95" i="1"/>
  <c r="AK95" i="1"/>
  <c r="AD96" i="1"/>
  <c r="AK96" i="1"/>
  <c r="AD97" i="1"/>
  <c r="AK97" i="1"/>
  <c r="AD98" i="1"/>
  <c r="AK98" i="1"/>
  <c r="AD99" i="1"/>
  <c r="AK99" i="1"/>
  <c r="AD100" i="1"/>
  <c r="AK100" i="1"/>
  <c r="AD101" i="1"/>
  <c r="AK101" i="1"/>
  <c r="AD102" i="1"/>
  <c r="AK102" i="1"/>
  <c r="AD103" i="1"/>
  <c r="AK103" i="1"/>
  <c r="AD104" i="1"/>
  <c r="AK104" i="1"/>
  <c r="AD105" i="1"/>
  <c r="AK105" i="1"/>
  <c r="AD106" i="1"/>
  <c r="AK106" i="1"/>
  <c r="AD107" i="1"/>
  <c r="AK107" i="1"/>
  <c r="AD108" i="1"/>
  <c r="AK108" i="1"/>
  <c r="AD109" i="1"/>
  <c r="AK109" i="1"/>
  <c r="AD110" i="1"/>
  <c r="AK110" i="1"/>
  <c r="AD111" i="1"/>
  <c r="AK111" i="1"/>
  <c r="AD112" i="1"/>
  <c r="AK112" i="1"/>
  <c r="AD113" i="1"/>
  <c r="AK113" i="1"/>
  <c r="AD114" i="1"/>
  <c r="AK114" i="1"/>
  <c r="AD115" i="1"/>
  <c r="AK115" i="1"/>
  <c r="AD116" i="1"/>
  <c r="AK116" i="1"/>
  <c r="AD117" i="1"/>
  <c r="AK117" i="1"/>
  <c r="AD118" i="1"/>
  <c r="AK118" i="1"/>
  <c r="AD119" i="1"/>
  <c r="AK119" i="1"/>
  <c r="AD120" i="1"/>
  <c r="AK120" i="1"/>
  <c r="AD121" i="1"/>
  <c r="AK121" i="1"/>
  <c r="AD122" i="1"/>
  <c r="C124" i="1"/>
  <c r="C126" i="1"/>
  <c r="C128" i="1"/>
  <c r="C130" i="1"/>
  <c r="C132" i="1"/>
  <c r="C134" i="1"/>
  <c r="C136" i="1"/>
  <c r="C138" i="1"/>
  <c r="C140" i="1"/>
  <c r="C142" i="1"/>
  <c r="C144" i="1"/>
  <c r="C146" i="1"/>
  <c r="AF47" i="1"/>
  <c r="AG47" i="1" s="1"/>
  <c r="AE47" i="1"/>
  <c r="W47" i="1"/>
  <c r="O47" i="1"/>
  <c r="C47" i="1"/>
  <c r="AF48" i="1"/>
  <c r="AG48" i="1" s="1"/>
  <c r="AE48" i="1"/>
  <c r="W48" i="1"/>
  <c r="O48" i="1"/>
  <c r="C48" i="1"/>
  <c r="AF49" i="1"/>
  <c r="AG49" i="1" s="1"/>
  <c r="AE49" i="1"/>
  <c r="W49" i="1"/>
  <c r="O49" i="1"/>
  <c r="C49" i="1"/>
  <c r="AF50" i="1"/>
  <c r="AG50" i="1" s="1"/>
  <c r="AE50" i="1"/>
  <c r="W50" i="1"/>
  <c r="O50" i="1"/>
  <c r="C50" i="1"/>
  <c r="AF51" i="1"/>
  <c r="AG51" i="1" s="1"/>
  <c r="AE51" i="1"/>
  <c r="W51" i="1"/>
  <c r="O51" i="1"/>
  <c r="C51" i="1"/>
  <c r="AF52" i="1"/>
  <c r="AG52" i="1" s="1"/>
  <c r="AE52" i="1"/>
  <c r="W52" i="1"/>
  <c r="O52" i="1"/>
  <c r="C52" i="1"/>
  <c r="AF53" i="1"/>
  <c r="AG53" i="1" s="1"/>
  <c r="AE53" i="1"/>
  <c r="W53" i="1"/>
  <c r="O53" i="1"/>
  <c r="C53" i="1"/>
  <c r="AF54" i="1"/>
  <c r="AG54" i="1" s="1"/>
  <c r="AE54" i="1"/>
  <c r="W54" i="1"/>
  <c r="O54" i="1"/>
  <c r="C54" i="1"/>
  <c r="AF55" i="1"/>
  <c r="AG55" i="1" s="1"/>
  <c r="AE55" i="1"/>
  <c r="W55" i="1"/>
  <c r="O55" i="1"/>
  <c r="C55" i="1"/>
  <c r="AF56" i="1"/>
  <c r="AG56" i="1" s="1"/>
  <c r="AE56" i="1"/>
  <c r="W56" i="1"/>
  <c r="O56" i="1"/>
  <c r="C56" i="1"/>
  <c r="AF57" i="1"/>
  <c r="AG57" i="1" s="1"/>
  <c r="AE57" i="1"/>
  <c r="W57" i="1"/>
  <c r="O57" i="1"/>
  <c r="C57" i="1"/>
  <c r="AF58" i="1"/>
  <c r="AG58" i="1" s="1"/>
  <c r="AE58" i="1"/>
  <c r="W58" i="1"/>
  <c r="O58" i="1"/>
  <c r="C58" i="1"/>
  <c r="AF59" i="1"/>
  <c r="AG59" i="1" s="1"/>
  <c r="AE59" i="1"/>
  <c r="W59" i="1"/>
  <c r="O59" i="1"/>
  <c r="C59" i="1"/>
  <c r="AF60" i="1"/>
  <c r="AG60" i="1" s="1"/>
  <c r="AE60" i="1"/>
  <c r="W60" i="1"/>
  <c r="O60" i="1"/>
  <c r="C60" i="1"/>
  <c r="AF61" i="1"/>
  <c r="AG61" i="1" s="1"/>
  <c r="AE61" i="1"/>
  <c r="W61" i="1"/>
  <c r="O61" i="1"/>
  <c r="C61" i="1"/>
  <c r="AF62" i="1"/>
  <c r="AG62" i="1" s="1"/>
  <c r="AE62" i="1"/>
  <c r="W62" i="1"/>
  <c r="O62" i="1"/>
  <c r="C62" i="1"/>
  <c r="AF63" i="1"/>
  <c r="AG63" i="1" s="1"/>
  <c r="AE63" i="1"/>
  <c r="W63" i="1"/>
  <c r="O63" i="1"/>
  <c r="C63" i="1"/>
  <c r="AF64" i="1"/>
  <c r="AG64" i="1" s="1"/>
  <c r="AE64" i="1"/>
  <c r="W64" i="1"/>
  <c r="O64" i="1"/>
  <c r="C64" i="1"/>
  <c r="AF65" i="1"/>
  <c r="AG65" i="1" s="1"/>
  <c r="AE65" i="1"/>
  <c r="W65" i="1"/>
  <c r="O65" i="1"/>
  <c r="C65" i="1"/>
  <c r="AF66" i="1"/>
  <c r="AG66" i="1" s="1"/>
  <c r="AE66" i="1"/>
  <c r="W66" i="1"/>
  <c r="O66" i="1"/>
  <c r="C66" i="1"/>
  <c r="AF67" i="1"/>
  <c r="AG67" i="1" s="1"/>
  <c r="AE67" i="1"/>
  <c r="W67" i="1"/>
  <c r="O67" i="1"/>
  <c r="C67" i="1"/>
  <c r="AF68" i="1"/>
  <c r="AG68" i="1" s="1"/>
  <c r="AE68" i="1"/>
  <c r="W68" i="1"/>
  <c r="O68" i="1"/>
  <c r="C68" i="1"/>
  <c r="AF69" i="1"/>
  <c r="AG69" i="1" s="1"/>
  <c r="AE69" i="1"/>
  <c r="W69" i="1"/>
  <c r="O69" i="1"/>
  <c r="C69" i="1"/>
  <c r="AF70" i="1"/>
  <c r="AG70" i="1" s="1"/>
  <c r="AE70" i="1"/>
  <c r="W70" i="1"/>
  <c r="O70" i="1"/>
  <c r="C70" i="1"/>
  <c r="AF71" i="1"/>
  <c r="AG71" i="1" s="1"/>
  <c r="AE71" i="1"/>
  <c r="W71" i="1"/>
  <c r="O71" i="1"/>
  <c r="C71" i="1"/>
  <c r="AF72" i="1"/>
  <c r="AG72" i="1" s="1"/>
  <c r="AE72" i="1"/>
  <c r="W72" i="1"/>
  <c r="O72" i="1"/>
  <c r="C72" i="1"/>
  <c r="AF73" i="1"/>
  <c r="AG73" i="1" s="1"/>
  <c r="AE73" i="1"/>
  <c r="W73" i="1"/>
  <c r="O73" i="1"/>
  <c r="C73" i="1"/>
  <c r="AF74" i="1"/>
  <c r="AG74" i="1" s="1"/>
  <c r="AE74" i="1"/>
  <c r="W74" i="1"/>
  <c r="O74" i="1"/>
  <c r="C74" i="1"/>
  <c r="AF75" i="1"/>
  <c r="AG75" i="1" s="1"/>
  <c r="AE75" i="1"/>
  <c r="W75" i="1"/>
  <c r="O75" i="1"/>
  <c r="C75" i="1"/>
  <c r="AF76" i="1"/>
  <c r="AG76" i="1" s="1"/>
  <c r="AE76" i="1"/>
  <c r="W76" i="1"/>
  <c r="O76" i="1"/>
  <c r="C76" i="1"/>
  <c r="AF77" i="1"/>
  <c r="AG77" i="1" s="1"/>
  <c r="AE77" i="1"/>
  <c r="W77" i="1"/>
  <c r="O77" i="1"/>
  <c r="C77" i="1"/>
  <c r="AF78" i="1"/>
  <c r="AG78" i="1" s="1"/>
  <c r="AE78" i="1"/>
  <c r="W78" i="1"/>
  <c r="O78" i="1"/>
  <c r="C78" i="1"/>
  <c r="AF79" i="1"/>
  <c r="AG79" i="1" s="1"/>
  <c r="AE79" i="1"/>
  <c r="W79" i="1"/>
  <c r="O79" i="1"/>
  <c r="C79" i="1"/>
  <c r="AF80" i="1"/>
  <c r="AG80" i="1" s="1"/>
  <c r="AE80" i="1"/>
  <c r="W80" i="1"/>
  <c r="O80" i="1"/>
  <c r="C80" i="1"/>
  <c r="AF81" i="1"/>
  <c r="AG81" i="1" s="1"/>
  <c r="AE81" i="1"/>
  <c r="W81" i="1"/>
  <c r="O81" i="1"/>
  <c r="C81" i="1"/>
  <c r="AF82" i="1"/>
  <c r="AG82" i="1" s="1"/>
  <c r="AE82" i="1"/>
  <c r="W82" i="1"/>
  <c r="O82" i="1"/>
  <c r="C82" i="1"/>
  <c r="AF83" i="1"/>
  <c r="AG83" i="1" s="1"/>
  <c r="AE83" i="1"/>
  <c r="W83" i="1"/>
  <c r="O83" i="1"/>
  <c r="C83" i="1"/>
  <c r="AF84" i="1"/>
  <c r="AG84" i="1" s="1"/>
  <c r="AE84" i="1"/>
  <c r="W84" i="1"/>
  <c r="O84" i="1"/>
  <c r="C84" i="1"/>
  <c r="AF85" i="1"/>
  <c r="AG85" i="1" s="1"/>
  <c r="AE85" i="1"/>
  <c r="W85" i="1"/>
  <c r="O85" i="1"/>
  <c r="C85" i="1"/>
  <c r="AF86" i="1"/>
  <c r="AG86" i="1" s="1"/>
  <c r="AE86" i="1"/>
  <c r="W86" i="1"/>
  <c r="O86" i="1"/>
  <c r="C86" i="1"/>
  <c r="AF87" i="1"/>
  <c r="AG87" i="1" s="1"/>
  <c r="AE87" i="1"/>
  <c r="W87" i="1"/>
  <c r="O87" i="1"/>
  <c r="C87" i="1"/>
  <c r="AF88" i="1"/>
  <c r="AG88" i="1" s="1"/>
  <c r="AE88" i="1"/>
  <c r="W88" i="1"/>
  <c r="O88" i="1"/>
  <c r="C88" i="1"/>
  <c r="AF89" i="1"/>
  <c r="AG89" i="1" s="1"/>
  <c r="AE89" i="1"/>
  <c r="W89" i="1"/>
  <c r="O89" i="1"/>
  <c r="C89" i="1"/>
  <c r="AF90" i="1"/>
  <c r="AG90" i="1" s="1"/>
  <c r="AE90" i="1"/>
  <c r="W90" i="1"/>
  <c r="O90" i="1"/>
  <c r="C90" i="1"/>
  <c r="AF91" i="1"/>
  <c r="AG91" i="1" s="1"/>
  <c r="AE91" i="1"/>
  <c r="W91" i="1"/>
  <c r="O91" i="1"/>
  <c r="C91" i="1"/>
  <c r="AF92" i="1"/>
  <c r="AG92" i="1" s="1"/>
  <c r="AE92" i="1"/>
  <c r="W92" i="1"/>
  <c r="O92" i="1"/>
  <c r="C92" i="1"/>
  <c r="AF93" i="1"/>
  <c r="AG93" i="1" s="1"/>
  <c r="AE93" i="1"/>
  <c r="W93" i="1"/>
  <c r="O93" i="1"/>
  <c r="C93" i="1"/>
  <c r="AF94" i="1"/>
  <c r="AG94" i="1" s="1"/>
  <c r="AE94" i="1"/>
  <c r="W94" i="1"/>
  <c r="O94" i="1"/>
  <c r="C94" i="1"/>
  <c r="AF95" i="1"/>
  <c r="AG95" i="1" s="1"/>
  <c r="AE95" i="1"/>
  <c r="W95" i="1"/>
  <c r="O95" i="1"/>
  <c r="C95" i="1"/>
  <c r="AF96" i="1"/>
  <c r="AG96" i="1" s="1"/>
  <c r="AE96" i="1"/>
  <c r="W96" i="1"/>
  <c r="O96" i="1"/>
  <c r="C96" i="1"/>
  <c r="AF97" i="1"/>
  <c r="AG97" i="1" s="1"/>
  <c r="AE97" i="1"/>
  <c r="W97" i="1"/>
  <c r="O97" i="1"/>
  <c r="C97" i="1"/>
  <c r="AF98" i="1"/>
  <c r="AG98" i="1" s="1"/>
  <c r="AE98" i="1"/>
  <c r="W98" i="1"/>
  <c r="O98" i="1"/>
  <c r="C98" i="1"/>
  <c r="AF99" i="1"/>
  <c r="AG99" i="1" s="1"/>
  <c r="AE99" i="1"/>
  <c r="W99" i="1"/>
  <c r="O99" i="1"/>
  <c r="C99" i="1"/>
  <c r="AF100" i="1"/>
  <c r="AG100" i="1" s="1"/>
  <c r="AE100" i="1"/>
  <c r="W100" i="1"/>
  <c r="O100" i="1"/>
  <c r="C100" i="1"/>
  <c r="AF101" i="1"/>
  <c r="AG101" i="1" s="1"/>
  <c r="AE101" i="1"/>
  <c r="W101" i="1"/>
  <c r="O101" i="1"/>
  <c r="C101" i="1"/>
  <c r="AF102" i="1"/>
  <c r="AG102" i="1" s="1"/>
  <c r="AE102" i="1"/>
  <c r="W102" i="1"/>
  <c r="O102" i="1"/>
  <c r="C102" i="1"/>
  <c r="AF103" i="1"/>
  <c r="AG103" i="1" s="1"/>
  <c r="AE103" i="1"/>
  <c r="W103" i="1"/>
  <c r="O103" i="1"/>
  <c r="C103" i="1"/>
  <c r="AF104" i="1"/>
  <c r="AG104" i="1" s="1"/>
  <c r="AE104" i="1"/>
  <c r="W104" i="1"/>
  <c r="O104" i="1"/>
  <c r="C104" i="1"/>
  <c r="AF105" i="1"/>
  <c r="AG105" i="1" s="1"/>
  <c r="AE105" i="1"/>
  <c r="W105" i="1"/>
  <c r="O105" i="1"/>
  <c r="C105" i="1"/>
  <c r="AF106" i="1"/>
  <c r="AG106" i="1" s="1"/>
  <c r="AE106" i="1"/>
  <c r="W106" i="1"/>
  <c r="O106" i="1"/>
  <c r="C106" i="1"/>
  <c r="AF107" i="1"/>
  <c r="AG107" i="1" s="1"/>
  <c r="AE107" i="1"/>
  <c r="W107" i="1"/>
  <c r="O107" i="1"/>
  <c r="C107" i="1"/>
  <c r="AF108" i="1"/>
  <c r="AG108" i="1" s="1"/>
  <c r="AE108" i="1"/>
  <c r="W108" i="1"/>
  <c r="O108" i="1"/>
  <c r="C108" i="1"/>
  <c r="AF109" i="1"/>
  <c r="AG109" i="1" s="1"/>
  <c r="AE109" i="1"/>
  <c r="W109" i="1"/>
  <c r="O109" i="1"/>
  <c r="C109" i="1"/>
  <c r="AF110" i="1"/>
  <c r="AG110" i="1" s="1"/>
  <c r="AE110" i="1"/>
  <c r="W110" i="1"/>
  <c r="O110" i="1"/>
  <c r="C110" i="1"/>
  <c r="AF111" i="1"/>
  <c r="AG111" i="1" s="1"/>
  <c r="AE111" i="1"/>
  <c r="W111" i="1"/>
  <c r="O111" i="1"/>
  <c r="C111" i="1"/>
  <c r="AF112" i="1"/>
  <c r="AG112" i="1" s="1"/>
  <c r="AE112" i="1"/>
  <c r="W112" i="1"/>
  <c r="O112" i="1"/>
  <c r="C112" i="1"/>
  <c r="AF113" i="1"/>
  <c r="AG113" i="1" s="1"/>
  <c r="AE113" i="1"/>
  <c r="W113" i="1"/>
  <c r="O113" i="1"/>
  <c r="C113" i="1"/>
  <c r="AF114" i="1"/>
  <c r="AG114" i="1" s="1"/>
  <c r="AE114" i="1"/>
  <c r="W114" i="1"/>
  <c r="O114" i="1"/>
  <c r="C114" i="1"/>
  <c r="AF115" i="1"/>
  <c r="AG115" i="1" s="1"/>
  <c r="AE115" i="1"/>
  <c r="W115" i="1"/>
  <c r="O115" i="1"/>
  <c r="C115" i="1"/>
  <c r="AF116" i="1"/>
  <c r="AG116" i="1" s="1"/>
  <c r="AE116" i="1"/>
  <c r="W116" i="1"/>
  <c r="O116" i="1"/>
  <c r="C116" i="1"/>
  <c r="AF117" i="1"/>
  <c r="AG117" i="1" s="1"/>
  <c r="AE117" i="1"/>
  <c r="W117" i="1"/>
  <c r="O117" i="1"/>
  <c r="C117" i="1"/>
  <c r="AF118" i="1"/>
  <c r="AG118" i="1" s="1"/>
  <c r="AE118" i="1"/>
  <c r="W118" i="1"/>
  <c r="O118" i="1"/>
  <c r="C118" i="1"/>
  <c r="AF119" i="1"/>
  <c r="AG119" i="1" s="1"/>
  <c r="AE119" i="1"/>
  <c r="W119" i="1"/>
  <c r="O119" i="1"/>
  <c r="C119" i="1"/>
  <c r="AF120" i="1"/>
  <c r="AG120" i="1" s="1"/>
  <c r="AE120" i="1"/>
  <c r="W120" i="1"/>
  <c r="O120" i="1"/>
  <c r="C120" i="1"/>
  <c r="AF121" i="1"/>
  <c r="AG121" i="1" s="1"/>
  <c r="AE121" i="1"/>
  <c r="W121" i="1"/>
  <c r="O121" i="1"/>
  <c r="C121" i="1"/>
  <c r="AE122" i="1"/>
  <c r="AF122" i="1"/>
  <c r="AG122" i="1" s="1"/>
  <c r="W122" i="1"/>
  <c r="O122" i="1"/>
  <c r="C122" i="1"/>
  <c r="AF123" i="1"/>
  <c r="AG123" i="1" s="1"/>
  <c r="W123" i="1"/>
  <c r="O123" i="1"/>
  <c r="AF124" i="1"/>
  <c r="AG124" i="1" s="1"/>
  <c r="W124" i="1"/>
  <c r="O124" i="1"/>
  <c r="AF125" i="1"/>
  <c r="AG125" i="1" s="1"/>
  <c r="W125" i="1"/>
  <c r="O125" i="1"/>
  <c r="AF126" i="1"/>
  <c r="AG126" i="1" s="1"/>
  <c r="W126" i="1"/>
  <c r="O126" i="1"/>
  <c r="AF127" i="1"/>
  <c r="AG127" i="1" s="1"/>
  <c r="W127" i="1"/>
  <c r="O127" i="1"/>
  <c r="AF128" i="1"/>
  <c r="AG128" i="1" s="1"/>
  <c r="W128" i="1"/>
  <c r="O128" i="1"/>
  <c r="AF129" i="1"/>
  <c r="AG129" i="1" s="1"/>
  <c r="W129" i="1"/>
  <c r="O129" i="1"/>
  <c r="AF130" i="1"/>
  <c r="AG130" i="1" s="1"/>
  <c r="W130" i="1"/>
  <c r="O130" i="1"/>
  <c r="AF131" i="1"/>
  <c r="AG131" i="1" s="1"/>
  <c r="W131" i="1"/>
  <c r="O131" i="1"/>
  <c r="AF132" i="1"/>
  <c r="AG132" i="1" s="1"/>
  <c r="W132" i="1"/>
  <c r="O132" i="1"/>
  <c r="AF133" i="1"/>
  <c r="AG133" i="1" s="1"/>
  <c r="W133" i="1"/>
  <c r="O133" i="1"/>
  <c r="AF134" i="1"/>
  <c r="AG134" i="1" s="1"/>
  <c r="W134" i="1"/>
  <c r="O134" i="1"/>
  <c r="AF135" i="1"/>
  <c r="AG135" i="1" s="1"/>
  <c r="W135" i="1"/>
  <c r="O135" i="1"/>
  <c r="AF136" i="1"/>
  <c r="AG136" i="1" s="1"/>
  <c r="W136" i="1"/>
  <c r="O136" i="1"/>
  <c r="AF137" i="1"/>
  <c r="AG137" i="1" s="1"/>
  <c r="W137" i="1"/>
  <c r="O137" i="1"/>
  <c r="AF138" i="1"/>
  <c r="AG138" i="1" s="1"/>
  <c r="W138" i="1"/>
  <c r="O138" i="1"/>
  <c r="AF139" i="1"/>
  <c r="AG139" i="1" s="1"/>
  <c r="W139" i="1"/>
  <c r="O139" i="1"/>
  <c r="AF140" i="1"/>
  <c r="AG140" i="1" s="1"/>
  <c r="W140" i="1"/>
  <c r="O140" i="1"/>
  <c r="AF141" i="1"/>
  <c r="AG141" i="1" s="1"/>
  <c r="W141" i="1"/>
  <c r="O141" i="1"/>
  <c r="AF142" i="1"/>
  <c r="AG142" i="1" s="1"/>
  <c r="W142" i="1"/>
  <c r="O142" i="1"/>
  <c r="AF143" i="1"/>
  <c r="AG143" i="1" s="1"/>
  <c r="W143" i="1"/>
  <c r="O143" i="1"/>
  <c r="AF144" i="1"/>
  <c r="AG144" i="1" s="1"/>
  <c r="W144" i="1"/>
  <c r="O144" i="1"/>
  <c r="AF145" i="1"/>
  <c r="AG145" i="1" s="1"/>
  <c r="W145" i="1"/>
  <c r="O145" i="1"/>
  <c r="AF146" i="1"/>
  <c r="AG146" i="1" s="1"/>
  <c r="W146" i="1"/>
  <c r="O146" i="1"/>
  <c r="AF147" i="1"/>
  <c r="AG147" i="1" s="1"/>
  <c r="O147" i="1"/>
  <c r="M5" i="2"/>
  <c r="L5" i="2"/>
  <c r="C5" i="2"/>
  <c r="M6" i="2"/>
  <c r="L6" i="2"/>
  <c r="C6" i="2"/>
  <c r="M7" i="2"/>
  <c r="L7" i="2"/>
  <c r="C7" i="2"/>
  <c r="M8" i="2"/>
  <c r="L8" i="2"/>
  <c r="C8" i="2"/>
  <c r="M9" i="2"/>
  <c r="L9" i="2"/>
  <c r="C9" i="2"/>
  <c r="M10" i="2"/>
  <c r="L10" i="2"/>
  <c r="C10" i="2"/>
  <c r="M11" i="2"/>
  <c r="L11" i="2"/>
  <c r="C11" i="2"/>
  <c r="M12" i="2"/>
  <c r="L12" i="2"/>
  <c r="C12" i="2"/>
  <c r="M13" i="2"/>
  <c r="L13" i="2"/>
  <c r="C13" i="2"/>
  <c r="M14" i="2"/>
  <c r="L14" i="2"/>
  <c r="C14" i="2"/>
  <c r="M15" i="2"/>
  <c r="L15" i="2"/>
  <c r="C15" i="2"/>
  <c r="M16" i="2"/>
  <c r="L16" i="2"/>
  <c r="C16" i="2"/>
  <c r="M17" i="2"/>
  <c r="L17" i="2"/>
  <c r="C17" i="2"/>
  <c r="M18" i="2"/>
  <c r="L18" i="2"/>
  <c r="C18" i="2"/>
  <c r="M19" i="2"/>
  <c r="L19" i="2"/>
  <c r="C19" i="2"/>
  <c r="M20" i="2"/>
  <c r="L20" i="2"/>
  <c r="C20" i="2"/>
  <c r="M21" i="2"/>
  <c r="L21" i="2"/>
  <c r="C21" i="2"/>
  <c r="M22" i="2"/>
  <c r="L22" i="2"/>
  <c r="C22" i="2"/>
  <c r="M23" i="2"/>
  <c r="L23" i="2"/>
  <c r="C23" i="2"/>
  <c r="M24" i="2"/>
  <c r="L24" i="2"/>
  <c r="C24" i="2"/>
  <c r="M25" i="2"/>
  <c r="L25" i="2"/>
  <c r="C25" i="2"/>
  <c r="M26" i="2"/>
  <c r="L26" i="2"/>
  <c r="C26" i="2"/>
  <c r="M27" i="2"/>
  <c r="L27" i="2"/>
  <c r="C27" i="2"/>
  <c r="M28" i="2"/>
  <c r="L28" i="2"/>
  <c r="C28" i="2"/>
  <c r="M29" i="2"/>
  <c r="L29" i="2"/>
  <c r="C29" i="2"/>
  <c r="M30" i="2"/>
  <c r="L30" i="2"/>
  <c r="C30" i="2"/>
  <c r="M31" i="2"/>
  <c r="L31" i="2"/>
  <c r="C31" i="2"/>
  <c r="M32" i="2"/>
  <c r="L32" i="2"/>
  <c r="C32" i="2"/>
  <c r="M33" i="2"/>
  <c r="L33" i="2"/>
  <c r="C33" i="2"/>
  <c r="M34" i="2"/>
  <c r="L34" i="2"/>
  <c r="C34" i="2"/>
  <c r="M35" i="2"/>
  <c r="L35" i="2"/>
  <c r="C35" i="2"/>
  <c r="M36" i="2"/>
  <c r="L36" i="2"/>
  <c r="C36" i="2"/>
  <c r="M37" i="2"/>
  <c r="L37" i="2"/>
  <c r="C37" i="2"/>
  <c r="M38" i="2"/>
  <c r="L38" i="2"/>
  <c r="C38" i="2"/>
  <c r="M39" i="2"/>
  <c r="L39" i="2"/>
  <c r="C39" i="2"/>
  <c r="M40" i="2"/>
  <c r="L40" i="2"/>
  <c r="C40" i="2"/>
  <c r="M41" i="2"/>
  <c r="L41" i="2"/>
  <c r="C41" i="2"/>
  <c r="M42" i="2"/>
  <c r="L42" i="2"/>
  <c r="C42" i="2"/>
  <c r="M43" i="2"/>
  <c r="L43" i="2"/>
  <c r="C43" i="2"/>
  <c r="M44" i="2"/>
  <c r="L44" i="2"/>
  <c r="C44" i="2"/>
  <c r="M45" i="2"/>
  <c r="L45" i="2"/>
  <c r="C45" i="2"/>
  <c r="M46" i="2"/>
  <c r="L46" i="2"/>
  <c r="C46" i="2"/>
  <c r="M47" i="2"/>
  <c r="L47" i="2"/>
  <c r="C47" i="2"/>
  <c r="M48" i="2"/>
  <c r="L48" i="2"/>
  <c r="C48" i="2"/>
  <c r="M49" i="2"/>
  <c r="L49" i="2"/>
  <c r="C49" i="2"/>
  <c r="L50" i="2"/>
  <c r="M50" i="2"/>
  <c r="AK122" i="1"/>
  <c r="AD123" i="1"/>
  <c r="AE123" i="1" s="1"/>
  <c r="AH123" i="1"/>
  <c r="AK123" i="1"/>
  <c r="AD124" i="1"/>
  <c r="AE124" i="1" s="1"/>
  <c r="AH124" i="1"/>
  <c r="AK124" i="1"/>
  <c r="AD125" i="1"/>
  <c r="AE125" i="1" s="1"/>
  <c r="AH125" i="1"/>
  <c r="AK125" i="1"/>
  <c r="AD126" i="1"/>
  <c r="AE126" i="1" s="1"/>
  <c r="AH126" i="1"/>
  <c r="AK126" i="1"/>
  <c r="AD127" i="1"/>
  <c r="AE127" i="1" s="1"/>
  <c r="AH127" i="1"/>
  <c r="AK127" i="1"/>
  <c r="AD128" i="1"/>
  <c r="AE128" i="1" s="1"/>
  <c r="AH128" i="1"/>
  <c r="AK128" i="1"/>
  <c r="AD129" i="1"/>
  <c r="AE129" i="1" s="1"/>
  <c r="AH129" i="1"/>
  <c r="AK129" i="1"/>
  <c r="AD130" i="1"/>
  <c r="AE130" i="1" s="1"/>
  <c r="AH130" i="1"/>
  <c r="AK130" i="1"/>
  <c r="AD131" i="1"/>
  <c r="AE131" i="1" s="1"/>
  <c r="AH131" i="1"/>
  <c r="AK131" i="1"/>
  <c r="AD132" i="1"/>
  <c r="AE132" i="1" s="1"/>
  <c r="AH132" i="1"/>
  <c r="AK132" i="1"/>
  <c r="AD133" i="1"/>
  <c r="AE133" i="1" s="1"/>
  <c r="AH133" i="1"/>
  <c r="AK133" i="1"/>
  <c r="AD134" i="1"/>
  <c r="AE134" i="1" s="1"/>
  <c r="AH134" i="1"/>
  <c r="AK134" i="1"/>
  <c r="AD135" i="1"/>
  <c r="AE135" i="1" s="1"/>
  <c r="AH135" i="1"/>
  <c r="AK135" i="1"/>
  <c r="AD136" i="1"/>
  <c r="AE136" i="1" s="1"/>
  <c r="AH136" i="1"/>
  <c r="AK136" i="1"/>
  <c r="AD137" i="1"/>
  <c r="AE137" i="1" s="1"/>
  <c r="AH137" i="1"/>
  <c r="AK137" i="1"/>
  <c r="AD138" i="1"/>
  <c r="AE138" i="1" s="1"/>
  <c r="AH138" i="1"/>
  <c r="AK138" i="1"/>
  <c r="AD139" i="1"/>
  <c r="AE139" i="1" s="1"/>
  <c r="AH139" i="1"/>
  <c r="AK139" i="1"/>
  <c r="AD140" i="1"/>
  <c r="AE140" i="1" s="1"/>
  <c r="AH140" i="1"/>
  <c r="AK140" i="1"/>
  <c r="AD141" i="1"/>
  <c r="AE141" i="1" s="1"/>
  <c r="AH141" i="1"/>
  <c r="AK141" i="1"/>
  <c r="AD142" i="1"/>
  <c r="AE142" i="1" s="1"/>
  <c r="AH142" i="1"/>
  <c r="AK142" i="1"/>
  <c r="AD143" i="1"/>
  <c r="AE143" i="1" s="1"/>
  <c r="AH143" i="1"/>
  <c r="AK143" i="1"/>
  <c r="AD144" i="1"/>
  <c r="AE144" i="1" s="1"/>
  <c r="AH144" i="1"/>
  <c r="AK144" i="1"/>
  <c r="AD145" i="1"/>
  <c r="AE145" i="1" s="1"/>
  <c r="AH145" i="1"/>
  <c r="AK145" i="1"/>
  <c r="AD146" i="1"/>
  <c r="AE146" i="1" s="1"/>
  <c r="AH146" i="1"/>
  <c r="AK146" i="1"/>
  <c r="AD147" i="1"/>
  <c r="AE147" i="1" s="1"/>
  <c r="AH147" i="1"/>
  <c r="AK147" i="1"/>
  <c r="K5" i="2"/>
  <c r="J5" i="2"/>
  <c r="K6" i="2"/>
  <c r="J6" i="2"/>
  <c r="K7" i="2"/>
  <c r="J7" i="2"/>
  <c r="K8" i="2"/>
  <c r="J8" i="2"/>
  <c r="K9" i="2"/>
  <c r="J9" i="2"/>
  <c r="K10" i="2"/>
  <c r="J10" i="2"/>
  <c r="K11" i="2"/>
  <c r="J11" i="2"/>
  <c r="K12" i="2"/>
  <c r="J12" i="2"/>
  <c r="K13" i="2"/>
  <c r="J13" i="2"/>
  <c r="K14" i="2"/>
  <c r="J14" i="2"/>
  <c r="K15" i="2"/>
  <c r="J15" i="2"/>
  <c r="K16" i="2"/>
  <c r="J16" i="2"/>
  <c r="K17" i="2"/>
  <c r="J17" i="2"/>
  <c r="K18" i="2"/>
  <c r="J18" i="2"/>
  <c r="K19" i="2"/>
  <c r="J19" i="2"/>
  <c r="K20" i="2"/>
  <c r="J20" i="2"/>
  <c r="K21" i="2"/>
  <c r="J21" i="2"/>
  <c r="K22" i="2"/>
  <c r="J22" i="2"/>
  <c r="K23" i="2"/>
  <c r="J23" i="2"/>
  <c r="K24" i="2"/>
  <c r="J24" i="2"/>
  <c r="K25" i="2"/>
  <c r="J25" i="2"/>
  <c r="K26" i="2"/>
  <c r="J26" i="2"/>
  <c r="K27" i="2"/>
  <c r="J27" i="2"/>
  <c r="K28" i="2"/>
  <c r="J28" i="2"/>
  <c r="K29" i="2"/>
  <c r="J29" i="2"/>
  <c r="K30" i="2"/>
  <c r="J30" i="2"/>
  <c r="K31" i="2"/>
  <c r="J31" i="2"/>
  <c r="K32" i="2"/>
  <c r="J32" i="2"/>
  <c r="K33" i="2"/>
  <c r="J33" i="2"/>
  <c r="K34" i="2"/>
  <c r="J34" i="2"/>
  <c r="K35" i="2"/>
  <c r="J35" i="2"/>
  <c r="K36" i="2"/>
  <c r="J36" i="2"/>
  <c r="K37" i="2"/>
  <c r="J37" i="2"/>
  <c r="K38" i="2"/>
  <c r="J38" i="2"/>
  <c r="K39" i="2"/>
  <c r="J39" i="2"/>
  <c r="K40" i="2"/>
  <c r="J40" i="2"/>
  <c r="K41" i="2"/>
  <c r="J41" i="2"/>
  <c r="K42" i="2"/>
  <c r="J42" i="2"/>
  <c r="K43" i="2"/>
  <c r="J43" i="2"/>
  <c r="K44" i="2"/>
  <c r="J44" i="2"/>
  <c r="K45" i="2"/>
  <c r="J45" i="2"/>
  <c r="K46" i="2"/>
  <c r="J46" i="2"/>
  <c r="K47" i="2"/>
  <c r="J47" i="2"/>
  <c r="K48" i="2"/>
  <c r="J48" i="2"/>
  <c r="K49" i="2"/>
  <c r="J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J111" i="2"/>
  <c r="K111" i="2"/>
  <c r="J112" i="2"/>
  <c r="K112" i="2"/>
  <c r="J113" i="2"/>
  <c r="K113" i="2"/>
  <c r="J114" i="2"/>
  <c r="K114" i="2"/>
  <c r="J115" i="2"/>
  <c r="K115" i="2"/>
  <c r="J116" i="2"/>
  <c r="K116" i="2"/>
  <c r="J117" i="2"/>
  <c r="K117" i="2"/>
  <c r="J118" i="2"/>
  <c r="K118" i="2"/>
  <c r="J119" i="2"/>
  <c r="K119" i="2"/>
  <c r="J120" i="2"/>
  <c r="K120" i="2"/>
  <c r="J121" i="2"/>
  <c r="K121" i="2"/>
  <c r="J122" i="2"/>
  <c r="K122" i="2"/>
  <c r="J123" i="2"/>
  <c r="K123" i="2"/>
  <c r="J124" i="2"/>
  <c r="K124" i="2"/>
  <c r="J125" i="2"/>
  <c r="K125" i="2"/>
  <c r="J126" i="2"/>
  <c r="K126" i="2"/>
  <c r="J127" i="2"/>
  <c r="K127" i="2"/>
  <c r="J128" i="2"/>
  <c r="K128" i="2"/>
  <c r="J129" i="2"/>
  <c r="K129" i="2"/>
  <c r="J130" i="2"/>
  <c r="K130" i="2"/>
  <c r="J131" i="2"/>
  <c r="K131" i="2"/>
  <c r="J132" i="2"/>
  <c r="K132" i="2"/>
  <c r="J133" i="2"/>
  <c r="K133" i="2"/>
  <c r="J134" i="2"/>
  <c r="K134" i="2"/>
  <c r="J135" i="2"/>
  <c r="K135" i="2"/>
  <c r="J136" i="2"/>
  <c r="K136" i="2"/>
  <c r="J137" i="2"/>
  <c r="K137" i="2"/>
  <c r="J138" i="2"/>
  <c r="K138" i="2"/>
  <c r="J139" i="2"/>
  <c r="K139" i="2"/>
  <c r="J140" i="2"/>
  <c r="K140" i="2"/>
  <c r="J141" i="2"/>
  <c r="K141" i="2"/>
  <c r="J142" i="2"/>
  <c r="K142" i="2"/>
  <c r="J143" i="2"/>
  <c r="K143" i="2"/>
  <c r="J144" i="2"/>
  <c r="K144" i="2"/>
  <c r="J145" i="2"/>
  <c r="K145" i="2"/>
  <c r="J146" i="2"/>
  <c r="K146" i="2"/>
  <c r="J147" i="2"/>
  <c r="K147" i="2"/>
  <c r="J148" i="2"/>
  <c r="K148" i="2"/>
  <c r="J149" i="2"/>
  <c r="K149" i="2"/>
  <c r="C50" i="2"/>
  <c r="L51" i="2"/>
  <c r="M51" i="2"/>
  <c r="N51" i="2" s="1"/>
  <c r="O51" i="2" s="1"/>
  <c r="C51" i="2"/>
  <c r="L52" i="2"/>
  <c r="M52" i="2"/>
  <c r="C52" i="2"/>
  <c r="L53" i="2"/>
  <c r="M53" i="2"/>
  <c r="N53" i="2" s="1"/>
  <c r="O53" i="2" s="1"/>
  <c r="C53" i="2"/>
  <c r="L54" i="2"/>
  <c r="M54" i="2"/>
  <c r="C54" i="2"/>
  <c r="L55" i="2"/>
  <c r="M55" i="2"/>
  <c r="N55" i="2" s="1"/>
  <c r="O55" i="2" s="1"/>
  <c r="C55" i="2"/>
  <c r="L56" i="2"/>
  <c r="M56" i="2"/>
  <c r="C56" i="2"/>
  <c r="L57" i="2"/>
  <c r="M57" i="2"/>
  <c r="N57" i="2" s="1"/>
  <c r="O57" i="2" s="1"/>
  <c r="C57" i="2"/>
  <c r="L58" i="2"/>
  <c r="M58" i="2"/>
  <c r="C58" i="2"/>
  <c r="L59" i="2"/>
  <c r="M59" i="2"/>
  <c r="N59" i="2" s="1"/>
  <c r="O59" i="2" s="1"/>
  <c r="C59" i="2"/>
  <c r="L60" i="2"/>
  <c r="M60" i="2"/>
  <c r="C60" i="2"/>
  <c r="L61" i="2"/>
  <c r="M61" i="2"/>
  <c r="N61" i="2" s="1"/>
  <c r="O61" i="2" s="1"/>
  <c r="C61" i="2"/>
  <c r="L62" i="2"/>
  <c r="M62" i="2"/>
  <c r="C62" i="2"/>
  <c r="L63" i="2"/>
  <c r="M63" i="2"/>
  <c r="N63" i="2" s="1"/>
  <c r="O63" i="2" s="1"/>
  <c r="C63" i="2"/>
  <c r="L64" i="2"/>
  <c r="M64" i="2"/>
  <c r="C64" i="2"/>
  <c r="L65" i="2"/>
  <c r="M65" i="2"/>
  <c r="N65" i="2" s="1"/>
  <c r="O65" i="2" s="1"/>
  <c r="C65" i="2"/>
  <c r="L66" i="2"/>
  <c r="M66" i="2"/>
  <c r="C66" i="2"/>
  <c r="L67" i="2"/>
  <c r="M67" i="2"/>
  <c r="N67" i="2" s="1"/>
  <c r="O67" i="2" s="1"/>
  <c r="C67" i="2"/>
  <c r="L68" i="2"/>
  <c r="M68" i="2"/>
  <c r="C68" i="2"/>
  <c r="L69" i="2"/>
  <c r="M69" i="2"/>
  <c r="N69" i="2" s="1"/>
  <c r="O69" i="2" s="1"/>
  <c r="C69" i="2"/>
  <c r="L70" i="2"/>
  <c r="M70" i="2"/>
  <c r="C70" i="2"/>
  <c r="L71" i="2"/>
  <c r="M71" i="2"/>
  <c r="N71" i="2" s="1"/>
  <c r="O71" i="2" s="1"/>
  <c r="C71" i="2"/>
  <c r="L72" i="2"/>
  <c r="M72" i="2"/>
  <c r="C72" i="2"/>
  <c r="L73" i="2"/>
  <c r="M73" i="2"/>
  <c r="N73" i="2" s="1"/>
  <c r="O73" i="2" s="1"/>
  <c r="C73" i="2"/>
  <c r="L74" i="2"/>
  <c r="M74" i="2"/>
  <c r="C74" i="2"/>
  <c r="L75" i="2"/>
  <c r="M75" i="2"/>
  <c r="N75" i="2" s="1"/>
  <c r="O75" i="2" s="1"/>
  <c r="C75" i="2"/>
  <c r="L76" i="2"/>
  <c r="M76" i="2"/>
  <c r="C76" i="2"/>
  <c r="L77" i="2"/>
  <c r="M77" i="2"/>
  <c r="N77" i="2" s="1"/>
  <c r="O77" i="2" s="1"/>
  <c r="C77" i="2"/>
  <c r="L78" i="2"/>
  <c r="M78" i="2"/>
  <c r="C78" i="2"/>
  <c r="L79" i="2"/>
  <c r="M79" i="2"/>
  <c r="N79" i="2" s="1"/>
  <c r="O79" i="2" s="1"/>
  <c r="C79" i="2"/>
  <c r="L80" i="2"/>
  <c r="M80" i="2"/>
  <c r="C80" i="2"/>
  <c r="L81" i="2"/>
  <c r="M81" i="2"/>
  <c r="N81" i="2" s="1"/>
  <c r="O81" i="2" s="1"/>
  <c r="C81" i="2"/>
  <c r="L82" i="2"/>
  <c r="M82" i="2"/>
  <c r="C82" i="2"/>
  <c r="L83" i="2"/>
  <c r="M83" i="2"/>
  <c r="N83" i="2" s="1"/>
  <c r="O83" i="2" s="1"/>
  <c r="C83" i="2"/>
  <c r="L84" i="2"/>
  <c r="M84" i="2"/>
  <c r="C84" i="2"/>
  <c r="L85" i="2"/>
  <c r="M85" i="2"/>
  <c r="N85" i="2" s="1"/>
  <c r="O85" i="2" s="1"/>
  <c r="C85" i="2"/>
  <c r="L86" i="2"/>
  <c r="M86" i="2"/>
  <c r="C86" i="2"/>
  <c r="L87" i="2"/>
  <c r="M87" i="2"/>
  <c r="N87" i="2" s="1"/>
  <c r="O87" i="2" s="1"/>
  <c r="C87" i="2"/>
  <c r="L88" i="2"/>
  <c r="M88" i="2"/>
  <c r="C88" i="2"/>
  <c r="L89" i="2"/>
  <c r="M89" i="2"/>
  <c r="N89" i="2" s="1"/>
  <c r="O89" i="2" s="1"/>
  <c r="C89" i="2"/>
  <c r="L90" i="2"/>
  <c r="M90" i="2"/>
  <c r="C90" i="2"/>
  <c r="L91" i="2"/>
  <c r="M91" i="2"/>
  <c r="N91" i="2" s="1"/>
  <c r="O91" i="2" s="1"/>
  <c r="C91" i="2"/>
  <c r="L92" i="2"/>
  <c r="M92" i="2"/>
  <c r="C92" i="2"/>
  <c r="L93" i="2"/>
  <c r="M93" i="2"/>
  <c r="N93" i="2" s="1"/>
  <c r="O93" i="2" s="1"/>
  <c r="C93" i="2"/>
  <c r="L94" i="2"/>
  <c r="M94" i="2"/>
  <c r="C94" i="2"/>
  <c r="L95" i="2"/>
  <c r="M95" i="2"/>
  <c r="N95" i="2" s="1"/>
  <c r="O95" i="2" s="1"/>
  <c r="C95" i="2"/>
  <c r="L96" i="2"/>
  <c r="M96" i="2"/>
  <c r="C96" i="2"/>
  <c r="L97" i="2"/>
  <c r="M97" i="2"/>
  <c r="N97" i="2" s="1"/>
  <c r="O97" i="2" s="1"/>
  <c r="C97" i="2"/>
  <c r="L98" i="2"/>
  <c r="M98" i="2"/>
  <c r="C98" i="2"/>
  <c r="L99" i="2"/>
  <c r="M99" i="2"/>
  <c r="N99" i="2" s="1"/>
  <c r="O99" i="2" s="1"/>
  <c r="C99" i="2"/>
  <c r="L100" i="2"/>
  <c r="M100" i="2"/>
  <c r="C100" i="2"/>
  <c r="L101" i="2"/>
  <c r="M101" i="2"/>
  <c r="N101" i="2" s="1"/>
  <c r="O101" i="2" s="1"/>
  <c r="C101" i="2"/>
  <c r="L102" i="2"/>
  <c r="M102" i="2"/>
  <c r="C102" i="2"/>
  <c r="L103" i="2"/>
  <c r="M103" i="2"/>
  <c r="N103" i="2" s="1"/>
  <c r="O103" i="2" s="1"/>
  <c r="C103" i="2"/>
  <c r="L104" i="2"/>
  <c r="M104" i="2"/>
  <c r="C104" i="2"/>
  <c r="L105" i="2"/>
  <c r="M105" i="2"/>
  <c r="N105" i="2" s="1"/>
  <c r="O105" i="2" s="1"/>
  <c r="C105" i="2"/>
  <c r="L106" i="2"/>
  <c r="M106" i="2"/>
  <c r="C106" i="2"/>
  <c r="L107" i="2"/>
  <c r="M107" i="2"/>
  <c r="N107" i="2" s="1"/>
  <c r="O107" i="2" s="1"/>
  <c r="C107" i="2"/>
  <c r="L108" i="2"/>
  <c r="M108" i="2"/>
  <c r="C108" i="2"/>
  <c r="L109" i="2"/>
  <c r="M109" i="2"/>
  <c r="N109" i="2" s="1"/>
  <c r="O109" i="2" s="1"/>
  <c r="C109" i="2"/>
  <c r="L110" i="2"/>
  <c r="M110" i="2"/>
  <c r="C110" i="2"/>
  <c r="L111" i="2"/>
  <c r="M111" i="2"/>
  <c r="N111" i="2" s="1"/>
  <c r="O111" i="2" s="1"/>
  <c r="C111" i="2"/>
  <c r="L112" i="2"/>
  <c r="M112" i="2"/>
  <c r="C112" i="2"/>
  <c r="L113" i="2"/>
  <c r="M113" i="2"/>
  <c r="N113" i="2" s="1"/>
  <c r="O113" i="2" s="1"/>
  <c r="C113" i="2"/>
  <c r="L114" i="2"/>
  <c r="M114" i="2"/>
  <c r="C114" i="2"/>
  <c r="L115" i="2"/>
  <c r="M115" i="2"/>
  <c r="N115" i="2" s="1"/>
  <c r="O115" i="2" s="1"/>
  <c r="C115" i="2"/>
  <c r="L116" i="2"/>
  <c r="M116" i="2"/>
  <c r="C116" i="2"/>
  <c r="L117" i="2"/>
  <c r="M117" i="2"/>
  <c r="N117" i="2" s="1"/>
  <c r="O117" i="2" s="1"/>
  <c r="C117" i="2"/>
  <c r="L118" i="2"/>
  <c r="M118" i="2"/>
  <c r="C118" i="2"/>
  <c r="L119" i="2"/>
  <c r="M119" i="2"/>
  <c r="N119" i="2" s="1"/>
  <c r="O119" i="2" s="1"/>
  <c r="C119" i="2"/>
  <c r="L120" i="2"/>
  <c r="M120" i="2"/>
  <c r="C120" i="2"/>
  <c r="L121" i="2"/>
  <c r="M121" i="2"/>
  <c r="N121" i="2" s="1"/>
  <c r="O121" i="2" s="1"/>
  <c r="C121" i="2"/>
  <c r="L122" i="2"/>
  <c r="M122" i="2"/>
  <c r="C122" i="2"/>
  <c r="L123" i="2"/>
  <c r="M123" i="2"/>
  <c r="N123" i="2" s="1"/>
  <c r="O123" i="2" s="1"/>
  <c r="C123" i="2"/>
  <c r="L124" i="2"/>
  <c r="M124" i="2"/>
  <c r="C124" i="2"/>
  <c r="L125" i="2"/>
  <c r="M125" i="2"/>
  <c r="N125" i="2" s="1"/>
  <c r="O125" i="2" s="1"/>
  <c r="C125" i="2"/>
  <c r="L126" i="2"/>
  <c r="M126" i="2"/>
  <c r="C126" i="2"/>
  <c r="L127" i="2"/>
  <c r="M127" i="2"/>
  <c r="N127" i="2" s="1"/>
  <c r="O127" i="2" s="1"/>
  <c r="C127" i="2"/>
  <c r="L128" i="2"/>
  <c r="M128" i="2"/>
  <c r="C128" i="2"/>
  <c r="L129" i="2"/>
  <c r="M129" i="2"/>
  <c r="N129" i="2" s="1"/>
  <c r="O129" i="2" s="1"/>
  <c r="C129" i="2"/>
  <c r="L130" i="2"/>
  <c r="M130" i="2"/>
  <c r="C130" i="2"/>
  <c r="L131" i="2"/>
  <c r="M131" i="2"/>
  <c r="N131" i="2" s="1"/>
  <c r="O131" i="2" s="1"/>
  <c r="C131" i="2"/>
  <c r="L132" i="2"/>
  <c r="M132" i="2"/>
  <c r="C132" i="2"/>
  <c r="L133" i="2"/>
  <c r="M133" i="2"/>
  <c r="N133" i="2" s="1"/>
  <c r="O133" i="2" s="1"/>
  <c r="C133" i="2"/>
  <c r="L134" i="2"/>
  <c r="M134" i="2"/>
  <c r="C134" i="2"/>
  <c r="L135" i="2"/>
  <c r="M135" i="2"/>
  <c r="N135" i="2" s="1"/>
  <c r="O135" i="2" s="1"/>
  <c r="C135" i="2"/>
  <c r="L136" i="2"/>
  <c r="M136" i="2"/>
  <c r="C136" i="2"/>
  <c r="L137" i="2"/>
  <c r="M137" i="2"/>
  <c r="N137" i="2" s="1"/>
  <c r="O137" i="2" s="1"/>
  <c r="C137" i="2"/>
  <c r="L138" i="2"/>
  <c r="M138" i="2"/>
  <c r="C138" i="2"/>
  <c r="L139" i="2"/>
  <c r="M139" i="2"/>
  <c r="N139" i="2" s="1"/>
  <c r="O139" i="2" s="1"/>
  <c r="C139" i="2"/>
  <c r="L140" i="2"/>
  <c r="M140" i="2"/>
  <c r="C140" i="2"/>
  <c r="L141" i="2"/>
  <c r="M141" i="2"/>
  <c r="N141" i="2" s="1"/>
  <c r="O141" i="2" s="1"/>
  <c r="C141" i="2"/>
  <c r="L142" i="2"/>
  <c r="M142" i="2"/>
  <c r="C142" i="2"/>
  <c r="L143" i="2"/>
  <c r="M143" i="2"/>
  <c r="N143" i="2" s="1"/>
  <c r="O143" i="2" s="1"/>
  <c r="C143" i="2"/>
  <c r="L144" i="2"/>
  <c r="M144" i="2"/>
  <c r="C144" i="2"/>
  <c r="L145" i="2"/>
  <c r="M145" i="2"/>
  <c r="N145" i="2" s="1"/>
  <c r="O145" i="2" s="1"/>
  <c r="C145" i="2"/>
  <c r="L146" i="2"/>
  <c r="M146" i="2"/>
  <c r="C146" i="2"/>
  <c r="L147" i="2"/>
  <c r="M147" i="2"/>
  <c r="N147" i="2" s="1"/>
  <c r="O147" i="2" s="1"/>
  <c r="C147" i="2"/>
  <c r="L148" i="2"/>
  <c r="M148" i="2"/>
  <c r="C148" i="2"/>
  <c r="L149" i="2"/>
  <c r="M149" i="2"/>
  <c r="N149" i="2" s="1"/>
  <c r="O149" i="2" s="1"/>
  <c r="C149" i="2"/>
  <c r="J2" i="3"/>
  <c r="H2" i="3"/>
  <c r="B2" i="3"/>
  <c r="I2" i="3"/>
  <c r="G2" i="3"/>
  <c r="K2" i="3"/>
  <c r="J3" i="3"/>
  <c r="H3" i="3"/>
  <c r="B3" i="3"/>
  <c r="I3" i="3"/>
  <c r="G3" i="3"/>
  <c r="K3" i="3"/>
  <c r="J4" i="3"/>
  <c r="H4" i="3"/>
  <c r="B4" i="3"/>
  <c r="I4" i="3"/>
  <c r="G4" i="3"/>
  <c r="K4" i="3"/>
  <c r="J5" i="3"/>
  <c r="H5" i="3"/>
  <c r="B5" i="3"/>
  <c r="I5" i="3"/>
  <c r="G5" i="3"/>
  <c r="K5" i="3"/>
  <c r="J6" i="3"/>
  <c r="H6" i="3"/>
  <c r="B6" i="3"/>
  <c r="I6" i="3"/>
  <c r="G6" i="3"/>
  <c r="K6" i="3"/>
  <c r="J7" i="3"/>
  <c r="H7" i="3"/>
  <c r="B7" i="3"/>
  <c r="I7" i="3"/>
  <c r="G7" i="3"/>
  <c r="K7" i="3"/>
  <c r="J8" i="3"/>
  <c r="H8" i="3"/>
  <c r="B8" i="3"/>
  <c r="I8" i="3"/>
  <c r="G8" i="3"/>
  <c r="K8" i="3"/>
  <c r="J9" i="3"/>
  <c r="H9" i="3"/>
  <c r="B9" i="3"/>
  <c r="I9" i="3"/>
  <c r="G9" i="3"/>
  <c r="K9" i="3"/>
  <c r="J10" i="3"/>
  <c r="H10" i="3"/>
  <c r="B10" i="3"/>
  <c r="I10" i="3"/>
  <c r="G10" i="3"/>
  <c r="K10" i="3"/>
  <c r="J11" i="3"/>
  <c r="H11" i="3"/>
  <c r="B11" i="3"/>
  <c r="I11" i="3"/>
  <c r="G11" i="3"/>
  <c r="K11" i="3"/>
  <c r="J12" i="3"/>
  <c r="H12" i="3"/>
  <c r="B12" i="3"/>
  <c r="I12" i="3"/>
  <c r="G12" i="3"/>
  <c r="K12" i="3"/>
  <c r="J13" i="3"/>
  <c r="H13" i="3"/>
  <c r="B13" i="3"/>
  <c r="I13" i="3"/>
  <c r="G13" i="3"/>
  <c r="K13" i="3"/>
  <c r="J14" i="3"/>
  <c r="H14" i="3"/>
  <c r="B14" i="3"/>
  <c r="I14" i="3"/>
  <c r="G14" i="3"/>
  <c r="K14" i="3"/>
  <c r="J15" i="3"/>
  <c r="H15" i="3"/>
  <c r="B15" i="3"/>
  <c r="I15" i="3"/>
  <c r="G15" i="3"/>
  <c r="K15" i="3"/>
  <c r="J16" i="3"/>
  <c r="H16" i="3"/>
  <c r="B16" i="3"/>
  <c r="I16" i="3"/>
  <c r="G16" i="3"/>
  <c r="K16" i="3"/>
  <c r="J17" i="3"/>
  <c r="H17" i="3"/>
  <c r="B17" i="3"/>
  <c r="I17" i="3"/>
  <c r="G17" i="3"/>
  <c r="K17" i="3"/>
  <c r="J18" i="3"/>
  <c r="H18" i="3"/>
  <c r="B18" i="3"/>
  <c r="I18" i="3"/>
  <c r="G18" i="3"/>
  <c r="K18" i="3"/>
  <c r="J19" i="3"/>
  <c r="H19" i="3"/>
  <c r="B19" i="3"/>
  <c r="I19" i="3"/>
  <c r="G19" i="3"/>
  <c r="K19" i="3"/>
  <c r="J20" i="3"/>
  <c r="H20" i="3"/>
  <c r="B20" i="3"/>
  <c r="I20" i="3"/>
  <c r="G20" i="3"/>
  <c r="K20" i="3"/>
  <c r="J21" i="3"/>
  <c r="H21" i="3"/>
  <c r="B21" i="3"/>
  <c r="I21" i="3"/>
  <c r="G21" i="3"/>
  <c r="K21" i="3"/>
  <c r="J22" i="3"/>
  <c r="H22" i="3"/>
  <c r="B22" i="3"/>
  <c r="I22" i="3"/>
  <c r="G22" i="3"/>
  <c r="K22" i="3"/>
  <c r="J23" i="3"/>
  <c r="H23" i="3"/>
  <c r="B23" i="3"/>
  <c r="I23" i="3"/>
  <c r="G23" i="3"/>
  <c r="K23" i="3"/>
  <c r="J24" i="3"/>
  <c r="H24" i="3"/>
  <c r="B24" i="3"/>
  <c r="I24" i="3"/>
  <c r="G24" i="3"/>
  <c r="K24" i="3"/>
  <c r="J25" i="3"/>
  <c r="H25" i="3"/>
  <c r="B25" i="3"/>
  <c r="I25" i="3"/>
  <c r="G25" i="3"/>
  <c r="K25" i="3"/>
  <c r="J26" i="3"/>
  <c r="H26" i="3"/>
  <c r="B26" i="3"/>
  <c r="I26" i="3"/>
  <c r="G26" i="3"/>
  <c r="K26" i="3"/>
  <c r="J27" i="3"/>
  <c r="H27" i="3"/>
  <c r="B27" i="3"/>
  <c r="I27" i="3"/>
  <c r="G27" i="3"/>
  <c r="K27" i="3"/>
  <c r="J28" i="3"/>
  <c r="H28" i="3"/>
  <c r="B28" i="3"/>
  <c r="I28" i="3"/>
  <c r="G28" i="3"/>
  <c r="K28" i="3"/>
  <c r="J29" i="3"/>
  <c r="H29" i="3"/>
  <c r="B29" i="3"/>
  <c r="I29" i="3"/>
  <c r="G29" i="3"/>
  <c r="K29" i="3"/>
  <c r="J30" i="3"/>
  <c r="H30" i="3"/>
  <c r="B30" i="3"/>
  <c r="I30" i="3"/>
  <c r="G30" i="3"/>
  <c r="K30" i="3"/>
  <c r="J31" i="3"/>
  <c r="H31" i="3"/>
  <c r="B31" i="3"/>
  <c r="I31" i="3"/>
  <c r="G31" i="3"/>
  <c r="K31" i="3"/>
  <c r="J32" i="3"/>
  <c r="H32" i="3"/>
  <c r="B32" i="3"/>
  <c r="I32" i="3"/>
  <c r="G32" i="3"/>
  <c r="K32" i="3"/>
  <c r="J33" i="3"/>
  <c r="H33" i="3"/>
  <c r="B33" i="3"/>
  <c r="I33" i="3"/>
  <c r="G33" i="3"/>
  <c r="K33" i="3"/>
  <c r="J34" i="3"/>
  <c r="H34" i="3"/>
  <c r="B34" i="3"/>
  <c r="I34" i="3"/>
  <c r="G34" i="3"/>
  <c r="K34" i="3"/>
  <c r="J35" i="3"/>
  <c r="H35" i="3"/>
  <c r="B35" i="3"/>
  <c r="I35" i="3"/>
  <c r="G35" i="3"/>
  <c r="K35" i="3"/>
  <c r="J36" i="3"/>
  <c r="H36" i="3"/>
  <c r="B36" i="3"/>
  <c r="I36" i="3"/>
  <c r="G36" i="3"/>
  <c r="K36" i="3"/>
  <c r="J37" i="3"/>
  <c r="H37" i="3"/>
  <c r="B37" i="3"/>
  <c r="I37" i="3"/>
  <c r="G37" i="3"/>
  <c r="K37" i="3"/>
  <c r="J38" i="3"/>
  <c r="H38" i="3"/>
  <c r="B38" i="3"/>
  <c r="I38" i="3"/>
  <c r="G38" i="3"/>
  <c r="K38" i="3"/>
  <c r="J39" i="3"/>
  <c r="H39" i="3"/>
  <c r="B39" i="3"/>
  <c r="I39" i="3"/>
  <c r="G39" i="3"/>
  <c r="K39" i="3"/>
  <c r="J40" i="3"/>
  <c r="H40" i="3"/>
  <c r="B40" i="3"/>
  <c r="I40" i="3"/>
  <c r="G40" i="3"/>
  <c r="K40" i="3"/>
  <c r="J41" i="3"/>
  <c r="H41" i="3"/>
  <c r="B41" i="3"/>
  <c r="I41" i="3"/>
  <c r="G41" i="3"/>
  <c r="K41" i="3"/>
  <c r="J42" i="3"/>
  <c r="H42" i="3"/>
  <c r="B42" i="3"/>
  <c r="I42" i="3"/>
  <c r="G42" i="3"/>
  <c r="K42" i="3"/>
  <c r="J43" i="3"/>
  <c r="H43" i="3"/>
  <c r="B43" i="3"/>
  <c r="I43" i="3"/>
  <c r="G43" i="3"/>
  <c r="K43" i="3"/>
  <c r="J44" i="3"/>
  <c r="H44" i="3"/>
  <c r="B44" i="3"/>
  <c r="I44" i="3"/>
  <c r="G44" i="3"/>
  <c r="K44" i="3"/>
  <c r="J45" i="3"/>
  <c r="H45" i="3"/>
  <c r="B45" i="3"/>
  <c r="I45" i="3"/>
  <c r="G45" i="3"/>
  <c r="K45" i="3"/>
  <c r="J46" i="3"/>
  <c r="H46" i="3"/>
  <c r="B46" i="3"/>
  <c r="I46" i="3"/>
  <c r="G46" i="3"/>
  <c r="K46" i="3"/>
  <c r="J47" i="3"/>
  <c r="H47" i="3"/>
  <c r="B47" i="3"/>
  <c r="I47" i="3"/>
  <c r="G47" i="3"/>
  <c r="K47" i="3"/>
  <c r="J48" i="3"/>
  <c r="H48" i="3"/>
  <c r="B48" i="3"/>
  <c r="I48" i="3"/>
  <c r="G48" i="3"/>
  <c r="K48" i="3"/>
  <c r="J49" i="3"/>
  <c r="H49" i="3"/>
  <c r="B49" i="3"/>
  <c r="I49" i="3"/>
  <c r="G49" i="3"/>
  <c r="K49" i="3"/>
  <c r="J50" i="3"/>
  <c r="H50" i="3"/>
  <c r="B50" i="3"/>
  <c r="I50" i="3"/>
  <c r="G50" i="3"/>
  <c r="K50" i="3"/>
  <c r="J51" i="3"/>
  <c r="H51" i="3"/>
  <c r="B51" i="3"/>
  <c r="I51" i="3"/>
  <c r="G51" i="3"/>
  <c r="K51" i="3"/>
  <c r="J52" i="3"/>
  <c r="H52" i="3"/>
  <c r="B52" i="3"/>
  <c r="I52" i="3"/>
  <c r="G52" i="3"/>
  <c r="K52" i="3"/>
  <c r="J53" i="3"/>
  <c r="H53" i="3"/>
  <c r="B53" i="3"/>
  <c r="I53" i="3"/>
  <c r="G53" i="3"/>
  <c r="K53" i="3"/>
  <c r="J54" i="3"/>
  <c r="H54" i="3"/>
  <c r="B54" i="3"/>
  <c r="I54" i="3"/>
  <c r="G54" i="3"/>
  <c r="K54" i="3"/>
  <c r="J55" i="3"/>
  <c r="H55" i="3"/>
  <c r="B55" i="3"/>
  <c r="I55" i="3"/>
  <c r="G55" i="3"/>
  <c r="K55" i="3"/>
  <c r="J56" i="3"/>
  <c r="H56" i="3"/>
  <c r="B56" i="3"/>
  <c r="I56" i="3"/>
  <c r="G56" i="3"/>
  <c r="K56" i="3"/>
  <c r="J57" i="3"/>
  <c r="H57" i="3"/>
  <c r="B57" i="3"/>
  <c r="I57" i="3"/>
  <c r="G57" i="3"/>
  <c r="K57" i="3"/>
  <c r="J58" i="3"/>
  <c r="H58" i="3"/>
  <c r="B58" i="3"/>
  <c r="I58" i="3"/>
  <c r="G58" i="3"/>
  <c r="K58" i="3"/>
  <c r="J59" i="3"/>
  <c r="H59" i="3"/>
  <c r="B59" i="3"/>
  <c r="I59" i="3"/>
  <c r="G59" i="3"/>
  <c r="K59" i="3"/>
  <c r="J60" i="3"/>
  <c r="H60" i="3"/>
  <c r="B60" i="3"/>
  <c r="I60" i="3"/>
  <c r="G60" i="3"/>
  <c r="K60" i="3"/>
  <c r="J61" i="3"/>
  <c r="H61" i="3"/>
  <c r="B61" i="3"/>
  <c r="I61" i="3"/>
  <c r="G61" i="3"/>
  <c r="K61" i="3"/>
  <c r="J62" i="3"/>
  <c r="H62" i="3"/>
  <c r="B62" i="3"/>
  <c r="I62" i="3"/>
  <c r="G62" i="3"/>
  <c r="K62" i="3"/>
  <c r="J63" i="3"/>
  <c r="H63" i="3"/>
  <c r="B63" i="3"/>
  <c r="I63" i="3"/>
  <c r="G63" i="3"/>
  <c r="K63" i="3"/>
  <c r="J64" i="3"/>
  <c r="H64" i="3"/>
  <c r="B64" i="3"/>
  <c r="I64" i="3"/>
  <c r="G64" i="3"/>
  <c r="K64" i="3"/>
  <c r="J65" i="3"/>
  <c r="H65" i="3"/>
  <c r="B65" i="3"/>
  <c r="I65" i="3"/>
  <c r="G65" i="3"/>
  <c r="K65" i="3"/>
  <c r="J66" i="3"/>
  <c r="H66" i="3"/>
  <c r="B66" i="3"/>
  <c r="I66" i="3"/>
  <c r="G66" i="3"/>
  <c r="K66" i="3"/>
  <c r="J67" i="3"/>
  <c r="H67" i="3"/>
  <c r="B67" i="3"/>
  <c r="I67" i="3"/>
  <c r="G67" i="3"/>
  <c r="K67" i="3"/>
  <c r="J68" i="3"/>
  <c r="H68" i="3"/>
  <c r="B68" i="3"/>
  <c r="I68" i="3"/>
  <c r="G68" i="3"/>
  <c r="K68" i="3"/>
  <c r="J69" i="3"/>
  <c r="H69" i="3"/>
  <c r="B69" i="3"/>
  <c r="I69" i="3"/>
  <c r="G69" i="3"/>
  <c r="K69" i="3"/>
  <c r="J70" i="3"/>
  <c r="H70" i="3"/>
  <c r="B70" i="3"/>
  <c r="I70" i="3"/>
  <c r="G70" i="3"/>
  <c r="K70" i="3"/>
  <c r="J71" i="3"/>
  <c r="H71" i="3"/>
  <c r="B71" i="3"/>
  <c r="I71" i="3"/>
  <c r="G71" i="3"/>
  <c r="K71" i="3"/>
  <c r="J72" i="3"/>
  <c r="H72" i="3"/>
  <c r="B72" i="3"/>
  <c r="G72" i="3"/>
  <c r="I72" i="3"/>
  <c r="K72" i="3"/>
  <c r="J73" i="3"/>
  <c r="H73" i="3"/>
  <c r="B73" i="3"/>
  <c r="I73" i="3"/>
  <c r="G73" i="3"/>
  <c r="K73" i="3"/>
  <c r="J74" i="3"/>
  <c r="H74" i="3"/>
  <c r="B74" i="3"/>
  <c r="G74" i="3"/>
  <c r="I74" i="3"/>
  <c r="K74" i="3"/>
  <c r="J75" i="3"/>
  <c r="H75" i="3"/>
  <c r="B75" i="3"/>
  <c r="I75" i="3"/>
  <c r="G75" i="3"/>
  <c r="K75" i="3"/>
  <c r="J76" i="3"/>
  <c r="H76" i="3"/>
  <c r="B76" i="3"/>
  <c r="G76" i="3"/>
  <c r="I76" i="3"/>
  <c r="K76" i="3"/>
  <c r="J77" i="3"/>
  <c r="H77" i="3"/>
  <c r="B77" i="3"/>
  <c r="I77" i="3"/>
  <c r="G77" i="3"/>
  <c r="K77" i="3"/>
  <c r="J78" i="3"/>
  <c r="H78" i="3"/>
  <c r="B78" i="3"/>
  <c r="G78" i="3"/>
  <c r="I78" i="3"/>
  <c r="K78" i="3"/>
  <c r="J79" i="3"/>
  <c r="H79" i="3"/>
  <c r="B79" i="3"/>
  <c r="I79" i="3"/>
  <c r="G79" i="3"/>
  <c r="K79" i="3"/>
  <c r="J80" i="3"/>
  <c r="H80" i="3"/>
  <c r="B80" i="3"/>
  <c r="G80" i="3"/>
  <c r="I80" i="3"/>
  <c r="K80" i="3"/>
  <c r="J81" i="3"/>
  <c r="H81" i="3"/>
  <c r="B81" i="3"/>
  <c r="I81" i="3"/>
  <c r="G81" i="3"/>
  <c r="K81" i="3"/>
  <c r="J82" i="3"/>
  <c r="H82" i="3"/>
  <c r="B82" i="3"/>
  <c r="G82" i="3"/>
  <c r="I82" i="3"/>
  <c r="K82" i="3"/>
  <c r="I83" i="3"/>
  <c r="J83" i="3"/>
  <c r="H83" i="3"/>
  <c r="B83" i="3"/>
  <c r="G83" i="3"/>
  <c r="K83" i="3"/>
  <c r="I84" i="3"/>
  <c r="G84" i="3"/>
  <c r="J84" i="3"/>
  <c r="H84" i="3"/>
  <c r="B84" i="3"/>
  <c r="K84" i="3"/>
  <c r="I85" i="3"/>
  <c r="G85" i="3"/>
  <c r="J85" i="3"/>
  <c r="H85" i="3"/>
  <c r="B85" i="3"/>
  <c r="K85" i="3"/>
  <c r="I86" i="3"/>
  <c r="G86" i="3"/>
  <c r="J86" i="3"/>
  <c r="H86" i="3"/>
  <c r="B86" i="3"/>
  <c r="K86" i="3"/>
  <c r="I87" i="3"/>
  <c r="G87" i="3"/>
  <c r="J87" i="3"/>
  <c r="H87" i="3"/>
  <c r="B87" i="3"/>
  <c r="K87" i="3"/>
  <c r="I88" i="3"/>
  <c r="G88" i="3"/>
  <c r="J88" i="3"/>
  <c r="H88" i="3"/>
  <c r="B88" i="3"/>
  <c r="K88" i="3"/>
  <c r="I89" i="3"/>
  <c r="G89" i="3"/>
  <c r="J89" i="3"/>
  <c r="H89" i="3"/>
  <c r="B89" i="3"/>
  <c r="K89" i="3"/>
  <c r="I90" i="3"/>
  <c r="G90" i="3"/>
  <c r="J90" i="3"/>
  <c r="H90" i="3"/>
  <c r="B90" i="3"/>
  <c r="K90" i="3"/>
  <c r="I91" i="3"/>
  <c r="G91" i="3"/>
  <c r="J91" i="3"/>
  <c r="H91" i="3"/>
  <c r="B91" i="3"/>
  <c r="K91" i="3"/>
  <c r="I92" i="3"/>
  <c r="G92" i="3"/>
  <c r="J92" i="3"/>
  <c r="H92" i="3"/>
  <c r="B92" i="3"/>
  <c r="K92" i="3"/>
  <c r="I93" i="3"/>
  <c r="G93" i="3"/>
  <c r="J93" i="3"/>
  <c r="H93" i="3"/>
  <c r="B93" i="3"/>
  <c r="K93" i="3"/>
  <c r="I94" i="3"/>
  <c r="G94" i="3"/>
  <c r="J94" i="3"/>
  <c r="H94" i="3"/>
  <c r="B94" i="3"/>
  <c r="K94" i="3"/>
  <c r="I95" i="3"/>
  <c r="G95" i="3"/>
  <c r="J95" i="3"/>
  <c r="H95" i="3"/>
  <c r="B95" i="3"/>
  <c r="K95" i="3"/>
  <c r="I96" i="3"/>
  <c r="G96" i="3"/>
  <c r="J96" i="3"/>
  <c r="H96" i="3"/>
  <c r="B96" i="3"/>
  <c r="K96" i="3"/>
  <c r="I97" i="3"/>
  <c r="G97" i="3"/>
  <c r="J97" i="3"/>
  <c r="H97" i="3"/>
  <c r="B97" i="3"/>
  <c r="K97" i="3"/>
  <c r="I98" i="3"/>
  <c r="G98" i="3"/>
  <c r="J98" i="3"/>
  <c r="H98" i="3"/>
  <c r="B98" i="3"/>
  <c r="K98" i="3"/>
  <c r="I99" i="3"/>
  <c r="G99" i="3"/>
  <c r="J99" i="3"/>
  <c r="H99" i="3"/>
  <c r="B99" i="3"/>
  <c r="K99" i="3"/>
  <c r="I100" i="3"/>
  <c r="G100" i="3"/>
  <c r="J100" i="3"/>
  <c r="H100" i="3"/>
  <c r="B100" i="3"/>
  <c r="K100" i="3"/>
  <c r="I101" i="3"/>
  <c r="G101" i="3"/>
  <c r="J101" i="3"/>
  <c r="H101" i="3"/>
  <c r="B101" i="3"/>
  <c r="K101" i="3"/>
  <c r="I102" i="3"/>
  <c r="G102" i="3"/>
  <c r="J102" i="3"/>
  <c r="H102" i="3"/>
  <c r="B102" i="3"/>
  <c r="K102" i="3"/>
  <c r="I103" i="3"/>
  <c r="G103" i="3"/>
  <c r="J103" i="3"/>
  <c r="H103" i="3"/>
  <c r="B103" i="3"/>
  <c r="K103" i="3"/>
  <c r="I104" i="3"/>
  <c r="G104" i="3"/>
  <c r="J104" i="3"/>
  <c r="H104" i="3"/>
  <c r="B104" i="3"/>
  <c r="K104" i="3"/>
  <c r="I105" i="3"/>
  <c r="G105" i="3"/>
  <c r="J105" i="3"/>
  <c r="H105" i="3"/>
  <c r="B105" i="3"/>
  <c r="K105" i="3"/>
  <c r="I106" i="3"/>
  <c r="G106" i="3"/>
  <c r="J106" i="3"/>
  <c r="H106" i="3"/>
  <c r="B106" i="3"/>
  <c r="K106" i="3"/>
  <c r="I107" i="3"/>
  <c r="G107" i="3"/>
  <c r="J107" i="3"/>
  <c r="H107" i="3"/>
  <c r="B107" i="3"/>
  <c r="K107" i="3"/>
  <c r="I108" i="3"/>
  <c r="G108" i="3"/>
  <c r="J108" i="3"/>
  <c r="H108" i="3"/>
  <c r="B108" i="3"/>
  <c r="K108" i="3"/>
  <c r="I109" i="3"/>
  <c r="G109" i="3"/>
  <c r="J109" i="3"/>
  <c r="H109" i="3"/>
  <c r="B109" i="3"/>
  <c r="K109" i="3"/>
  <c r="I110" i="3"/>
  <c r="G110" i="3"/>
  <c r="J110" i="3"/>
  <c r="H110" i="3"/>
  <c r="B110" i="3"/>
  <c r="K110" i="3"/>
  <c r="I111" i="3"/>
  <c r="G111" i="3"/>
  <c r="J111" i="3"/>
  <c r="H111" i="3"/>
  <c r="B111" i="3"/>
  <c r="K111" i="3"/>
  <c r="I112" i="3"/>
  <c r="G112" i="3"/>
  <c r="J112" i="3"/>
  <c r="H112" i="3"/>
  <c r="B112" i="3"/>
  <c r="K112" i="3"/>
  <c r="I113" i="3"/>
  <c r="J113" i="3"/>
  <c r="G113" i="3"/>
  <c r="H113" i="3"/>
  <c r="B113" i="3"/>
  <c r="K113" i="3"/>
  <c r="I114" i="3"/>
  <c r="G114" i="3"/>
  <c r="J114" i="3"/>
  <c r="H114" i="3"/>
  <c r="B114" i="3"/>
  <c r="K114" i="3"/>
  <c r="I115" i="3"/>
  <c r="G115" i="3"/>
  <c r="J115" i="3"/>
  <c r="H115" i="3"/>
  <c r="B115" i="3"/>
  <c r="K115" i="3"/>
  <c r="I116" i="3"/>
  <c r="G116" i="3"/>
  <c r="J116" i="3"/>
  <c r="H116" i="3"/>
  <c r="B116" i="3"/>
  <c r="K116" i="3"/>
  <c r="I117" i="3"/>
  <c r="G117" i="3"/>
  <c r="J117" i="3"/>
  <c r="H117" i="3"/>
  <c r="B117" i="3"/>
  <c r="K117" i="3"/>
  <c r="I118" i="3"/>
  <c r="G118" i="3"/>
  <c r="J118" i="3"/>
  <c r="H118" i="3"/>
  <c r="B118" i="3"/>
  <c r="K118" i="3"/>
  <c r="I119" i="3"/>
  <c r="G119" i="3"/>
  <c r="J119" i="3"/>
  <c r="H119" i="3"/>
  <c r="B119" i="3"/>
  <c r="K119" i="3"/>
  <c r="I120" i="3"/>
  <c r="G120" i="3"/>
  <c r="J120" i="3"/>
  <c r="H120" i="3"/>
  <c r="B120" i="3"/>
  <c r="K120" i="3"/>
  <c r="I121" i="3"/>
  <c r="G121" i="3"/>
  <c r="J121" i="3"/>
  <c r="H121" i="3"/>
  <c r="B121" i="3"/>
  <c r="K121" i="3"/>
  <c r="I122" i="3"/>
  <c r="G122" i="3"/>
  <c r="J122" i="3"/>
  <c r="H122" i="3"/>
  <c r="B122" i="3"/>
  <c r="K122" i="3"/>
  <c r="I123" i="3"/>
  <c r="G123" i="3"/>
  <c r="J123" i="3"/>
  <c r="H123" i="3"/>
  <c r="B123" i="3"/>
  <c r="K123" i="3"/>
  <c r="I124" i="3"/>
  <c r="G124" i="3"/>
  <c r="J124" i="3"/>
  <c r="H124" i="3"/>
  <c r="B124" i="3"/>
  <c r="K124" i="3"/>
  <c r="I125" i="3"/>
  <c r="G125" i="3"/>
  <c r="J125" i="3"/>
  <c r="H125" i="3"/>
  <c r="B125" i="3"/>
  <c r="K125" i="3"/>
  <c r="I126" i="3"/>
  <c r="G126" i="3"/>
  <c r="J126" i="3"/>
  <c r="H126" i="3"/>
  <c r="B126" i="3"/>
  <c r="K126" i="3"/>
  <c r="I127" i="3"/>
  <c r="G127" i="3"/>
  <c r="J127" i="3"/>
  <c r="H127" i="3"/>
  <c r="B127" i="3"/>
  <c r="K127" i="3"/>
  <c r="I128" i="3"/>
  <c r="G128" i="3"/>
  <c r="J128" i="3"/>
  <c r="H128" i="3"/>
  <c r="B128" i="3"/>
  <c r="K128" i="3"/>
  <c r="I129" i="3"/>
  <c r="G129" i="3"/>
  <c r="J129" i="3"/>
  <c r="H129" i="3"/>
  <c r="B129" i="3"/>
  <c r="K129" i="3"/>
  <c r="I130" i="3"/>
  <c r="G130" i="3"/>
  <c r="J130" i="3"/>
  <c r="H130" i="3"/>
  <c r="B130" i="3"/>
  <c r="K130" i="3"/>
  <c r="I131" i="3"/>
  <c r="G131" i="3"/>
  <c r="J131" i="3"/>
  <c r="H131" i="3"/>
  <c r="B131" i="3"/>
  <c r="K131" i="3"/>
  <c r="I132" i="3"/>
  <c r="G132" i="3"/>
  <c r="J132" i="3"/>
  <c r="H132" i="3"/>
  <c r="B132" i="3"/>
  <c r="K132" i="3"/>
  <c r="I133" i="3"/>
  <c r="G133" i="3"/>
  <c r="J133" i="3"/>
  <c r="H133" i="3"/>
  <c r="B133" i="3"/>
  <c r="K133" i="3"/>
  <c r="I134" i="3"/>
  <c r="G134" i="3"/>
  <c r="J134" i="3"/>
  <c r="H134" i="3"/>
  <c r="B134" i="3"/>
  <c r="K134" i="3"/>
  <c r="I135" i="3"/>
  <c r="G135" i="3"/>
  <c r="J135" i="3"/>
  <c r="H135" i="3"/>
  <c r="B135" i="3"/>
  <c r="K135" i="3"/>
  <c r="I136" i="3"/>
  <c r="G136" i="3"/>
  <c r="J136" i="3"/>
  <c r="H136" i="3"/>
  <c r="B136" i="3"/>
  <c r="K136" i="3"/>
  <c r="I137" i="3"/>
  <c r="G137" i="3"/>
  <c r="J137" i="3"/>
  <c r="H137" i="3"/>
  <c r="B137" i="3"/>
  <c r="K137" i="3"/>
  <c r="I138" i="3"/>
  <c r="G138" i="3"/>
  <c r="J138" i="3"/>
  <c r="H138" i="3"/>
  <c r="B138" i="3"/>
  <c r="K138" i="3"/>
  <c r="I139" i="3"/>
  <c r="G139" i="3"/>
  <c r="J139" i="3"/>
  <c r="H139" i="3"/>
  <c r="B139" i="3"/>
  <c r="K139" i="3"/>
  <c r="I140" i="3"/>
  <c r="G140" i="3"/>
  <c r="J140" i="3"/>
  <c r="H140" i="3"/>
  <c r="B140" i="3"/>
  <c r="K140" i="3"/>
  <c r="I141" i="3"/>
  <c r="G141" i="3"/>
  <c r="J141" i="3"/>
  <c r="H141" i="3"/>
  <c r="B141" i="3"/>
  <c r="K141" i="3"/>
  <c r="I142" i="3"/>
  <c r="G142" i="3"/>
  <c r="J142" i="3"/>
  <c r="H142" i="3"/>
  <c r="B142" i="3"/>
  <c r="K142" i="3"/>
  <c r="J143" i="3"/>
  <c r="I143" i="3"/>
  <c r="G143" i="3"/>
  <c r="H143" i="3"/>
  <c r="B143" i="3"/>
  <c r="S2" i="4"/>
  <c r="U2" i="4" s="1"/>
  <c r="J2" i="4"/>
  <c r="H2" i="4"/>
  <c r="D7" i="4"/>
  <c r="T2" i="4"/>
  <c r="N2" i="4"/>
  <c r="O2" i="4" s="1"/>
  <c r="K143" i="3"/>
  <c r="J144" i="3"/>
  <c r="H144" i="3"/>
  <c r="B144" i="3"/>
  <c r="I144" i="3"/>
  <c r="G144" i="3"/>
  <c r="K144" i="3"/>
  <c r="O7" i="4"/>
  <c r="L31" i="4"/>
  <c r="P2" i="4" s="1"/>
  <c r="L36" i="4"/>
  <c r="L30" i="4"/>
  <c r="L32" i="4"/>
  <c r="N48" i="2" l="1"/>
  <c r="O48" i="2" s="1"/>
  <c r="N46" i="2"/>
  <c r="O46" i="2" s="1"/>
  <c r="N44" i="2"/>
  <c r="O44" i="2" s="1"/>
  <c r="N42" i="2"/>
  <c r="O42" i="2" s="1"/>
  <c r="N40" i="2"/>
  <c r="O40" i="2" s="1"/>
  <c r="N38" i="2"/>
  <c r="O38" i="2" s="1"/>
  <c r="N36" i="2"/>
  <c r="O36" i="2" s="1"/>
  <c r="N34" i="2"/>
  <c r="O34" i="2" s="1"/>
  <c r="N32" i="2"/>
  <c r="O32" i="2" s="1"/>
  <c r="N30" i="2"/>
  <c r="O30" i="2" s="1"/>
  <c r="N28" i="2"/>
  <c r="O28" i="2" s="1"/>
  <c r="N26" i="2"/>
  <c r="O26" i="2" s="1"/>
  <c r="N24" i="2"/>
  <c r="O24" i="2" s="1"/>
  <c r="N22" i="2"/>
  <c r="O22" i="2" s="1"/>
  <c r="N20" i="2"/>
  <c r="O20" i="2" s="1"/>
  <c r="N18" i="2"/>
  <c r="O18" i="2" s="1"/>
  <c r="N16" i="2"/>
  <c r="O16" i="2" s="1"/>
  <c r="N14" i="2"/>
  <c r="O14" i="2" s="1"/>
  <c r="N12" i="2"/>
  <c r="O12" i="2" s="1"/>
  <c r="N10" i="2"/>
  <c r="O10" i="2" s="1"/>
  <c r="N8" i="2"/>
  <c r="O8" i="2" s="1"/>
  <c r="N6" i="2"/>
  <c r="O6" i="2" s="1"/>
  <c r="X147" i="1"/>
  <c r="P147" i="1"/>
  <c r="P122" i="1"/>
  <c r="X122" i="1"/>
  <c r="X120" i="1"/>
  <c r="P120" i="1"/>
  <c r="X118" i="1"/>
  <c r="P118" i="1"/>
  <c r="X116" i="1"/>
  <c r="P116" i="1"/>
  <c r="X114" i="1"/>
  <c r="P114" i="1"/>
  <c r="X112" i="1"/>
  <c r="P112" i="1"/>
  <c r="X110" i="1"/>
  <c r="P110" i="1"/>
  <c r="X108" i="1"/>
  <c r="P108" i="1"/>
  <c r="X106" i="1"/>
  <c r="P106" i="1"/>
  <c r="X104" i="1"/>
  <c r="P104" i="1"/>
  <c r="X102" i="1"/>
  <c r="P102" i="1"/>
  <c r="X100" i="1"/>
  <c r="P100" i="1"/>
  <c r="X98" i="1"/>
  <c r="P98" i="1"/>
  <c r="X96" i="1"/>
  <c r="P96" i="1"/>
  <c r="X94" i="1"/>
  <c r="P94" i="1"/>
  <c r="X92" i="1"/>
  <c r="P92" i="1"/>
  <c r="X90" i="1"/>
  <c r="P90" i="1"/>
  <c r="X88" i="1"/>
  <c r="P88" i="1"/>
  <c r="X86" i="1"/>
  <c r="P86" i="1"/>
  <c r="X84" i="1"/>
  <c r="P84" i="1"/>
  <c r="X82" i="1"/>
  <c r="P82" i="1"/>
  <c r="X80" i="1"/>
  <c r="P80" i="1"/>
  <c r="X78" i="1"/>
  <c r="P78" i="1"/>
  <c r="X76" i="1"/>
  <c r="P76" i="1"/>
  <c r="X74" i="1"/>
  <c r="P74" i="1"/>
  <c r="X72" i="1"/>
  <c r="P72" i="1"/>
  <c r="X70" i="1"/>
  <c r="P70" i="1"/>
  <c r="X68" i="1"/>
  <c r="P68" i="1"/>
  <c r="X66" i="1"/>
  <c r="P66" i="1"/>
  <c r="X64" i="1"/>
  <c r="P64" i="1"/>
  <c r="X62" i="1"/>
  <c r="P62" i="1"/>
  <c r="X60" i="1"/>
  <c r="P60" i="1"/>
  <c r="X58" i="1"/>
  <c r="P58" i="1"/>
  <c r="X56" i="1"/>
  <c r="P56" i="1"/>
  <c r="X54" i="1"/>
  <c r="P54" i="1"/>
  <c r="X52" i="1"/>
  <c r="P52" i="1"/>
  <c r="X50" i="1"/>
  <c r="P50" i="1"/>
  <c r="X48" i="1"/>
  <c r="P48" i="1"/>
  <c r="X46" i="1"/>
  <c r="P46" i="1"/>
  <c r="X44" i="1"/>
  <c r="P44" i="1"/>
  <c r="X42" i="1"/>
  <c r="P42" i="1"/>
  <c r="X40" i="1"/>
  <c r="P40" i="1"/>
  <c r="X38" i="1"/>
  <c r="P38" i="1"/>
  <c r="X36" i="1"/>
  <c r="P36" i="1"/>
  <c r="X34" i="1"/>
  <c r="P34" i="1"/>
  <c r="X32" i="1"/>
  <c r="P32" i="1"/>
  <c r="X30" i="1"/>
  <c r="P30" i="1"/>
  <c r="X28" i="1"/>
  <c r="P28" i="1"/>
  <c r="X26" i="1"/>
  <c r="P26" i="1"/>
  <c r="X24" i="1"/>
  <c r="P24" i="1"/>
  <c r="X22" i="1"/>
  <c r="P22" i="1"/>
  <c r="X20" i="1"/>
  <c r="P20" i="1"/>
  <c r="X18" i="1"/>
  <c r="P18" i="1"/>
  <c r="X16" i="1"/>
  <c r="P16" i="1"/>
  <c r="X14" i="1"/>
  <c r="P14" i="1"/>
  <c r="X12" i="1"/>
  <c r="P12" i="1"/>
  <c r="X10" i="1"/>
  <c r="P10" i="1"/>
  <c r="X8" i="1"/>
  <c r="P8" i="1"/>
  <c r="X6" i="1"/>
  <c r="P6" i="1"/>
  <c r="X4" i="1"/>
  <c r="P4" i="1"/>
  <c r="E7" i="4"/>
  <c r="L2" i="4"/>
  <c r="K2" i="4"/>
  <c r="Q2" i="4"/>
  <c r="N148" i="2"/>
  <c r="O148" i="2" s="1"/>
  <c r="N146" i="2"/>
  <c r="O146" i="2" s="1"/>
  <c r="N144" i="2"/>
  <c r="O144" i="2" s="1"/>
  <c r="N142" i="2"/>
  <c r="O142" i="2" s="1"/>
  <c r="N140" i="2"/>
  <c r="O140" i="2" s="1"/>
  <c r="N138" i="2"/>
  <c r="O138" i="2" s="1"/>
  <c r="N136" i="2"/>
  <c r="O136" i="2" s="1"/>
  <c r="N134" i="2"/>
  <c r="O134" i="2" s="1"/>
  <c r="N132" i="2"/>
  <c r="O132" i="2" s="1"/>
  <c r="N130" i="2"/>
  <c r="O130" i="2" s="1"/>
  <c r="N128" i="2"/>
  <c r="O128" i="2" s="1"/>
  <c r="N126" i="2"/>
  <c r="O126" i="2" s="1"/>
  <c r="N124" i="2"/>
  <c r="O124" i="2" s="1"/>
  <c r="N122" i="2"/>
  <c r="O122" i="2" s="1"/>
  <c r="N120" i="2"/>
  <c r="O120" i="2" s="1"/>
  <c r="N118" i="2"/>
  <c r="O118" i="2" s="1"/>
  <c r="N116" i="2"/>
  <c r="O116" i="2" s="1"/>
  <c r="N114" i="2"/>
  <c r="O114" i="2" s="1"/>
  <c r="N112" i="2"/>
  <c r="O112" i="2" s="1"/>
  <c r="N110" i="2"/>
  <c r="O110" i="2" s="1"/>
  <c r="N108" i="2"/>
  <c r="O108" i="2" s="1"/>
  <c r="N106" i="2"/>
  <c r="O106" i="2" s="1"/>
  <c r="N104" i="2"/>
  <c r="O104" i="2" s="1"/>
  <c r="N102" i="2"/>
  <c r="O102" i="2" s="1"/>
  <c r="N100" i="2"/>
  <c r="O100" i="2" s="1"/>
  <c r="N98" i="2"/>
  <c r="O98" i="2" s="1"/>
  <c r="N96" i="2"/>
  <c r="O96" i="2" s="1"/>
  <c r="N94" i="2"/>
  <c r="O94" i="2" s="1"/>
  <c r="N92" i="2"/>
  <c r="O92" i="2" s="1"/>
  <c r="N90" i="2"/>
  <c r="O90" i="2" s="1"/>
  <c r="N88" i="2"/>
  <c r="O88" i="2" s="1"/>
  <c r="N86" i="2"/>
  <c r="O86" i="2" s="1"/>
  <c r="N84" i="2"/>
  <c r="O84" i="2" s="1"/>
  <c r="N82" i="2"/>
  <c r="O82" i="2" s="1"/>
  <c r="N80" i="2"/>
  <c r="O80" i="2" s="1"/>
  <c r="N78" i="2"/>
  <c r="O78" i="2" s="1"/>
  <c r="N76" i="2"/>
  <c r="O76" i="2" s="1"/>
  <c r="N74" i="2"/>
  <c r="O74" i="2" s="1"/>
  <c r="N72" i="2"/>
  <c r="O72" i="2" s="1"/>
  <c r="N70" i="2"/>
  <c r="O70" i="2" s="1"/>
  <c r="N68" i="2"/>
  <c r="O68" i="2" s="1"/>
  <c r="N66" i="2"/>
  <c r="O66" i="2" s="1"/>
  <c r="N64" i="2"/>
  <c r="O64" i="2" s="1"/>
  <c r="N62" i="2"/>
  <c r="O62" i="2" s="1"/>
  <c r="N60" i="2"/>
  <c r="O60" i="2" s="1"/>
  <c r="N58" i="2"/>
  <c r="O58" i="2" s="1"/>
  <c r="N56" i="2"/>
  <c r="O56" i="2" s="1"/>
  <c r="N54" i="2"/>
  <c r="O54" i="2" s="1"/>
  <c r="N52" i="2"/>
  <c r="O52" i="2" s="1"/>
  <c r="N50" i="2"/>
  <c r="O50" i="2" s="1"/>
  <c r="N49" i="2"/>
  <c r="O49" i="2" s="1"/>
  <c r="N47" i="2"/>
  <c r="O47" i="2" s="1"/>
  <c r="N45" i="2"/>
  <c r="O45" i="2" s="1"/>
  <c r="N43" i="2"/>
  <c r="O43" i="2" s="1"/>
  <c r="N41" i="2"/>
  <c r="O41" i="2" s="1"/>
  <c r="N39" i="2"/>
  <c r="O39" i="2" s="1"/>
  <c r="N37" i="2"/>
  <c r="O37" i="2" s="1"/>
  <c r="N35" i="2"/>
  <c r="O35" i="2" s="1"/>
  <c r="N33" i="2"/>
  <c r="O33" i="2" s="1"/>
  <c r="N31" i="2"/>
  <c r="O31" i="2" s="1"/>
  <c r="N29" i="2"/>
  <c r="O29" i="2" s="1"/>
  <c r="N27" i="2"/>
  <c r="O27" i="2" s="1"/>
  <c r="N25" i="2"/>
  <c r="O25" i="2" s="1"/>
  <c r="N23" i="2"/>
  <c r="O23" i="2" s="1"/>
  <c r="N21" i="2"/>
  <c r="O21" i="2" s="1"/>
  <c r="N19" i="2"/>
  <c r="O19" i="2" s="1"/>
  <c r="N17" i="2"/>
  <c r="O17" i="2" s="1"/>
  <c r="N15" i="2"/>
  <c r="O15" i="2" s="1"/>
  <c r="N13" i="2"/>
  <c r="O13" i="2" s="1"/>
  <c r="N11" i="2"/>
  <c r="O11" i="2" s="1"/>
  <c r="N9" i="2"/>
  <c r="O9" i="2" s="1"/>
  <c r="N7" i="2"/>
  <c r="O7" i="2" s="1"/>
  <c r="N5" i="2"/>
  <c r="O5" i="2" s="1"/>
  <c r="X146" i="1"/>
  <c r="P146" i="1"/>
  <c r="X145" i="1"/>
  <c r="P145" i="1"/>
  <c r="X144" i="1"/>
  <c r="P144" i="1"/>
  <c r="X143" i="1"/>
  <c r="P143" i="1"/>
  <c r="X142" i="1"/>
  <c r="P142" i="1"/>
  <c r="X141" i="1"/>
  <c r="P141" i="1"/>
  <c r="X140" i="1"/>
  <c r="P140" i="1"/>
  <c r="X139" i="1"/>
  <c r="P139" i="1"/>
  <c r="X138" i="1"/>
  <c r="P138" i="1"/>
  <c r="X137" i="1"/>
  <c r="P137" i="1"/>
  <c r="X136" i="1"/>
  <c r="P136" i="1"/>
  <c r="X135" i="1"/>
  <c r="P135" i="1"/>
  <c r="X134" i="1"/>
  <c r="P134" i="1"/>
  <c r="X133" i="1"/>
  <c r="P133" i="1"/>
  <c r="X132" i="1"/>
  <c r="P132" i="1"/>
  <c r="X131" i="1"/>
  <c r="P131" i="1"/>
  <c r="X130" i="1"/>
  <c r="P130" i="1"/>
  <c r="X129" i="1"/>
  <c r="P129" i="1"/>
  <c r="X128" i="1"/>
  <c r="P128" i="1"/>
  <c r="X127" i="1"/>
  <c r="P127" i="1"/>
  <c r="X126" i="1"/>
  <c r="P126" i="1"/>
  <c r="X125" i="1"/>
  <c r="P125" i="1"/>
  <c r="X124" i="1"/>
  <c r="P124" i="1"/>
  <c r="X123" i="1"/>
  <c r="P123" i="1"/>
  <c r="X121" i="1"/>
  <c r="P121" i="1"/>
  <c r="X119" i="1"/>
  <c r="P119" i="1"/>
  <c r="X117" i="1"/>
  <c r="P117" i="1"/>
  <c r="X115" i="1"/>
  <c r="P115" i="1"/>
  <c r="X113" i="1"/>
  <c r="P113" i="1"/>
  <c r="X111" i="1"/>
  <c r="P111" i="1"/>
  <c r="X109" i="1"/>
  <c r="P109" i="1"/>
  <c r="X107" i="1"/>
  <c r="P107" i="1"/>
  <c r="X105" i="1"/>
  <c r="P105" i="1"/>
  <c r="X103" i="1"/>
  <c r="P103" i="1"/>
  <c r="X101" i="1"/>
  <c r="P101" i="1"/>
  <c r="X99" i="1"/>
  <c r="P99" i="1"/>
  <c r="X97" i="1"/>
  <c r="P97" i="1"/>
  <c r="X95" i="1"/>
  <c r="P95" i="1"/>
  <c r="X93" i="1"/>
  <c r="P93" i="1"/>
  <c r="X91" i="1"/>
  <c r="P91" i="1"/>
  <c r="X89" i="1"/>
  <c r="P89" i="1"/>
  <c r="X87" i="1"/>
  <c r="P87" i="1"/>
  <c r="X85" i="1"/>
  <c r="P85" i="1"/>
  <c r="X83" i="1"/>
  <c r="P83" i="1"/>
  <c r="X81" i="1"/>
  <c r="P81" i="1"/>
  <c r="X79" i="1"/>
  <c r="P79" i="1"/>
  <c r="X77" i="1"/>
  <c r="P77" i="1"/>
  <c r="X75" i="1"/>
  <c r="P75" i="1"/>
  <c r="X73" i="1"/>
  <c r="P73" i="1"/>
  <c r="X71" i="1"/>
  <c r="P71" i="1"/>
  <c r="X69" i="1"/>
  <c r="P69" i="1"/>
  <c r="X67" i="1"/>
  <c r="P67" i="1"/>
  <c r="X65" i="1"/>
  <c r="P65" i="1"/>
  <c r="X63" i="1"/>
  <c r="P63" i="1"/>
  <c r="X61" i="1"/>
  <c r="P61" i="1"/>
  <c r="X59" i="1"/>
  <c r="P59" i="1"/>
  <c r="X57" i="1"/>
  <c r="P57" i="1"/>
  <c r="X55" i="1"/>
  <c r="P55" i="1"/>
  <c r="X53" i="1"/>
  <c r="P53" i="1"/>
  <c r="X51" i="1"/>
  <c r="P51" i="1"/>
  <c r="X49" i="1"/>
  <c r="P49" i="1"/>
  <c r="X47" i="1"/>
  <c r="P47" i="1"/>
  <c r="X45" i="1"/>
  <c r="P45" i="1"/>
  <c r="X43" i="1"/>
  <c r="P43" i="1"/>
  <c r="X41" i="1"/>
  <c r="P41" i="1"/>
  <c r="X39" i="1"/>
  <c r="P39" i="1"/>
  <c r="X37" i="1"/>
  <c r="P37" i="1"/>
  <c r="X35" i="1"/>
  <c r="P35" i="1"/>
  <c r="X33" i="1"/>
  <c r="P33" i="1"/>
  <c r="X31" i="1"/>
  <c r="P31" i="1"/>
  <c r="X29" i="1"/>
  <c r="P29" i="1"/>
  <c r="X27" i="1"/>
  <c r="P27" i="1"/>
  <c r="X25" i="1"/>
  <c r="P25" i="1"/>
  <c r="X23" i="1"/>
  <c r="P23" i="1"/>
  <c r="X21" i="1"/>
  <c r="P21" i="1"/>
  <c r="X19" i="1"/>
  <c r="P19" i="1"/>
  <c r="X17" i="1"/>
  <c r="P17" i="1"/>
  <c r="X15" i="1"/>
  <c r="P15" i="1"/>
  <c r="X13" i="1"/>
  <c r="P13" i="1"/>
  <c r="X11" i="1"/>
  <c r="P11" i="1"/>
  <c r="X9" i="1"/>
  <c r="P9" i="1"/>
  <c r="X7" i="1"/>
  <c r="P7" i="1"/>
  <c r="X5" i="1"/>
  <c r="P5" i="1"/>
  <c r="T5" i="1" l="1"/>
  <c r="R5" i="1"/>
  <c r="S5" i="1"/>
  <c r="Q5" i="1"/>
  <c r="AB5" i="1"/>
  <c r="Z5" i="1"/>
  <c r="AC5" i="1"/>
  <c r="AA5" i="1"/>
  <c r="Y5" i="1"/>
  <c r="T7" i="1"/>
  <c r="R7" i="1"/>
  <c r="S7" i="1"/>
  <c r="Q7" i="1"/>
  <c r="AB7" i="1"/>
  <c r="Z7" i="1"/>
  <c r="AC7" i="1"/>
  <c r="AA7" i="1"/>
  <c r="Y7" i="1"/>
  <c r="T9" i="1"/>
  <c r="R9" i="1"/>
  <c r="S9" i="1"/>
  <c r="Q9" i="1"/>
  <c r="AB9" i="1"/>
  <c r="Z9" i="1"/>
  <c r="AC9" i="1"/>
  <c r="AA9" i="1"/>
  <c r="Y9" i="1"/>
  <c r="T11" i="1"/>
  <c r="R11" i="1"/>
  <c r="S11" i="1"/>
  <c r="Q11" i="1"/>
  <c r="AB11" i="1"/>
  <c r="Z11" i="1"/>
  <c r="AC11" i="1"/>
  <c r="AA11" i="1"/>
  <c r="Y11" i="1"/>
  <c r="T13" i="1"/>
  <c r="R13" i="1"/>
  <c r="S13" i="1"/>
  <c r="Q13" i="1"/>
  <c r="AB13" i="1"/>
  <c r="Z13" i="1"/>
  <c r="AC13" i="1"/>
  <c r="AA13" i="1"/>
  <c r="Y13" i="1"/>
  <c r="T15" i="1"/>
  <c r="R15" i="1"/>
  <c r="S15" i="1"/>
  <c r="Q15" i="1"/>
  <c r="AB15" i="1"/>
  <c r="Z15" i="1"/>
  <c r="AC15" i="1"/>
  <c r="AA15" i="1"/>
  <c r="Y15" i="1"/>
  <c r="T17" i="1"/>
  <c r="U17" i="1" s="1"/>
  <c r="R17" i="1"/>
  <c r="V17" i="1" s="1"/>
  <c r="S17" i="1"/>
  <c r="Q17" i="1"/>
  <c r="AB17" i="1"/>
  <c r="Z17" i="1"/>
  <c r="AC17" i="1"/>
  <c r="AA17" i="1"/>
  <c r="Y17" i="1"/>
  <c r="T19" i="1"/>
  <c r="R19" i="1"/>
  <c r="S19" i="1"/>
  <c r="Q19" i="1"/>
  <c r="AB19" i="1"/>
  <c r="Z19" i="1"/>
  <c r="AC19" i="1"/>
  <c r="AA19" i="1"/>
  <c r="Y19" i="1"/>
  <c r="T21" i="1"/>
  <c r="R21" i="1"/>
  <c r="S21" i="1"/>
  <c r="Q21" i="1"/>
  <c r="AB21" i="1"/>
  <c r="Z21" i="1"/>
  <c r="AC21" i="1"/>
  <c r="AA21" i="1"/>
  <c r="Y21" i="1"/>
  <c r="T23" i="1"/>
  <c r="R23" i="1"/>
  <c r="S23" i="1"/>
  <c r="Q23" i="1"/>
  <c r="AB23" i="1"/>
  <c r="Z23" i="1"/>
  <c r="AC23" i="1"/>
  <c r="AA23" i="1"/>
  <c r="Y23" i="1"/>
  <c r="T25" i="1"/>
  <c r="R25" i="1"/>
  <c r="S25" i="1"/>
  <c r="Q25" i="1"/>
  <c r="AB25" i="1"/>
  <c r="Z25" i="1"/>
  <c r="AC25" i="1"/>
  <c r="AA25" i="1"/>
  <c r="Y25" i="1"/>
  <c r="T27" i="1"/>
  <c r="R27" i="1"/>
  <c r="S27" i="1"/>
  <c r="Q27" i="1"/>
  <c r="AB27" i="1"/>
  <c r="Z27" i="1"/>
  <c r="AC27" i="1"/>
  <c r="AA27" i="1"/>
  <c r="Y27" i="1"/>
  <c r="T29" i="1"/>
  <c r="R29" i="1"/>
  <c r="S29" i="1"/>
  <c r="Q29" i="1"/>
  <c r="AB29" i="1"/>
  <c r="Z29" i="1"/>
  <c r="AC29" i="1"/>
  <c r="AA29" i="1"/>
  <c r="Y29" i="1"/>
  <c r="T31" i="1"/>
  <c r="R31" i="1"/>
  <c r="S31" i="1"/>
  <c r="Q31" i="1"/>
  <c r="AB31" i="1"/>
  <c r="Z31" i="1"/>
  <c r="AC31" i="1"/>
  <c r="AA31" i="1"/>
  <c r="Y31" i="1"/>
  <c r="T33" i="1"/>
  <c r="R33" i="1"/>
  <c r="S33" i="1"/>
  <c r="Q33" i="1"/>
  <c r="AB33" i="1"/>
  <c r="Z33" i="1"/>
  <c r="AC33" i="1"/>
  <c r="AA33" i="1"/>
  <c r="Y33" i="1"/>
  <c r="T35" i="1"/>
  <c r="R35" i="1"/>
  <c r="S35" i="1"/>
  <c r="Q35" i="1"/>
  <c r="AB35" i="1"/>
  <c r="Z35" i="1"/>
  <c r="AC35" i="1"/>
  <c r="AA35" i="1"/>
  <c r="Y35" i="1"/>
  <c r="T37" i="1"/>
  <c r="R37" i="1"/>
  <c r="S37" i="1"/>
  <c r="Q37" i="1"/>
  <c r="AB37" i="1"/>
  <c r="Z37" i="1"/>
  <c r="AC37" i="1"/>
  <c r="AA37" i="1"/>
  <c r="Y37" i="1"/>
  <c r="T39" i="1"/>
  <c r="R39" i="1"/>
  <c r="S39" i="1"/>
  <c r="Q39" i="1"/>
  <c r="AB39" i="1"/>
  <c r="Z39" i="1"/>
  <c r="AC39" i="1"/>
  <c r="AA39" i="1"/>
  <c r="Y39" i="1"/>
  <c r="T41" i="1"/>
  <c r="R41" i="1"/>
  <c r="S41" i="1"/>
  <c r="Q41" i="1"/>
  <c r="AB41" i="1"/>
  <c r="Z41" i="1"/>
  <c r="AC41" i="1"/>
  <c r="AA41" i="1"/>
  <c r="Y41" i="1"/>
  <c r="T43" i="1"/>
  <c r="U43" i="1" s="1"/>
  <c r="R43" i="1"/>
  <c r="V43" i="1" s="1"/>
  <c r="S43" i="1"/>
  <c r="Q43" i="1"/>
  <c r="AB43" i="1"/>
  <c r="Z43" i="1"/>
  <c r="AC43" i="1"/>
  <c r="AA43" i="1"/>
  <c r="Y43" i="1"/>
  <c r="T45" i="1"/>
  <c r="R45" i="1"/>
  <c r="S45" i="1"/>
  <c r="Q45" i="1"/>
  <c r="AB45" i="1"/>
  <c r="Z45" i="1"/>
  <c r="AC45" i="1"/>
  <c r="AA45" i="1"/>
  <c r="Y45" i="1"/>
  <c r="T47" i="1"/>
  <c r="R47" i="1"/>
  <c r="S47" i="1"/>
  <c r="Q47" i="1"/>
  <c r="AB47" i="1"/>
  <c r="Z47" i="1"/>
  <c r="AA47" i="1"/>
  <c r="AC47" i="1"/>
  <c r="Y47" i="1"/>
  <c r="T49" i="1"/>
  <c r="R49" i="1"/>
  <c r="S49" i="1"/>
  <c r="Q49" i="1"/>
  <c r="AB49" i="1"/>
  <c r="Z49" i="1"/>
  <c r="AA49" i="1"/>
  <c r="AC49" i="1"/>
  <c r="Y49" i="1"/>
  <c r="T51" i="1"/>
  <c r="R51" i="1"/>
  <c r="S51" i="1"/>
  <c r="Q51" i="1"/>
  <c r="AB51" i="1"/>
  <c r="Z51" i="1"/>
  <c r="AA51" i="1"/>
  <c r="AC51" i="1"/>
  <c r="Y51" i="1"/>
  <c r="T53" i="1"/>
  <c r="R53" i="1"/>
  <c r="S53" i="1"/>
  <c r="Q53" i="1"/>
  <c r="AB53" i="1"/>
  <c r="Z53" i="1"/>
  <c r="AA53" i="1"/>
  <c r="AC53" i="1"/>
  <c r="Y53" i="1"/>
  <c r="T55" i="1"/>
  <c r="R55" i="1"/>
  <c r="S55" i="1"/>
  <c r="Q55" i="1"/>
  <c r="AB55" i="1"/>
  <c r="Z55" i="1"/>
  <c r="AA55" i="1"/>
  <c r="AC55" i="1"/>
  <c r="Y55" i="1"/>
  <c r="T57" i="1"/>
  <c r="R57" i="1"/>
  <c r="S57" i="1"/>
  <c r="Q57" i="1"/>
  <c r="AB57" i="1"/>
  <c r="Z57" i="1"/>
  <c r="AA57" i="1"/>
  <c r="AC57" i="1"/>
  <c r="Y57" i="1"/>
  <c r="T59" i="1"/>
  <c r="R59" i="1"/>
  <c r="S59" i="1"/>
  <c r="Q59" i="1"/>
  <c r="AB59" i="1"/>
  <c r="Z59" i="1"/>
  <c r="AA59" i="1"/>
  <c r="AC59" i="1"/>
  <c r="Y59" i="1"/>
  <c r="T61" i="1"/>
  <c r="R61" i="1"/>
  <c r="S61" i="1"/>
  <c r="Q61" i="1"/>
  <c r="AB61" i="1"/>
  <c r="Z61" i="1"/>
  <c r="AA61" i="1"/>
  <c r="AC61" i="1"/>
  <c r="Y61" i="1"/>
  <c r="T63" i="1"/>
  <c r="R63" i="1"/>
  <c r="S63" i="1"/>
  <c r="Q63" i="1"/>
  <c r="AB63" i="1"/>
  <c r="Z63" i="1"/>
  <c r="AA63" i="1"/>
  <c r="AC63" i="1"/>
  <c r="Y63" i="1"/>
  <c r="T65" i="1"/>
  <c r="R65" i="1"/>
  <c r="S65" i="1"/>
  <c r="Q65" i="1"/>
  <c r="AB65" i="1"/>
  <c r="Z65" i="1"/>
  <c r="AA65" i="1"/>
  <c r="AC65" i="1"/>
  <c r="Y65" i="1"/>
  <c r="T67" i="1"/>
  <c r="R67" i="1"/>
  <c r="S67" i="1"/>
  <c r="Q67" i="1"/>
  <c r="AB67" i="1"/>
  <c r="Z67" i="1"/>
  <c r="AA67" i="1"/>
  <c r="AC67" i="1"/>
  <c r="Y67" i="1"/>
  <c r="T69" i="1"/>
  <c r="R69" i="1"/>
  <c r="S69" i="1"/>
  <c r="Q69" i="1"/>
  <c r="AB69" i="1"/>
  <c r="Z69" i="1"/>
  <c r="AA69" i="1"/>
  <c r="AC69" i="1"/>
  <c r="Y69" i="1"/>
  <c r="T71" i="1"/>
  <c r="R71" i="1"/>
  <c r="S71" i="1"/>
  <c r="Q71" i="1"/>
  <c r="AB71" i="1"/>
  <c r="Z71" i="1"/>
  <c r="AA71" i="1"/>
  <c r="AC71" i="1"/>
  <c r="Y71" i="1"/>
  <c r="T73" i="1"/>
  <c r="R73" i="1"/>
  <c r="S73" i="1"/>
  <c r="Q73" i="1"/>
  <c r="AB73" i="1"/>
  <c r="Z73" i="1"/>
  <c r="AA73" i="1"/>
  <c r="AC73" i="1"/>
  <c r="Y73" i="1"/>
  <c r="T75" i="1"/>
  <c r="R75" i="1"/>
  <c r="S75" i="1"/>
  <c r="Q75" i="1"/>
  <c r="AB75" i="1"/>
  <c r="Z75" i="1"/>
  <c r="AA75" i="1"/>
  <c r="AC75" i="1"/>
  <c r="Y75" i="1"/>
  <c r="T77" i="1"/>
  <c r="R77" i="1"/>
  <c r="S77" i="1"/>
  <c r="Q77" i="1"/>
  <c r="AB77" i="1"/>
  <c r="Z77" i="1"/>
  <c r="AA77" i="1"/>
  <c r="AC77" i="1"/>
  <c r="Y77" i="1"/>
  <c r="T79" i="1"/>
  <c r="R79" i="1"/>
  <c r="S79" i="1"/>
  <c r="Q79" i="1"/>
  <c r="AB79" i="1"/>
  <c r="Z79" i="1"/>
  <c r="AA79" i="1"/>
  <c r="AC79" i="1"/>
  <c r="Y79" i="1"/>
  <c r="T81" i="1"/>
  <c r="R81" i="1"/>
  <c r="S81" i="1"/>
  <c r="Q81" i="1"/>
  <c r="AB81" i="1"/>
  <c r="Z81" i="1"/>
  <c r="AA81" i="1"/>
  <c r="AC81" i="1"/>
  <c r="Y81" i="1"/>
  <c r="T83" i="1"/>
  <c r="R83" i="1"/>
  <c r="S83" i="1"/>
  <c r="Q83" i="1"/>
  <c r="AB83" i="1"/>
  <c r="Z83" i="1"/>
  <c r="AA83" i="1"/>
  <c r="AC83" i="1"/>
  <c r="Y83" i="1"/>
  <c r="T85" i="1"/>
  <c r="R85" i="1"/>
  <c r="S85" i="1"/>
  <c r="Q85" i="1"/>
  <c r="AB85" i="1"/>
  <c r="Z85" i="1"/>
  <c r="AA85" i="1"/>
  <c r="AC85" i="1"/>
  <c r="Y85" i="1"/>
  <c r="T87" i="1"/>
  <c r="R87" i="1"/>
  <c r="S87" i="1"/>
  <c r="Q87" i="1"/>
  <c r="AB87" i="1"/>
  <c r="Z87" i="1"/>
  <c r="AA87" i="1"/>
  <c r="AC87" i="1"/>
  <c r="Y87" i="1"/>
  <c r="T89" i="1"/>
  <c r="R89" i="1"/>
  <c r="S89" i="1"/>
  <c r="Q89" i="1"/>
  <c r="AB89" i="1"/>
  <c r="Z89" i="1"/>
  <c r="AA89" i="1"/>
  <c r="AC89" i="1"/>
  <c r="Y89" i="1"/>
  <c r="T91" i="1"/>
  <c r="R91" i="1"/>
  <c r="S91" i="1"/>
  <c r="Q91" i="1"/>
  <c r="AB91" i="1"/>
  <c r="Z91" i="1"/>
  <c r="AA91" i="1"/>
  <c r="AC91" i="1"/>
  <c r="Y91" i="1"/>
  <c r="T93" i="1"/>
  <c r="R93" i="1"/>
  <c r="S93" i="1"/>
  <c r="Q93" i="1"/>
  <c r="AB93" i="1"/>
  <c r="Z93" i="1"/>
  <c r="AA93" i="1"/>
  <c r="AC93" i="1"/>
  <c r="Y93" i="1"/>
  <c r="T95" i="1"/>
  <c r="R95" i="1"/>
  <c r="S95" i="1"/>
  <c r="Q95" i="1"/>
  <c r="AB95" i="1"/>
  <c r="Z95" i="1"/>
  <c r="AA95" i="1"/>
  <c r="AC95" i="1"/>
  <c r="Y95" i="1"/>
  <c r="T97" i="1"/>
  <c r="R97" i="1"/>
  <c r="S97" i="1"/>
  <c r="Q97" i="1"/>
  <c r="AB97" i="1"/>
  <c r="Z97" i="1"/>
  <c r="AA97" i="1"/>
  <c r="AC97" i="1"/>
  <c r="Y97" i="1"/>
  <c r="T99" i="1"/>
  <c r="R99" i="1"/>
  <c r="S99" i="1"/>
  <c r="Q99" i="1"/>
  <c r="AB99" i="1"/>
  <c r="Z99" i="1"/>
  <c r="AA99" i="1"/>
  <c r="AC99" i="1"/>
  <c r="Y99" i="1"/>
  <c r="T101" i="1"/>
  <c r="R101" i="1"/>
  <c r="S101" i="1"/>
  <c r="Q101" i="1"/>
  <c r="AB101" i="1"/>
  <c r="Z101" i="1"/>
  <c r="AA101" i="1"/>
  <c r="AC101" i="1"/>
  <c r="Y101" i="1"/>
  <c r="T103" i="1"/>
  <c r="R103" i="1"/>
  <c r="S103" i="1"/>
  <c r="Q103" i="1"/>
  <c r="AB103" i="1"/>
  <c r="Z103" i="1"/>
  <c r="AA103" i="1"/>
  <c r="AC103" i="1"/>
  <c r="Y103" i="1"/>
  <c r="T105" i="1"/>
  <c r="R105" i="1"/>
  <c r="S105" i="1"/>
  <c r="Q105" i="1"/>
  <c r="AB105" i="1"/>
  <c r="Z105" i="1"/>
  <c r="AA105" i="1"/>
  <c r="AC105" i="1"/>
  <c r="Y105" i="1"/>
  <c r="T107" i="1"/>
  <c r="R107" i="1"/>
  <c r="S107" i="1"/>
  <c r="Q107" i="1"/>
  <c r="AB107" i="1"/>
  <c r="Z107" i="1"/>
  <c r="AA107" i="1"/>
  <c r="AC107" i="1"/>
  <c r="Y107" i="1"/>
  <c r="T109" i="1"/>
  <c r="R109" i="1"/>
  <c r="S109" i="1"/>
  <c r="Q109" i="1"/>
  <c r="AB109" i="1"/>
  <c r="Z109" i="1"/>
  <c r="AA109" i="1"/>
  <c r="AC109" i="1"/>
  <c r="Y109" i="1"/>
  <c r="T111" i="1"/>
  <c r="R111" i="1"/>
  <c r="S111" i="1"/>
  <c r="Q111" i="1"/>
  <c r="AB111" i="1"/>
  <c r="Z111" i="1"/>
  <c r="AA111" i="1"/>
  <c r="AC111" i="1"/>
  <c r="Y111" i="1"/>
  <c r="T113" i="1"/>
  <c r="R113" i="1"/>
  <c r="S113" i="1"/>
  <c r="Q113" i="1"/>
  <c r="AB113" i="1"/>
  <c r="Z113" i="1"/>
  <c r="AA113" i="1"/>
  <c r="AC113" i="1"/>
  <c r="Y113" i="1"/>
  <c r="T115" i="1"/>
  <c r="R115" i="1"/>
  <c r="S115" i="1"/>
  <c r="Q115" i="1"/>
  <c r="AB115" i="1"/>
  <c r="Z115" i="1"/>
  <c r="AA115" i="1"/>
  <c r="AC115" i="1"/>
  <c r="Y115" i="1"/>
  <c r="T117" i="1"/>
  <c r="R117" i="1"/>
  <c r="S117" i="1"/>
  <c r="Q117" i="1"/>
  <c r="AB117" i="1"/>
  <c r="Z117" i="1"/>
  <c r="AA117" i="1"/>
  <c r="AC117" i="1"/>
  <c r="Y117" i="1"/>
  <c r="T119" i="1"/>
  <c r="R119" i="1"/>
  <c r="S119" i="1"/>
  <c r="Q119" i="1"/>
  <c r="AB119" i="1"/>
  <c r="Z119" i="1"/>
  <c r="AA119" i="1"/>
  <c r="AC119" i="1"/>
  <c r="Y119" i="1"/>
  <c r="T121" i="1"/>
  <c r="R121" i="1"/>
  <c r="S121" i="1"/>
  <c r="Q121" i="1"/>
  <c r="AB121" i="1"/>
  <c r="Z121" i="1"/>
  <c r="AA121" i="1"/>
  <c r="AC121" i="1"/>
  <c r="Y121" i="1"/>
  <c r="AC123" i="1"/>
  <c r="AA123" i="1"/>
  <c r="Y123" i="1"/>
  <c r="Z123" i="1"/>
  <c r="AB123" i="1"/>
  <c r="AC124" i="1"/>
  <c r="AA124" i="1"/>
  <c r="Y124" i="1"/>
  <c r="Z124" i="1"/>
  <c r="AB124" i="1"/>
  <c r="AC125" i="1"/>
  <c r="AA125" i="1"/>
  <c r="Y125" i="1"/>
  <c r="Z125" i="1"/>
  <c r="AB125" i="1"/>
  <c r="AC126" i="1"/>
  <c r="AA126" i="1"/>
  <c r="Y126" i="1"/>
  <c r="Z126" i="1"/>
  <c r="AB126" i="1"/>
  <c r="AC127" i="1"/>
  <c r="AA127" i="1"/>
  <c r="Y127" i="1"/>
  <c r="Z127" i="1"/>
  <c r="AB127" i="1"/>
  <c r="AC128" i="1"/>
  <c r="AA128" i="1"/>
  <c r="Y128" i="1"/>
  <c r="Z128" i="1"/>
  <c r="AB128" i="1"/>
  <c r="AC129" i="1"/>
  <c r="AA129" i="1"/>
  <c r="Y129" i="1"/>
  <c r="Z129" i="1"/>
  <c r="AB129" i="1"/>
  <c r="AC130" i="1"/>
  <c r="AA130" i="1"/>
  <c r="Y130" i="1"/>
  <c r="Z130" i="1"/>
  <c r="AB130" i="1"/>
  <c r="AC131" i="1"/>
  <c r="AA131" i="1"/>
  <c r="Y131" i="1"/>
  <c r="Z131" i="1"/>
  <c r="AB131" i="1"/>
  <c r="AC132" i="1"/>
  <c r="AA132" i="1"/>
  <c r="Y132" i="1"/>
  <c r="Z132" i="1"/>
  <c r="AB132" i="1"/>
  <c r="AC133" i="1"/>
  <c r="AA133" i="1"/>
  <c r="Y133" i="1"/>
  <c r="Z133" i="1"/>
  <c r="AB133" i="1"/>
  <c r="AC134" i="1"/>
  <c r="AA134" i="1"/>
  <c r="Y134" i="1"/>
  <c r="Z134" i="1"/>
  <c r="AB134" i="1"/>
  <c r="AC135" i="1"/>
  <c r="AA135" i="1"/>
  <c r="Y135" i="1"/>
  <c r="Z135" i="1"/>
  <c r="AB135" i="1"/>
  <c r="AC136" i="1"/>
  <c r="AA136" i="1"/>
  <c r="Y136" i="1"/>
  <c r="Z136" i="1"/>
  <c r="AB136" i="1"/>
  <c r="AC137" i="1"/>
  <c r="AA137" i="1"/>
  <c r="Y137" i="1"/>
  <c r="Z137" i="1"/>
  <c r="AB137" i="1"/>
  <c r="AC138" i="1"/>
  <c r="AA138" i="1"/>
  <c r="Y138" i="1"/>
  <c r="Z138" i="1"/>
  <c r="AB138" i="1"/>
  <c r="AC139" i="1"/>
  <c r="AA139" i="1"/>
  <c r="Y139" i="1"/>
  <c r="Z139" i="1"/>
  <c r="AB139" i="1"/>
  <c r="AC140" i="1"/>
  <c r="AA140" i="1"/>
  <c r="Y140" i="1"/>
  <c r="Z140" i="1"/>
  <c r="AB140" i="1"/>
  <c r="AC141" i="1"/>
  <c r="AA141" i="1"/>
  <c r="Y141" i="1"/>
  <c r="Z141" i="1"/>
  <c r="AB141" i="1"/>
  <c r="AC142" i="1"/>
  <c r="AA142" i="1"/>
  <c r="Y142" i="1"/>
  <c r="Z142" i="1"/>
  <c r="AB142" i="1"/>
  <c r="AC143" i="1"/>
  <c r="AA143" i="1"/>
  <c r="Y143" i="1"/>
  <c r="Z143" i="1"/>
  <c r="AB143" i="1"/>
  <c r="AC144" i="1"/>
  <c r="AA144" i="1"/>
  <c r="Y144" i="1"/>
  <c r="Z144" i="1"/>
  <c r="AB144" i="1"/>
  <c r="AC145" i="1"/>
  <c r="AA145" i="1"/>
  <c r="Y145" i="1"/>
  <c r="Z145" i="1"/>
  <c r="AB145" i="1"/>
  <c r="AC146" i="1"/>
  <c r="AA146" i="1"/>
  <c r="Y146" i="1"/>
  <c r="Z146" i="1"/>
  <c r="AB146" i="1"/>
  <c r="T122" i="1"/>
  <c r="R122" i="1"/>
  <c r="S122" i="1"/>
  <c r="Q122" i="1"/>
  <c r="S147" i="1"/>
  <c r="Q147" i="1"/>
  <c r="R147" i="1"/>
  <c r="S123" i="1"/>
  <c r="Q123" i="1"/>
  <c r="R123" i="1"/>
  <c r="T123" i="1"/>
  <c r="S124" i="1"/>
  <c r="Q124" i="1"/>
  <c r="R124" i="1"/>
  <c r="T124" i="1"/>
  <c r="S125" i="1"/>
  <c r="Q125" i="1"/>
  <c r="R125" i="1"/>
  <c r="T125" i="1"/>
  <c r="S126" i="1"/>
  <c r="Q126" i="1"/>
  <c r="R126" i="1"/>
  <c r="T126" i="1"/>
  <c r="S127" i="1"/>
  <c r="Q127" i="1"/>
  <c r="R127" i="1"/>
  <c r="T127" i="1"/>
  <c r="S128" i="1"/>
  <c r="Q128" i="1"/>
  <c r="R128" i="1"/>
  <c r="T128" i="1"/>
  <c r="S129" i="1"/>
  <c r="Q129" i="1"/>
  <c r="R129" i="1"/>
  <c r="T129" i="1"/>
  <c r="S130" i="1"/>
  <c r="Q130" i="1"/>
  <c r="R130" i="1"/>
  <c r="T130" i="1"/>
  <c r="S131" i="1"/>
  <c r="Q131" i="1"/>
  <c r="R131" i="1"/>
  <c r="T131" i="1"/>
  <c r="S132" i="1"/>
  <c r="Q132" i="1"/>
  <c r="R132" i="1"/>
  <c r="T132" i="1"/>
  <c r="S133" i="1"/>
  <c r="Q133" i="1"/>
  <c r="R133" i="1"/>
  <c r="T133" i="1"/>
  <c r="S134" i="1"/>
  <c r="Q134" i="1"/>
  <c r="R134" i="1"/>
  <c r="T134" i="1"/>
  <c r="S135" i="1"/>
  <c r="Q135" i="1"/>
  <c r="R135" i="1"/>
  <c r="T135" i="1"/>
  <c r="S136" i="1"/>
  <c r="Q136" i="1"/>
  <c r="R136" i="1"/>
  <c r="T136" i="1"/>
  <c r="S137" i="1"/>
  <c r="Q137" i="1"/>
  <c r="R137" i="1"/>
  <c r="T137" i="1"/>
  <c r="S138" i="1"/>
  <c r="Q138" i="1"/>
  <c r="R138" i="1"/>
  <c r="T138" i="1"/>
  <c r="S139" i="1"/>
  <c r="Q139" i="1"/>
  <c r="R139" i="1"/>
  <c r="T139" i="1"/>
  <c r="S140" i="1"/>
  <c r="Q140" i="1"/>
  <c r="R140" i="1"/>
  <c r="T140" i="1"/>
  <c r="S141" i="1"/>
  <c r="Q141" i="1"/>
  <c r="R141" i="1"/>
  <c r="T141" i="1"/>
  <c r="S142" i="1"/>
  <c r="Q142" i="1"/>
  <c r="R142" i="1"/>
  <c r="T142" i="1"/>
  <c r="S143" i="1"/>
  <c r="Q143" i="1"/>
  <c r="R143" i="1"/>
  <c r="T143" i="1"/>
  <c r="S144" i="1"/>
  <c r="Q144" i="1"/>
  <c r="R144" i="1"/>
  <c r="T144" i="1"/>
  <c r="S145" i="1"/>
  <c r="Q145" i="1"/>
  <c r="R145" i="1"/>
  <c r="T145" i="1"/>
  <c r="S146" i="1"/>
  <c r="Q146" i="1"/>
  <c r="R146" i="1"/>
  <c r="T146" i="1"/>
  <c r="C7" i="4"/>
  <c r="F7" i="4"/>
  <c r="T4" i="1"/>
  <c r="R4" i="1"/>
  <c r="Q4" i="1"/>
  <c r="S4" i="1"/>
  <c r="AB4" i="1"/>
  <c r="Z4" i="1"/>
  <c r="AC4" i="1"/>
  <c r="Y4" i="1"/>
  <c r="AA4" i="1"/>
  <c r="T6" i="1"/>
  <c r="R6" i="1"/>
  <c r="S6" i="1"/>
  <c r="Q6" i="1"/>
  <c r="AB6" i="1"/>
  <c r="Z6" i="1"/>
  <c r="AC6" i="1"/>
  <c r="AA6" i="1"/>
  <c r="Y6" i="1"/>
  <c r="T8" i="1"/>
  <c r="R8" i="1"/>
  <c r="S8" i="1"/>
  <c r="Q8" i="1"/>
  <c r="AB8" i="1"/>
  <c r="Z8" i="1"/>
  <c r="AC8" i="1"/>
  <c r="AA8" i="1"/>
  <c r="Y8" i="1"/>
  <c r="T10" i="1"/>
  <c r="R10" i="1"/>
  <c r="S10" i="1"/>
  <c r="Q10" i="1"/>
  <c r="AB10" i="1"/>
  <c r="Z10" i="1"/>
  <c r="AC10" i="1"/>
  <c r="AA10" i="1"/>
  <c r="Y10" i="1"/>
  <c r="T12" i="1"/>
  <c r="R12" i="1"/>
  <c r="S12" i="1"/>
  <c r="Q12" i="1"/>
  <c r="AB12" i="1"/>
  <c r="Z12" i="1"/>
  <c r="AC12" i="1"/>
  <c r="AA12" i="1"/>
  <c r="Y12" i="1"/>
  <c r="T14" i="1"/>
  <c r="R14" i="1"/>
  <c r="S14" i="1"/>
  <c r="Q14" i="1"/>
  <c r="AB14" i="1"/>
  <c r="Z14" i="1"/>
  <c r="AC14" i="1"/>
  <c r="AA14" i="1"/>
  <c r="Y14" i="1"/>
  <c r="T16" i="1"/>
  <c r="R16" i="1"/>
  <c r="S16" i="1"/>
  <c r="Q16" i="1"/>
  <c r="AB16" i="1"/>
  <c r="Z16" i="1"/>
  <c r="AC16" i="1"/>
  <c r="AA16" i="1"/>
  <c r="Y16" i="1"/>
  <c r="T18" i="1"/>
  <c r="R18" i="1"/>
  <c r="S18" i="1"/>
  <c r="Q18" i="1"/>
  <c r="AB18" i="1"/>
  <c r="Z18" i="1"/>
  <c r="AC18" i="1"/>
  <c r="AA18" i="1"/>
  <c r="Y18" i="1"/>
  <c r="T20" i="1"/>
  <c r="R20" i="1"/>
  <c r="S20" i="1"/>
  <c r="Q20" i="1"/>
  <c r="AB20" i="1"/>
  <c r="Z20" i="1"/>
  <c r="AC20" i="1"/>
  <c r="AA20" i="1"/>
  <c r="Y20" i="1"/>
  <c r="T22" i="1"/>
  <c r="R22" i="1"/>
  <c r="S22" i="1"/>
  <c r="Q22" i="1"/>
  <c r="AB22" i="1"/>
  <c r="Z22" i="1"/>
  <c r="AC22" i="1"/>
  <c r="AA22" i="1"/>
  <c r="Y22" i="1"/>
  <c r="T24" i="1"/>
  <c r="R24" i="1"/>
  <c r="S24" i="1"/>
  <c r="Q24" i="1"/>
  <c r="AB24" i="1"/>
  <c r="Z24" i="1"/>
  <c r="AC24" i="1"/>
  <c r="AA24" i="1"/>
  <c r="Y24" i="1"/>
  <c r="T26" i="1"/>
  <c r="R26" i="1"/>
  <c r="S26" i="1"/>
  <c r="Q26" i="1"/>
  <c r="AB26" i="1"/>
  <c r="Z26" i="1"/>
  <c r="AC26" i="1"/>
  <c r="AA26" i="1"/>
  <c r="Y26" i="1"/>
  <c r="T28" i="1"/>
  <c r="R28" i="1"/>
  <c r="S28" i="1"/>
  <c r="Q28" i="1"/>
  <c r="AB28" i="1"/>
  <c r="Z28" i="1"/>
  <c r="AC28" i="1"/>
  <c r="AA28" i="1"/>
  <c r="Y28" i="1"/>
  <c r="T30" i="1"/>
  <c r="R30" i="1"/>
  <c r="S30" i="1"/>
  <c r="Q30" i="1"/>
  <c r="AB30" i="1"/>
  <c r="Z30" i="1"/>
  <c r="AC30" i="1"/>
  <c r="AA30" i="1"/>
  <c r="Y30" i="1"/>
  <c r="T32" i="1"/>
  <c r="R32" i="1"/>
  <c r="S32" i="1"/>
  <c r="Q32" i="1"/>
  <c r="AB32" i="1"/>
  <c r="Z32" i="1"/>
  <c r="AC32" i="1"/>
  <c r="AA32" i="1"/>
  <c r="Y32" i="1"/>
  <c r="T34" i="1"/>
  <c r="R34" i="1"/>
  <c r="S34" i="1"/>
  <c r="Q34" i="1"/>
  <c r="AB34" i="1"/>
  <c r="Z34" i="1"/>
  <c r="AC34" i="1"/>
  <c r="AA34" i="1"/>
  <c r="Y34" i="1"/>
  <c r="T36" i="1"/>
  <c r="R36" i="1"/>
  <c r="S36" i="1"/>
  <c r="Q36" i="1"/>
  <c r="AB36" i="1"/>
  <c r="Z36" i="1"/>
  <c r="AC36" i="1"/>
  <c r="AA36" i="1"/>
  <c r="Y36" i="1"/>
  <c r="T38" i="1"/>
  <c r="R38" i="1"/>
  <c r="S38" i="1"/>
  <c r="Q38" i="1"/>
  <c r="AB38" i="1"/>
  <c r="Z38" i="1"/>
  <c r="AC38" i="1"/>
  <c r="AA38" i="1"/>
  <c r="Y38" i="1"/>
  <c r="T40" i="1"/>
  <c r="R40" i="1"/>
  <c r="S40" i="1"/>
  <c r="Q40" i="1"/>
  <c r="AB40" i="1"/>
  <c r="Z40" i="1"/>
  <c r="AC40" i="1"/>
  <c r="AA40" i="1"/>
  <c r="Y40" i="1"/>
  <c r="T42" i="1"/>
  <c r="R42" i="1"/>
  <c r="S42" i="1"/>
  <c r="Q42" i="1"/>
  <c r="AB42" i="1"/>
  <c r="Z42" i="1"/>
  <c r="AC42" i="1"/>
  <c r="AA42" i="1"/>
  <c r="Y42" i="1"/>
  <c r="T44" i="1"/>
  <c r="R44" i="1"/>
  <c r="S44" i="1"/>
  <c r="Q44" i="1"/>
  <c r="AB44" i="1"/>
  <c r="Z44" i="1"/>
  <c r="AC44" i="1"/>
  <c r="AA44" i="1"/>
  <c r="Y44" i="1"/>
  <c r="T46" i="1"/>
  <c r="R46" i="1"/>
  <c r="S46" i="1"/>
  <c r="Q46" i="1"/>
  <c r="AB46" i="1"/>
  <c r="Z46" i="1"/>
  <c r="AA46" i="1"/>
  <c r="AC46" i="1"/>
  <c r="Y46" i="1"/>
  <c r="T48" i="1"/>
  <c r="R48" i="1"/>
  <c r="S48" i="1"/>
  <c r="Q48" i="1"/>
  <c r="AB48" i="1"/>
  <c r="Z48" i="1"/>
  <c r="AA48" i="1"/>
  <c r="AC48" i="1"/>
  <c r="Y48" i="1"/>
  <c r="T50" i="1"/>
  <c r="R50" i="1"/>
  <c r="S50" i="1"/>
  <c r="Q50" i="1"/>
  <c r="AB50" i="1"/>
  <c r="Z50" i="1"/>
  <c r="AA50" i="1"/>
  <c r="AC50" i="1"/>
  <c r="Y50" i="1"/>
  <c r="T52" i="1"/>
  <c r="R52" i="1"/>
  <c r="S52" i="1"/>
  <c r="Q52" i="1"/>
  <c r="AB52" i="1"/>
  <c r="Z52" i="1"/>
  <c r="AA52" i="1"/>
  <c r="AC52" i="1"/>
  <c r="Y52" i="1"/>
  <c r="T54" i="1"/>
  <c r="R54" i="1"/>
  <c r="S54" i="1"/>
  <c r="Q54" i="1"/>
  <c r="AB54" i="1"/>
  <c r="Z54" i="1"/>
  <c r="AA54" i="1"/>
  <c r="AC54" i="1"/>
  <c r="Y54" i="1"/>
  <c r="T56" i="1"/>
  <c r="R56" i="1"/>
  <c r="S56" i="1"/>
  <c r="Q56" i="1"/>
  <c r="AB56" i="1"/>
  <c r="Z56" i="1"/>
  <c r="AA56" i="1"/>
  <c r="AC56" i="1"/>
  <c r="Y56" i="1"/>
  <c r="T58" i="1"/>
  <c r="R58" i="1"/>
  <c r="S58" i="1"/>
  <c r="Q58" i="1"/>
  <c r="AB58" i="1"/>
  <c r="Z58" i="1"/>
  <c r="AA58" i="1"/>
  <c r="AC58" i="1"/>
  <c r="Y58" i="1"/>
  <c r="T60" i="1"/>
  <c r="R60" i="1"/>
  <c r="S60" i="1"/>
  <c r="Q60" i="1"/>
  <c r="AB60" i="1"/>
  <c r="Z60" i="1"/>
  <c r="AA60" i="1"/>
  <c r="AC60" i="1"/>
  <c r="Y60" i="1"/>
  <c r="T62" i="1"/>
  <c r="R62" i="1"/>
  <c r="S62" i="1"/>
  <c r="Q62" i="1"/>
  <c r="AB62" i="1"/>
  <c r="Z62" i="1"/>
  <c r="AA62" i="1"/>
  <c r="AC62" i="1"/>
  <c r="Y62" i="1"/>
  <c r="T64" i="1"/>
  <c r="R64" i="1"/>
  <c r="S64" i="1"/>
  <c r="Q64" i="1"/>
  <c r="AB64" i="1"/>
  <c r="Z64" i="1"/>
  <c r="AA64" i="1"/>
  <c r="AC64" i="1"/>
  <c r="Y64" i="1"/>
  <c r="T66" i="1"/>
  <c r="R66" i="1"/>
  <c r="S66" i="1"/>
  <c r="Q66" i="1"/>
  <c r="AB66" i="1"/>
  <c r="Z66" i="1"/>
  <c r="AA66" i="1"/>
  <c r="AC66" i="1"/>
  <c r="Y66" i="1"/>
  <c r="T68" i="1"/>
  <c r="R68" i="1"/>
  <c r="S68" i="1"/>
  <c r="Q68" i="1"/>
  <c r="AB68" i="1"/>
  <c r="Z68" i="1"/>
  <c r="AA68" i="1"/>
  <c r="AC68" i="1"/>
  <c r="Y68" i="1"/>
  <c r="T70" i="1"/>
  <c r="R70" i="1"/>
  <c r="S70" i="1"/>
  <c r="Q70" i="1"/>
  <c r="AB70" i="1"/>
  <c r="Z70" i="1"/>
  <c r="AA70" i="1"/>
  <c r="AC70" i="1"/>
  <c r="Y70" i="1"/>
  <c r="T72" i="1"/>
  <c r="R72" i="1"/>
  <c r="S72" i="1"/>
  <c r="Q72" i="1"/>
  <c r="AB72" i="1"/>
  <c r="Z72" i="1"/>
  <c r="AA72" i="1"/>
  <c r="AC72" i="1"/>
  <c r="Y72" i="1"/>
  <c r="T74" i="1"/>
  <c r="R74" i="1"/>
  <c r="S74" i="1"/>
  <c r="Q74" i="1"/>
  <c r="AB74" i="1"/>
  <c r="Z74" i="1"/>
  <c r="AA74" i="1"/>
  <c r="AC74" i="1"/>
  <c r="Y74" i="1"/>
  <c r="T76" i="1"/>
  <c r="R76" i="1"/>
  <c r="S76" i="1"/>
  <c r="Q76" i="1"/>
  <c r="AB76" i="1"/>
  <c r="Z76" i="1"/>
  <c r="AA76" i="1"/>
  <c r="AC76" i="1"/>
  <c r="Y76" i="1"/>
  <c r="T78" i="1"/>
  <c r="R78" i="1"/>
  <c r="S78" i="1"/>
  <c r="Q78" i="1"/>
  <c r="AB78" i="1"/>
  <c r="Z78" i="1"/>
  <c r="AA78" i="1"/>
  <c r="AC78" i="1"/>
  <c r="Y78" i="1"/>
  <c r="T80" i="1"/>
  <c r="R80" i="1"/>
  <c r="S80" i="1"/>
  <c r="Q80" i="1"/>
  <c r="AB80" i="1"/>
  <c r="Z80" i="1"/>
  <c r="AA80" i="1"/>
  <c r="AC80" i="1"/>
  <c r="Y80" i="1"/>
  <c r="T82" i="1"/>
  <c r="R82" i="1"/>
  <c r="S82" i="1"/>
  <c r="Q82" i="1"/>
  <c r="AB82" i="1"/>
  <c r="Z82" i="1"/>
  <c r="AA82" i="1"/>
  <c r="AC82" i="1"/>
  <c r="Y82" i="1"/>
  <c r="T84" i="1"/>
  <c r="R84" i="1"/>
  <c r="S84" i="1"/>
  <c r="Q84" i="1"/>
  <c r="AB84" i="1"/>
  <c r="Z84" i="1"/>
  <c r="AA84" i="1"/>
  <c r="AC84" i="1"/>
  <c r="Y84" i="1"/>
  <c r="T86" i="1"/>
  <c r="R86" i="1"/>
  <c r="S86" i="1"/>
  <c r="Q86" i="1"/>
  <c r="AB86" i="1"/>
  <c r="Z86" i="1"/>
  <c r="AA86" i="1"/>
  <c r="AC86" i="1"/>
  <c r="Y86" i="1"/>
  <c r="T88" i="1"/>
  <c r="R88" i="1"/>
  <c r="S88" i="1"/>
  <c r="Q88" i="1"/>
  <c r="AB88" i="1"/>
  <c r="Z88" i="1"/>
  <c r="AA88" i="1"/>
  <c r="AC88" i="1"/>
  <c r="Y88" i="1"/>
  <c r="T90" i="1"/>
  <c r="R90" i="1"/>
  <c r="S90" i="1"/>
  <c r="Q90" i="1"/>
  <c r="AB90" i="1"/>
  <c r="Z90" i="1"/>
  <c r="AA90" i="1"/>
  <c r="AC90" i="1"/>
  <c r="Y90" i="1"/>
  <c r="T92" i="1"/>
  <c r="R92" i="1"/>
  <c r="S92" i="1"/>
  <c r="Q92" i="1"/>
  <c r="AB92" i="1"/>
  <c r="Z92" i="1"/>
  <c r="AA92" i="1"/>
  <c r="AC92" i="1"/>
  <c r="Y92" i="1"/>
  <c r="T94" i="1"/>
  <c r="R94" i="1"/>
  <c r="S94" i="1"/>
  <c r="Q94" i="1"/>
  <c r="AB94" i="1"/>
  <c r="Z94" i="1"/>
  <c r="AA94" i="1"/>
  <c r="AC94" i="1"/>
  <c r="Y94" i="1"/>
  <c r="T96" i="1"/>
  <c r="R96" i="1"/>
  <c r="S96" i="1"/>
  <c r="Q96" i="1"/>
  <c r="AB96" i="1"/>
  <c r="Z96" i="1"/>
  <c r="AA96" i="1"/>
  <c r="AC96" i="1"/>
  <c r="Y96" i="1"/>
  <c r="T98" i="1"/>
  <c r="R98" i="1"/>
  <c r="S98" i="1"/>
  <c r="Q98" i="1"/>
  <c r="AB98" i="1"/>
  <c r="Z98" i="1"/>
  <c r="AA98" i="1"/>
  <c r="AC98" i="1"/>
  <c r="Y98" i="1"/>
  <c r="T100" i="1"/>
  <c r="R100" i="1"/>
  <c r="S100" i="1"/>
  <c r="Q100" i="1"/>
  <c r="AB100" i="1"/>
  <c r="Z100" i="1"/>
  <c r="AA100" i="1"/>
  <c r="AC100" i="1"/>
  <c r="Y100" i="1"/>
  <c r="T102" i="1"/>
  <c r="R102" i="1"/>
  <c r="S102" i="1"/>
  <c r="Q102" i="1"/>
  <c r="AB102" i="1"/>
  <c r="Z102" i="1"/>
  <c r="AA102" i="1"/>
  <c r="AC102" i="1"/>
  <c r="Y102" i="1"/>
  <c r="T104" i="1"/>
  <c r="R104" i="1"/>
  <c r="S104" i="1"/>
  <c r="Q104" i="1"/>
  <c r="AB104" i="1"/>
  <c r="Z104" i="1"/>
  <c r="AA104" i="1"/>
  <c r="AC104" i="1"/>
  <c r="Y104" i="1"/>
  <c r="T106" i="1"/>
  <c r="R106" i="1"/>
  <c r="S106" i="1"/>
  <c r="Q106" i="1"/>
  <c r="AB106" i="1"/>
  <c r="Z106" i="1"/>
  <c r="AA106" i="1"/>
  <c r="AC106" i="1"/>
  <c r="Y106" i="1"/>
  <c r="T108" i="1"/>
  <c r="R108" i="1"/>
  <c r="S108" i="1"/>
  <c r="Q108" i="1"/>
  <c r="AB108" i="1"/>
  <c r="Z108" i="1"/>
  <c r="AA108" i="1"/>
  <c r="AC108" i="1"/>
  <c r="Y108" i="1"/>
  <c r="T110" i="1"/>
  <c r="R110" i="1"/>
  <c r="S110" i="1"/>
  <c r="Q110" i="1"/>
  <c r="AB110" i="1"/>
  <c r="Z110" i="1"/>
  <c r="AA110" i="1"/>
  <c r="AC110" i="1"/>
  <c r="Y110" i="1"/>
  <c r="T112" i="1"/>
  <c r="R112" i="1"/>
  <c r="S112" i="1"/>
  <c r="Q112" i="1"/>
  <c r="AB112" i="1"/>
  <c r="Z112" i="1"/>
  <c r="AA112" i="1"/>
  <c r="AC112" i="1"/>
  <c r="Y112" i="1"/>
  <c r="T114" i="1"/>
  <c r="R114" i="1"/>
  <c r="S114" i="1"/>
  <c r="Q114" i="1"/>
  <c r="AB114" i="1"/>
  <c r="Z114" i="1"/>
  <c r="AA114" i="1"/>
  <c r="AC114" i="1"/>
  <c r="Y114" i="1"/>
  <c r="T116" i="1"/>
  <c r="R116" i="1"/>
  <c r="S116" i="1"/>
  <c r="Q116" i="1"/>
  <c r="AB116" i="1"/>
  <c r="Z116" i="1"/>
  <c r="AA116" i="1"/>
  <c r="AC116" i="1"/>
  <c r="Y116" i="1"/>
  <c r="T118" i="1"/>
  <c r="R118" i="1"/>
  <c r="S118" i="1"/>
  <c r="Q118" i="1"/>
  <c r="AB118" i="1"/>
  <c r="Z118" i="1"/>
  <c r="AA118" i="1"/>
  <c r="AC118" i="1"/>
  <c r="Y118" i="1"/>
  <c r="T120" i="1"/>
  <c r="R120" i="1"/>
  <c r="S120" i="1"/>
  <c r="Q120" i="1"/>
  <c r="AB120" i="1"/>
  <c r="Z120" i="1"/>
  <c r="AA120" i="1"/>
  <c r="AC120" i="1"/>
  <c r="Y120" i="1"/>
  <c r="AC122" i="1"/>
  <c r="AA122" i="1"/>
  <c r="Y122" i="1"/>
  <c r="Z122" i="1"/>
  <c r="AB122" i="1"/>
  <c r="AC147" i="1"/>
  <c r="AA147" i="1"/>
  <c r="Y147" i="1"/>
  <c r="Z147" i="1"/>
  <c r="AB147" i="1"/>
  <c r="V118" i="1" l="1"/>
  <c r="U118" i="1"/>
  <c r="V114" i="1"/>
  <c r="U114" i="1"/>
  <c r="V110" i="1"/>
  <c r="U110" i="1"/>
  <c r="V106" i="1"/>
  <c r="U106" i="1"/>
  <c r="V102" i="1"/>
  <c r="U102" i="1"/>
  <c r="V98" i="1"/>
  <c r="U98" i="1"/>
  <c r="V94" i="1"/>
  <c r="U94" i="1"/>
  <c r="V90" i="1"/>
  <c r="U90" i="1"/>
  <c r="V86" i="1"/>
  <c r="U86" i="1"/>
  <c r="V82" i="1"/>
  <c r="U82" i="1"/>
  <c r="V78" i="1"/>
  <c r="U78" i="1"/>
  <c r="V74" i="1"/>
  <c r="U74" i="1"/>
  <c r="V70" i="1"/>
  <c r="U70" i="1"/>
  <c r="V66" i="1"/>
  <c r="U66" i="1"/>
  <c r="V62" i="1"/>
  <c r="U62" i="1"/>
  <c r="V58" i="1"/>
  <c r="U58" i="1"/>
  <c r="V54" i="1"/>
  <c r="U54" i="1"/>
  <c r="V50" i="1"/>
  <c r="U50" i="1"/>
  <c r="V46" i="1"/>
  <c r="U46" i="1"/>
  <c r="V42" i="1"/>
  <c r="U42" i="1"/>
  <c r="V38" i="1"/>
  <c r="U38" i="1"/>
  <c r="V34" i="1"/>
  <c r="U34" i="1"/>
  <c r="V30" i="1"/>
  <c r="U30" i="1"/>
  <c r="V26" i="1"/>
  <c r="U26" i="1"/>
  <c r="V22" i="1"/>
  <c r="U22" i="1"/>
  <c r="V18" i="1"/>
  <c r="U18" i="1"/>
  <c r="V14" i="1"/>
  <c r="U14" i="1"/>
  <c r="V10" i="1"/>
  <c r="U10" i="1"/>
  <c r="V6" i="1"/>
  <c r="U6" i="1"/>
  <c r="H15" i="4"/>
  <c r="E15" i="4"/>
  <c r="D15" i="4" s="1"/>
  <c r="B15" i="4"/>
  <c r="H9" i="4"/>
  <c r="E9" i="4"/>
  <c r="B9" i="4"/>
  <c r="C9" i="4" s="1"/>
  <c r="G7" i="4"/>
  <c r="H12" i="4"/>
  <c r="H13" i="4" s="1"/>
  <c r="B12" i="4"/>
  <c r="V146" i="1"/>
  <c r="U146" i="1"/>
  <c r="V145" i="1"/>
  <c r="U145" i="1"/>
  <c r="V144" i="1"/>
  <c r="U144" i="1"/>
  <c r="V143" i="1"/>
  <c r="U143" i="1"/>
  <c r="V142" i="1"/>
  <c r="U142" i="1"/>
  <c r="V141" i="1"/>
  <c r="U141" i="1"/>
  <c r="V140" i="1"/>
  <c r="U140" i="1"/>
  <c r="V139" i="1"/>
  <c r="U139" i="1"/>
  <c r="V138" i="1"/>
  <c r="U138" i="1"/>
  <c r="V137" i="1"/>
  <c r="U137" i="1"/>
  <c r="V136" i="1"/>
  <c r="U136" i="1"/>
  <c r="V135" i="1"/>
  <c r="U135" i="1"/>
  <c r="V134" i="1"/>
  <c r="U134" i="1"/>
  <c r="V133" i="1"/>
  <c r="U133" i="1"/>
  <c r="V132" i="1"/>
  <c r="U132" i="1"/>
  <c r="V131" i="1"/>
  <c r="U131" i="1"/>
  <c r="V130" i="1"/>
  <c r="U130" i="1"/>
  <c r="V129" i="1"/>
  <c r="U129" i="1"/>
  <c r="V128" i="1"/>
  <c r="U128" i="1"/>
  <c r="V127" i="1"/>
  <c r="U127" i="1"/>
  <c r="V126" i="1"/>
  <c r="U126" i="1"/>
  <c r="V125" i="1"/>
  <c r="U125" i="1"/>
  <c r="V124" i="1"/>
  <c r="U124" i="1"/>
  <c r="V123" i="1"/>
  <c r="U123" i="1"/>
  <c r="V122" i="1"/>
  <c r="U122" i="1"/>
  <c r="V119" i="1"/>
  <c r="U119" i="1"/>
  <c r="V115" i="1"/>
  <c r="U115" i="1"/>
  <c r="V111" i="1"/>
  <c r="U111" i="1"/>
  <c r="V107" i="1"/>
  <c r="U107" i="1"/>
  <c r="V103" i="1"/>
  <c r="U103" i="1"/>
  <c r="V99" i="1"/>
  <c r="U99" i="1"/>
  <c r="V95" i="1"/>
  <c r="U95" i="1"/>
  <c r="V91" i="1"/>
  <c r="U91" i="1"/>
  <c r="V87" i="1"/>
  <c r="U87" i="1"/>
  <c r="V83" i="1"/>
  <c r="U83" i="1"/>
  <c r="V79" i="1"/>
  <c r="U79" i="1"/>
  <c r="V75" i="1"/>
  <c r="U75" i="1"/>
  <c r="V71" i="1"/>
  <c r="U71" i="1"/>
  <c r="V67" i="1"/>
  <c r="U67" i="1"/>
  <c r="V63" i="1"/>
  <c r="U63" i="1"/>
  <c r="V59" i="1"/>
  <c r="U59" i="1"/>
  <c r="V55" i="1"/>
  <c r="U55" i="1"/>
  <c r="V51" i="1"/>
  <c r="U51" i="1"/>
  <c r="V47" i="1"/>
  <c r="U47" i="1"/>
  <c r="V39" i="1"/>
  <c r="U39" i="1"/>
  <c r="V35" i="1"/>
  <c r="U35" i="1"/>
  <c r="V31" i="1"/>
  <c r="U31" i="1"/>
  <c r="V27" i="1"/>
  <c r="U27" i="1"/>
  <c r="V23" i="1"/>
  <c r="U23" i="1"/>
  <c r="V19" i="1"/>
  <c r="U19" i="1"/>
  <c r="V15" i="1"/>
  <c r="U15" i="1"/>
  <c r="V11" i="1"/>
  <c r="U11" i="1"/>
  <c r="V7" i="1"/>
  <c r="U7" i="1"/>
  <c r="V120" i="1"/>
  <c r="U120" i="1"/>
  <c r="V116" i="1"/>
  <c r="U116" i="1"/>
  <c r="V112" i="1"/>
  <c r="U112" i="1"/>
  <c r="V108" i="1"/>
  <c r="U108" i="1"/>
  <c r="V104" i="1"/>
  <c r="U104" i="1"/>
  <c r="V100" i="1"/>
  <c r="U100" i="1"/>
  <c r="V96" i="1"/>
  <c r="U96" i="1"/>
  <c r="V92" i="1"/>
  <c r="U92" i="1"/>
  <c r="V88" i="1"/>
  <c r="U88" i="1"/>
  <c r="V84" i="1"/>
  <c r="U84" i="1"/>
  <c r="V80" i="1"/>
  <c r="U80" i="1"/>
  <c r="V76" i="1"/>
  <c r="U76" i="1"/>
  <c r="V72" i="1"/>
  <c r="U72" i="1"/>
  <c r="V68" i="1"/>
  <c r="U68" i="1"/>
  <c r="V64" i="1"/>
  <c r="U64" i="1"/>
  <c r="V60" i="1"/>
  <c r="U60" i="1"/>
  <c r="V56" i="1"/>
  <c r="U56" i="1"/>
  <c r="V52" i="1"/>
  <c r="U52" i="1"/>
  <c r="V48" i="1"/>
  <c r="U48" i="1"/>
  <c r="V44" i="1"/>
  <c r="U44" i="1"/>
  <c r="V40" i="1"/>
  <c r="U40" i="1"/>
  <c r="V36" i="1"/>
  <c r="U36" i="1"/>
  <c r="V32" i="1"/>
  <c r="U32" i="1"/>
  <c r="V28" i="1"/>
  <c r="U28" i="1"/>
  <c r="V24" i="1"/>
  <c r="U24" i="1"/>
  <c r="V20" i="1"/>
  <c r="U20" i="1"/>
  <c r="V16" i="1"/>
  <c r="U16" i="1"/>
  <c r="V12" i="1"/>
  <c r="U12" i="1"/>
  <c r="V8" i="1"/>
  <c r="U8" i="1"/>
  <c r="V4" i="1"/>
  <c r="U4" i="1"/>
  <c r="G12" i="4"/>
  <c r="C12" i="4"/>
  <c r="G14" i="4"/>
  <c r="F14" i="4" s="1"/>
  <c r="E14" i="4"/>
  <c r="C14" i="4"/>
  <c r="B14" i="4" s="1"/>
  <c r="G10" i="4"/>
  <c r="E10" i="4"/>
  <c r="F10" i="4" s="1"/>
  <c r="C10" i="4"/>
  <c r="B7" i="4"/>
  <c r="V121" i="1"/>
  <c r="U121" i="1"/>
  <c r="V117" i="1"/>
  <c r="U117" i="1"/>
  <c r="V113" i="1"/>
  <c r="U113" i="1"/>
  <c r="V109" i="1"/>
  <c r="U109" i="1"/>
  <c r="V105" i="1"/>
  <c r="U105" i="1"/>
  <c r="V101" i="1"/>
  <c r="U101" i="1"/>
  <c r="V97" i="1"/>
  <c r="U97" i="1"/>
  <c r="V93" i="1"/>
  <c r="U93" i="1"/>
  <c r="V89" i="1"/>
  <c r="U89" i="1"/>
  <c r="V85" i="1"/>
  <c r="U85" i="1"/>
  <c r="V81" i="1"/>
  <c r="U81" i="1"/>
  <c r="V77" i="1"/>
  <c r="U77" i="1"/>
  <c r="V73" i="1"/>
  <c r="U73" i="1"/>
  <c r="V69" i="1"/>
  <c r="U69" i="1"/>
  <c r="V65" i="1"/>
  <c r="U65" i="1"/>
  <c r="V61" i="1"/>
  <c r="U61" i="1"/>
  <c r="V57" i="1"/>
  <c r="U57" i="1"/>
  <c r="V53" i="1"/>
  <c r="U53" i="1"/>
  <c r="V49" i="1"/>
  <c r="U49" i="1"/>
  <c r="V45" i="1"/>
  <c r="U45" i="1"/>
  <c r="V41" i="1"/>
  <c r="U41" i="1"/>
  <c r="V37" i="1"/>
  <c r="U37" i="1"/>
  <c r="V33" i="1"/>
  <c r="U33" i="1"/>
  <c r="V29" i="1"/>
  <c r="U29" i="1"/>
  <c r="V25" i="1"/>
  <c r="U25" i="1"/>
  <c r="V21" i="1"/>
  <c r="U21" i="1"/>
  <c r="V13" i="1"/>
  <c r="U13" i="1"/>
  <c r="V9" i="1"/>
  <c r="U9" i="1"/>
  <c r="V5" i="1"/>
  <c r="U5" i="1"/>
  <c r="E13" i="4" l="1"/>
  <c r="E12" i="4"/>
  <c r="E11" i="4"/>
  <c r="F13" i="4"/>
  <c r="D13" i="4"/>
  <c r="C13" i="4" s="1"/>
  <c r="F12" i="4"/>
  <c r="D12" i="4"/>
  <c r="F11" i="4"/>
  <c r="D11" i="4"/>
  <c r="G13" i="4"/>
  <c r="H10" i="4"/>
  <c r="D10" i="4"/>
  <c r="G11" i="4"/>
  <c r="D14" i="4"/>
  <c r="C11" i="4"/>
  <c r="B11" i="4"/>
  <c r="F9" i="4"/>
  <c r="G15" i="4"/>
  <c r="E23" i="4" l="1"/>
  <c r="G19" i="4" s="1"/>
  <c r="Q10" i="4" s="1"/>
  <c r="C23" i="4"/>
  <c r="E19" i="4" s="1"/>
  <c r="Q8" i="4" s="1"/>
  <c r="E21" i="4"/>
  <c r="G17" i="4" s="1"/>
  <c r="N10" i="4" s="1"/>
  <c r="C21" i="4"/>
  <c r="E17" i="4" s="1"/>
  <c r="N8" i="4" s="1"/>
  <c r="B24" i="4"/>
  <c r="Q12" i="4" s="1"/>
  <c r="F23" i="4"/>
  <c r="H19" i="4" s="1"/>
  <c r="Q11" i="4" s="1"/>
  <c r="D23" i="4"/>
  <c r="F19" i="4" s="1"/>
  <c r="Q9" i="4" s="1"/>
  <c r="B23" i="4"/>
  <c r="D19" i="4" s="1"/>
  <c r="Q7" i="4" s="1"/>
  <c r="B22" i="4"/>
  <c r="N12" i="4" s="1"/>
  <c r="F21" i="4"/>
  <c r="H17" i="4" s="1"/>
  <c r="N11" i="4" s="1"/>
  <c r="D21" i="4"/>
  <c r="F17" i="4" s="1"/>
  <c r="N9" i="4" s="1"/>
  <c r="B21" i="4"/>
  <c r="D17" i="4" s="1"/>
  <c r="N7" i="4" s="1"/>
  <c r="B19" i="4"/>
  <c r="Q6" i="4" s="1"/>
  <c r="B17" i="4"/>
  <c r="N6" i="4" s="1"/>
</calcChain>
</file>

<file path=xl/sharedStrings.xml><?xml version="1.0" encoding="utf-8"?>
<sst xmlns="http://schemas.openxmlformats.org/spreadsheetml/2006/main" count="609" uniqueCount="283">
  <si>
    <t>Date</t>
  </si>
  <si>
    <t>TELEGRAM CHANEL LINK    https://t.me/stockvichar</t>
  </si>
  <si>
    <t>SCRIPTS</t>
  </si>
  <si>
    <t>VOL.RATIO</t>
  </si>
  <si>
    <t>% GAIN</t>
  </si>
  <si>
    <t>POINTS</t>
  </si>
  <si>
    <t>AVG. VOL</t>
  </si>
  <si>
    <t>TODAY VOL</t>
  </si>
  <si>
    <t>25% VOL More</t>
  </si>
  <si>
    <t>50% VOL</t>
  </si>
  <si>
    <t>75% VOL</t>
  </si>
  <si>
    <t>100% MORE</t>
  </si>
  <si>
    <t>O=H=L</t>
  </si>
  <si>
    <t>PRICE OPEN</t>
  </si>
  <si>
    <t>CURRENT PRICE</t>
  </si>
  <si>
    <t>HIGH</t>
  </si>
  <si>
    <t>TICKER</t>
  </si>
  <si>
    <t>LOW</t>
  </si>
  <si>
    <t>LTP</t>
  </si>
  <si>
    <t>CHANGE %</t>
  </si>
  <si>
    <t>CHANGE</t>
  </si>
  <si>
    <t xml:space="preserve">OPEN </t>
  </si>
  <si>
    <t>P.CLOSE</t>
  </si>
  <si>
    <t>Upper Shadow</t>
  </si>
  <si>
    <t>Body</t>
  </si>
  <si>
    <t>Lower Shadow</t>
  </si>
  <si>
    <t>CANDLE</t>
  </si>
  <si>
    <t>Dragonfly Doji</t>
  </si>
  <si>
    <t>Gravestone Doji</t>
  </si>
  <si>
    <t>ACC</t>
  </si>
  <si>
    <t>ADANIENT</t>
  </si>
  <si>
    <t>ADANIPORTS</t>
  </si>
  <si>
    <t>VOLUME</t>
  </si>
  <si>
    <t>D1 HIGH</t>
  </si>
  <si>
    <t>D1 LOW</t>
  </si>
  <si>
    <t>D1 OPEN</t>
  </si>
  <si>
    <t>D1 VOLUME</t>
  </si>
  <si>
    <t>CONDITION</t>
  </si>
  <si>
    <t>Buy SIGNAL</t>
  </si>
  <si>
    <t>ENTRY</t>
  </si>
  <si>
    <t>STOPLOSS</t>
  </si>
  <si>
    <t>TARGET</t>
  </si>
  <si>
    <t>TARGET HIT</t>
  </si>
  <si>
    <t>SL TRIGGER</t>
  </si>
  <si>
    <t>Condition</t>
  </si>
  <si>
    <t>Sell Signal</t>
  </si>
  <si>
    <t>Entry</t>
  </si>
  <si>
    <t>Stoploss</t>
  </si>
  <si>
    <t>Target 1</t>
  </si>
  <si>
    <t>Target 2</t>
  </si>
  <si>
    <t>Target 3</t>
  </si>
  <si>
    <t>Pivot Point</t>
  </si>
  <si>
    <t>Signal</t>
  </si>
  <si>
    <t xml:space="preserve">Condition </t>
  </si>
  <si>
    <t>Prev Day o=h/o=l</t>
  </si>
  <si>
    <t>VWAP</t>
  </si>
  <si>
    <t>P/ DAY VWAP</t>
  </si>
  <si>
    <t>SIGNAL</t>
  </si>
  <si>
    <t>CHECK DATA RELIABILITY FROM BELOW DATA</t>
  </si>
  <si>
    <t>ADANIPOWER</t>
  </si>
  <si>
    <t>AMARAJABAT</t>
  </si>
  <si>
    <t>AMBUJACEM</t>
  </si>
  <si>
    <t>APOLLOHOSP</t>
  </si>
  <si>
    <t>APOLLOTYRE</t>
  </si>
  <si>
    <t>ASHOKLEY</t>
  </si>
  <si>
    <t>ASIANPAINT</t>
  </si>
  <si>
    <t>AUROPHARMA</t>
  </si>
  <si>
    <t>AXISBANK</t>
  </si>
  <si>
    <t>BAJAJ-AUTO</t>
  </si>
  <si>
    <t>BAJAJFINSV</t>
  </si>
  <si>
    <t>BAJFINANCE</t>
  </si>
  <si>
    <t>BALKRISIND</t>
  </si>
  <si>
    <t>BANDHANBNK</t>
  </si>
  <si>
    <t>BANKBARODA</t>
  </si>
  <si>
    <t>BATAINDIA</t>
  </si>
  <si>
    <t>BEL</t>
  </si>
  <si>
    <t>BERGEPAINT</t>
  </si>
  <si>
    <t>BHARATFORG</t>
  </si>
  <si>
    <t>BHARTIARTL</t>
  </si>
  <si>
    <t>BHEL</t>
  </si>
  <si>
    <t>BIOCON</t>
  </si>
  <si>
    <t>BOSCHLTD</t>
  </si>
  <si>
    <t>BPCL</t>
  </si>
  <si>
    <t>BRITANNIA</t>
  </si>
  <si>
    <t>CADILAHC</t>
  </si>
  <si>
    <t>CANBK</t>
  </si>
  <si>
    <t>CENTURYTEX</t>
  </si>
  <si>
    <t>CESC</t>
  </si>
  <si>
    <t>CHOLAFIN</t>
  </si>
  <si>
    <t>CIPLA</t>
  </si>
  <si>
    <t>COALINDIA</t>
  </si>
  <si>
    <t>COLPAL</t>
  </si>
  <si>
    <t>CONCOR</t>
  </si>
  <si>
    <t>CUMMINSIND</t>
  </si>
  <si>
    <t>DABUR</t>
  </si>
  <si>
    <t>DIVISLAB</t>
  </si>
  <si>
    <t>DLF</t>
  </si>
  <si>
    <t>DRREDDY</t>
  </si>
  <si>
    <t>EICHERMOT</t>
  </si>
  <si>
    <t>EQUITAS</t>
  </si>
  <si>
    <t>ESCORTS</t>
  </si>
  <si>
    <t>EXIDEIND</t>
  </si>
  <si>
    <t>FEDERALBNK</t>
  </si>
  <si>
    <t>USE = SIGN BEFOR FORMULA</t>
  </si>
  <si>
    <t>GAIL</t>
  </si>
  <si>
    <t>GLENMARK</t>
  </si>
  <si>
    <t>FORMULA FOR MONDAY(P.HIGH)</t>
  </si>
  <si>
    <t>GMRINFRA</t>
  </si>
  <si>
    <t>INDEX( GoogleFinance( "NSE:"&amp;A4 , "all" , TODAY()-4) , 2, 3)</t>
  </si>
  <si>
    <t>GODREJCP</t>
  </si>
  <si>
    <t>GODREJPROP</t>
  </si>
  <si>
    <t>FORMULA FOR TUESDAY(P.HIGH)</t>
  </si>
  <si>
    <t>GRASIM</t>
  </si>
  <si>
    <t>INDEX( GoogleFinance( "NSE:"&amp;A4 , "all" , TODAY()-2) , 2, 3)</t>
  </si>
  <si>
    <t>HAVELLS</t>
  </si>
  <si>
    <t>HCLTECH</t>
  </si>
  <si>
    <t>HDFC</t>
  </si>
  <si>
    <t>HDFCBANK</t>
  </si>
  <si>
    <t>HDFCLIFE</t>
  </si>
  <si>
    <t>FORMULA FOR WEDNESDAY(P.HIGH)</t>
  </si>
  <si>
    <t>HEROMOTOCO</t>
  </si>
  <si>
    <t>INDEX( GoogleFinance( "NSE:"&amp;A6 , "all" , TODAY()-2) , 2, 3)</t>
  </si>
  <si>
    <t>HINDALCO</t>
  </si>
  <si>
    <t>HINDPETRO</t>
  </si>
  <si>
    <t>FORMULA FOR THRUSDAY(P.HIGH)</t>
  </si>
  <si>
    <t>INDEX( GoogleFinance( "NSE:"&amp;A7 , "all" , TODAY()-2) , 2, 3)</t>
  </si>
  <si>
    <t>HINDUNILVR</t>
  </si>
  <si>
    <t>IBULHSGFIN</t>
  </si>
  <si>
    <t>FRIDAY</t>
  </si>
  <si>
    <t>ICICIBANK</t>
  </si>
  <si>
    <t>ICICIPRULI</t>
  </si>
  <si>
    <t>SATURDAY</t>
  </si>
  <si>
    <t>IDEA</t>
  </si>
  <si>
    <t>IDFCFIRSTB</t>
  </si>
  <si>
    <t>SUNDAY</t>
  </si>
  <si>
    <t>INDEX( GoogleFinance( "NSE:"&amp;A7 , "all" , TODAY()-3) , 2, 3)</t>
  </si>
  <si>
    <t>IGL</t>
  </si>
  <si>
    <t>INDIGO</t>
  </si>
  <si>
    <t>INDUSINDBK</t>
  </si>
  <si>
    <t>INFRATEL</t>
  </si>
  <si>
    <t>INFY</t>
  </si>
  <si>
    <t>IOC</t>
  </si>
  <si>
    <t>ITC</t>
  </si>
  <si>
    <t>JINDALSTEL</t>
  </si>
  <si>
    <t>JSWSTEEL</t>
  </si>
  <si>
    <t>JUBLFOOD</t>
  </si>
  <si>
    <t>JUSTDIAL</t>
  </si>
  <si>
    <t>KOTAKBANK</t>
  </si>
  <si>
    <t>L&amp;TFH</t>
  </si>
  <si>
    <t>LICHSGFIN</t>
  </si>
  <si>
    <t>LT</t>
  </si>
  <si>
    <t>LUPIN</t>
  </si>
  <si>
    <t>M&amp;M</t>
  </si>
  <si>
    <t>M&amp;MFIN</t>
  </si>
  <si>
    <t>MANAPPURAM</t>
  </si>
  <si>
    <t>MARICO</t>
  </si>
  <si>
    <t>MARUTI</t>
  </si>
  <si>
    <t>MCDOWELL-N</t>
  </si>
  <si>
    <t>MFSL</t>
  </si>
  <si>
    <t>MGL</t>
  </si>
  <si>
    <t>MINDTREE</t>
  </si>
  <si>
    <t>MOTHERSUMI</t>
  </si>
  <si>
    <t>MRF</t>
  </si>
  <si>
    <t>MUTHOOTFIN</t>
  </si>
  <si>
    <t>NATIONALUM</t>
  </si>
  <si>
    <t>NAUKRI</t>
  </si>
  <si>
    <t>NCC</t>
  </si>
  <si>
    <t>NESTLEIND</t>
  </si>
  <si>
    <t>NIITTECH</t>
  </si>
  <si>
    <t>NMDC</t>
  </si>
  <si>
    <t>NTPC</t>
  </si>
  <si>
    <t>ONGC</t>
  </si>
  <si>
    <t>PAGEIND</t>
  </si>
  <si>
    <t>PEL</t>
  </si>
  <si>
    <t>PETRONET</t>
  </si>
  <si>
    <t>PFC</t>
  </si>
  <si>
    <t>PIDILITIND</t>
  </si>
  <si>
    <t>PNB</t>
  </si>
  <si>
    <t>POWERGRID</t>
  </si>
  <si>
    <t>PVR</t>
  </si>
  <si>
    <t>RAMCOCEM</t>
  </si>
  <si>
    <t>RBLBANK</t>
  </si>
  <si>
    <t>RECLTD</t>
  </si>
  <si>
    <t>RELIANCE</t>
  </si>
  <si>
    <t>SAIL</t>
  </si>
  <si>
    <t>SBIN</t>
  </si>
  <si>
    <t>SHREECEM</t>
  </si>
  <si>
    <t>SIEMENS</t>
  </si>
  <si>
    <t>SRF</t>
  </si>
  <si>
    <t>SRTRANSFIN</t>
  </si>
  <si>
    <t>SUNPHARMA</t>
  </si>
  <si>
    <t>SUNTV</t>
  </si>
  <si>
    <t>TATACHEM</t>
  </si>
  <si>
    <t>TATACONSUM</t>
  </si>
  <si>
    <t>TATAMOTORS</t>
  </si>
  <si>
    <t>TATAPOWER</t>
  </si>
  <si>
    <t>TATASTEEL</t>
  </si>
  <si>
    <t>TCS</t>
  </si>
  <si>
    <t>TECHM</t>
  </si>
  <si>
    <t>TITAN</t>
  </si>
  <si>
    <t>TORNTPHARM</t>
  </si>
  <si>
    <t>TORNTPOWER</t>
  </si>
  <si>
    <t>TVSMOTOR</t>
  </si>
  <si>
    <t>UBL</t>
  </si>
  <si>
    <t>UJJIVAN</t>
  </si>
  <si>
    <t>ULTRACEMCO</t>
  </si>
  <si>
    <t>UPL</t>
  </si>
  <si>
    <t>VEDL</t>
  </si>
  <si>
    <t>VOLTAS</t>
  </si>
  <si>
    <t>WIPRO</t>
  </si>
  <si>
    <t>YESBANK</t>
  </si>
  <si>
    <t>ZEEL</t>
  </si>
  <si>
    <t>NIFTY</t>
  </si>
  <si>
    <t>BANKNIFTY</t>
  </si>
  <si>
    <t xml:space="preserve">TICKER </t>
  </si>
  <si>
    <t>OPEN</t>
  </si>
  <si>
    <t xml:space="preserve">LOW </t>
  </si>
  <si>
    <t>PRE. CLOSE</t>
  </si>
  <si>
    <t>BUY/SELL</t>
  </si>
  <si>
    <t>VIX</t>
  </si>
  <si>
    <t>1 SD</t>
  </si>
  <si>
    <t>B/TARGET</t>
  </si>
  <si>
    <t>S/TARGET</t>
  </si>
  <si>
    <t xml:space="preserve">2 stdev </t>
  </si>
  <si>
    <t>buy 2nd target</t>
  </si>
  <si>
    <t>sell 2nd target</t>
  </si>
  <si>
    <t>daily vol</t>
  </si>
  <si>
    <t>1 stdv</t>
  </si>
  <si>
    <t>Buy 1st Target</t>
  </si>
  <si>
    <t>Sell 1st Target</t>
  </si>
  <si>
    <t>pvr</t>
  </si>
  <si>
    <t>Gann Square of 9</t>
  </si>
  <si>
    <t>BUY ABOVE</t>
  </si>
  <si>
    <t>SELL BELOW</t>
  </si>
  <si>
    <t>TARGET 1</t>
  </si>
  <si>
    <t>TARGET 2</t>
  </si>
  <si>
    <t>TARGET 3</t>
  </si>
  <si>
    <t>TARGET 4</t>
  </si>
  <si>
    <t>TARGET 5</t>
  </si>
  <si>
    <t>STOP LOSS</t>
  </si>
  <si>
    <t>INDICES</t>
  </si>
  <si>
    <t>SYMBOL</t>
  </si>
  <si>
    <t>LTP(VALUE)</t>
  </si>
  <si>
    <t>CHG %</t>
  </si>
  <si>
    <t>RECOMMENDATION</t>
  </si>
  <si>
    <t>NIFTY BANK</t>
  </si>
  <si>
    <t>BUY at/above</t>
  </si>
  <si>
    <t>TARGETS</t>
  </si>
  <si>
    <t>INDIA VIX</t>
  </si>
  <si>
    <t>NSE:INDIAVIX</t>
  </si>
  <si>
    <t>NIFTY IT</t>
  </si>
  <si>
    <t>NSE:CNXIT</t>
  </si>
  <si>
    <t>SELL at/below</t>
  </si>
  <si>
    <t>NIFTY PHARMA</t>
  </si>
  <si>
    <t>CNXPHARMA</t>
  </si>
  <si>
    <t>NIFTY INFRA</t>
  </si>
  <si>
    <t>CNXINFRA</t>
  </si>
  <si>
    <t>RESISTANCE</t>
  </si>
  <si>
    <t>PSU BANK</t>
  </si>
  <si>
    <t>CNXPSUBANK</t>
  </si>
  <si>
    <t>NIFTY REALITY</t>
  </si>
  <si>
    <t>CNXREALTY</t>
  </si>
  <si>
    <t>SUPPORT</t>
  </si>
  <si>
    <t>NIFTY FMCG</t>
  </si>
  <si>
    <t>CNXFMCG</t>
  </si>
  <si>
    <t>DAX</t>
  </si>
  <si>
    <t>CAC</t>
  </si>
  <si>
    <t>DOW JOWNES</t>
  </si>
  <si>
    <t>.DJI</t>
  </si>
  <si>
    <t>LOG N</t>
  </si>
  <si>
    <t>ROR</t>
  </si>
  <si>
    <t>Mean</t>
  </si>
  <si>
    <t>Std dev</t>
  </si>
  <si>
    <t>2 standard dev</t>
  </si>
  <si>
    <t>3 standard dev</t>
  </si>
  <si>
    <t>Std. yearly voli</t>
  </si>
  <si>
    <t>Std. monthly voli</t>
  </si>
  <si>
    <t>10 SMA</t>
  </si>
  <si>
    <t>20 SMA</t>
  </si>
  <si>
    <t>50 SMA</t>
  </si>
  <si>
    <t>100 SMA</t>
  </si>
  <si>
    <t>150 SMA</t>
  </si>
  <si>
    <t>200 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</si>
</sst>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\ h:mm:ss"/>
    <numFmt numFmtId="165" formatCode="0.0"/>
  </numFmts>
  <fonts count="29">
    <font>
      <sz val="10"/>
      <color rgb="FF000000"/>
      <name val="Arial"/>
    </font>
    <font>
      <b/>
      <sz val="11"/>
      <name val="Arial"/>
    </font>
    <font>
      <b/>
      <sz val="11"/>
      <color theme="1"/>
      <name val="Calibri"/>
    </font>
    <font>
      <sz val="10"/>
      <name val="Arial"/>
    </font>
    <font>
      <b/>
      <sz val="10"/>
      <name val="Arial"/>
    </font>
    <font>
      <sz val="12"/>
      <color theme="1"/>
      <name val="Calibri"/>
    </font>
    <font>
      <sz val="10"/>
      <color rgb="FF000000"/>
      <name val="Calibri"/>
    </font>
    <font>
      <sz val="10"/>
      <color rgb="FF000000"/>
      <name val="Arial"/>
    </font>
    <font>
      <sz val="11"/>
      <color rgb="FF000000"/>
      <name val="Calibri"/>
    </font>
    <font>
      <sz val="10"/>
      <color theme="1"/>
      <name val="Calibri"/>
    </font>
    <font>
      <b/>
      <sz val="10"/>
      <color theme="1"/>
      <name val="Calibri"/>
    </font>
    <font>
      <b/>
      <sz val="11"/>
      <color rgb="FF000000"/>
      <name val="Calibri"/>
    </font>
    <font>
      <sz val="10"/>
      <name val="Arial"/>
    </font>
    <font>
      <sz val="10"/>
      <color rgb="FFFF0000"/>
      <name val="Arial"/>
    </font>
    <font>
      <b/>
      <sz val="11"/>
      <color rgb="FF000000"/>
      <name val="Arial"/>
    </font>
    <font>
      <sz val="11"/>
      <color rgb="FF980000"/>
      <name val="Calibri"/>
    </font>
    <font>
      <sz val="10"/>
      <color rgb="FFFF0000"/>
      <name val="Calibri"/>
    </font>
    <font>
      <sz val="11"/>
      <color rgb="FF38761D"/>
      <name val="Arial"/>
    </font>
    <font>
      <sz val="11"/>
      <color theme="1"/>
      <name val="Calibri"/>
    </font>
    <font>
      <sz val="11"/>
      <color rgb="FF000000"/>
      <name val="Inconsolata"/>
    </font>
    <font>
      <sz val="10"/>
      <color theme="1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8"/>
      <color rgb="FF000000"/>
      <name val="Calibri"/>
    </font>
    <font>
      <sz val="10"/>
      <color theme="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1"/>
      <color rgb="FF980000"/>
      <name val="Inconsolata"/>
    </font>
    <font>
      <sz val="11"/>
      <color rgb="FF000000"/>
      <name val="Arial"/>
    </font>
  </fonts>
  <fills count="37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C6D9F0"/>
        <bgColor rgb="FFC6D9F0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rgb="FFD9D9D9"/>
        <bgColor rgb="FFD9D9D9"/>
      </patternFill>
    </fill>
    <fill>
      <patternFill patternType="solid">
        <fgColor rgb="FFB7E1CD"/>
        <bgColor rgb="FFB7E1CD"/>
      </patternFill>
    </fill>
    <fill>
      <patternFill patternType="solid">
        <fgColor rgb="FFFB6479"/>
        <bgColor rgb="FFFB6479"/>
      </patternFill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  <fill>
      <patternFill patternType="solid">
        <fgColor rgb="FFC466C3"/>
        <bgColor rgb="FFC466C3"/>
      </patternFill>
    </fill>
    <fill>
      <patternFill patternType="solid">
        <fgColor rgb="FF6D9EEB"/>
        <bgColor rgb="FF6D9EEB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F97499"/>
        <bgColor rgb="FFF97499"/>
      </patternFill>
    </fill>
    <fill>
      <patternFill patternType="solid">
        <fgColor rgb="FF0000FF"/>
        <bgColor rgb="FF0000FF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C0000"/>
        <bgColor rgb="FFCC0000"/>
      </patternFill>
    </fill>
    <fill>
      <patternFill patternType="solid">
        <fgColor rgb="FF38761D"/>
        <bgColor rgb="FF38761D"/>
      </patternFill>
    </fill>
    <fill>
      <patternFill patternType="solid">
        <fgColor rgb="FFA4C2F4"/>
        <bgColor rgb="FFA4C2F4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9FC5E8"/>
        <bgColor rgb="FF9FC5E8"/>
      </patternFill>
    </fill>
    <fill>
      <patternFill patternType="solid">
        <fgColor rgb="FFFF9900"/>
        <bgColor rgb="FFFF9900"/>
      </patternFill>
    </fill>
    <fill>
      <patternFill patternType="solid">
        <fgColor rgb="FFFFD1DA"/>
        <bgColor rgb="FFFFD1DA"/>
      </patternFill>
    </fill>
    <fill>
      <patternFill patternType="solid">
        <fgColor rgb="FFDD7E6B"/>
        <bgColor rgb="FFDD7E6B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  <fill>
      <patternFill patternType="solid">
        <fgColor rgb="FF4A86E8"/>
        <bgColor rgb="FF4A86E8"/>
      </patternFill>
    </fill>
    <fill>
      <patternFill patternType="solid">
        <fgColor rgb="FFFF00FF"/>
        <bgColor rgb="FFFF00FF"/>
      </patternFill>
    </fill>
  </fills>
  <borders count="4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dotted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4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14" fontId="2" fillId="2" borderId="8" xfId="0" applyNumberFormat="1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8" fillId="6" borderId="12" xfId="0" applyFont="1" applyFill="1" applyBorder="1" applyAlignment="1">
      <alignment horizontal="center"/>
    </xf>
    <xf numFmtId="10" fontId="9" fillId="7" borderId="14" xfId="0" applyNumberFormat="1" applyFont="1" applyFill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8" fillId="7" borderId="16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9" fillId="8" borderId="16" xfId="0" applyFont="1" applyFill="1" applyBorder="1" applyAlignment="1">
      <alignment horizontal="center"/>
    </xf>
    <xf numFmtId="0" fontId="8" fillId="8" borderId="16" xfId="0" applyFont="1" applyFill="1" applyBorder="1" applyAlignment="1">
      <alignment horizontal="center"/>
    </xf>
    <xf numFmtId="0" fontId="8" fillId="9" borderId="16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9" fillId="10" borderId="16" xfId="0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8" fillId="10" borderId="16" xfId="0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9" fillId="10" borderId="19" xfId="0" applyFont="1" applyFill="1" applyBorder="1" applyAlignment="1">
      <alignment horizontal="center"/>
    </xf>
    <xf numFmtId="0" fontId="13" fillId="11" borderId="9" xfId="0" applyFont="1" applyFill="1" applyBorder="1" applyAlignment="1">
      <alignment horizontal="center"/>
    </xf>
    <xf numFmtId="0" fontId="12" fillId="11" borderId="9" xfId="0" applyFont="1" applyFill="1" applyBorder="1" applyAlignment="1">
      <alignment horizontal="center"/>
    </xf>
    <xf numFmtId="0" fontId="8" fillId="6" borderId="20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10" fontId="9" fillId="7" borderId="21" xfId="0" applyNumberFormat="1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9" fillId="9" borderId="9" xfId="0" applyFont="1" applyFill="1" applyBorder="1" applyAlignment="1">
      <alignment horizontal="center"/>
    </xf>
    <xf numFmtId="0" fontId="8" fillId="9" borderId="9" xfId="0" applyFont="1" applyFill="1" applyBorder="1" applyAlignment="1">
      <alignment horizontal="center"/>
    </xf>
    <xf numFmtId="0" fontId="9" fillId="10" borderId="9" xfId="0" applyFont="1" applyFill="1" applyBorder="1" applyAlignment="1">
      <alignment horizontal="center"/>
    </xf>
    <xf numFmtId="0" fontId="8" fillId="10" borderId="9" xfId="0" applyFont="1" applyFill="1" applyBorder="1" applyAlignment="1">
      <alignment horizontal="center"/>
    </xf>
    <xf numFmtId="0" fontId="8" fillId="12" borderId="16" xfId="0" applyFont="1" applyFill="1" applyBorder="1" applyAlignment="1">
      <alignment horizontal="center"/>
    </xf>
    <xf numFmtId="0" fontId="8" fillId="11" borderId="16" xfId="0" applyFont="1" applyFill="1" applyBorder="1" applyAlignment="1">
      <alignment horizontal="center"/>
    </xf>
    <xf numFmtId="0" fontId="9" fillId="10" borderId="23" xfId="0" applyFont="1" applyFill="1" applyBorder="1" applyAlignment="1">
      <alignment horizontal="center"/>
    </xf>
    <xf numFmtId="0" fontId="15" fillId="13" borderId="16" xfId="0" applyFont="1" applyFill="1" applyBorder="1" applyAlignment="1">
      <alignment horizontal="center"/>
    </xf>
    <xf numFmtId="0" fontId="8" fillId="13" borderId="16" xfId="0" applyFont="1" applyFill="1" applyBorder="1" applyAlignment="1">
      <alignment horizontal="center"/>
    </xf>
    <xf numFmtId="0" fontId="9" fillId="7" borderId="16" xfId="0" applyFont="1" applyFill="1" applyBorder="1" applyAlignment="1">
      <alignment horizontal="center"/>
    </xf>
    <xf numFmtId="0" fontId="9" fillId="14" borderId="16" xfId="0" applyFont="1" applyFill="1" applyBorder="1" applyAlignment="1">
      <alignment horizontal="center"/>
    </xf>
    <xf numFmtId="2" fontId="9" fillId="14" borderId="16" xfId="0" applyNumberFormat="1" applyFont="1" applyFill="1" applyBorder="1" applyAlignment="1">
      <alignment horizontal="center"/>
    </xf>
    <xf numFmtId="2" fontId="8" fillId="14" borderId="16" xfId="0" applyNumberFormat="1" applyFont="1" applyFill="1" applyBorder="1" applyAlignment="1">
      <alignment horizontal="center"/>
    </xf>
    <xf numFmtId="2" fontId="9" fillId="11" borderId="16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9" fillId="0" borderId="24" xfId="0" applyFont="1" applyBorder="1" applyAlignment="1">
      <alignment horizontal="center"/>
    </xf>
    <xf numFmtId="2" fontId="8" fillId="5" borderId="16" xfId="0" applyNumberFormat="1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14" fillId="2" borderId="20" xfId="0" applyFont="1" applyFill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9" fillId="8" borderId="9" xfId="0" applyFont="1" applyFill="1" applyBorder="1" applyAlignment="1">
      <alignment horizontal="center"/>
    </xf>
    <xf numFmtId="0" fontId="8" fillId="12" borderId="9" xfId="0" applyFont="1" applyFill="1" applyBorder="1" applyAlignment="1">
      <alignment horizontal="center"/>
    </xf>
    <xf numFmtId="0" fontId="8" fillId="11" borderId="9" xfId="0" applyFont="1" applyFill="1" applyBorder="1" applyAlignment="1">
      <alignment horizontal="center"/>
    </xf>
    <xf numFmtId="0" fontId="15" fillId="13" borderId="9" xfId="0" applyFont="1" applyFill="1" applyBorder="1" applyAlignment="1">
      <alignment horizontal="center"/>
    </xf>
    <xf numFmtId="0" fontId="8" fillId="13" borderId="9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9" fillId="14" borderId="9" xfId="0" applyFont="1" applyFill="1" applyBorder="1" applyAlignment="1">
      <alignment horizontal="center"/>
    </xf>
    <xf numFmtId="2" fontId="9" fillId="14" borderId="9" xfId="0" applyNumberFormat="1" applyFont="1" applyFill="1" applyBorder="1" applyAlignment="1">
      <alignment horizontal="center"/>
    </xf>
    <xf numFmtId="2" fontId="8" fillId="14" borderId="9" xfId="0" applyNumberFormat="1" applyFont="1" applyFill="1" applyBorder="1" applyAlignment="1">
      <alignment horizontal="center"/>
    </xf>
    <xf numFmtId="2" fontId="9" fillId="11" borderId="9" xfId="0" applyNumberFormat="1" applyFont="1" applyFill="1" applyBorder="1" applyAlignment="1">
      <alignment horizontal="center"/>
    </xf>
    <xf numFmtId="0" fontId="9" fillId="5" borderId="9" xfId="0" applyFont="1" applyFill="1" applyBorder="1" applyAlignment="1">
      <alignment horizontal="center"/>
    </xf>
    <xf numFmtId="2" fontId="8" fillId="5" borderId="9" xfId="0" applyNumberFormat="1" applyFont="1" applyFill="1" applyBorder="1" applyAlignment="1">
      <alignment horizontal="center"/>
    </xf>
    <xf numFmtId="164" fontId="9" fillId="0" borderId="9" xfId="0" applyNumberFormat="1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8" fillId="8" borderId="9" xfId="0" applyFont="1" applyFill="1" applyBorder="1" applyAlignment="1">
      <alignment horizontal="center"/>
    </xf>
    <xf numFmtId="0" fontId="17" fillId="5" borderId="9" xfId="0" applyFont="1" applyFill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8" fillId="6" borderId="20" xfId="0" applyFont="1" applyFill="1" applyBorder="1" applyAlignment="1">
      <alignment horizontal="center"/>
    </xf>
    <xf numFmtId="0" fontId="8" fillId="6" borderId="27" xfId="0" applyFont="1" applyFill="1" applyBorder="1" applyAlignment="1">
      <alignment horizontal="center"/>
    </xf>
    <xf numFmtId="10" fontId="9" fillId="7" borderId="28" xfId="0" applyNumberFormat="1" applyFont="1" applyFill="1" applyBorder="1" applyAlignment="1">
      <alignment horizontal="center"/>
    </xf>
    <xf numFmtId="0" fontId="8" fillId="7" borderId="29" xfId="0" applyFont="1" applyFill="1" applyBorder="1" applyAlignment="1">
      <alignment horizontal="center"/>
    </xf>
    <xf numFmtId="0" fontId="9" fillId="8" borderId="29" xfId="0" applyFont="1" applyFill="1" applyBorder="1" applyAlignment="1">
      <alignment horizontal="center"/>
    </xf>
    <xf numFmtId="0" fontId="8" fillId="9" borderId="29" xfId="0" applyFont="1" applyFill="1" applyBorder="1" applyAlignment="1">
      <alignment horizontal="center"/>
    </xf>
    <xf numFmtId="0" fontId="9" fillId="10" borderId="29" xfId="0" applyFont="1" applyFill="1" applyBorder="1" applyAlignment="1">
      <alignment horizontal="center"/>
    </xf>
    <xf numFmtId="0" fontId="8" fillId="10" borderId="29" xfId="0" applyFont="1" applyFill="1" applyBorder="1" applyAlignment="1">
      <alignment horizontal="center"/>
    </xf>
    <xf numFmtId="0" fontId="9" fillId="10" borderId="30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right"/>
    </xf>
    <xf numFmtId="0" fontId="20" fillId="2" borderId="9" xfId="0" applyFont="1" applyFill="1" applyBorder="1" applyAlignment="1"/>
    <xf numFmtId="0" fontId="19" fillId="2" borderId="9" xfId="0" applyFont="1" applyFill="1" applyBorder="1" applyAlignment="1">
      <alignment horizontal="right"/>
    </xf>
    <xf numFmtId="0" fontId="6" fillId="15" borderId="9" xfId="0" applyFont="1" applyFill="1" applyBorder="1" applyAlignment="1">
      <alignment horizontal="center"/>
    </xf>
    <xf numFmtId="0" fontId="21" fillId="15" borderId="9" xfId="0" applyFont="1" applyFill="1" applyBorder="1" applyAlignment="1">
      <alignment horizontal="center"/>
    </xf>
    <xf numFmtId="0" fontId="8" fillId="15" borderId="9" xfId="0" applyFont="1" applyFill="1" applyBorder="1" applyAlignment="1">
      <alignment horizontal="center"/>
    </xf>
    <xf numFmtId="0" fontId="6" fillId="0" borderId="0" xfId="0" applyFont="1"/>
    <xf numFmtId="0" fontId="6" fillId="5" borderId="5" xfId="0" applyFont="1" applyFill="1" applyBorder="1"/>
    <xf numFmtId="0" fontId="11" fillId="16" borderId="9" xfId="0" applyFont="1" applyFill="1" applyBorder="1"/>
    <xf numFmtId="0" fontId="8" fillId="16" borderId="9" xfId="0" applyFont="1" applyFill="1" applyBorder="1" applyAlignment="1">
      <alignment horizontal="center"/>
    </xf>
    <xf numFmtId="0" fontId="6" fillId="16" borderId="9" xfId="0" applyFont="1" applyFill="1" applyBorder="1" applyAlignment="1">
      <alignment horizontal="center"/>
    </xf>
    <xf numFmtId="10" fontId="8" fillId="16" borderId="9" xfId="0" applyNumberFormat="1" applyFont="1" applyFill="1" applyBorder="1" applyAlignment="1">
      <alignment horizontal="center"/>
    </xf>
    <xf numFmtId="165" fontId="8" fillId="16" borderId="9" xfId="0" applyNumberFormat="1" applyFont="1" applyFill="1" applyBorder="1" applyAlignment="1">
      <alignment horizontal="center"/>
    </xf>
    <xf numFmtId="165" fontId="6" fillId="16" borderId="9" xfId="0" applyNumberFormat="1" applyFont="1" applyFill="1" applyBorder="1" applyAlignment="1">
      <alignment horizontal="center"/>
    </xf>
    <xf numFmtId="0" fontId="8" fillId="5" borderId="5" xfId="0" applyFont="1" applyFill="1" applyBorder="1"/>
    <xf numFmtId="0" fontId="8" fillId="5" borderId="31" xfId="0" applyFont="1" applyFill="1" applyBorder="1" applyAlignment="1">
      <alignment horizontal="center"/>
    </xf>
    <xf numFmtId="0" fontId="6" fillId="0" borderId="32" xfId="0" applyFont="1" applyBorder="1"/>
    <xf numFmtId="0" fontId="6" fillId="17" borderId="31" xfId="0" applyFont="1" applyFill="1" applyBorder="1"/>
    <xf numFmtId="0" fontId="22" fillId="17" borderId="31" xfId="0" applyFont="1" applyFill="1" applyBorder="1"/>
    <xf numFmtId="0" fontId="6" fillId="17" borderId="14" xfId="0" applyFont="1" applyFill="1" applyBorder="1"/>
    <xf numFmtId="0" fontId="6" fillId="5" borderId="9" xfId="0" applyFont="1" applyFill="1" applyBorder="1" applyAlignment="1">
      <alignment horizontal="center" vertical="center"/>
    </xf>
    <xf numFmtId="0" fontId="6" fillId="5" borderId="33" xfId="0" applyFont="1" applyFill="1" applyBorder="1"/>
    <xf numFmtId="0" fontId="6" fillId="13" borderId="31" xfId="0" applyFont="1" applyFill="1" applyBorder="1"/>
    <xf numFmtId="0" fontId="23" fillId="13" borderId="31" xfId="0" applyFont="1" applyFill="1" applyBorder="1"/>
    <xf numFmtId="0" fontId="6" fillId="0" borderId="34" xfId="0" applyFont="1" applyBorder="1"/>
    <xf numFmtId="0" fontId="8" fillId="18" borderId="14" xfId="0" applyFont="1" applyFill="1" applyBorder="1" applyAlignment="1">
      <alignment horizontal="right"/>
    </xf>
    <xf numFmtId="0" fontId="11" fillId="13" borderId="14" xfId="0" applyFont="1" applyFill="1" applyBorder="1" applyAlignment="1">
      <alignment horizontal="center"/>
    </xf>
    <xf numFmtId="0" fontId="8" fillId="19" borderId="33" xfId="0" applyFont="1" applyFill="1" applyBorder="1" applyAlignment="1">
      <alignment horizontal="center"/>
    </xf>
    <xf numFmtId="0" fontId="11" fillId="13" borderId="14" xfId="0" applyFont="1" applyFill="1" applyBorder="1" applyAlignment="1">
      <alignment horizontal="right"/>
    </xf>
    <xf numFmtId="0" fontId="6" fillId="0" borderId="9" xfId="0" applyFont="1" applyBorder="1"/>
    <xf numFmtId="0" fontId="11" fillId="16" borderId="9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8" fillId="19" borderId="14" xfId="0" applyFont="1" applyFill="1" applyBorder="1" applyAlignment="1">
      <alignment horizontal="center"/>
    </xf>
    <xf numFmtId="0" fontId="11" fillId="20" borderId="14" xfId="0" applyFont="1" applyFill="1" applyBorder="1" applyAlignment="1">
      <alignment horizontal="right"/>
    </xf>
    <xf numFmtId="0" fontId="11" fillId="21" borderId="14" xfId="0" applyFont="1" applyFill="1" applyBorder="1" applyAlignment="1">
      <alignment horizontal="right"/>
    </xf>
    <xf numFmtId="0" fontId="24" fillId="22" borderId="35" xfId="0" applyFont="1" applyFill="1" applyBorder="1" applyAlignment="1">
      <alignment horizontal="right"/>
    </xf>
    <xf numFmtId="0" fontId="6" fillId="20" borderId="36" xfId="0" applyFont="1" applyFill="1" applyBorder="1"/>
    <xf numFmtId="0" fontId="6" fillId="23" borderId="36" xfId="0" applyFont="1" applyFill="1" applyBorder="1" applyAlignment="1">
      <alignment horizontal="right"/>
    </xf>
    <xf numFmtId="0" fontId="24" fillId="22" borderId="37" xfId="0" applyFont="1" applyFill="1" applyBorder="1" applyAlignment="1">
      <alignment horizontal="right"/>
    </xf>
    <xf numFmtId="0" fontId="11" fillId="24" borderId="14" xfId="0" applyFont="1" applyFill="1" applyBorder="1" applyAlignment="1">
      <alignment horizontal="right"/>
    </xf>
    <xf numFmtId="0" fontId="6" fillId="20" borderId="38" xfId="0" applyFont="1" applyFill="1" applyBorder="1"/>
    <xf numFmtId="0" fontId="24" fillId="22" borderId="14" xfId="0" applyFont="1" applyFill="1" applyBorder="1" applyAlignment="1">
      <alignment horizontal="right"/>
    </xf>
    <xf numFmtId="0" fontId="6" fillId="20" borderId="14" xfId="0" applyFont="1" applyFill="1" applyBorder="1" applyAlignment="1">
      <alignment horizontal="right"/>
    </xf>
    <xf numFmtId="0" fontId="6" fillId="23" borderId="14" xfId="0" applyFont="1" applyFill="1" applyBorder="1" applyAlignment="1">
      <alignment horizontal="right"/>
    </xf>
    <xf numFmtId="0" fontId="6" fillId="20" borderId="14" xfId="0" applyFont="1" applyFill="1" applyBorder="1"/>
    <xf numFmtId="0" fontId="6" fillId="20" borderId="39" xfId="0" applyFont="1" applyFill="1" applyBorder="1"/>
    <xf numFmtId="0" fontId="11" fillId="25" borderId="14" xfId="0" applyFont="1" applyFill="1" applyBorder="1" applyAlignment="1">
      <alignment horizontal="right"/>
    </xf>
    <xf numFmtId="0" fontId="24" fillId="22" borderId="14" xfId="0" applyFont="1" applyFill="1" applyBorder="1" applyAlignment="1">
      <alignment horizontal="center"/>
    </xf>
    <xf numFmtId="0" fontId="11" fillId="26" borderId="14" xfId="0" applyFont="1" applyFill="1" applyBorder="1" applyAlignment="1">
      <alignment horizontal="right"/>
    </xf>
    <xf numFmtId="0" fontId="6" fillId="23" borderId="38" xfId="0" applyFont="1" applyFill="1" applyBorder="1" applyAlignment="1">
      <alignment horizontal="right"/>
    </xf>
    <xf numFmtId="0" fontId="25" fillId="19" borderId="14" xfId="0" applyFont="1" applyFill="1" applyBorder="1" applyAlignment="1">
      <alignment horizontal="center"/>
    </xf>
    <xf numFmtId="0" fontId="6" fillId="27" borderId="14" xfId="0" applyFont="1" applyFill="1" applyBorder="1" applyAlignment="1">
      <alignment horizontal="right"/>
    </xf>
    <xf numFmtId="0" fontId="6" fillId="23" borderId="39" xfId="0" applyFont="1" applyFill="1" applyBorder="1" applyAlignment="1">
      <alignment horizontal="right"/>
    </xf>
    <xf numFmtId="0" fontId="11" fillId="24" borderId="14" xfId="0" applyFont="1" applyFill="1" applyBorder="1" applyAlignment="1">
      <alignment horizontal="center"/>
    </xf>
    <xf numFmtId="0" fontId="6" fillId="23" borderId="14" xfId="0" applyFont="1" applyFill="1" applyBorder="1"/>
    <xf numFmtId="0" fontId="25" fillId="28" borderId="35" xfId="0" applyFont="1" applyFill="1" applyBorder="1" applyAlignment="1">
      <alignment horizontal="center"/>
    </xf>
    <xf numFmtId="0" fontId="25" fillId="28" borderId="40" xfId="0" applyFont="1" applyFill="1" applyBorder="1" applyAlignment="1">
      <alignment horizontal="center"/>
    </xf>
    <xf numFmtId="0" fontId="25" fillId="28" borderId="41" xfId="0" applyFont="1" applyFill="1" applyBorder="1" applyAlignment="1">
      <alignment horizontal="center"/>
    </xf>
    <xf numFmtId="0" fontId="24" fillId="22" borderId="42" xfId="0" applyFont="1" applyFill="1" applyBorder="1" applyAlignment="1">
      <alignment horizontal="right"/>
    </xf>
    <xf numFmtId="0" fontId="6" fillId="20" borderId="43" xfId="0" applyFont="1" applyFill="1" applyBorder="1"/>
    <xf numFmtId="0" fontId="6" fillId="23" borderId="43" xfId="0" applyFont="1" applyFill="1" applyBorder="1" applyAlignment="1">
      <alignment horizontal="right"/>
    </xf>
    <xf numFmtId="0" fontId="24" fillId="22" borderId="44" xfId="0" applyFont="1" applyFill="1" applyBorder="1" applyAlignment="1">
      <alignment horizontal="right"/>
    </xf>
    <xf numFmtId="0" fontId="25" fillId="16" borderId="45" xfId="0" applyFont="1" applyFill="1" applyBorder="1"/>
    <xf numFmtId="0" fontId="8" fillId="29" borderId="9" xfId="0" applyFont="1" applyFill="1" applyBorder="1"/>
    <xf numFmtId="0" fontId="11" fillId="29" borderId="9" xfId="0" applyFont="1" applyFill="1" applyBorder="1" applyAlignment="1">
      <alignment horizontal="center"/>
    </xf>
    <xf numFmtId="0" fontId="11" fillId="29" borderId="23" xfId="0" applyFont="1" applyFill="1" applyBorder="1" applyAlignment="1">
      <alignment horizontal="center"/>
    </xf>
    <xf numFmtId="0" fontId="26" fillId="2" borderId="16" xfId="0" applyFont="1" applyFill="1" applyBorder="1"/>
    <xf numFmtId="0" fontId="6" fillId="0" borderId="46" xfId="0" applyFont="1" applyBorder="1"/>
    <xf numFmtId="0" fontId="6" fillId="0" borderId="46" xfId="0" applyFont="1" applyBorder="1" applyAlignment="1">
      <alignment horizontal="center"/>
    </xf>
    <xf numFmtId="0" fontId="6" fillId="19" borderId="16" xfId="0" applyFont="1" applyFill="1" applyBorder="1"/>
    <xf numFmtId="0" fontId="6" fillId="19" borderId="14" xfId="0" applyFont="1" applyFill="1" applyBorder="1"/>
    <xf numFmtId="0" fontId="6" fillId="30" borderId="16" xfId="0" applyFont="1" applyFill="1" applyBorder="1"/>
    <xf numFmtId="0" fontId="6" fillId="31" borderId="14" xfId="0" applyFont="1" applyFill="1" applyBorder="1" applyAlignment="1">
      <alignment horizontal="right"/>
    </xf>
    <xf numFmtId="0" fontId="6" fillId="30" borderId="14" xfId="0" applyFont="1" applyFill="1" applyBorder="1"/>
    <xf numFmtId="0" fontId="6" fillId="32" borderId="14" xfId="0" applyFont="1" applyFill="1" applyBorder="1" applyAlignment="1">
      <alignment horizontal="right"/>
    </xf>
    <xf numFmtId="0" fontId="6" fillId="0" borderId="34" xfId="0" applyFont="1" applyBorder="1" applyAlignment="1">
      <alignment horizontal="center"/>
    </xf>
    <xf numFmtId="0" fontId="6" fillId="29" borderId="9" xfId="0" applyFont="1" applyFill="1" applyBorder="1"/>
    <xf numFmtId="0" fontId="6" fillId="33" borderId="47" xfId="0" applyFont="1" applyFill="1" applyBorder="1"/>
    <xf numFmtId="0" fontId="6" fillId="33" borderId="14" xfId="0" applyFont="1" applyFill="1" applyBorder="1" applyAlignment="1">
      <alignment horizontal="right"/>
    </xf>
    <xf numFmtId="0" fontId="26" fillId="5" borderId="5" xfId="0" applyFont="1" applyFill="1" applyBorder="1" applyAlignment="1">
      <alignment horizontal="center"/>
    </xf>
    <xf numFmtId="0" fontId="6" fillId="19" borderId="47" xfId="0" applyFont="1" applyFill="1" applyBorder="1"/>
    <xf numFmtId="0" fontId="6" fillId="34" borderId="31" xfId="0" applyFont="1" applyFill="1" applyBorder="1" applyAlignment="1">
      <alignment horizontal="right"/>
    </xf>
    <xf numFmtId="0" fontId="6" fillId="34" borderId="14" xfId="0" applyFont="1" applyFill="1" applyBorder="1" applyAlignment="1">
      <alignment horizontal="right"/>
    </xf>
    <xf numFmtId="0" fontId="25" fillId="16" borderId="48" xfId="0" applyFont="1" applyFill="1" applyBorder="1"/>
    <xf numFmtId="0" fontId="6" fillId="29" borderId="29" xfId="0" applyFont="1" applyFill="1" applyBorder="1"/>
    <xf numFmtId="0" fontId="11" fillId="29" borderId="29" xfId="0" applyFont="1" applyFill="1" applyBorder="1" applyAlignment="1">
      <alignment horizontal="center"/>
    </xf>
    <xf numFmtId="0" fontId="11" fillId="29" borderId="30" xfId="0" applyFont="1" applyFill="1" applyBorder="1" applyAlignment="1">
      <alignment horizontal="center"/>
    </xf>
    <xf numFmtId="0" fontId="6" fillId="33" borderId="16" xfId="0" applyFont="1" applyFill="1" applyBorder="1"/>
    <xf numFmtId="0" fontId="25" fillId="3" borderId="35" xfId="0" applyFont="1" applyFill="1" applyBorder="1"/>
    <xf numFmtId="0" fontId="6" fillId="3" borderId="40" xfId="0" applyFont="1" applyFill="1" applyBorder="1"/>
    <xf numFmtId="0" fontId="25" fillId="3" borderId="40" xfId="0" applyFont="1" applyFill="1" applyBorder="1" applyAlignment="1">
      <alignment horizontal="center"/>
    </xf>
    <xf numFmtId="0" fontId="11" fillId="3" borderId="40" xfId="0" applyFont="1" applyFill="1" applyBorder="1" applyAlignment="1">
      <alignment horizontal="center"/>
    </xf>
    <xf numFmtId="0" fontId="11" fillId="3" borderId="41" xfId="0" applyFont="1" applyFill="1" applyBorder="1" applyAlignment="1">
      <alignment horizontal="center"/>
    </xf>
    <xf numFmtId="0" fontId="25" fillId="3" borderId="45" xfId="0" applyFont="1" applyFill="1" applyBorder="1"/>
    <xf numFmtId="0" fontId="6" fillId="3" borderId="9" xfId="0" applyFont="1" applyFill="1" applyBorder="1"/>
    <xf numFmtId="0" fontId="11" fillId="3" borderId="9" xfId="0" applyFont="1" applyFill="1" applyBorder="1" applyAlignment="1">
      <alignment horizontal="center"/>
    </xf>
    <xf numFmtId="0" fontId="11" fillId="3" borderId="23" xfId="0" applyFont="1" applyFill="1" applyBorder="1" applyAlignment="1">
      <alignment horizontal="center"/>
    </xf>
    <xf numFmtId="0" fontId="25" fillId="3" borderId="48" xfId="0" applyFont="1" applyFill="1" applyBorder="1"/>
    <xf numFmtId="0" fontId="6" fillId="3" borderId="29" xfId="0" applyFont="1" applyFill="1" applyBorder="1"/>
    <xf numFmtId="0" fontId="11" fillId="3" borderId="29" xfId="0" applyFont="1" applyFill="1" applyBorder="1" applyAlignment="1">
      <alignment horizontal="center"/>
    </xf>
    <xf numFmtId="0" fontId="11" fillId="3" borderId="30" xfId="0" applyFont="1" applyFill="1" applyBorder="1" applyAlignment="1">
      <alignment horizontal="center"/>
    </xf>
    <xf numFmtId="0" fontId="6" fillId="35" borderId="9" xfId="0" applyFont="1" applyFill="1" applyBorder="1"/>
    <xf numFmtId="0" fontId="11" fillId="35" borderId="21" xfId="0" applyFont="1" applyFill="1" applyBorder="1"/>
    <xf numFmtId="0" fontId="25" fillId="35" borderId="21" xfId="0" applyFont="1" applyFill="1" applyBorder="1"/>
    <xf numFmtId="0" fontId="6" fillId="35" borderId="21" xfId="0" applyFont="1" applyFill="1" applyBorder="1"/>
    <xf numFmtId="0" fontId="6" fillId="28" borderId="21" xfId="0" applyFont="1" applyFill="1" applyBorder="1"/>
    <xf numFmtId="10" fontId="6" fillId="28" borderId="21" xfId="0" applyNumberFormat="1" applyFont="1" applyFill="1" applyBorder="1" applyAlignment="1">
      <alignment horizontal="right"/>
    </xf>
    <xf numFmtId="0" fontId="6" fillId="5" borderId="16" xfId="0" applyFont="1" applyFill="1" applyBorder="1"/>
    <xf numFmtId="164" fontId="6" fillId="0" borderId="46" xfId="0" applyNumberFormat="1" applyFont="1" applyBorder="1" applyAlignment="1">
      <alignment horizontal="right"/>
    </xf>
    <xf numFmtId="0" fontId="6" fillId="0" borderId="46" xfId="0" applyFont="1" applyBorder="1" applyAlignment="1">
      <alignment horizontal="right"/>
    </xf>
    <xf numFmtId="0" fontId="6" fillId="28" borderId="14" xfId="0" applyFont="1" applyFill="1" applyBorder="1"/>
    <xf numFmtId="10" fontId="6" fillId="28" borderId="14" xfId="0" applyNumberFormat="1" applyFont="1" applyFill="1" applyBorder="1" applyAlignment="1">
      <alignment horizontal="right"/>
    </xf>
    <xf numFmtId="0" fontId="6" fillId="0" borderId="24" xfId="0" applyFont="1" applyBorder="1"/>
    <xf numFmtId="10" fontId="6" fillId="0" borderId="46" xfId="0" applyNumberFormat="1" applyFont="1" applyBorder="1" applyAlignment="1">
      <alignment horizontal="right"/>
    </xf>
    <xf numFmtId="10" fontId="6" fillId="19" borderId="33" xfId="0" applyNumberFormat="1" applyFont="1" applyFill="1" applyBorder="1" applyAlignment="1">
      <alignment horizontal="right"/>
    </xf>
    <xf numFmtId="10" fontId="6" fillId="19" borderId="14" xfId="0" applyNumberFormat="1" applyFont="1" applyFill="1" applyBorder="1" applyAlignment="1">
      <alignment horizontal="right"/>
    </xf>
    <xf numFmtId="0" fontId="6" fillId="34" borderId="14" xfId="0" applyFont="1" applyFill="1" applyBorder="1"/>
    <xf numFmtId="10" fontId="11" fillId="34" borderId="33" xfId="0" applyNumberFormat="1" applyFont="1" applyFill="1" applyBorder="1" applyAlignment="1">
      <alignment horizontal="right"/>
    </xf>
    <xf numFmtId="10" fontId="8" fillId="34" borderId="14" xfId="0" applyNumberFormat="1" applyFont="1" applyFill="1" applyBorder="1" applyAlignment="1">
      <alignment horizontal="right"/>
    </xf>
    <xf numFmtId="0" fontId="25" fillId="20" borderId="9" xfId="0" applyFont="1" applyFill="1" applyBorder="1" applyAlignment="1">
      <alignment horizontal="center"/>
    </xf>
    <xf numFmtId="10" fontId="25" fillId="20" borderId="9" xfId="0" applyNumberFormat="1" applyFont="1" applyFill="1" applyBorder="1" applyAlignment="1">
      <alignment horizontal="center"/>
    </xf>
    <xf numFmtId="0" fontId="25" fillId="36" borderId="9" xfId="0" applyFont="1" applyFill="1" applyBorder="1" applyAlignment="1">
      <alignment horizontal="center"/>
    </xf>
    <xf numFmtId="10" fontId="8" fillId="36" borderId="9" xfId="0" applyNumberFormat="1" applyFont="1" applyFill="1" applyBorder="1" applyAlignment="1">
      <alignment horizontal="center"/>
    </xf>
    <xf numFmtId="0" fontId="25" fillId="5" borderId="5" xfId="0" applyFont="1" applyFill="1" applyBorder="1" applyAlignment="1">
      <alignment horizontal="center"/>
    </xf>
    <xf numFmtId="0" fontId="8" fillId="5" borderId="9" xfId="0" applyFont="1" applyFill="1" applyBorder="1"/>
    <xf numFmtId="0" fontId="25" fillId="5" borderId="5" xfId="0" applyFont="1" applyFill="1" applyBorder="1"/>
    <xf numFmtId="0" fontId="11" fillId="5" borderId="5" xfId="0" applyFont="1" applyFill="1" applyBorder="1" applyAlignment="1">
      <alignment horizontal="center"/>
    </xf>
    <xf numFmtId="10" fontId="6" fillId="5" borderId="5" xfId="0" applyNumberFormat="1" applyFont="1" applyFill="1" applyBorder="1"/>
    <xf numFmtId="0" fontId="19" fillId="2" borderId="5" xfId="0" applyFont="1" applyFill="1" applyBorder="1" applyAlignment="1">
      <alignment horizontal="center"/>
    </xf>
    <xf numFmtId="0" fontId="20" fillId="2" borderId="9" xfId="0" applyFont="1" applyFill="1" applyBorder="1" applyAlignment="1">
      <alignment horizontal="center"/>
    </xf>
    <xf numFmtId="0" fontId="19" fillId="12" borderId="9" xfId="0" applyFont="1" applyFill="1" applyBorder="1" applyAlignment="1">
      <alignment horizontal="center"/>
    </xf>
    <xf numFmtId="0" fontId="19" fillId="11" borderId="9" xfId="0" applyFont="1" applyFill="1" applyBorder="1" applyAlignment="1">
      <alignment horizontal="center"/>
    </xf>
    <xf numFmtId="0" fontId="27" fillId="13" borderId="9" xfId="0" applyFont="1" applyFill="1" applyBorder="1" applyAlignment="1">
      <alignment horizontal="center"/>
    </xf>
    <xf numFmtId="0" fontId="19" fillId="13" borderId="9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0" fontId="12" fillId="14" borderId="9" xfId="0" applyFont="1" applyFill="1" applyBorder="1" applyAlignment="1">
      <alignment horizontal="center"/>
    </xf>
    <xf numFmtId="0" fontId="14" fillId="2" borderId="2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center"/>
    </xf>
    <xf numFmtId="2" fontId="12" fillId="14" borderId="9" xfId="0" applyNumberFormat="1" applyFont="1" applyFill="1" applyBorder="1" applyAlignment="1">
      <alignment horizontal="center"/>
    </xf>
    <xf numFmtId="2" fontId="28" fillId="14" borderId="9" xfId="0" applyNumberFormat="1" applyFont="1" applyFill="1" applyBorder="1" applyAlignment="1">
      <alignment horizontal="center"/>
    </xf>
    <xf numFmtId="2" fontId="12" fillId="11" borderId="9" xfId="0" applyNumberFormat="1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2" fontId="28" fillId="5" borderId="9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2" fontId="9" fillId="5" borderId="5" xfId="0" applyNumberFormat="1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3" fillId="0" borderId="11" xfId="0" applyFont="1" applyBorder="1"/>
    <xf numFmtId="0" fontId="3" fillId="0" borderId="13" xfId="0" applyFont="1" applyBorder="1"/>
    <xf numFmtId="0" fontId="3" fillId="0" borderId="15" xfId="0" applyFont="1" applyBorder="1"/>
    <xf numFmtId="0" fontId="16" fillId="0" borderId="25" xfId="0" applyFont="1" applyBorder="1" applyAlignment="1">
      <alignment horizontal="center"/>
    </xf>
    <xf numFmtId="0" fontId="3" fillId="0" borderId="26" xfId="0" applyFont="1" applyBorder="1"/>
  </cellXfs>
  <cellStyles count="1">
    <cellStyle name="Normal" xfId="0" builtinId="0"/>
  </cellStyles>
  <dxfs count="8">
    <dxf>
      <fill>
        <patternFill patternType="solid">
          <fgColor rgb="FFC466C3"/>
          <bgColor rgb="FFC466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R1000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4.42578125" defaultRowHeight="15" customHeight="1"/>
  <cols>
    <col min="1" max="1" width="15" customWidth="1"/>
    <col min="2" max="2" width="9.42578125" customWidth="1"/>
    <col min="3" max="3" width="12.140625" customWidth="1"/>
    <col min="4" max="4" width="15.7109375" customWidth="1"/>
    <col min="5" max="5" width="13.7109375" customWidth="1"/>
    <col min="6" max="6" width="11.7109375" customWidth="1"/>
    <col min="7" max="7" width="11" customWidth="1"/>
    <col min="8" max="8" width="10.28515625" customWidth="1"/>
    <col min="9" max="9" width="13.42578125" customWidth="1"/>
    <col min="10" max="10" width="12.7109375" customWidth="1"/>
    <col min="11" max="11" width="13.140625" customWidth="1"/>
    <col min="12" max="12" width="12.7109375" customWidth="1"/>
    <col min="13" max="13" width="13.28515625" customWidth="1"/>
    <col min="14" max="14" width="16" customWidth="1"/>
    <col min="15" max="15" width="12.5703125" customWidth="1"/>
    <col min="16" max="16" width="12.7109375" customWidth="1"/>
    <col min="17" max="17" width="8.7109375" customWidth="1"/>
    <col min="18" max="18" width="11.42578125" customWidth="1"/>
    <col min="19" max="19" width="9.42578125" customWidth="1"/>
    <col min="20" max="20" width="9.7109375" customWidth="1"/>
    <col min="21" max="21" width="12.5703125" customWidth="1"/>
    <col min="22" max="22" width="12.42578125" customWidth="1"/>
    <col min="23" max="24" width="14.28515625" customWidth="1"/>
    <col min="25" max="25" width="10.5703125" customWidth="1"/>
    <col min="26" max="26" width="12.85546875" customWidth="1"/>
    <col min="27" max="29" width="12.7109375" customWidth="1"/>
    <col min="30" max="30" width="15.140625" customWidth="1"/>
    <col min="31" max="31" width="11" customWidth="1"/>
    <col min="32" max="32" width="14.5703125" customWidth="1"/>
    <col min="33" max="33" width="11" customWidth="1"/>
    <col min="34" max="34" width="17.140625" customWidth="1"/>
    <col min="35" max="35" width="8.7109375" customWidth="1"/>
    <col min="36" max="36" width="13.85546875" customWidth="1"/>
    <col min="37" max="37" width="9.42578125" customWidth="1"/>
    <col min="38" max="38" width="14.42578125" customWidth="1"/>
    <col min="39" max="39" width="36" customWidth="1"/>
    <col min="40" max="40" width="9" customWidth="1"/>
    <col min="41" max="41" width="55.5703125" customWidth="1"/>
    <col min="42" max="43" width="6.140625" customWidth="1"/>
    <col min="44" max="44" width="9.28515625" customWidth="1"/>
  </cols>
  <sheetData>
    <row r="1" spans="1:44" ht="15.75" customHeight="1">
      <c r="A1" s="1" t="s">
        <v>0</v>
      </c>
      <c r="B1" s="236" t="s">
        <v>1</v>
      </c>
      <c r="C1" s="237"/>
      <c r="D1" s="237"/>
      <c r="E1" s="237"/>
      <c r="F1" s="238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5"/>
      <c r="AM1" s="5"/>
      <c r="AN1" s="5"/>
      <c r="AO1" s="5"/>
      <c r="AP1" s="5"/>
      <c r="AQ1" s="5"/>
      <c r="AR1" s="5"/>
    </row>
    <row r="2" spans="1:44" ht="15.75" customHeight="1">
      <c r="A2" s="8">
        <f ca="1">TODAY()</f>
        <v>43954</v>
      </c>
      <c r="B2" s="239"/>
      <c r="C2" s="240"/>
      <c r="D2" s="240"/>
      <c r="E2" s="240"/>
      <c r="F2" s="24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5"/>
      <c r="AM2" s="5"/>
      <c r="AN2" s="5"/>
      <c r="AO2" s="5"/>
      <c r="AP2" s="5"/>
      <c r="AQ2" s="5"/>
      <c r="AR2" s="5"/>
    </row>
    <row r="3" spans="1:44" ht="15.75" customHeight="1">
      <c r="A3" s="20" t="s">
        <v>16</v>
      </c>
      <c r="B3" s="21" t="s">
        <v>18</v>
      </c>
      <c r="C3" s="22" t="s">
        <v>12</v>
      </c>
      <c r="D3" s="22" t="s">
        <v>19</v>
      </c>
      <c r="E3" s="22" t="s">
        <v>20</v>
      </c>
      <c r="F3" s="22" t="s">
        <v>21</v>
      </c>
      <c r="G3" s="22" t="s">
        <v>15</v>
      </c>
      <c r="H3" s="26" t="s">
        <v>17</v>
      </c>
      <c r="I3" s="26" t="s">
        <v>32</v>
      </c>
      <c r="J3" s="26" t="s">
        <v>22</v>
      </c>
      <c r="K3" s="26" t="s">
        <v>33</v>
      </c>
      <c r="L3" s="26" t="s">
        <v>34</v>
      </c>
      <c r="M3" s="26" t="s">
        <v>35</v>
      </c>
      <c r="N3" s="26" t="s">
        <v>36</v>
      </c>
      <c r="O3" s="26" t="s">
        <v>37</v>
      </c>
      <c r="P3" s="26" t="s">
        <v>38</v>
      </c>
      <c r="Q3" s="26" t="s">
        <v>39</v>
      </c>
      <c r="R3" s="26" t="s">
        <v>40</v>
      </c>
      <c r="S3" s="26" t="s">
        <v>5</v>
      </c>
      <c r="T3" s="26" t="s">
        <v>41</v>
      </c>
      <c r="U3" s="26" t="s">
        <v>42</v>
      </c>
      <c r="V3" s="26" t="s">
        <v>43</v>
      </c>
      <c r="W3" s="26" t="s">
        <v>44</v>
      </c>
      <c r="X3" s="26" t="s">
        <v>45</v>
      </c>
      <c r="Y3" s="26" t="s">
        <v>46</v>
      </c>
      <c r="Z3" s="26" t="s">
        <v>47</v>
      </c>
      <c r="AA3" s="26" t="s">
        <v>48</v>
      </c>
      <c r="AB3" s="26" t="s">
        <v>49</v>
      </c>
      <c r="AC3" s="26" t="s">
        <v>50</v>
      </c>
      <c r="AD3" s="26" t="s">
        <v>51</v>
      </c>
      <c r="AE3" s="26" t="s">
        <v>52</v>
      </c>
      <c r="AF3" s="26" t="s">
        <v>53</v>
      </c>
      <c r="AG3" s="26" t="s">
        <v>52</v>
      </c>
      <c r="AH3" s="28" t="s">
        <v>54</v>
      </c>
      <c r="AI3" s="28" t="s">
        <v>55</v>
      </c>
      <c r="AJ3" s="28" t="s">
        <v>56</v>
      </c>
      <c r="AK3" s="30" t="s">
        <v>57</v>
      </c>
      <c r="AL3" s="31"/>
      <c r="AM3" s="33" t="s">
        <v>58</v>
      </c>
      <c r="AN3" s="34"/>
      <c r="AO3" s="34"/>
      <c r="AP3" s="36"/>
      <c r="AQ3" s="36"/>
      <c r="AR3" s="36"/>
    </row>
    <row r="4" spans="1:44" ht="15.75" customHeight="1">
      <c r="A4" s="38" t="s">
        <v>29</v>
      </c>
      <c r="B4" s="40">
        <f ca="1">IFERROR(__xludf.DUMMYFUNCTION("googlefinance(""nse:""&amp;A4,""price"")"),1170.1)</f>
        <v>1170.0999999999999</v>
      </c>
      <c r="C4" s="41">
        <f t="shared" ref="C4:C148" ca="1" si="0">IF(H4=F4,"BUY",IF(F4 =G4,"SELL",))</f>
        <v>0</v>
      </c>
      <c r="D4" s="41">
        <f ca="1">IFERROR(__xludf.DUMMYFUNCTION("googlefinance(""nse:""&amp;A4,""changepct"")"),4.27)</f>
        <v>4.2699999999999996</v>
      </c>
      <c r="E4" s="41">
        <f ca="1">IFERROR(__xludf.DUMMYFUNCTION("googlefinance(""nse:""&amp;A4,""change"")"),47.9)</f>
        <v>47.9</v>
      </c>
      <c r="F4" s="41">
        <f ca="1">IFERROR(__xludf.DUMMYFUNCTION("googlefinance(""nse:""&amp;A4,""priceopen"")"),1139.25)</f>
        <v>1139.25</v>
      </c>
      <c r="G4" s="41">
        <f ca="1">IFERROR(__xludf.DUMMYFUNCTION("googlefinance(""nse:""&amp;A4,""HIGH"")"),1192.8)</f>
        <v>1192.8</v>
      </c>
      <c r="H4" s="41">
        <f ca="1">IFERROR(__xludf.DUMMYFUNCTION("googlefinance(""nse:""&amp;A4,""LOW"")"),1137)</f>
        <v>1137</v>
      </c>
      <c r="I4" s="41">
        <f ca="1">IFERROR(__xludf.DUMMYFUNCTION("googlefinance(""nse:""&amp;A4,""VOLUME"")"),1910083)</f>
        <v>1910083</v>
      </c>
      <c r="J4" s="41">
        <f ca="1">IFERROR(__xludf.DUMMYFUNCTION("googlefinance(""nse:""&amp;A4,""closeyest"")"),1122.2)</f>
        <v>1122.2</v>
      </c>
      <c r="K4" s="46" t="str">
        <f ca="1">IFERROR(__xludf.DUMMYFUNCTION("INDEX( GoogleFinance( ""NSE:""&amp;A4 , ""all"" , TODAY()-4) , 2, 3)"),"#N/A")</f>
        <v>#N/A</v>
      </c>
      <c r="L4" s="47" t="str">
        <f ca="1">IFERROR(__xludf.DUMMYFUNCTION("INDEX( GoogleFinance(""NSE:""&amp;A4 , ""all"" , TODAY()-4 ) , 2, 4)"),"#N/A")</f>
        <v>#N/A</v>
      </c>
      <c r="M4" s="49" t="str">
        <f ca="1">IFERROR(__xludf.DUMMYFUNCTION("INDEX( GoogleFinance( ""NSE:""&amp;A4 , ""all"" , TODAY()-4) , 2, 2)"),"#N/A")</f>
        <v>#N/A</v>
      </c>
      <c r="N4" s="50" t="str">
        <f ca="1">IFERROR(__xludf.DUMMYFUNCTION("INDEX( GoogleFinance( ""NSE:""&amp;A4 , ""all"" , TODAY()-4) , 2, 6)"),"#N/A")</f>
        <v>#N/A</v>
      </c>
      <c r="O4" s="51" t="str">
        <f t="shared" ref="O4:O147" ca="1" si="1">IF(AND(F4&gt;M4,F4&lt;J4),"YES","")</f>
        <v/>
      </c>
      <c r="P4" s="51" t="e">
        <f t="shared" ref="P4:P147" ca="1" si="2">IF(AND(O4="YES",B4&gt;=K4+1.05),"BUY","")</f>
        <v>#VALUE!</v>
      </c>
      <c r="Q4" s="51" t="e">
        <f t="shared" ref="Q4:Q147" ca="1" si="3">IF(P4="BUY",K4+1.05,"")</f>
        <v>#VALUE!</v>
      </c>
      <c r="R4" s="51" t="e">
        <f t="shared" ref="R4:R17" ca="1" si="4">IF(P4="BUY",L4,"")</f>
        <v>#VALUE!</v>
      </c>
      <c r="S4" s="51" t="e">
        <f t="shared" ref="S4:S147" ca="1" si="5">IF(P4="BUY",Q4-R4,"")</f>
        <v>#VALUE!</v>
      </c>
      <c r="T4" s="51" t="e">
        <f t="shared" ref="T4:T146" ca="1" si="6">IF(P4="BUY",Q4+S4,"")</f>
        <v>#VALUE!</v>
      </c>
      <c r="U4" s="51" t="e">
        <f t="shared" ref="U4:U42" ca="1" si="7">IF(AND(O4="BUY",B4&gt;=T4),"TARGET HIT","")</f>
        <v>#VALUE!</v>
      </c>
      <c r="V4" s="51" t="e">
        <f t="shared" ref="V4:V16" ca="1" si="8">IF(AND(O4="BUY",B4&lt;=T4),"SL HIT","")</f>
        <v>#VALUE!</v>
      </c>
      <c r="W4" s="52" t="str">
        <f t="shared" ref="W4:W146" ca="1" si="9">IF(AND(F4&gt;M4,F4&lt;J4),"YES","")</f>
        <v/>
      </c>
      <c r="X4" s="52" t="e">
        <f t="shared" ref="X4:X147" ca="1" si="10">IF(AND(O4="YES",B4&lt;=L4-1.5),"Sell","")</f>
        <v>#VALUE!</v>
      </c>
      <c r="Y4" s="52" t="e">
        <f t="shared" ref="Y4:Y147" ca="1" si="11">IF(X4="Sell",L4-0.5,"")</f>
        <v>#VALUE!</v>
      </c>
      <c r="Z4" s="53" t="e">
        <f t="shared" ref="Z4:Z147" ca="1" si="12">IF(X4="Sell",Y4+Y4*0.8/100,"")</f>
        <v>#VALUE!</v>
      </c>
      <c r="AA4" s="54" t="e">
        <f t="shared" ref="AA4:AA147" ca="1" si="13">IF(X4="Sell",Y4-(Y4*1)/100,"")</f>
        <v>#VALUE!</v>
      </c>
      <c r="AB4" s="54" t="e">
        <f t="shared" ref="AB4:AB147" ca="1" si="14">IF(X4="Sell",Y4-(Y4*1.618)/100,"")</f>
        <v>#VALUE!</v>
      </c>
      <c r="AC4" s="54" t="e">
        <f t="shared" ref="AC4:AC147" ca="1" si="15">IF(X4="Sell",Y4-(Y4*2)/100,"")</f>
        <v>#VALUE!</v>
      </c>
      <c r="AD4" s="55" t="e">
        <f t="shared" ref="AD4:AD147" ca="1" si="16">(K4+L4+J4)/3</f>
        <v>#VALUE!</v>
      </c>
      <c r="AE4" s="56" t="e">
        <f t="shared" ref="AE4:AE147" ca="1" si="17">IF(B4&gt;AD4,"Above Pivot","Below Pivot")</f>
        <v>#VALUE!</v>
      </c>
      <c r="AF4" s="57" t="str">
        <f t="shared" ref="AF4:AF147" ca="1" si="18">IF(B4&gt;=K4,"Above D1 High",IF(B4&lt;=L4,"Below D1 Low",""))</f>
        <v>Below D1 Low</v>
      </c>
      <c r="AG4" s="58" t="str">
        <f t="shared" ref="AG4:AG147" ca="1" si="19">IF(AND(AF4="Above D1 High"),"Buy",IF(AND(AF4="Below D1 Low"),"Sell",""))</f>
        <v>Sell</v>
      </c>
      <c r="AH4" s="58" t="str">
        <f t="shared" ref="AH4:AH147" ca="1" si="20">IF(AND(M4=K4,B4&gt;K4),"BUY",IF(AND(M4=L4,B4&lt;L4),"SELL",""))</f>
        <v>SELL</v>
      </c>
      <c r="AI4" s="59">
        <f ca="1">IFERROR(__xludf.DUMMYFUNCTION("AVERAGE.WEIGHTED((G4+H4+B4)/3, I4)"),1166.63333333333)</f>
        <v>1166.63333333333</v>
      </c>
      <c r="AJ4" s="59" t="str">
        <f ca="1">IFERROR(__xludf.DUMMYFUNCTION("AVERAGE.WEIGHTED((K4+L4+J4)/3, N4)"),"#N/A")</f>
        <v>#N/A</v>
      </c>
      <c r="AK4" s="59" t="str">
        <f t="shared" ref="AK4:AK147" ca="1" si="21">IF(AI4&gt;AJ4,"BUY","SELL")</f>
        <v>SELL</v>
      </c>
      <c r="AL4" s="31"/>
      <c r="AM4" s="60" t="str">
        <f ca="1">IFERROR(__xludf.DUMMYFUNCTION("sort(GOOGLEFINANCE(""NSE:""&amp;A4,""all"",workday.intl(TODAY(),-6),TODAY(),""daily""),1,0)"),"#N/A")</f>
        <v>#N/A</v>
      </c>
      <c r="AN4" s="19"/>
      <c r="AO4" s="19"/>
      <c r="AP4" s="19"/>
      <c r="AQ4" s="19"/>
      <c r="AR4" s="19"/>
    </row>
    <row r="5" spans="1:44" ht="15.75" customHeight="1">
      <c r="A5" s="61" t="s">
        <v>30</v>
      </c>
      <c r="B5" s="62">
        <f ca="1">IFERROR(__xludf.DUMMYFUNCTION("googlefinance(""nse:""&amp;A5,""price"")"),141.4)</f>
        <v>141.4</v>
      </c>
      <c r="C5" s="63">
        <f t="shared" ca="1" si="0"/>
        <v>0</v>
      </c>
      <c r="D5" s="63">
        <f ca="1">IFERROR(__xludf.DUMMYFUNCTION("googlefinance(""nse:""&amp;A5,""changepct"")"),1.36)</f>
        <v>1.36</v>
      </c>
      <c r="E5" s="63">
        <f ca="1">IFERROR(__xludf.DUMMYFUNCTION("googlefinance(""nse:""&amp;A5,""change"")"),1.9)</f>
        <v>1.9</v>
      </c>
      <c r="F5" s="63">
        <f ca="1">IFERROR(__xludf.DUMMYFUNCTION("googlefinance(""nse:""&amp;A5,""priceopen"")"),141.45)</f>
        <v>141.44999999999999</v>
      </c>
      <c r="G5" s="63">
        <f ca="1">IFERROR(__xludf.DUMMYFUNCTION("googlefinance(""nse:""&amp;A5,""HIGH"")"),147.45)</f>
        <v>147.44999999999999</v>
      </c>
      <c r="H5" s="63">
        <f ca="1">IFERROR(__xludf.DUMMYFUNCTION("googlefinance(""nse:""&amp;A5,""LOW"")"),140.3)</f>
        <v>140.30000000000001</v>
      </c>
      <c r="I5" s="63">
        <f ca="1">IFERROR(__xludf.DUMMYFUNCTION("googlefinance(""nse:""&amp;A5,""VOLUME"")"),4900322)</f>
        <v>4900322</v>
      </c>
      <c r="J5" s="63">
        <f ca="1">IFERROR(__xludf.DUMMYFUNCTION("googlefinance(""nse:""&amp;A5,""closeyest"")"),139.5)</f>
        <v>139.5</v>
      </c>
      <c r="K5" s="65" t="str">
        <f ca="1">IFERROR(__xludf.DUMMYFUNCTION("INDEX( GoogleFinance( ""NSE:""&amp;A5 , ""all"" , TODAY()-4) , 2, 3)"),"#N/A")</f>
        <v>#N/A</v>
      </c>
      <c r="L5" s="66" t="str">
        <f ca="1">IFERROR(__xludf.DUMMYFUNCTION("INDEX( GoogleFinance(""NSE:""&amp;A5 , ""all"" , TODAY()-4 ) , 2, 4)"),"#N/A")</f>
        <v>#N/A</v>
      </c>
      <c r="M5" s="67" t="str">
        <f ca="1">IFERROR(__xludf.DUMMYFUNCTION("INDEX( GoogleFinance( ""NSE:""&amp;A5 , ""all"" , TODAY()-4) , 2, 2)"),"#N/A")</f>
        <v>#N/A</v>
      </c>
      <c r="N5" s="68" t="str">
        <f ca="1">IFERROR(__xludf.DUMMYFUNCTION("INDEX( GoogleFinance( ""NSE:""&amp;A5 , ""all"" , TODAY()-4) , 2, 6)"),"#N/A")</f>
        <v>#N/A</v>
      </c>
      <c r="O5" s="69" t="str">
        <f t="shared" ca="1" si="1"/>
        <v/>
      </c>
      <c r="P5" s="69" t="e">
        <f t="shared" ca="1" si="2"/>
        <v>#VALUE!</v>
      </c>
      <c r="Q5" s="69" t="e">
        <f t="shared" ca="1" si="3"/>
        <v>#VALUE!</v>
      </c>
      <c r="R5" s="69" t="e">
        <f t="shared" ca="1" si="4"/>
        <v>#VALUE!</v>
      </c>
      <c r="S5" s="69" t="e">
        <f t="shared" ca="1" si="5"/>
        <v>#VALUE!</v>
      </c>
      <c r="T5" s="69" t="e">
        <f t="shared" ca="1" si="6"/>
        <v>#VALUE!</v>
      </c>
      <c r="U5" s="69" t="e">
        <f t="shared" ca="1" si="7"/>
        <v>#VALUE!</v>
      </c>
      <c r="V5" s="69" t="e">
        <f t="shared" ca="1" si="8"/>
        <v>#VALUE!</v>
      </c>
      <c r="W5" s="70" t="str">
        <f t="shared" ca="1" si="9"/>
        <v/>
      </c>
      <c r="X5" s="70" t="e">
        <f t="shared" ca="1" si="10"/>
        <v>#VALUE!</v>
      </c>
      <c r="Y5" s="70" t="e">
        <f t="shared" ca="1" si="11"/>
        <v>#VALUE!</v>
      </c>
      <c r="Z5" s="71" t="e">
        <f t="shared" ca="1" si="12"/>
        <v>#VALUE!</v>
      </c>
      <c r="AA5" s="72" t="e">
        <f t="shared" ca="1" si="13"/>
        <v>#VALUE!</v>
      </c>
      <c r="AB5" s="72" t="e">
        <f t="shared" ca="1" si="14"/>
        <v>#VALUE!</v>
      </c>
      <c r="AC5" s="72" t="e">
        <f t="shared" ca="1" si="15"/>
        <v>#VALUE!</v>
      </c>
      <c r="AD5" s="73" t="e">
        <f t="shared" ca="1" si="16"/>
        <v>#VALUE!</v>
      </c>
      <c r="AE5" s="19" t="e">
        <f t="shared" ca="1" si="17"/>
        <v>#VALUE!</v>
      </c>
      <c r="AF5" s="74" t="str">
        <f t="shared" ca="1" si="18"/>
        <v>Below D1 Low</v>
      </c>
      <c r="AG5" s="17" t="str">
        <f t="shared" ca="1" si="19"/>
        <v>Sell</v>
      </c>
      <c r="AH5" s="17" t="str">
        <f t="shared" ca="1" si="20"/>
        <v>SELL</v>
      </c>
      <c r="AI5" s="75">
        <f ca="1">IFERROR(__xludf.DUMMYFUNCTION("AVERAGE.WEIGHTED((G5+H5+B5)/3, I5)"),143.049999999999)</f>
        <v>143.04999999999899</v>
      </c>
      <c r="AJ5" s="75" t="str">
        <f ca="1">IFERROR(__xludf.DUMMYFUNCTION("AVERAGE.WEIGHTED((K5+L5+J5)/3, N5)"),"#N/A")</f>
        <v>#N/A</v>
      </c>
      <c r="AK5" s="75" t="str">
        <f t="shared" ca="1" si="21"/>
        <v>SELL</v>
      </c>
      <c r="AL5" s="31"/>
      <c r="AM5" s="76"/>
      <c r="AN5" s="19"/>
      <c r="AO5" s="19"/>
      <c r="AP5" s="19"/>
      <c r="AQ5" s="19"/>
      <c r="AR5" s="19"/>
    </row>
    <row r="6" spans="1:44" ht="15.75" customHeight="1">
      <c r="A6" s="61" t="s">
        <v>31</v>
      </c>
      <c r="B6" s="62">
        <f ca="1">IFERROR(__xludf.DUMMYFUNCTION("googlefinance(""nse:""&amp;A6,""price"")"),290.65)</f>
        <v>290.64999999999998</v>
      </c>
      <c r="C6" s="63">
        <f t="shared" ca="1" si="0"/>
        <v>0</v>
      </c>
      <c r="D6" s="63">
        <f ca="1">IFERROR(__xludf.DUMMYFUNCTION("googlefinance(""nse:""&amp;A6,""changepct"")"),1.04)</f>
        <v>1.04</v>
      </c>
      <c r="E6" s="63">
        <f ca="1">IFERROR(__xludf.DUMMYFUNCTION("googlefinance(""nse:""&amp;A6,""change"")"),3)</f>
        <v>3</v>
      </c>
      <c r="F6" s="63">
        <f ca="1">IFERROR(__xludf.DUMMYFUNCTION("googlefinance(""nse:""&amp;A6,""priceopen"")"),295.05)</f>
        <v>295.05</v>
      </c>
      <c r="G6" s="63">
        <f ca="1">IFERROR(__xludf.DUMMYFUNCTION("googlefinance(""nse:""&amp;A6,""HIGH"")"),296)</f>
        <v>296</v>
      </c>
      <c r="H6" s="63">
        <f ca="1">IFERROR(__xludf.DUMMYFUNCTION("googlefinance(""nse:""&amp;A6,""LOW"")"),285.1)</f>
        <v>285.10000000000002</v>
      </c>
      <c r="I6" s="63">
        <f ca="1">IFERROR(__xludf.DUMMYFUNCTION("googlefinance(""nse:""&amp;A6,""VOLUME"")"),4675412)</f>
        <v>4675412</v>
      </c>
      <c r="J6" s="63">
        <f ca="1">IFERROR(__xludf.DUMMYFUNCTION("googlefinance(""nse:""&amp;A6,""closeyest"")"),287.65)</f>
        <v>287.64999999999998</v>
      </c>
      <c r="K6" s="65" t="str">
        <f ca="1">IFERROR(__xludf.DUMMYFUNCTION("INDEX( GoogleFinance( ""NSE:""&amp;A6 , ""all"" , TODAY()-4) , 2, 3)"),"#N/A")</f>
        <v>#N/A</v>
      </c>
      <c r="L6" s="66" t="str">
        <f ca="1">IFERROR(__xludf.DUMMYFUNCTION("INDEX( GoogleFinance(""NSE:""&amp;A6 , ""all"" , TODAY()-4 ) , 2, 4)"),"#N/A")</f>
        <v>#N/A</v>
      </c>
      <c r="M6" s="67" t="str">
        <f ca="1">IFERROR(__xludf.DUMMYFUNCTION("INDEX( GoogleFinance( ""NSE:""&amp;A6 , ""all"" , TODAY()-4) , 2, 2)"),"#N/A")</f>
        <v>#N/A</v>
      </c>
      <c r="N6" s="68" t="str">
        <f ca="1">IFERROR(__xludf.DUMMYFUNCTION("INDEX( GoogleFinance( ""NSE:""&amp;A6 , ""all"" , TODAY()-4) , 2, 6)"),"#N/A")</f>
        <v>#N/A</v>
      </c>
      <c r="O6" s="69" t="str">
        <f t="shared" ca="1" si="1"/>
        <v/>
      </c>
      <c r="P6" s="69" t="e">
        <f t="shared" ca="1" si="2"/>
        <v>#VALUE!</v>
      </c>
      <c r="Q6" s="69" t="e">
        <f t="shared" ca="1" si="3"/>
        <v>#VALUE!</v>
      </c>
      <c r="R6" s="69" t="e">
        <f t="shared" ca="1" si="4"/>
        <v>#VALUE!</v>
      </c>
      <c r="S6" s="69" t="e">
        <f t="shared" ca="1" si="5"/>
        <v>#VALUE!</v>
      </c>
      <c r="T6" s="69" t="e">
        <f t="shared" ca="1" si="6"/>
        <v>#VALUE!</v>
      </c>
      <c r="U6" s="69" t="e">
        <f t="shared" ca="1" si="7"/>
        <v>#VALUE!</v>
      </c>
      <c r="V6" s="69" t="e">
        <f t="shared" ca="1" si="8"/>
        <v>#VALUE!</v>
      </c>
      <c r="W6" s="70" t="str">
        <f t="shared" ca="1" si="9"/>
        <v/>
      </c>
      <c r="X6" s="70" t="e">
        <f t="shared" ca="1" si="10"/>
        <v>#VALUE!</v>
      </c>
      <c r="Y6" s="70" t="e">
        <f t="shared" ca="1" si="11"/>
        <v>#VALUE!</v>
      </c>
      <c r="Z6" s="71" t="e">
        <f t="shared" ca="1" si="12"/>
        <v>#VALUE!</v>
      </c>
      <c r="AA6" s="72" t="e">
        <f t="shared" ca="1" si="13"/>
        <v>#VALUE!</v>
      </c>
      <c r="AB6" s="72" t="e">
        <f t="shared" ca="1" si="14"/>
        <v>#VALUE!</v>
      </c>
      <c r="AC6" s="72" t="e">
        <f t="shared" ca="1" si="15"/>
        <v>#VALUE!</v>
      </c>
      <c r="AD6" s="73" t="e">
        <f t="shared" ca="1" si="16"/>
        <v>#VALUE!</v>
      </c>
      <c r="AE6" s="19" t="e">
        <f t="shared" ca="1" si="17"/>
        <v>#VALUE!</v>
      </c>
      <c r="AF6" s="74" t="str">
        <f t="shared" ca="1" si="18"/>
        <v>Below D1 Low</v>
      </c>
      <c r="AG6" s="17" t="str">
        <f t="shared" ca="1" si="19"/>
        <v>Sell</v>
      </c>
      <c r="AH6" s="17" t="str">
        <f t="shared" ca="1" si="20"/>
        <v>SELL</v>
      </c>
      <c r="AI6" s="75">
        <f ca="1">IFERROR(__xludf.DUMMYFUNCTION("AVERAGE.WEIGHTED((G6+H6+B6)/3, I6)"),290.583333333333)</f>
        <v>290.58333333333297</v>
      </c>
      <c r="AJ6" s="75" t="str">
        <f ca="1">IFERROR(__xludf.DUMMYFUNCTION("AVERAGE.WEIGHTED((K6+L6+J6)/3, N6)"),"#N/A")</f>
        <v>#N/A</v>
      </c>
      <c r="AK6" s="75" t="str">
        <f t="shared" ca="1" si="21"/>
        <v>SELL</v>
      </c>
      <c r="AL6" s="31"/>
      <c r="AM6" s="76"/>
      <c r="AN6" s="19"/>
      <c r="AO6" s="19"/>
      <c r="AP6" s="19"/>
      <c r="AQ6" s="19"/>
      <c r="AR6" s="19"/>
    </row>
    <row r="7" spans="1:44" ht="15.75" customHeight="1">
      <c r="A7" s="61" t="s">
        <v>59</v>
      </c>
      <c r="B7" s="62">
        <f ca="1">IFERROR(__xludf.DUMMYFUNCTION("googlefinance(""nse:""&amp;A7,""price"")"),31.5)</f>
        <v>31.5</v>
      </c>
      <c r="C7" s="63">
        <f t="shared" ca="1" si="0"/>
        <v>0</v>
      </c>
      <c r="D7" s="63">
        <f ca="1">IFERROR(__xludf.DUMMYFUNCTION("googlefinance(""nse:""&amp;A7,""changepct"")"),0.8)</f>
        <v>0.8</v>
      </c>
      <c r="E7" s="63">
        <f ca="1">IFERROR(__xludf.DUMMYFUNCTION("googlefinance(""nse:""&amp;A7,""change"")"),0.25)</f>
        <v>0.25</v>
      </c>
      <c r="F7" s="63">
        <f ca="1">IFERROR(__xludf.DUMMYFUNCTION("googlefinance(""nse:""&amp;A7,""priceopen"")"),31.95)</f>
        <v>31.95</v>
      </c>
      <c r="G7" s="63">
        <f ca="1">IFERROR(__xludf.DUMMYFUNCTION("googlefinance(""nse:""&amp;A7,""HIGH"")"),32.75)</f>
        <v>32.75</v>
      </c>
      <c r="H7" s="63">
        <f ca="1">IFERROR(__xludf.DUMMYFUNCTION("googlefinance(""nse:""&amp;A7,""LOW"")"),31.5)</f>
        <v>31.5</v>
      </c>
      <c r="I7" s="63">
        <f ca="1">IFERROR(__xludf.DUMMYFUNCTION("googlefinance(""nse:""&amp;A7,""VOLUME"")"),12912035)</f>
        <v>12912035</v>
      </c>
      <c r="J7" s="63">
        <f ca="1">IFERROR(__xludf.DUMMYFUNCTION("googlefinance(""nse:""&amp;A7,""closeyest"")"),31.25)</f>
        <v>31.25</v>
      </c>
      <c r="K7" s="65" t="str">
        <f ca="1">IFERROR(__xludf.DUMMYFUNCTION("INDEX( GoogleFinance( ""NSE:""&amp;A7 , ""all"" , TODAY()-4) , 2, 3)"),"#N/A")</f>
        <v>#N/A</v>
      </c>
      <c r="L7" s="66" t="str">
        <f ca="1">IFERROR(__xludf.DUMMYFUNCTION("INDEX( GoogleFinance(""NSE:""&amp;A7 , ""all"" , TODAY()-4 ) , 2, 4)"),"#N/A")</f>
        <v>#N/A</v>
      </c>
      <c r="M7" s="67" t="str">
        <f ca="1">IFERROR(__xludf.DUMMYFUNCTION("INDEX( GoogleFinance( ""NSE:""&amp;A7 , ""all"" , TODAY()-4) , 2, 2)"),"#N/A")</f>
        <v>#N/A</v>
      </c>
      <c r="N7" s="68" t="str">
        <f ca="1">IFERROR(__xludf.DUMMYFUNCTION("INDEX( GoogleFinance( ""NSE:""&amp;A7 , ""all"" , TODAY()-4) , 2, 6)"),"#N/A")</f>
        <v>#N/A</v>
      </c>
      <c r="O7" s="69" t="str">
        <f t="shared" ca="1" si="1"/>
        <v/>
      </c>
      <c r="P7" s="69" t="e">
        <f t="shared" ca="1" si="2"/>
        <v>#VALUE!</v>
      </c>
      <c r="Q7" s="69" t="e">
        <f t="shared" ca="1" si="3"/>
        <v>#VALUE!</v>
      </c>
      <c r="R7" s="69" t="e">
        <f t="shared" ca="1" si="4"/>
        <v>#VALUE!</v>
      </c>
      <c r="S7" s="69" t="e">
        <f t="shared" ca="1" si="5"/>
        <v>#VALUE!</v>
      </c>
      <c r="T7" s="69" t="e">
        <f t="shared" ca="1" si="6"/>
        <v>#VALUE!</v>
      </c>
      <c r="U7" s="69" t="e">
        <f t="shared" ca="1" si="7"/>
        <v>#VALUE!</v>
      </c>
      <c r="V7" s="69" t="e">
        <f t="shared" ca="1" si="8"/>
        <v>#VALUE!</v>
      </c>
      <c r="W7" s="70" t="str">
        <f t="shared" ca="1" si="9"/>
        <v/>
      </c>
      <c r="X7" s="70" t="e">
        <f t="shared" ca="1" si="10"/>
        <v>#VALUE!</v>
      </c>
      <c r="Y7" s="70" t="e">
        <f t="shared" ca="1" si="11"/>
        <v>#VALUE!</v>
      </c>
      <c r="Z7" s="71" t="e">
        <f t="shared" ca="1" si="12"/>
        <v>#VALUE!</v>
      </c>
      <c r="AA7" s="72" t="e">
        <f t="shared" ca="1" si="13"/>
        <v>#VALUE!</v>
      </c>
      <c r="AB7" s="72" t="e">
        <f t="shared" ca="1" si="14"/>
        <v>#VALUE!</v>
      </c>
      <c r="AC7" s="72" t="e">
        <f t="shared" ca="1" si="15"/>
        <v>#VALUE!</v>
      </c>
      <c r="AD7" s="73" t="e">
        <f t="shared" ca="1" si="16"/>
        <v>#VALUE!</v>
      </c>
      <c r="AE7" s="19" t="e">
        <f t="shared" ca="1" si="17"/>
        <v>#VALUE!</v>
      </c>
      <c r="AF7" s="74" t="str">
        <f t="shared" ca="1" si="18"/>
        <v>Below D1 Low</v>
      </c>
      <c r="AG7" s="17" t="str">
        <f t="shared" ca="1" si="19"/>
        <v>Sell</v>
      </c>
      <c r="AH7" s="17" t="str">
        <f t="shared" ca="1" si="20"/>
        <v>SELL</v>
      </c>
      <c r="AI7" s="75">
        <f ca="1">IFERROR(__xludf.DUMMYFUNCTION("AVERAGE.WEIGHTED((G7+H7+B7)/3, I7)"),31.9166666666666)</f>
        <v>31.9166666666666</v>
      </c>
      <c r="AJ7" s="75" t="str">
        <f ca="1">IFERROR(__xludf.DUMMYFUNCTION("AVERAGE.WEIGHTED((K7+L7+J7)/3, N7)"),"#N/A")</f>
        <v>#N/A</v>
      </c>
      <c r="AK7" s="75" t="str">
        <f t="shared" ca="1" si="21"/>
        <v>SELL</v>
      </c>
      <c r="AL7" s="31"/>
      <c r="AM7" s="76"/>
      <c r="AN7" s="19"/>
      <c r="AO7" s="19"/>
      <c r="AP7" s="19"/>
      <c r="AQ7" s="19"/>
      <c r="AR7" s="19"/>
    </row>
    <row r="8" spans="1:44" ht="15.75" customHeight="1">
      <c r="A8" s="61" t="s">
        <v>60</v>
      </c>
      <c r="B8" s="62">
        <f ca="1">IFERROR(__xludf.DUMMYFUNCTION("googlefinance(""nse:""&amp;A8,""price"")"),571.95)</f>
        <v>571.95000000000005</v>
      </c>
      <c r="C8" s="63">
        <f t="shared" ca="1" si="0"/>
        <v>0</v>
      </c>
      <c r="D8" s="63">
        <f ca="1">IFERROR(__xludf.DUMMYFUNCTION("googlefinance(""nse:""&amp;A8,""changepct"")"),5.88)</f>
        <v>5.88</v>
      </c>
      <c r="E8" s="63">
        <f ca="1">IFERROR(__xludf.DUMMYFUNCTION("googlefinance(""nse:""&amp;A8,""change"")"),31.75)</f>
        <v>31.75</v>
      </c>
      <c r="F8" s="63">
        <f ca="1">IFERROR(__xludf.DUMMYFUNCTION("googlefinance(""nse:""&amp;A8,""priceopen"")"),550)</f>
        <v>550</v>
      </c>
      <c r="G8" s="63">
        <f ca="1">IFERROR(__xludf.DUMMYFUNCTION("googlefinance(""nse:""&amp;A8,""HIGH"")"),572.25)</f>
        <v>572.25</v>
      </c>
      <c r="H8" s="63">
        <f ca="1">IFERROR(__xludf.DUMMYFUNCTION("googlefinance(""nse:""&amp;A8,""LOW"")"),544)</f>
        <v>544</v>
      </c>
      <c r="I8" s="63">
        <f ca="1">IFERROR(__xludf.DUMMYFUNCTION("googlefinance(""nse:""&amp;A8,""VOLUME"")"),1318693)</f>
        <v>1318693</v>
      </c>
      <c r="J8" s="63">
        <f ca="1">IFERROR(__xludf.DUMMYFUNCTION("googlefinance(""nse:""&amp;A8,""closeyest"")"),540.2)</f>
        <v>540.20000000000005</v>
      </c>
      <c r="K8" s="65" t="str">
        <f ca="1">IFERROR(__xludf.DUMMYFUNCTION("INDEX( GoogleFinance( ""NSE:""&amp;A8 , ""all"" , TODAY()-4) , 2, 3)"),"#N/A")</f>
        <v>#N/A</v>
      </c>
      <c r="L8" s="66" t="str">
        <f ca="1">IFERROR(__xludf.DUMMYFUNCTION("INDEX( GoogleFinance(""NSE:""&amp;A8 , ""all"" , TODAY()-4 ) , 2, 4)"),"#N/A")</f>
        <v>#N/A</v>
      </c>
      <c r="M8" s="67" t="str">
        <f ca="1">IFERROR(__xludf.DUMMYFUNCTION("INDEX( GoogleFinance( ""NSE:""&amp;A8 , ""all"" , TODAY()-4) , 2, 2)"),"#N/A")</f>
        <v>#N/A</v>
      </c>
      <c r="N8" s="68" t="str">
        <f ca="1">IFERROR(__xludf.DUMMYFUNCTION("INDEX( GoogleFinance( ""NSE:""&amp;A8 , ""all"" , TODAY()-4) , 2, 6)"),"#N/A")</f>
        <v>#N/A</v>
      </c>
      <c r="O8" s="69" t="str">
        <f t="shared" ca="1" si="1"/>
        <v/>
      </c>
      <c r="P8" s="69" t="e">
        <f t="shared" ca="1" si="2"/>
        <v>#VALUE!</v>
      </c>
      <c r="Q8" s="69" t="e">
        <f t="shared" ca="1" si="3"/>
        <v>#VALUE!</v>
      </c>
      <c r="R8" s="69" t="e">
        <f t="shared" ca="1" si="4"/>
        <v>#VALUE!</v>
      </c>
      <c r="S8" s="69" t="e">
        <f t="shared" ca="1" si="5"/>
        <v>#VALUE!</v>
      </c>
      <c r="T8" s="69" t="e">
        <f t="shared" ca="1" si="6"/>
        <v>#VALUE!</v>
      </c>
      <c r="U8" s="69" t="e">
        <f t="shared" ca="1" si="7"/>
        <v>#VALUE!</v>
      </c>
      <c r="V8" s="69" t="e">
        <f t="shared" ca="1" si="8"/>
        <v>#VALUE!</v>
      </c>
      <c r="W8" s="70" t="str">
        <f t="shared" ca="1" si="9"/>
        <v/>
      </c>
      <c r="X8" s="70" t="e">
        <f t="shared" ca="1" si="10"/>
        <v>#VALUE!</v>
      </c>
      <c r="Y8" s="70" t="e">
        <f t="shared" ca="1" si="11"/>
        <v>#VALUE!</v>
      </c>
      <c r="Z8" s="71" t="e">
        <f t="shared" ca="1" si="12"/>
        <v>#VALUE!</v>
      </c>
      <c r="AA8" s="72" t="e">
        <f t="shared" ca="1" si="13"/>
        <v>#VALUE!</v>
      </c>
      <c r="AB8" s="72" t="e">
        <f t="shared" ca="1" si="14"/>
        <v>#VALUE!</v>
      </c>
      <c r="AC8" s="72" t="e">
        <f t="shared" ca="1" si="15"/>
        <v>#VALUE!</v>
      </c>
      <c r="AD8" s="73" t="e">
        <f t="shared" ca="1" si="16"/>
        <v>#VALUE!</v>
      </c>
      <c r="AE8" s="19" t="e">
        <f t="shared" ca="1" si="17"/>
        <v>#VALUE!</v>
      </c>
      <c r="AF8" s="74" t="str">
        <f t="shared" ca="1" si="18"/>
        <v>Below D1 Low</v>
      </c>
      <c r="AG8" s="17" t="str">
        <f t="shared" ca="1" si="19"/>
        <v>Sell</v>
      </c>
      <c r="AH8" s="17" t="str">
        <f t="shared" ca="1" si="20"/>
        <v>SELL</v>
      </c>
      <c r="AI8" s="75">
        <f ca="1">IFERROR(__xludf.DUMMYFUNCTION("AVERAGE.WEIGHTED((G8+H8+B8)/3, I8)"),562.733333333333)</f>
        <v>562.73333333333301</v>
      </c>
      <c r="AJ8" s="75" t="str">
        <f ca="1">IFERROR(__xludf.DUMMYFUNCTION("AVERAGE.WEIGHTED((K8+L8+J8)/3, N8)"),"#N/A")</f>
        <v>#N/A</v>
      </c>
      <c r="AK8" s="75" t="str">
        <f t="shared" ca="1" si="21"/>
        <v>SELL</v>
      </c>
      <c r="AL8" s="31"/>
      <c r="AM8" s="76"/>
      <c r="AN8" s="19"/>
      <c r="AO8" s="19"/>
      <c r="AP8" s="19"/>
      <c r="AQ8" s="19"/>
      <c r="AR8" s="19"/>
    </row>
    <row r="9" spans="1:44" ht="15.75" customHeight="1">
      <c r="A9" s="61" t="s">
        <v>61</v>
      </c>
      <c r="B9" s="62">
        <f ca="1">IFERROR(__xludf.DUMMYFUNCTION("googlefinance(""nse:""&amp;A9,""price"")"),172)</f>
        <v>172</v>
      </c>
      <c r="C9" s="63">
        <f t="shared" ca="1" si="0"/>
        <v>0</v>
      </c>
      <c r="D9" s="63">
        <f ca="1">IFERROR(__xludf.DUMMYFUNCTION("googlefinance(""nse:""&amp;A9,""changepct"")"),1.47)</f>
        <v>1.47</v>
      </c>
      <c r="E9" s="63">
        <f ca="1">IFERROR(__xludf.DUMMYFUNCTION("googlefinance(""nse:""&amp;A9,""change"")"),-16)</f>
        <v>-16</v>
      </c>
      <c r="F9" s="63">
        <f ca="1">IFERROR(__xludf.DUMMYFUNCTION("googlefinance(""nse:""&amp;A9,""priceopen"")"),171.2)</f>
        <v>171.2</v>
      </c>
      <c r="G9" s="63">
        <f ca="1">IFERROR(__xludf.DUMMYFUNCTION("googlefinance(""nse:""&amp;A9,""HIGH"")"),174.85)</f>
        <v>174.85</v>
      </c>
      <c r="H9" s="63">
        <f ca="1">IFERROR(__xludf.DUMMYFUNCTION("googlefinance(""nse:""&amp;A9,""LOW"")"),170.55)</f>
        <v>170.55</v>
      </c>
      <c r="I9" s="63">
        <f ca="1">IFERROR(__xludf.DUMMYFUNCTION("googlefinance(""nse:""&amp;A9,""VOLUME"")"),4691798)</f>
        <v>4691798</v>
      </c>
      <c r="J9" s="63">
        <f ca="1">IFERROR(__xludf.DUMMYFUNCTION("googlefinance(""nse:""&amp;A9,""closeyest"")"),169.5)</f>
        <v>169.5</v>
      </c>
      <c r="K9" s="65" t="str">
        <f ca="1">IFERROR(__xludf.DUMMYFUNCTION("INDEX( GoogleFinance( ""NSE:""&amp;A9 , ""all"" , TODAY()-4) , 2, 3)"),"#N/A")</f>
        <v>#N/A</v>
      </c>
      <c r="L9" s="66" t="str">
        <f ca="1">IFERROR(__xludf.DUMMYFUNCTION("INDEX( GoogleFinance(""NSE:""&amp;A9 , ""all"" , TODAY()-4 ) , 2, 4)"),"#N/A")</f>
        <v>#N/A</v>
      </c>
      <c r="M9" s="67" t="str">
        <f ca="1">IFERROR(__xludf.DUMMYFUNCTION("INDEX( GoogleFinance( ""NSE:""&amp;A9 , ""all"" , TODAY()-4) , 2, 2)"),"#N/A")</f>
        <v>#N/A</v>
      </c>
      <c r="N9" s="68" t="str">
        <f ca="1">IFERROR(__xludf.DUMMYFUNCTION("INDEX( GoogleFinance( ""NSE:""&amp;A9 , ""all"" , TODAY()-4) , 2, 6)"),"#N/A")</f>
        <v>#N/A</v>
      </c>
      <c r="O9" s="69" t="str">
        <f t="shared" ca="1" si="1"/>
        <v/>
      </c>
      <c r="P9" s="69" t="e">
        <f t="shared" ca="1" si="2"/>
        <v>#VALUE!</v>
      </c>
      <c r="Q9" s="69" t="e">
        <f t="shared" ca="1" si="3"/>
        <v>#VALUE!</v>
      </c>
      <c r="R9" s="69" t="e">
        <f t="shared" ca="1" si="4"/>
        <v>#VALUE!</v>
      </c>
      <c r="S9" s="69" t="e">
        <f t="shared" ca="1" si="5"/>
        <v>#VALUE!</v>
      </c>
      <c r="T9" s="69" t="e">
        <f t="shared" ca="1" si="6"/>
        <v>#VALUE!</v>
      </c>
      <c r="U9" s="69" t="e">
        <f t="shared" ca="1" si="7"/>
        <v>#VALUE!</v>
      </c>
      <c r="V9" s="69" t="e">
        <f t="shared" ca="1" si="8"/>
        <v>#VALUE!</v>
      </c>
      <c r="W9" s="70" t="str">
        <f t="shared" ca="1" si="9"/>
        <v/>
      </c>
      <c r="X9" s="70" t="e">
        <f t="shared" ca="1" si="10"/>
        <v>#VALUE!</v>
      </c>
      <c r="Y9" s="70" t="e">
        <f t="shared" ca="1" si="11"/>
        <v>#VALUE!</v>
      </c>
      <c r="Z9" s="71" t="e">
        <f t="shared" ca="1" si="12"/>
        <v>#VALUE!</v>
      </c>
      <c r="AA9" s="72" t="e">
        <f t="shared" ca="1" si="13"/>
        <v>#VALUE!</v>
      </c>
      <c r="AB9" s="72" t="e">
        <f t="shared" ca="1" si="14"/>
        <v>#VALUE!</v>
      </c>
      <c r="AC9" s="72" t="e">
        <f t="shared" ca="1" si="15"/>
        <v>#VALUE!</v>
      </c>
      <c r="AD9" s="73" t="e">
        <f t="shared" ca="1" si="16"/>
        <v>#VALUE!</v>
      </c>
      <c r="AE9" s="19" t="e">
        <f t="shared" ca="1" si="17"/>
        <v>#VALUE!</v>
      </c>
      <c r="AF9" s="74" t="str">
        <f t="shared" ca="1" si="18"/>
        <v>Below D1 Low</v>
      </c>
      <c r="AG9" s="17" t="str">
        <f t="shared" ca="1" si="19"/>
        <v>Sell</v>
      </c>
      <c r="AH9" s="17" t="str">
        <f t="shared" ca="1" si="20"/>
        <v>SELL</v>
      </c>
      <c r="AI9" s="75">
        <f ca="1">IFERROR(__xludf.DUMMYFUNCTION("AVERAGE.WEIGHTED((G9+H9+B9)/3, I9)"),172.466666666666)</f>
        <v>172.46666666666599</v>
      </c>
      <c r="AJ9" s="75" t="str">
        <f ca="1">IFERROR(__xludf.DUMMYFUNCTION("AVERAGE.WEIGHTED((K9+L9+J9)/3, N9)"),"#N/A")</f>
        <v>#N/A</v>
      </c>
      <c r="AK9" s="75" t="str">
        <f t="shared" ca="1" si="21"/>
        <v>SELL</v>
      </c>
      <c r="AL9" s="31"/>
      <c r="AM9" s="36"/>
      <c r="AN9" s="36"/>
      <c r="AO9" s="36"/>
      <c r="AP9" s="36"/>
      <c r="AQ9" s="36"/>
      <c r="AR9" s="36"/>
    </row>
    <row r="10" spans="1:44" ht="15.75" customHeight="1">
      <c r="A10" s="61" t="s">
        <v>62</v>
      </c>
      <c r="B10" s="62">
        <f ca="1">IFERROR(__xludf.DUMMYFUNCTION("googlefinance(""nse:""&amp;A10,""price"")"),1395.9)</f>
        <v>1395.9</v>
      </c>
      <c r="C10" s="63" t="str">
        <f t="shared" ca="1" si="0"/>
        <v>SELL</v>
      </c>
      <c r="D10" s="63">
        <f ca="1">IFERROR(__xludf.DUMMYFUNCTION("googlefinance(""nse:""&amp;A10,""changepct"")"),-1.56)</f>
        <v>-1.56</v>
      </c>
      <c r="E10" s="63">
        <f ca="1">IFERROR(__xludf.DUMMYFUNCTION("googlefinance(""nse:""&amp;A10,""change"")"),-22.05)</f>
        <v>-22.05</v>
      </c>
      <c r="F10" s="63">
        <f ca="1">IFERROR(__xludf.DUMMYFUNCTION("googlefinance(""nse:""&amp;A10,""priceopen"")"),1441.9)</f>
        <v>1441.9</v>
      </c>
      <c r="G10" s="63">
        <f ca="1">IFERROR(__xludf.DUMMYFUNCTION("googlefinance(""nse:""&amp;A10,""HIGH"")"),1441.9)</f>
        <v>1441.9</v>
      </c>
      <c r="H10" s="63">
        <f ca="1">IFERROR(__xludf.DUMMYFUNCTION("googlefinance(""nse:""&amp;A10,""LOW"")"),1387.25)</f>
        <v>1387.25</v>
      </c>
      <c r="I10" s="63">
        <f ca="1">IFERROR(__xludf.DUMMYFUNCTION("googlefinance(""nse:""&amp;A10,""VOLUME"")"),731401)</f>
        <v>731401</v>
      </c>
      <c r="J10" s="63">
        <f ca="1">IFERROR(__xludf.DUMMYFUNCTION("googlefinance(""nse:""&amp;A10,""closeyest"")"),1417.95)</f>
        <v>1417.95</v>
      </c>
      <c r="K10" s="65" t="str">
        <f ca="1">IFERROR(__xludf.DUMMYFUNCTION("INDEX( GoogleFinance( ""NSE:""&amp;A10 , ""all"" , TODAY()-4) , 2, 3)"),"#N/A")</f>
        <v>#N/A</v>
      </c>
      <c r="L10" s="66" t="str">
        <f ca="1">IFERROR(__xludf.DUMMYFUNCTION("INDEX( GoogleFinance(""NSE:""&amp;A10 , ""all"" , TODAY()-4 ) , 2, 4)"),"#N/A")</f>
        <v>#N/A</v>
      </c>
      <c r="M10" s="67" t="str">
        <f ca="1">IFERROR(__xludf.DUMMYFUNCTION("INDEX( GoogleFinance( ""NSE:""&amp;A10 , ""all"" , TODAY()-4) , 2, 2)"),"#N/A")</f>
        <v>#N/A</v>
      </c>
      <c r="N10" s="68" t="str">
        <f ca="1">IFERROR(__xludf.DUMMYFUNCTION("INDEX( GoogleFinance( ""NSE:""&amp;A10 , ""all"" , TODAY()-4) , 2, 6)"),"#N/A")</f>
        <v>#N/A</v>
      </c>
      <c r="O10" s="69" t="str">
        <f t="shared" ca="1" si="1"/>
        <v/>
      </c>
      <c r="P10" s="69" t="e">
        <f t="shared" ca="1" si="2"/>
        <v>#VALUE!</v>
      </c>
      <c r="Q10" s="69" t="e">
        <f t="shared" ca="1" si="3"/>
        <v>#VALUE!</v>
      </c>
      <c r="R10" s="69" t="e">
        <f t="shared" ca="1" si="4"/>
        <v>#VALUE!</v>
      </c>
      <c r="S10" s="69" t="e">
        <f t="shared" ca="1" si="5"/>
        <v>#VALUE!</v>
      </c>
      <c r="T10" s="69" t="e">
        <f t="shared" ca="1" si="6"/>
        <v>#VALUE!</v>
      </c>
      <c r="U10" s="69" t="e">
        <f t="shared" ca="1" si="7"/>
        <v>#VALUE!</v>
      </c>
      <c r="V10" s="69" t="e">
        <f t="shared" ca="1" si="8"/>
        <v>#VALUE!</v>
      </c>
      <c r="W10" s="70" t="str">
        <f t="shared" ca="1" si="9"/>
        <v/>
      </c>
      <c r="X10" s="70" t="e">
        <f t="shared" ca="1" si="10"/>
        <v>#VALUE!</v>
      </c>
      <c r="Y10" s="70" t="e">
        <f t="shared" ca="1" si="11"/>
        <v>#VALUE!</v>
      </c>
      <c r="Z10" s="71" t="e">
        <f t="shared" ca="1" si="12"/>
        <v>#VALUE!</v>
      </c>
      <c r="AA10" s="72" t="e">
        <f t="shared" ca="1" si="13"/>
        <v>#VALUE!</v>
      </c>
      <c r="AB10" s="72" t="e">
        <f t="shared" ca="1" si="14"/>
        <v>#VALUE!</v>
      </c>
      <c r="AC10" s="72" t="e">
        <f t="shared" ca="1" si="15"/>
        <v>#VALUE!</v>
      </c>
      <c r="AD10" s="73" t="e">
        <f t="shared" ca="1" si="16"/>
        <v>#VALUE!</v>
      </c>
      <c r="AE10" s="19" t="e">
        <f t="shared" ca="1" si="17"/>
        <v>#VALUE!</v>
      </c>
      <c r="AF10" s="74" t="str">
        <f t="shared" ca="1" si="18"/>
        <v>Below D1 Low</v>
      </c>
      <c r="AG10" s="17" t="str">
        <f t="shared" ca="1" si="19"/>
        <v>Sell</v>
      </c>
      <c r="AH10" s="17" t="str">
        <f t="shared" ca="1" si="20"/>
        <v>SELL</v>
      </c>
      <c r="AI10" s="75">
        <f ca="1">IFERROR(__xludf.DUMMYFUNCTION("AVERAGE.WEIGHTED((G10+H10+B10)/3, I10)"),1408.35)</f>
        <v>1408.35</v>
      </c>
      <c r="AJ10" s="75" t="str">
        <f ca="1">IFERROR(__xludf.DUMMYFUNCTION("AVERAGE.WEIGHTED((K10+L10+J10)/3, N10)"),"#N/A")</f>
        <v>#N/A</v>
      </c>
      <c r="AK10" s="75" t="str">
        <f t="shared" ca="1" si="21"/>
        <v>SELL</v>
      </c>
      <c r="AL10" s="31"/>
      <c r="AM10" s="36"/>
      <c r="AN10" s="36"/>
      <c r="AO10" s="36"/>
      <c r="AP10" s="36"/>
      <c r="AQ10" s="36"/>
      <c r="AR10" s="36"/>
    </row>
    <row r="11" spans="1:44" ht="15.75" customHeight="1">
      <c r="A11" s="61" t="s">
        <v>63</v>
      </c>
      <c r="B11" s="62">
        <f ca="1">IFERROR(__xludf.DUMMYFUNCTION("googlefinance(""nse:""&amp;A11,""price"")"),96.3)</f>
        <v>96.3</v>
      </c>
      <c r="C11" s="63">
        <f t="shared" ca="1" si="0"/>
        <v>0</v>
      </c>
      <c r="D11" s="63">
        <f ca="1">IFERROR(__xludf.DUMMYFUNCTION("googlefinance(""nse:""&amp;A11,""changepct"")"),0.68)</f>
        <v>0.68</v>
      </c>
      <c r="E11" s="63">
        <f ca="1">IFERROR(__xludf.DUMMYFUNCTION("googlefinance(""nse:""&amp;A11,""change"")"),0.65)</f>
        <v>0.65</v>
      </c>
      <c r="F11" s="63">
        <f ca="1">IFERROR(__xludf.DUMMYFUNCTION("googlefinance(""nse:""&amp;A11,""priceopen"")"),97.5)</f>
        <v>97.5</v>
      </c>
      <c r="G11" s="63">
        <f ca="1">IFERROR(__xludf.DUMMYFUNCTION("googlefinance(""nse:""&amp;A11,""HIGH"")"),103.3)</f>
        <v>103.3</v>
      </c>
      <c r="H11" s="63">
        <f ca="1">IFERROR(__xludf.DUMMYFUNCTION("googlefinance(""nse:""&amp;A11,""LOW"")"),95.75)</f>
        <v>95.75</v>
      </c>
      <c r="I11" s="63">
        <f ca="1">IFERROR(__xludf.DUMMYFUNCTION("googlefinance(""nse:""&amp;A11,""VOLUME"")"),17848226)</f>
        <v>17848226</v>
      </c>
      <c r="J11" s="63">
        <f ca="1">IFERROR(__xludf.DUMMYFUNCTION("googlefinance(""nse:""&amp;A11,""closeyest"")"),95.65)</f>
        <v>95.65</v>
      </c>
      <c r="K11" s="65" t="str">
        <f ca="1">IFERROR(__xludf.DUMMYFUNCTION("INDEX( GoogleFinance( ""NSE:""&amp;A11 , ""all"" , TODAY()-4) , 2, 3)"),"#N/A")</f>
        <v>#N/A</v>
      </c>
      <c r="L11" s="66" t="str">
        <f ca="1">IFERROR(__xludf.DUMMYFUNCTION("INDEX( GoogleFinance(""NSE:""&amp;A11 , ""all"" , TODAY()-4 ) , 2, 4)"),"#N/A")</f>
        <v>#N/A</v>
      </c>
      <c r="M11" s="67" t="str">
        <f ca="1">IFERROR(__xludf.DUMMYFUNCTION("INDEX( GoogleFinance( ""NSE:""&amp;A11 , ""all"" , TODAY()-4) , 2, 2)"),"#N/A")</f>
        <v>#N/A</v>
      </c>
      <c r="N11" s="68" t="str">
        <f ca="1">IFERROR(__xludf.DUMMYFUNCTION("INDEX( GoogleFinance( ""NSE:""&amp;A11 , ""all"" , TODAY()-4) , 2, 6)"),"#N/A")</f>
        <v>#N/A</v>
      </c>
      <c r="O11" s="69" t="str">
        <f t="shared" ca="1" si="1"/>
        <v/>
      </c>
      <c r="P11" s="69" t="e">
        <f t="shared" ca="1" si="2"/>
        <v>#VALUE!</v>
      </c>
      <c r="Q11" s="69" t="e">
        <f t="shared" ca="1" si="3"/>
        <v>#VALUE!</v>
      </c>
      <c r="R11" s="69" t="e">
        <f t="shared" ca="1" si="4"/>
        <v>#VALUE!</v>
      </c>
      <c r="S11" s="69" t="e">
        <f t="shared" ca="1" si="5"/>
        <v>#VALUE!</v>
      </c>
      <c r="T11" s="69" t="e">
        <f t="shared" ca="1" si="6"/>
        <v>#VALUE!</v>
      </c>
      <c r="U11" s="69" t="e">
        <f t="shared" ca="1" si="7"/>
        <v>#VALUE!</v>
      </c>
      <c r="V11" s="69" t="e">
        <f t="shared" ca="1" si="8"/>
        <v>#VALUE!</v>
      </c>
      <c r="W11" s="70" t="str">
        <f t="shared" ca="1" si="9"/>
        <v/>
      </c>
      <c r="X11" s="70" t="e">
        <f t="shared" ca="1" si="10"/>
        <v>#VALUE!</v>
      </c>
      <c r="Y11" s="70" t="e">
        <f t="shared" ca="1" si="11"/>
        <v>#VALUE!</v>
      </c>
      <c r="Z11" s="71" t="e">
        <f t="shared" ca="1" si="12"/>
        <v>#VALUE!</v>
      </c>
      <c r="AA11" s="72" t="e">
        <f t="shared" ca="1" si="13"/>
        <v>#VALUE!</v>
      </c>
      <c r="AB11" s="72" t="e">
        <f t="shared" ca="1" si="14"/>
        <v>#VALUE!</v>
      </c>
      <c r="AC11" s="72" t="e">
        <f t="shared" ca="1" si="15"/>
        <v>#VALUE!</v>
      </c>
      <c r="AD11" s="73" t="e">
        <f t="shared" ca="1" si="16"/>
        <v>#VALUE!</v>
      </c>
      <c r="AE11" s="19" t="e">
        <f t="shared" ca="1" si="17"/>
        <v>#VALUE!</v>
      </c>
      <c r="AF11" s="74" t="str">
        <f t="shared" ca="1" si="18"/>
        <v>Below D1 Low</v>
      </c>
      <c r="AG11" s="17" t="str">
        <f t="shared" ca="1" si="19"/>
        <v>Sell</v>
      </c>
      <c r="AH11" s="17" t="str">
        <f t="shared" ca="1" si="20"/>
        <v>SELL</v>
      </c>
      <c r="AI11" s="75">
        <f ca="1">IFERROR(__xludf.DUMMYFUNCTION("AVERAGE.WEIGHTED((G11+H11+B11)/3, I11)"),98.45)</f>
        <v>98.45</v>
      </c>
      <c r="AJ11" s="75" t="str">
        <f ca="1">IFERROR(__xludf.DUMMYFUNCTION("AVERAGE.WEIGHTED((K11+L11+J11)/3, N11)"),"#N/A")</f>
        <v>#N/A</v>
      </c>
      <c r="AK11" s="75" t="str">
        <f t="shared" ca="1" si="21"/>
        <v>SELL</v>
      </c>
      <c r="AL11" s="31"/>
      <c r="AM11" s="36"/>
      <c r="AN11" s="36"/>
      <c r="AO11" s="36"/>
      <c r="AP11" s="36"/>
      <c r="AQ11" s="36"/>
      <c r="AR11" s="36"/>
    </row>
    <row r="12" spans="1:44" ht="15.75" customHeight="1">
      <c r="A12" s="61" t="s">
        <v>64</v>
      </c>
      <c r="B12" s="62">
        <f ca="1">IFERROR(__xludf.DUMMYFUNCTION("googlefinance(""nse:""&amp;A12,""price"")"),52.3)</f>
        <v>52.3</v>
      </c>
      <c r="C12" s="63" t="str">
        <f t="shared" ca="1" si="0"/>
        <v>BUY</v>
      </c>
      <c r="D12" s="63">
        <f ca="1">IFERROR(__xludf.DUMMYFUNCTION("googlefinance(""nse:""&amp;A12,""changepct"")"),9.07)</f>
        <v>9.07</v>
      </c>
      <c r="E12" s="63">
        <f ca="1">IFERROR(__xludf.DUMMYFUNCTION("googlefinance(""nse:""&amp;A12,""change"")"),4.35)</f>
        <v>4.3499999999999996</v>
      </c>
      <c r="F12" s="63">
        <f ca="1">IFERROR(__xludf.DUMMYFUNCTION("googlefinance(""nse:""&amp;A12,""priceopen"")"),49.1)</f>
        <v>49.1</v>
      </c>
      <c r="G12" s="63">
        <f ca="1">IFERROR(__xludf.DUMMYFUNCTION("googlefinance(""nse:""&amp;A12,""HIGH"")"),53.2)</f>
        <v>53.2</v>
      </c>
      <c r="H12" s="63">
        <f ca="1">IFERROR(__xludf.DUMMYFUNCTION("googlefinance(""nse:""&amp;A12,""LOW"")"),49.1)</f>
        <v>49.1</v>
      </c>
      <c r="I12" s="63">
        <f ca="1">IFERROR(__xludf.DUMMYFUNCTION("googlefinance(""nse:""&amp;A12,""VOLUME"")"),56360008)</f>
        <v>56360008</v>
      </c>
      <c r="J12" s="63">
        <f ca="1">IFERROR(__xludf.DUMMYFUNCTION("googlefinance(""nse:""&amp;A12,""closeyest"")"),47.95)</f>
        <v>47.95</v>
      </c>
      <c r="K12" s="65" t="str">
        <f ca="1">IFERROR(__xludf.DUMMYFUNCTION("INDEX( GoogleFinance( ""NSE:""&amp;A12 , ""all"" , TODAY()-4) , 2, 3)"),"#N/A")</f>
        <v>#N/A</v>
      </c>
      <c r="L12" s="66" t="str">
        <f ca="1">IFERROR(__xludf.DUMMYFUNCTION("INDEX( GoogleFinance(""NSE:""&amp;A12 , ""all"" , TODAY()-4 ) , 2, 4)"),"#N/A")</f>
        <v>#N/A</v>
      </c>
      <c r="M12" s="67" t="str">
        <f ca="1">IFERROR(__xludf.DUMMYFUNCTION("INDEX( GoogleFinance( ""NSE:""&amp;A12 , ""all"" , TODAY()-4) , 2, 2)"),"#N/A")</f>
        <v>#N/A</v>
      </c>
      <c r="N12" s="68" t="str">
        <f ca="1">IFERROR(__xludf.DUMMYFUNCTION("INDEX( GoogleFinance( ""NSE:""&amp;A12 , ""all"" , TODAY()-4) , 2, 6)"),"#N/A")</f>
        <v>#N/A</v>
      </c>
      <c r="O12" s="69" t="str">
        <f t="shared" ca="1" si="1"/>
        <v/>
      </c>
      <c r="P12" s="69" t="e">
        <f t="shared" ca="1" si="2"/>
        <v>#VALUE!</v>
      </c>
      <c r="Q12" s="69" t="e">
        <f t="shared" ca="1" si="3"/>
        <v>#VALUE!</v>
      </c>
      <c r="R12" s="69" t="e">
        <f t="shared" ca="1" si="4"/>
        <v>#VALUE!</v>
      </c>
      <c r="S12" s="69" t="e">
        <f t="shared" ca="1" si="5"/>
        <v>#VALUE!</v>
      </c>
      <c r="T12" s="69" t="e">
        <f t="shared" ca="1" si="6"/>
        <v>#VALUE!</v>
      </c>
      <c r="U12" s="69" t="e">
        <f t="shared" ca="1" si="7"/>
        <v>#VALUE!</v>
      </c>
      <c r="V12" s="69" t="e">
        <f t="shared" ca="1" si="8"/>
        <v>#VALUE!</v>
      </c>
      <c r="W12" s="70" t="str">
        <f t="shared" ca="1" si="9"/>
        <v/>
      </c>
      <c r="X12" s="70" t="e">
        <f t="shared" ca="1" si="10"/>
        <v>#VALUE!</v>
      </c>
      <c r="Y12" s="70" t="e">
        <f t="shared" ca="1" si="11"/>
        <v>#VALUE!</v>
      </c>
      <c r="Z12" s="71" t="e">
        <f t="shared" ca="1" si="12"/>
        <v>#VALUE!</v>
      </c>
      <c r="AA12" s="72" t="e">
        <f t="shared" ca="1" si="13"/>
        <v>#VALUE!</v>
      </c>
      <c r="AB12" s="72" t="e">
        <f t="shared" ca="1" si="14"/>
        <v>#VALUE!</v>
      </c>
      <c r="AC12" s="72" t="e">
        <f t="shared" ca="1" si="15"/>
        <v>#VALUE!</v>
      </c>
      <c r="AD12" s="73" t="e">
        <f t="shared" ca="1" si="16"/>
        <v>#VALUE!</v>
      </c>
      <c r="AE12" s="19" t="e">
        <f t="shared" ca="1" si="17"/>
        <v>#VALUE!</v>
      </c>
      <c r="AF12" s="74" t="str">
        <f t="shared" ca="1" si="18"/>
        <v>Below D1 Low</v>
      </c>
      <c r="AG12" s="17" t="str">
        <f t="shared" ca="1" si="19"/>
        <v>Sell</v>
      </c>
      <c r="AH12" s="17" t="str">
        <f t="shared" ca="1" si="20"/>
        <v>SELL</v>
      </c>
      <c r="AI12" s="75">
        <f ca="1">IFERROR(__xludf.DUMMYFUNCTION("AVERAGE.WEIGHTED((G12+H12+B12)/3, I12)"),51.5333333333333)</f>
        <v>51.533333333333303</v>
      </c>
      <c r="AJ12" s="75" t="str">
        <f ca="1">IFERROR(__xludf.DUMMYFUNCTION("AVERAGE.WEIGHTED((K12+L12+J12)/3, N12)"),"#N/A")</f>
        <v>#N/A</v>
      </c>
      <c r="AK12" s="75" t="str">
        <f t="shared" ca="1" si="21"/>
        <v>SELL</v>
      </c>
      <c r="AL12" s="31"/>
      <c r="AM12" s="36"/>
      <c r="AN12" s="36"/>
      <c r="AO12" s="36"/>
      <c r="AP12" s="36"/>
      <c r="AQ12" s="36"/>
      <c r="AR12" s="36"/>
    </row>
    <row r="13" spans="1:44" ht="15.75" customHeight="1">
      <c r="A13" s="61" t="s">
        <v>65</v>
      </c>
      <c r="B13" s="62">
        <f ca="1">IFERROR(__xludf.DUMMYFUNCTION("googlefinance(""nse:""&amp;A13,""price"")"),1762)</f>
        <v>1762</v>
      </c>
      <c r="C13" s="63">
        <f t="shared" ca="1" si="0"/>
        <v>0</v>
      </c>
      <c r="D13" s="63">
        <f ca="1">IFERROR(__xludf.DUMMYFUNCTION("googlefinance(""nse:""&amp;A13,""changepct"")"),-0.31)</f>
        <v>-0.31</v>
      </c>
      <c r="E13" s="63">
        <f ca="1">IFERROR(__xludf.DUMMYFUNCTION("googlefinance(""nse:""&amp;A13,""change"")"),-5.5)</f>
        <v>-5.5</v>
      </c>
      <c r="F13" s="63">
        <f ca="1">IFERROR(__xludf.DUMMYFUNCTION("googlefinance(""nse:""&amp;A13,""priceopen"")"),1795)</f>
        <v>1795</v>
      </c>
      <c r="G13" s="63">
        <f ca="1">IFERROR(__xludf.DUMMYFUNCTION("googlefinance(""nse:""&amp;A13,""HIGH"")"),1797)</f>
        <v>1797</v>
      </c>
      <c r="H13" s="63">
        <f ca="1">IFERROR(__xludf.DUMMYFUNCTION("googlefinance(""nse:""&amp;A13,""LOW"")"),1741)</f>
        <v>1741</v>
      </c>
      <c r="I13" s="63">
        <f ca="1">IFERROR(__xludf.DUMMYFUNCTION("googlefinance(""nse:""&amp;A13,""VOLUME"")"),2926355)</f>
        <v>2926355</v>
      </c>
      <c r="J13" s="63">
        <f ca="1">IFERROR(__xludf.DUMMYFUNCTION("googlefinance(""nse:""&amp;A13,""closeyest"")"),1767.5)</f>
        <v>1767.5</v>
      </c>
      <c r="K13" s="65" t="str">
        <f ca="1">IFERROR(__xludf.DUMMYFUNCTION("INDEX( GoogleFinance( ""NSE:""&amp;A13 , ""all"" , TODAY()-4) , 2, 3)"),"#N/A")</f>
        <v>#N/A</v>
      </c>
      <c r="L13" s="66" t="str">
        <f ca="1">IFERROR(__xludf.DUMMYFUNCTION("INDEX( GoogleFinance(""NSE:""&amp;A13 , ""all"" , TODAY()-4 ) , 2, 4)"),"#N/A")</f>
        <v>#N/A</v>
      </c>
      <c r="M13" s="67" t="str">
        <f ca="1">IFERROR(__xludf.DUMMYFUNCTION("INDEX( GoogleFinance( ""NSE:""&amp;A13 , ""all"" , TODAY()-4) , 2, 2)"),"#N/A")</f>
        <v>#N/A</v>
      </c>
      <c r="N13" s="68" t="str">
        <f ca="1">IFERROR(__xludf.DUMMYFUNCTION("INDEX( GoogleFinance( ""NSE:""&amp;A13 , ""all"" , TODAY()-4) , 2, 6)"),"#N/A")</f>
        <v>#N/A</v>
      </c>
      <c r="O13" s="69" t="str">
        <f t="shared" ca="1" si="1"/>
        <v/>
      </c>
      <c r="P13" s="69" t="e">
        <f t="shared" ca="1" si="2"/>
        <v>#VALUE!</v>
      </c>
      <c r="Q13" s="69" t="e">
        <f t="shared" ca="1" si="3"/>
        <v>#VALUE!</v>
      </c>
      <c r="R13" s="69" t="e">
        <f t="shared" ca="1" si="4"/>
        <v>#VALUE!</v>
      </c>
      <c r="S13" s="69" t="e">
        <f t="shared" ca="1" si="5"/>
        <v>#VALUE!</v>
      </c>
      <c r="T13" s="69" t="e">
        <f t="shared" ca="1" si="6"/>
        <v>#VALUE!</v>
      </c>
      <c r="U13" s="69" t="e">
        <f t="shared" ca="1" si="7"/>
        <v>#VALUE!</v>
      </c>
      <c r="V13" s="69" t="e">
        <f t="shared" ca="1" si="8"/>
        <v>#VALUE!</v>
      </c>
      <c r="W13" s="70" t="str">
        <f t="shared" ca="1" si="9"/>
        <v/>
      </c>
      <c r="X13" s="70" t="e">
        <f t="shared" ca="1" si="10"/>
        <v>#VALUE!</v>
      </c>
      <c r="Y13" s="70" t="e">
        <f t="shared" ca="1" si="11"/>
        <v>#VALUE!</v>
      </c>
      <c r="Z13" s="71" t="e">
        <f t="shared" ca="1" si="12"/>
        <v>#VALUE!</v>
      </c>
      <c r="AA13" s="72" t="e">
        <f t="shared" ca="1" si="13"/>
        <v>#VALUE!</v>
      </c>
      <c r="AB13" s="72" t="e">
        <f t="shared" ca="1" si="14"/>
        <v>#VALUE!</v>
      </c>
      <c r="AC13" s="72" t="e">
        <f t="shared" ca="1" si="15"/>
        <v>#VALUE!</v>
      </c>
      <c r="AD13" s="73" t="e">
        <f t="shared" ca="1" si="16"/>
        <v>#VALUE!</v>
      </c>
      <c r="AE13" s="19" t="e">
        <f t="shared" ca="1" si="17"/>
        <v>#VALUE!</v>
      </c>
      <c r="AF13" s="74" t="str">
        <f t="shared" ca="1" si="18"/>
        <v>Below D1 Low</v>
      </c>
      <c r="AG13" s="17" t="str">
        <f t="shared" ca="1" si="19"/>
        <v>Sell</v>
      </c>
      <c r="AH13" s="17" t="str">
        <f t="shared" ca="1" si="20"/>
        <v>SELL</v>
      </c>
      <c r="AI13" s="75">
        <f ca="1">IFERROR(__xludf.DUMMYFUNCTION("AVERAGE.WEIGHTED((G13+H13+B13)/3, I13)"),1766.66666666666)</f>
        <v>1766.6666666666599</v>
      </c>
      <c r="AJ13" s="75" t="str">
        <f ca="1">IFERROR(__xludf.DUMMYFUNCTION("AVERAGE.WEIGHTED((K13+L13+J13)/3, N13)"),"#N/A")</f>
        <v>#N/A</v>
      </c>
      <c r="AK13" s="75" t="str">
        <f t="shared" ca="1" si="21"/>
        <v>SELL</v>
      </c>
      <c r="AL13" s="31"/>
      <c r="AM13" s="77" t="s">
        <v>103</v>
      </c>
      <c r="AN13" s="36"/>
      <c r="AO13" s="36"/>
      <c r="AP13" s="36"/>
      <c r="AQ13" s="36"/>
      <c r="AR13" s="36"/>
    </row>
    <row r="14" spans="1:44" ht="15.75" customHeight="1">
      <c r="A14" s="61" t="s">
        <v>66</v>
      </c>
      <c r="B14" s="62">
        <f ca="1">IFERROR(__xludf.DUMMYFUNCTION("googlefinance(""nse:""&amp;A14,""price"")"),625.8)</f>
        <v>625.79999999999995</v>
      </c>
      <c r="C14" s="63">
        <f t="shared" ca="1" si="0"/>
        <v>0</v>
      </c>
      <c r="D14" s="63">
        <f ca="1">IFERROR(__xludf.DUMMYFUNCTION("googlefinance(""nse:""&amp;A14,""changepct"")"),0.07)</f>
        <v>7.0000000000000007E-2</v>
      </c>
      <c r="E14" s="63">
        <f ca="1">IFERROR(__xludf.DUMMYFUNCTION("googlefinance(""nse:""&amp;A14,""change"")"),0.45)</f>
        <v>0.45</v>
      </c>
      <c r="F14" s="63">
        <f ca="1">IFERROR(__xludf.DUMMYFUNCTION("googlefinance(""nse:""&amp;A14,""priceopen"")"),633.05)</f>
        <v>633.04999999999995</v>
      </c>
      <c r="G14" s="63">
        <f ca="1">IFERROR(__xludf.DUMMYFUNCTION("googlefinance(""nse:""&amp;A14,""HIGH"")"),641)</f>
        <v>641</v>
      </c>
      <c r="H14" s="63">
        <f ca="1">IFERROR(__xludf.DUMMYFUNCTION("googlefinance(""nse:""&amp;A14,""LOW"")"),609.05)</f>
        <v>609.04999999999995</v>
      </c>
      <c r="I14" s="63">
        <f ca="1">IFERROR(__xludf.DUMMYFUNCTION("googlefinance(""nse:""&amp;A14,""VOLUME"")"),6391548)</f>
        <v>6391548</v>
      </c>
      <c r="J14" s="63">
        <f ca="1">IFERROR(__xludf.DUMMYFUNCTION("googlefinance(""nse:""&amp;A14,""closeyest"")"),625.35)</f>
        <v>625.35</v>
      </c>
      <c r="K14" s="65" t="str">
        <f ca="1">IFERROR(__xludf.DUMMYFUNCTION("INDEX( GoogleFinance( ""NSE:""&amp;A14 , ""all"" , TODAY()-4) , 2, 3)"),"#N/A")</f>
        <v>#N/A</v>
      </c>
      <c r="L14" s="66" t="str">
        <f ca="1">IFERROR(__xludf.DUMMYFUNCTION("INDEX( GoogleFinance(""NSE:""&amp;A14 , ""all"" , TODAY()-4 ) , 2, 4)"),"#N/A")</f>
        <v>#N/A</v>
      </c>
      <c r="M14" s="67" t="str">
        <f ca="1">IFERROR(__xludf.DUMMYFUNCTION("INDEX( GoogleFinance( ""NSE:""&amp;A14 , ""all"" , TODAY()-4) , 2, 2)"),"#N/A")</f>
        <v>#N/A</v>
      </c>
      <c r="N14" s="68" t="str">
        <f ca="1">IFERROR(__xludf.DUMMYFUNCTION("INDEX( GoogleFinance( ""NSE:""&amp;A14 , ""all"" , TODAY()-4) , 2, 6)"),"#N/A")</f>
        <v>#N/A</v>
      </c>
      <c r="O14" s="69" t="str">
        <f t="shared" ca="1" si="1"/>
        <v/>
      </c>
      <c r="P14" s="69" t="e">
        <f t="shared" ca="1" si="2"/>
        <v>#VALUE!</v>
      </c>
      <c r="Q14" s="69" t="e">
        <f t="shared" ca="1" si="3"/>
        <v>#VALUE!</v>
      </c>
      <c r="R14" s="69" t="e">
        <f t="shared" ca="1" si="4"/>
        <v>#VALUE!</v>
      </c>
      <c r="S14" s="69" t="e">
        <f t="shared" ca="1" si="5"/>
        <v>#VALUE!</v>
      </c>
      <c r="T14" s="69" t="e">
        <f t="shared" ca="1" si="6"/>
        <v>#VALUE!</v>
      </c>
      <c r="U14" s="69" t="e">
        <f t="shared" ca="1" si="7"/>
        <v>#VALUE!</v>
      </c>
      <c r="V14" s="69" t="e">
        <f t="shared" ca="1" si="8"/>
        <v>#VALUE!</v>
      </c>
      <c r="W14" s="70" t="str">
        <f t="shared" ca="1" si="9"/>
        <v/>
      </c>
      <c r="X14" s="70" t="e">
        <f t="shared" ca="1" si="10"/>
        <v>#VALUE!</v>
      </c>
      <c r="Y14" s="70" t="e">
        <f t="shared" ca="1" si="11"/>
        <v>#VALUE!</v>
      </c>
      <c r="Z14" s="71" t="e">
        <f t="shared" ca="1" si="12"/>
        <v>#VALUE!</v>
      </c>
      <c r="AA14" s="72" t="e">
        <f t="shared" ca="1" si="13"/>
        <v>#VALUE!</v>
      </c>
      <c r="AB14" s="72" t="e">
        <f t="shared" ca="1" si="14"/>
        <v>#VALUE!</v>
      </c>
      <c r="AC14" s="72" t="e">
        <f t="shared" ca="1" si="15"/>
        <v>#VALUE!</v>
      </c>
      <c r="AD14" s="73" t="e">
        <f t="shared" ca="1" si="16"/>
        <v>#VALUE!</v>
      </c>
      <c r="AE14" s="19" t="e">
        <f t="shared" ca="1" si="17"/>
        <v>#VALUE!</v>
      </c>
      <c r="AF14" s="74" t="str">
        <f t="shared" ca="1" si="18"/>
        <v>Below D1 Low</v>
      </c>
      <c r="AG14" s="17" t="str">
        <f t="shared" ca="1" si="19"/>
        <v>Sell</v>
      </c>
      <c r="AH14" s="17" t="str">
        <f t="shared" ca="1" si="20"/>
        <v>SELL</v>
      </c>
      <c r="AI14" s="75">
        <f ca="1">IFERROR(__xludf.DUMMYFUNCTION("AVERAGE.WEIGHTED((G14+H14+B14)/3, I14)"),625.283333333333)</f>
        <v>625.28333333333296</v>
      </c>
      <c r="AJ14" s="75" t="str">
        <f ca="1">IFERROR(__xludf.DUMMYFUNCTION("AVERAGE.WEIGHTED((K14+L14+J14)/3, N14)"),"#N/A")</f>
        <v>#N/A</v>
      </c>
      <c r="AK14" s="75" t="str">
        <f t="shared" ca="1" si="21"/>
        <v>SELL</v>
      </c>
      <c r="AL14" s="31"/>
      <c r="AM14" s="242" t="s">
        <v>106</v>
      </c>
      <c r="AN14" s="243"/>
      <c r="AO14" s="79" t="s">
        <v>108</v>
      </c>
      <c r="AP14" s="36"/>
      <c r="AQ14" s="36"/>
      <c r="AR14" s="36"/>
    </row>
    <row r="15" spans="1:44" ht="15.75" customHeight="1">
      <c r="A15" s="61" t="s">
        <v>67</v>
      </c>
      <c r="B15" s="62">
        <f ca="1">IFERROR(__xludf.DUMMYFUNCTION("googlefinance(""nse:""&amp;A15,""price"")"),444.05)</f>
        <v>444.05</v>
      </c>
      <c r="C15" s="63">
        <f t="shared" ca="1" si="0"/>
        <v>0</v>
      </c>
      <c r="D15" s="63">
        <f ca="1">IFERROR(__xludf.DUMMYFUNCTION("googlefinance(""nse:""&amp;A15,""changepct"")"),1.13)</f>
        <v>1.1299999999999999</v>
      </c>
      <c r="E15" s="63">
        <f ca="1">IFERROR(__xludf.DUMMYFUNCTION("googlefinance(""nse:""&amp;A15,""change"")"),4.95)</f>
        <v>4.95</v>
      </c>
      <c r="F15" s="63">
        <f ca="1">IFERROR(__xludf.DUMMYFUNCTION("googlefinance(""nse:""&amp;A15,""priceopen"")"),451)</f>
        <v>451</v>
      </c>
      <c r="G15" s="63">
        <f ca="1">IFERROR(__xludf.DUMMYFUNCTION("googlefinance(""nse:""&amp;A15,""HIGH"")"),461.9)</f>
        <v>461.9</v>
      </c>
      <c r="H15" s="63">
        <f ca="1">IFERROR(__xludf.DUMMYFUNCTION("googlefinance(""nse:""&amp;A15,""LOW"")"),440.4)</f>
        <v>440.4</v>
      </c>
      <c r="I15" s="63">
        <f ca="1">IFERROR(__xludf.DUMMYFUNCTION("googlefinance(""nse:""&amp;A15,""VOLUME"")"),40383418)</f>
        <v>40383418</v>
      </c>
      <c r="J15" s="63">
        <f ca="1">IFERROR(__xludf.DUMMYFUNCTION("googlefinance(""nse:""&amp;A15,""closeyest"")"),439.1)</f>
        <v>439.1</v>
      </c>
      <c r="K15" s="65" t="str">
        <f ca="1">IFERROR(__xludf.DUMMYFUNCTION("INDEX( GoogleFinance( ""NSE:""&amp;A15 , ""all"" , TODAY()-4) , 2, 3)"),"#N/A")</f>
        <v>#N/A</v>
      </c>
      <c r="L15" s="66" t="str">
        <f ca="1">IFERROR(__xludf.DUMMYFUNCTION("INDEX( GoogleFinance(""NSE:""&amp;A15 , ""all"" , TODAY()-4 ) , 2, 4)"),"#N/A")</f>
        <v>#N/A</v>
      </c>
      <c r="M15" s="67" t="str">
        <f ca="1">IFERROR(__xludf.DUMMYFUNCTION("INDEX( GoogleFinance( ""NSE:""&amp;A15 , ""all"" , TODAY()-4) , 2, 2)"),"#N/A")</f>
        <v>#N/A</v>
      </c>
      <c r="N15" s="68" t="str">
        <f ca="1">IFERROR(__xludf.DUMMYFUNCTION("INDEX( GoogleFinance( ""NSE:""&amp;A15 , ""all"" , TODAY()-4) , 2, 6)"),"#N/A")</f>
        <v>#N/A</v>
      </c>
      <c r="O15" s="69" t="str">
        <f t="shared" ca="1" si="1"/>
        <v/>
      </c>
      <c r="P15" s="69" t="e">
        <f t="shared" ca="1" si="2"/>
        <v>#VALUE!</v>
      </c>
      <c r="Q15" s="69" t="e">
        <f t="shared" ca="1" si="3"/>
        <v>#VALUE!</v>
      </c>
      <c r="R15" s="69" t="e">
        <f t="shared" ca="1" si="4"/>
        <v>#VALUE!</v>
      </c>
      <c r="S15" s="69" t="e">
        <f t="shared" ca="1" si="5"/>
        <v>#VALUE!</v>
      </c>
      <c r="T15" s="69" t="e">
        <f t="shared" ca="1" si="6"/>
        <v>#VALUE!</v>
      </c>
      <c r="U15" s="69" t="e">
        <f t="shared" ca="1" si="7"/>
        <v>#VALUE!</v>
      </c>
      <c r="V15" s="69" t="e">
        <f t="shared" ca="1" si="8"/>
        <v>#VALUE!</v>
      </c>
      <c r="W15" s="70" t="str">
        <f t="shared" ca="1" si="9"/>
        <v/>
      </c>
      <c r="X15" s="70" t="e">
        <f t="shared" ca="1" si="10"/>
        <v>#VALUE!</v>
      </c>
      <c r="Y15" s="70" t="e">
        <f t="shared" ca="1" si="11"/>
        <v>#VALUE!</v>
      </c>
      <c r="Z15" s="71" t="e">
        <f t="shared" ca="1" si="12"/>
        <v>#VALUE!</v>
      </c>
      <c r="AA15" s="72" t="e">
        <f t="shared" ca="1" si="13"/>
        <v>#VALUE!</v>
      </c>
      <c r="AB15" s="72" t="e">
        <f t="shared" ca="1" si="14"/>
        <v>#VALUE!</v>
      </c>
      <c r="AC15" s="72" t="e">
        <f t="shared" ca="1" si="15"/>
        <v>#VALUE!</v>
      </c>
      <c r="AD15" s="73" t="e">
        <f t="shared" ca="1" si="16"/>
        <v>#VALUE!</v>
      </c>
      <c r="AE15" s="19" t="e">
        <f t="shared" ca="1" si="17"/>
        <v>#VALUE!</v>
      </c>
      <c r="AF15" s="74" t="str">
        <f t="shared" ca="1" si="18"/>
        <v>Below D1 Low</v>
      </c>
      <c r="AG15" s="17" t="str">
        <f t="shared" ca="1" si="19"/>
        <v>Sell</v>
      </c>
      <c r="AH15" s="17" t="str">
        <f t="shared" ca="1" si="20"/>
        <v>SELL</v>
      </c>
      <c r="AI15" s="75">
        <f ca="1">IFERROR(__xludf.DUMMYFUNCTION("AVERAGE.WEIGHTED((G15+H15+B15)/3, I15)"),448.783333333333)</f>
        <v>448.78333333333302</v>
      </c>
      <c r="AJ15" s="75" t="str">
        <f ca="1">IFERROR(__xludf.DUMMYFUNCTION("AVERAGE.WEIGHTED((K15+L15+J15)/3, N15)"),"#N/A")</f>
        <v>#N/A</v>
      </c>
      <c r="AK15" s="75" t="str">
        <f t="shared" ca="1" si="21"/>
        <v>SELL</v>
      </c>
      <c r="AL15" s="31"/>
      <c r="AM15" s="242" t="s">
        <v>111</v>
      </c>
      <c r="AN15" s="243"/>
      <c r="AO15" s="79" t="s">
        <v>113</v>
      </c>
      <c r="AP15" s="36"/>
      <c r="AQ15" s="36"/>
      <c r="AR15" s="36"/>
    </row>
    <row r="16" spans="1:44" ht="15.75" customHeight="1">
      <c r="A16" s="61" t="s">
        <v>68</v>
      </c>
      <c r="B16" s="62">
        <f ca="1">IFERROR(__xludf.DUMMYFUNCTION("googlefinance(""nse:""&amp;A16,""price"")"),2623.8)</f>
        <v>2623.8</v>
      </c>
      <c r="C16" s="63">
        <f t="shared" ca="1" si="0"/>
        <v>0</v>
      </c>
      <c r="D16" s="63">
        <f ca="1">IFERROR(__xludf.DUMMYFUNCTION("googlefinance(""nse:""&amp;A16,""changepct"")"),4.99)</f>
        <v>4.99</v>
      </c>
      <c r="E16" s="63">
        <f ca="1">IFERROR(__xludf.DUMMYFUNCTION("googlefinance(""nse:""&amp;A16,""change"")"),124.65)</f>
        <v>124.65</v>
      </c>
      <c r="F16" s="63">
        <f ca="1">IFERROR(__xludf.DUMMYFUNCTION("googlefinance(""nse:""&amp;A16,""priceopen"")"),2525.1)</f>
        <v>2525.1</v>
      </c>
      <c r="G16" s="63">
        <f ca="1">IFERROR(__xludf.DUMMYFUNCTION("googlefinance(""nse:""&amp;A16,""HIGH"")"),2654)</f>
        <v>2654</v>
      </c>
      <c r="H16" s="63">
        <f ca="1">IFERROR(__xludf.DUMMYFUNCTION("googlefinance(""nse:""&amp;A16,""LOW"")"),2510.15)</f>
        <v>2510.15</v>
      </c>
      <c r="I16" s="63">
        <f ca="1">IFERROR(__xludf.DUMMYFUNCTION("googlefinance(""nse:""&amp;A16,""VOLUME"")"),1118713)</f>
        <v>1118713</v>
      </c>
      <c r="J16" s="63">
        <f ca="1">IFERROR(__xludf.DUMMYFUNCTION("googlefinance(""nse:""&amp;A16,""closeyest"")"),2499.15)</f>
        <v>2499.15</v>
      </c>
      <c r="K16" s="65" t="str">
        <f ca="1">IFERROR(__xludf.DUMMYFUNCTION("INDEX( GoogleFinance( ""NSE:""&amp;A16 , ""all"" , TODAY()-4) , 2, 3)"),"#N/A")</f>
        <v>#N/A</v>
      </c>
      <c r="L16" s="66" t="str">
        <f ca="1">IFERROR(__xludf.DUMMYFUNCTION("INDEX( GoogleFinance(""NSE:""&amp;A16 , ""all"" , TODAY()-4 ) , 2, 4)"),"#N/A")</f>
        <v>#N/A</v>
      </c>
      <c r="M16" s="67" t="str">
        <f ca="1">IFERROR(__xludf.DUMMYFUNCTION("INDEX( GoogleFinance( ""NSE:""&amp;A16 , ""all"" , TODAY()-4) , 2, 2)"),"#N/A")</f>
        <v>#N/A</v>
      </c>
      <c r="N16" s="68" t="str">
        <f ca="1">IFERROR(__xludf.DUMMYFUNCTION("INDEX( GoogleFinance( ""NSE:""&amp;A16 , ""all"" , TODAY()-4) , 2, 6)"),"#N/A")</f>
        <v>#N/A</v>
      </c>
      <c r="O16" s="69" t="str">
        <f t="shared" ca="1" si="1"/>
        <v/>
      </c>
      <c r="P16" s="69" t="e">
        <f t="shared" ca="1" si="2"/>
        <v>#VALUE!</v>
      </c>
      <c r="Q16" s="69" t="e">
        <f t="shared" ca="1" si="3"/>
        <v>#VALUE!</v>
      </c>
      <c r="R16" s="69" t="e">
        <f t="shared" ca="1" si="4"/>
        <v>#VALUE!</v>
      </c>
      <c r="S16" s="69" t="e">
        <f t="shared" ca="1" si="5"/>
        <v>#VALUE!</v>
      </c>
      <c r="T16" s="69" t="e">
        <f t="shared" ca="1" si="6"/>
        <v>#VALUE!</v>
      </c>
      <c r="U16" s="69" t="e">
        <f t="shared" ca="1" si="7"/>
        <v>#VALUE!</v>
      </c>
      <c r="V16" s="69" t="e">
        <f t="shared" ca="1" si="8"/>
        <v>#VALUE!</v>
      </c>
      <c r="W16" s="70" t="str">
        <f t="shared" ca="1" si="9"/>
        <v/>
      </c>
      <c r="X16" s="70" t="e">
        <f t="shared" ca="1" si="10"/>
        <v>#VALUE!</v>
      </c>
      <c r="Y16" s="70" t="e">
        <f t="shared" ca="1" si="11"/>
        <v>#VALUE!</v>
      </c>
      <c r="Z16" s="71" t="e">
        <f t="shared" ca="1" si="12"/>
        <v>#VALUE!</v>
      </c>
      <c r="AA16" s="72" t="e">
        <f t="shared" ca="1" si="13"/>
        <v>#VALUE!</v>
      </c>
      <c r="AB16" s="72" t="e">
        <f t="shared" ca="1" si="14"/>
        <v>#VALUE!</v>
      </c>
      <c r="AC16" s="72" t="e">
        <f t="shared" ca="1" si="15"/>
        <v>#VALUE!</v>
      </c>
      <c r="AD16" s="73" t="e">
        <f t="shared" ca="1" si="16"/>
        <v>#VALUE!</v>
      </c>
      <c r="AE16" s="19" t="e">
        <f t="shared" ca="1" si="17"/>
        <v>#VALUE!</v>
      </c>
      <c r="AF16" s="74" t="str">
        <f t="shared" ca="1" si="18"/>
        <v>Below D1 Low</v>
      </c>
      <c r="AG16" s="17" t="str">
        <f t="shared" ca="1" si="19"/>
        <v>Sell</v>
      </c>
      <c r="AH16" s="17" t="str">
        <f t="shared" ca="1" si="20"/>
        <v>SELL</v>
      </c>
      <c r="AI16" s="75">
        <f ca="1">IFERROR(__xludf.DUMMYFUNCTION("AVERAGE.WEIGHTED((G16+H16+B16)/3, I16)"),2595.98333333333)</f>
        <v>2595.9833333333299</v>
      </c>
      <c r="AJ16" s="75" t="str">
        <f ca="1">IFERROR(__xludf.DUMMYFUNCTION("AVERAGE.WEIGHTED((K16+L16+J16)/3, N16)"),"#N/A")</f>
        <v>#N/A</v>
      </c>
      <c r="AK16" s="75" t="str">
        <f t="shared" ca="1" si="21"/>
        <v>SELL</v>
      </c>
      <c r="AL16" s="31"/>
      <c r="AM16" s="242" t="s">
        <v>119</v>
      </c>
      <c r="AN16" s="243"/>
      <c r="AO16" s="79" t="s">
        <v>121</v>
      </c>
      <c r="AP16" s="36"/>
      <c r="AQ16" s="36"/>
      <c r="AR16" s="36"/>
    </row>
    <row r="17" spans="1:44" ht="15.75" customHeight="1">
      <c r="A17" s="61" t="s">
        <v>69</v>
      </c>
      <c r="B17" s="62">
        <f ca="1">IFERROR(__xludf.DUMMYFUNCTION("googlefinance(""nse:""&amp;A17,""price"")"),5090)</f>
        <v>5090</v>
      </c>
      <c r="C17" s="63">
        <f t="shared" ca="1" si="0"/>
        <v>0</v>
      </c>
      <c r="D17" s="63">
        <f ca="1">IFERROR(__xludf.DUMMYFUNCTION("googlefinance(""nse:""&amp;A17,""changepct"")"),1.83)</f>
        <v>1.83</v>
      </c>
      <c r="E17" s="63">
        <f ca="1">IFERROR(__xludf.DUMMYFUNCTION("googlefinance(""nse:""&amp;A17,""change"")"),91.35)</f>
        <v>91.35</v>
      </c>
      <c r="F17" s="63">
        <f ca="1">IFERROR(__xludf.DUMMYFUNCTION("googlefinance(""nse:""&amp;A17,""priceopen"")"),5108)</f>
        <v>5108</v>
      </c>
      <c r="G17" s="63">
        <f ca="1">IFERROR(__xludf.DUMMYFUNCTION("googlefinance(""nse:""&amp;A17,""HIGH"")"),5175)</f>
        <v>5175</v>
      </c>
      <c r="H17" s="63">
        <f ca="1">IFERROR(__xludf.DUMMYFUNCTION("googlefinance(""nse:""&amp;A17,""LOW"")"),5050.85)</f>
        <v>5050.8500000000004</v>
      </c>
      <c r="I17" s="63">
        <f ca="1">IFERROR(__xludf.DUMMYFUNCTION("googlefinance(""nse:""&amp;A17,""VOLUME"")"),1064409)</f>
        <v>1064409</v>
      </c>
      <c r="J17" s="63">
        <f ca="1">IFERROR(__xludf.DUMMYFUNCTION("googlefinance(""nse:""&amp;A17,""closeyest"")"),4998.65)</f>
        <v>4998.6499999999996</v>
      </c>
      <c r="K17" s="65" t="str">
        <f ca="1">IFERROR(__xludf.DUMMYFUNCTION("INDEX( GoogleFinance( ""NSE:""&amp;A17 , ""all"" , TODAY()-4) , 2, 3)"),"#N/A")</f>
        <v>#N/A</v>
      </c>
      <c r="L17" s="66" t="str">
        <f ca="1">IFERROR(__xludf.DUMMYFUNCTION("INDEX( GoogleFinance(""NSE:""&amp;A17 , ""all"" , TODAY()-4 ) , 2, 4)"),"#N/A")</f>
        <v>#N/A</v>
      </c>
      <c r="M17" s="67" t="str">
        <f ca="1">IFERROR(__xludf.DUMMYFUNCTION("INDEX( GoogleFinance( ""NSE:""&amp;A17 , ""all"" , TODAY()-4) , 2, 2)"),"#N/A")</f>
        <v>#N/A</v>
      </c>
      <c r="N17" s="68" t="str">
        <f ca="1">IFERROR(__xludf.DUMMYFUNCTION("INDEX( GoogleFinance( ""NSE:""&amp;A17 , ""all"" , TODAY()-4) , 2, 6)"),"#N/A")</f>
        <v>#N/A</v>
      </c>
      <c r="O17" s="69" t="str">
        <f t="shared" ca="1" si="1"/>
        <v/>
      </c>
      <c r="P17" s="69" t="e">
        <f t="shared" ca="1" si="2"/>
        <v>#VALUE!</v>
      </c>
      <c r="Q17" s="69" t="e">
        <f t="shared" ca="1" si="3"/>
        <v>#VALUE!</v>
      </c>
      <c r="R17" s="69" t="e">
        <f t="shared" ca="1" si="4"/>
        <v>#VALUE!</v>
      </c>
      <c r="S17" s="69" t="e">
        <f t="shared" ca="1" si="5"/>
        <v>#VALUE!</v>
      </c>
      <c r="T17" s="69" t="e">
        <f t="shared" ca="1" si="6"/>
        <v>#VALUE!</v>
      </c>
      <c r="U17" s="69" t="e">
        <f t="shared" ca="1" si="7"/>
        <v>#VALUE!</v>
      </c>
      <c r="V17" s="69" t="e">
        <f ca="1">IF(AND(O17="BUY",B17&lt;=R17),"SL HIT","")</f>
        <v>#VALUE!</v>
      </c>
      <c r="W17" s="70" t="str">
        <f t="shared" ca="1" si="9"/>
        <v/>
      </c>
      <c r="X17" s="70" t="e">
        <f t="shared" ca="1" si="10"/>
        <v>#VALUE!</v>
      </c>
      <c r="Y17" s="70" t="e">
        <f t="shared" ca="1" si="11"/>
        <v>#VALUE!</v>
      </c>
      <c r="Z17" s="71" t="e">
        <f t="shared" ca="1" si="12"/>
        <v>#VALUE!</v>
      </c>
      <c r="AA17" s="72" t="e">
        <f t="shared" ca="1" si="13"/>
        <v>#VALUE!</v>
      </c>
      <c r="AB17" s="72" t="e">
        <f t="shared" ca="1" si="14"/>
        <v>#VALUE!</v>
      </c>
      <c r="AC17" s="72" t="e">
        <f t="shared" ca="1" si="15"/>
        <v>#VALUE!</v>
      </c>
      <c r="AD17" s="73" t="e">
        <f t="shared" ca="1" si="16"/>
        <v>#VALUE!</v>
      </c>
      <c r="AE17" s="19" t="e">
        <f t="shared" ca="1" si="17"/>
        <v>#VALUE!</v>
      </c>
      <c r="AF17" s="74" t="str">
        <f t="shared" ca="1" si="18"/>
        <v>Below D1 Low</v>
      </c>
      <c r="AG17" s="17" t="str">
        <f t="shared" ca="1" si="19"/>
        <v>Sell</v>
      </c>
      <c r="AH17" s="17" t="str">
        <f t="shared" ca="1" si="20"/>
        <v>SELL</v>
      </c>
      <c r="AI17" s="75">
        <f ca="1">IFERROR(__xludf.DUMMYFUNCTION("AVERAGE.WEIGHTED((G17+H17+B17)/3, I17)"),5105.28333333333)</f>
        <v>5105.2833333333301</v>
      </c>
      <c r="AJ17" s="75" t="str">
        <f ca="1">IFERROR(__xludf.DUMMYFUNCTION("AVERAGE.WEIGHTED((K17+L17+J17)/3, N17)"),"#N/A")</f>
        <v>#N/A</v>
      </c>
      <c r="AK17" s="75" t="str">
        <f t="shared" ca="1" si="21"/>
        <v>SELL</v>
      </c>
      <c r="AL17" s="31"/>
      <c r="AM17" s="242" t="s">
        <v>124</v>
      </c>
      <c r="AN17" s="243"/>
      <c r="AO17" s="79" t="s">
        <v>125</v>
      </c>
      <c r="AP17" s="36"/>
      <c r="AQ17" s="36"/>
      <c r="AR17" s="36"/>
    </row>
    <row r="18" spans="1:44" ht="15.75" customHeight="1">
      <c r="A18" s="61" t="s">
        <v>70</v>
      </c>
      <c r="B18" s="62">
        <f ca="1">IFERROR(__xludf.DUMMYFUNCTION("googlefinance(""nse:""&amp;A18,""price"")"),2318)</f>
        <v>2318</v>
      </c>
      <c r="C18" s="63">
        <f t="shared" ca="1" si="0"/>
        <v>0</v>
      </c>
      <c r="D18" s="63">
        <f ca="1">IFERROR(__xludf.DUMMYFUNCTION("googlefinance(""nse:""&amp;A18,""changepct"")"),0.94)</f>
        <v>0.94</v>
      </c>
      <c r="E18" s="63">
        <f ca="1">IFERROR(__xludf.DUMMYFUNCTION("googlefinance(""nse:""&amp;A18,""change"")"),21.55)</f>
        <v>21.55</v>
      </c>
      <c r="F18" s="63">
        <f ca="1">IFERROR(__xludf.DUMMYFUNCTION("googlefinance(""nse:""&amp;A18,""priceopen"")"),2365.05)</f>
        <v>2365.0500000000002</v>
      </c>
      <c r="G18" s="63">
        <f ca="1">IFERROR(__xludf.DUMMYFUNCTION("googlefinance(""nse:""&amp;A18,""HIGH"")"),2418.95)</f>
        <v>2418.9499999999998</v>
      </c>
      <c r="H18" s="63">
        <f ca="1">IFERROR(__xludf.DUMMYFUNCTION("googlefinance(""nse:""&amp;A18,""LOW"")"),2291.15)</f>
        <v>2291.15</v>
      </c>
      <c r="I18" s="63">
        <f ca="1">IFERROR(__xludf.DUMMYFUNCTION("googlefinance(""nse:""&amp;A18,""VOLUME"")"),8884225)</f>
        <v>8884225</v>
      </c>
      <c r="J18" s="63">
        <f ca="1">IFERROR(__xludf.DUMMYFUNCTION("googlefinance(""nse:""&amp;A18,""closeyest"")"),2296.45)</f>
        <v>2296.4499999999998</v>
      </c>
      <c r="K18" s="65" t="str">
        <f ca="1">IFERROR(__xludf.DUMMYFUNCTION("INDEX( GoogleFinance( ""NSE:""&amp;A18 , ""all"" , TODAY()-4) , 2, 3)"),"#N/A")</f>
        <v>#N/A</v>
      </c>
      <c r="L18" s="66" t="str">
        <f ca="1">IFERROR(__xludf.DUMMYFUNCTION("INDEX( GoogleFinance(""NSE:""&amp;A18 , ""all"" , TODAY()-4 ) , 2, 4)"),"#N/A")</f>
        <v>#N/A</v>
      </c>
      <c r="M18" s="67" t="str">
        <f ca="1">IFERROR(__xludf.DUMMYFUNCTION("INDEX( GoogleFinance( ""NSE:""&amp;A18 , ""all"" , TODAY()-4) , 2, 2)"),"#N/A")</f>
        <v>#N/A</v>
      </c>
      <c r="N18" s="68" t="str">
        <f ca="1">IFERROR(__xludf.DUMMYFUNCTION("INDEX( GoogleFinance( ""NSE:""&amp;A18 , ""all"" , TODAY()-4) , 2, 6)"),"#N/A")</f>
        <v>#N/A</v>
      </c>
      <c r="O18" s="69" t="str">
        <f t="shared" ca="1" si="1"/>
        <v/>
      </c>
      <c r="P18" s="69" t="e">
        <f t="shared" ca="1" si="2"/>
        <v>#VALUE!</v>
      </c>
      <c r="Q18" s="69" t="e">
        <f t="shared" ca="1" si="3"/>
        <v>#VALUE!</v>
      </c>
      <c r="R18" s="69" t="e">
        <f ca="1">IF(P18="BUY",L18-1.5,"")</f>
        <v>#VALUE!</v>
      </c>
      <c r="S18" s="69" t="e">
        <f t="shared" ca="1" si="5"/>
        <v>#VALUE!</v>
      </c>
      <c r="T18" s="69" t="e">
        <f t="shared" ca="1" si="6"/>
        <v>#VALUE!</v>
      </c>
      <c r="U18" s="69" t="e">
        <f t="shared" ca="1" si="7"/>
        <v>#VALUE!</v>
      </c>
      <c r="V18" s="69" t="e">
        <f t="shared" ref="V18:V42" ca="1" si="22">IF(AND(O18="BUY",B18&lt;=T18),"SL HIT","")</f>
        <v>#VALUE!</v>
      </c>
      <c r="W18" s="70" t="str">
        <f t="shared" ca="1" si="9"/>
        <v/>
      </c>
      <c r="X18" s="70" t="e">
        <f t="shared" ca="1" si="10"/>
        <v>#VALUE!</v>
      </c>
      <c r="Y18" s="70" t="e">
        <f t="shared" ca="1" si="11"/>
        <v>#VALUE!</v>
      </c>
      <c r="Z18" s="71" t="e">
        <f t="shared" ca="1" si="12"/>
        <v>#VALUE!</v>
      </c>
      <c r="AA18" s="72" t="e">
        <f t="shared" ca="1" si="13"/>
        <v>#VALUE!</v>
      </c>
      <c r="AB18" s="72" t="e">
        <f t="shared" ca="1" si="14"/>
        <v>#VALUE!</v>
      </c>
      <c r="AC18" s="72" t="e">
        <f t="shared" ca="1" si="15"/>
        <v>#VALUE!</v>
      </c>
      <c r="AD18" s="73" t="e">
        <f t="shared" ca="1" si="16"/>
        <v>#VALUE!</v>
      </c>
      <c r="AE18" s="19" t="e">
        <f t="shared" ca="1" si="17"/>
        <v>#VALUE!</v>
      </c>
      <c r="AF18" s="74" t="str">
        <f t="shared" ca="1" si="18"/>
        <v>Below D1 Low</v>
      </c>
      <c r="AG18" s="17" t="str">
        <f t="shared" ca="1" si="19"/>
        <v>Sell</v>
      </c>
      <c r="AH18" s="17" t="str">
        <f t="shared" ca="1" si="20"/>
        <v>SELL</v>
      </c>
      <c r="AI18" s="75">
        <f ca="1">IFERROR(__xludf.DUMMYFUNCTION("AVERAGE.WEIGHTED((G18+H18+B18)/3, I18)"),2342.7)</f>
        <v>2342.6999999999998</v>
      </c>
      <c r="AJ18" s="75" t="str">
        <f ca="1">IFERROR(__xludf.DUMMYFUNCTION("AVERAGE.WEIGHTED((K18+L18+J18)/3, N18)"),"#N/A")</f>
        <v>#N/A</v>
      </c>
      <c r="AK18" s="75" t="str">
        <f t="shared" ca="1" si="21"/>
        <v>SELL</v>
      </c>
      <c r="AL18" s="31"/>
      <c r="AM18" s="80"/>
      <c r="AN18" s="80" t="s">
        <v>128</v>
      </c>
      <c r="AO18" s="79" t="s">
        <v>125</v>
      </c>
      <c r="AP18" s="36"/>
      <c r="AQ18" s="36"/>
      <c r="AR18" s="36"/>
    </row>
    <row r="19" spans="1:44" ht="15.75" customHeight="1">
      <c r="A19" s="61" t="s">
        <v>71</v>
      </c>
      <c r="B19" s="62">
        <f ca="1">IFERROR(__xludf.DUMMYFUNCTION("googlefinance(""nse:""&amp;A19,""price"")"),930)</f>
        <v>930</v>
      </c>
      <c r="C19" s="63">
        <f t="shared" ca="1" si="0"/>
        <v>0</v>
      </c>
      <c r="D19" s="63">
        <f ca="1">IFERROR(__xludf.DUMMYFUNCTION("googlefinance(""nse:""&amp;A19,""changepct"")"),-3.16)</f>
        <v>-3.16</v>
      </c>
      <c r="E19" s="63">
        <f ca="1">IFERROR(__xludf.DUMMYFUNCTION("googlefinance(""nse:""&amp;A19,""change"")"),-30.3)</f>
        <v>-30.3</v>
      </c>
      <c r="F19" s="63">
        <f ca="1">IFERROR(__xludf.DUMMYFUNCTION("googlefinance(""nse:""&amp;A19,""priceopen"")"),990)</f>
        <v>990</v>
      </c>
      <c r="G19" s="63">
        <f ca="1">IFERROR(__xludf.DUMMYFUNCTION("googlefinance(""nse:""&amp;A19,""HIGH"")"),1006.9)</f>
        <v>1006.9</v>
      </c>
      <c r="H19" s="63">
        <f ca="1">IFERROR(__xludf.DUMMYFUNCTION("googlefinance(""nse:""&amp;A19,""LOW"")"),926)</f>
        <v>926</v>
      </c>
      <c r="I19" s="63">
        <f ca="1">IFERROR(__xludf.DUMMYFUNCTION("googlefinance(""nse:""&amp;A19,""VOLUME"")"),1565953)</f>
        <v>1565953</v>
      </c>
      <c r="J19" s="63">
        <f ca="1">IFERROR(__xludf.DUMMYFUNCTION("googlefinance(""nse:""&amp;A19,""closeyest"")"),960.3)</f>
        <v>960.3</v>
      </c>
      <c r="K19" s="65" t="str">
        <f ca="1">IFERROR(__xludf.DUMMYFUNCTION("INDEX( GoogleFinance( ""NSE:""&amp;A19 , ""all"" , TODAY()-4) , 2, 3)"),"#N/A")</f>
        <v>#N/A</v>
      </c>
      <c r="L19" s="66" t="str">
        <f ca="1">IFERROR(__xludf.DUMMYFUNCTION("INDEX( GoogleFinance(""NSE:""&amp;A19 , ""all"" , TODAY()-4 ) , 2, 4)"),"#N/A")</f>
        <v>#N/A</v>
      </c>
      <c r="M19" s="67" t="str">
        <f ca="1">IFERROR(__xludf.DUMMYFUNCTION("INDEX( GoogleFinance( ""NSE:""&amp;A19 , ""all"" , TODAY()-4) , 2, 2)"),"#N/A")</f>
        <v>#N/A</v>
      </c>
      <c r="N19" s="68" t="str">
        <f ca="1">IFERROR(__xludf.DUMMYFUNCTION("INDEX( GoogleFinance( ""NSE:""&amp;A19 , ""all"" , TODAY()-4) , 2, 6)"),"#N/A")</f>
        <v>#N/A</v>
      </c>
      <c r="O19" s="69" t="str">
        <f t="shared" ca="1" si="1"/>
        <v/>
      </c>
      <c r="P19" s="69" t="e">
        <f t="shared" ca="1" si="2"/>
        <v>#VALUE!</v>
      </c>
      <c r="Q19" s="69" t="e">
        <f t="shared" ca="1" si="3"/>
        <v>#VALUE!</v>
      </c>
      <c r="R19" s="69" t="e">
        <f t="shared" ref="R19:R115" ca="1" si="23">IF(P19="BUY",L19,"")</f>
        <v>#VALUE!</v>
      </c>
      <c r="S19" s="69" t="e">
        <f t="shared" ca="1" si="5"/>
        <v>#VALUE!</v>
      </c>
      <c r="T19" s="69" t="e">
        <f t="shared" ca="1" si="6"/>
        <v>#VALUE!</v>
      </c>
      <c r="U19" s="69" t="e">
        <f t="shared" ca="1" si="7"/>
        <v>#VALUE!</v>
      </c>
      <c r="V19" s="69" t="e">
        <f t="shared" ca="1" si="22"/>
        <v>#VALUE!</v>
      </c>
      <c r="W19" s="70" t="str">
        <f t="shared" ca="1" si="9"/>
        <v/>
      </c>
      <c r="X19" s="70" t="e">
        <f t="shared" ca="1" si="10"/>
        <v>#VALUE!</v>
      </c>
      <c r="Y19" s="70" t="e">
        <f t="shared" ca="1" si="11"/>
        <v>#VALUE!</v>
      </c>
      <c r="Z19" s="71" t="e">
        <f t="shared" ca="1" si="12"/>
        <v>#VALUE!</v>
      </c>
      <c r="AA19" s="72" t="e">
        <f t="shared" ca="1" si="13"/>
        <v>#VALUE!</v>
      </c>
      <c r="AB19" s="72" t="e">
        <f t="shared" ca="1" si="14"/>
        <v>#VALUE!</v>
      </c>
      <c r="AC19" s="72" t="e">
        <f t="shared" ca="1" si="15"/>
        <v>#VALUE!</v>
      </c>
      <c r="AD19" s="73" t="e">
        <f t="shared" ca="1" si="16"/>
        <v>#VALUE!</v>
      </c>
      <c r="AE19" s="19" t="e">
        <f t="shared" ca="1" si="17"/>
        <v>#VALUE!</v>
      </c>
      <c r="AF19" s="74" t="str">
        <f t="shared" ca="1" si="18"/>
        <v>Below D1 Low</v>
      </c>
      <c r="AG19" s="17" t="str">
        <f t="shared" ca="1" si="19"/>
        <v>Sell</v>
      </c>
      <c r="AH19" s="17" t="str">
        <f t="shared" ca="1" si="20"/>
        <v>SELL</v>
      </c>
      <c r="AI19" s="75">
        <f ca="1">IFERROR(__xludf.DUMMYFUNCTION("AVERAGE.WEIGHTED((G19+H19+B19)/3, I19)"),954.3)</f>
        <v>954.3</v>
      </c>
      <c r="AJ19" s="75" t="str">
        <f ca="1">IFERROR(__xludf.DUMMYFUNCTION("AVERAGE.WEIGHTED((K19+L19+J19)/3, N19)"),"#N/A")</f>
        <v>#N/A</v>
      </c>
      <c r="AK19" s="75" t="str">
        <f t="shared" ca="1" si="21"/>
        <v>SELL</v>
      </c>
      <c r="AL19" s="31"/>
      <c r="AM19" s="80"/>
      <c r="AN19" s="80" t="s">
        <v>131</v>
      </c>
      <c r="AO19" s="79" t="s">
        <v>125</v>
      </c>
      <c r="AP19" s="36"/>
      <c r="AQ19" s="36"/>
      <c r="AR19" s="36"/>
    </row>
    <row r="20" spans="1:44" ht="15.75" customHeight="1">
      <c r="A20" s="61" t="s">
        <v>72</v>
      </c>
      <c r="B20" s="62">
        <f ca="1">IFERROR(__xludf.DUMMYFUNCTION("googlefinance(""nse:""&amp;A20,""price"")"),263.7)</f>
        <v>263.7</v>
      </c>
      <c r="C20" s="63" t="str">
        <f t="shared" ca="1" si="0"/>
        <v>BUY</v>
      </c>
      <c r="D20" s="63">
        <f ca="1">IFERROR(__xludf.DUMMYFUNCTION("googlefinance(""nse:""&amp;A20,""changepct"")"),12.48)</f>
        <v>12.48</v>
      </c>
      <c r="E20" s="63">
        <f ca="1">IFERROR(__xludf.DUMMYFUNCTION("googlefinance(""nse:""&amp;A20,""change"")"),29.25)</f>
        <v>29.25</v>
      </c>
      <c r="F20" s="63">
        <f ca="1">IFERROR(__xludf.DUMMYFUNCTION("googlefinance(""nse:""&amp;A20,""priceopen"")"),245.05)</f>
        <v>245.05</v>
      </c>
      <c r="G20" s="63">
        <f ca="1">IFERROR(__xludf.DUMMYFUNCTION("googlefinance(""nse:""&amp;A20,""HIGH"")"),266.45)</f>
        <v>266.45</v>
      </c>
      <c r="H20" s="63">
        <f ca="1">IFERROR(__xludf.DUMMYFUNCTION("googlefinance(""nse:""&amp;A20,""LOW"")"),245.05)</f>
        <v>245.05</v>
      </c>
      <c r="I20" s="63">
        <f ca="1">IFERROR(__xludf.DUMMYFUNCTION("googlefinance(""nse:""&amp;A20,""VOLUME"")"),28033566)</f>
        <v>28033566</v>
      </c>
      <c r="J20" s="63">
        <f ca="1">IFERROR(__xludf.DUMMYFUNCTION("googlefinance(""nse:""&amp;A20,""closeyest"")"),234.45)</f>
        <v>234.45</v>
      </c>
      <c r="K20" s="65" t="str">
        <f ca="1">IFERROR(__xludf.DUMMYFUNCTION("INDEX( GoogleFinance( ""NSE:""&amp;A20 , ""all"" , TODAY()-4) , 2, 3)"),"#N/A")</f>
        <v>#N/A</v>
      </c>
      <c r="L20" s="66" t="str">
        <f ca="1">IFERROR(__xludf.DUMMYFUNCTION("INDEX( GoogleFinance(""NSE:""&amp;A20 , ""all"" , TODAY()-4 ) , 2, 4)"),"#N/A")</f>
        <v>#N/A</v>
      </c>
      <c r="M20" s="67" t="str">
        <f ca="1">IFERROR(__xludf.DUMMYFUNCTION("INDEX( GoogleFinance( ""NSE:""&amp;A20 , ""all"" , TODAY()-4) , 2, 2)"),"#N/A")</f>
        <v>#N/A</v>
      </c>
      <c r="N20" s="68" t="str">
        <f ca="1">IFERROR(__xludf.DUMMYFUNCTION("INDEX( GoogleFinance( ""NSE:""&amp;A20 , ""all"" , TODAY()-4) , 2, 6)"),"#N/A")</f>
        <v>#N/A</v>
      </c>
      <c r="O20" s="69" t="str">
        <f t="shared" ca="1" si="1"/>
        <v/>
      </c>
      <c r="P20" s="69" t="e">
        <f t="shared" ca="1" si="2"/>
        <v>#VALUE!</v>
      </c>
      <c r="Q20" s="69" t="e">
        <f t="shared" ca="1" si="3"/>
        <v>#VALUE!</v>
      </c>
      <c r="R20" s="69" t="e">
        <f t="shared" ca="1" si="23"/>
        <v>#VALUE!</v>
      </c>
      <c r="S20" s="69" t="e">
        <f t="shared" ca="1" si="5"/>
        <v>#VALUE!</v>
      </c>
      <c r="T20" s="69" t="e">
        <f t="shared" ca="1" si="6"/>
        <v>#VALUE!</v>
      </c>
      <c r="U20" s="69" t="e">
        <f t="shared" ca="1" si="7"/>
        <v>#VALUE!</v>
      </c>
      <c r="V20" s="69" t="e">
        <f t="shared" ca="1" si="22"/>
        <v>#VALUE!</v>
      </c>
      <c r="W20" s="70" t="str">
        <f t="shared" ca="1" si="9"/>
        <v/>
      </c>
      <c r="X20" s="70" t="e">
        <f t="shared" ca="1" si="10"/>
        <v>#VALUE!</v>
      </c>
      <c r="Y20" s="70" t="e">
        <f t="shared" ca="1" si="11"/>
        <v>#VALUE!</v>
      </c>
      <c r="Z20" s="71" t="e">
        <f t="shared" ca="1" si="12"/>
        <v>#VALUE!</v>
      </c>
      <c r="AA20" s="72" t="e">
        <f t="shared" ca="1" si="13"/>
        <v>#VALUE!</v>
      </c>
      <c r="AB20" s="72" t="e">
        <f t="shared" ca="1" si="14"/>
        <v>#VALUE!</v>
      </c>
      <c r="AC20" s="72" t="e">
        <f t="shared" ca="1" si="15"/>
        <v>#VALUE!</v>
      </c>
      <c r="AD20" s="73" t="e">
        <f t="shared" ca="1" si="16"/>
        <v>#VALUE!</v>
      </c>
      <c r="AE20" s="19" t="e">
        <f t="shared" ca="1" si="17"/>
        <v>#VALUE!</v>
      </c>
      <c r="AF20" s="74" t="str">
        <f t="shared" ca="1" si="18"/>
        <v>Below D1 Low</v>
      </c>
      <c r="AG20" s="17" t="str">
        <f t="shared" ca="1" si="19"/>
        <v>Sell</v>
      </c>
      <c r="AH20" s="17" t="str">
        <f t="shared" ca="1" si="20"/>
        <v>SELL</v>
      </c>
      <c r="AI20" s="75">
        <f ca="1">IFERROR(__xludf.DUMMYFUNCTION("AVERAGE.WEIGHTED((G20+H20+B20)/3, I20)"),258.4)</f>
        <v>258.39999999999998</v>
      </c>
      <c r="AJ20" s="75" t="str">
        <f ca="1">IFERROR(__xludf.DUMMYFUNCTION("AVERAGE.WEIGHTED((K20+L20+J20)/3, N20)"),"#N/A")</f>
        <v>#N/A</v>
      </c>
      <c r="AK20" s="75" t="str">
        <f t="shared" ca="1" si="21"/>
        <v>SELL</v>
      </c>
      <c r="AL20" s="31"/>
      <c r="AM20" s="80"/>
      <c r="AN20" s="80" t="s">
        <v>134</v>
      </c>
      <c r="AO20" s="79" t="s">
        <v>135</v>
      </c>
      <c r="AP20" s="36"/>
      <c r="AQ20" s="36"/>
      <c r="AR20" s="36"/>
    </row>
    <row r="21" spans="1:44" ht="15.75" customHeight="1">
      <c r="A21" s="61" t="s">
        <v>73</v>
      </c>
      <c r="B21" s="62">
        <f ca="1">IFERROR(__xludf.DUMMYFUNCTION("googlefinance(""nse:""&amp;A21,""price"")"),49.25)</f>
        <v>49.25</v>
      </c>
      <c r="C21" s="63">
        <f t="shared" ca="1" si="0"/>
        <v>0</v>
      </c>
      <c r="D21" s="63">
        <f ca="1">IFERROR(__xludf.DUMMYFUNCTION("googlefinance(""nse:""&amp;A21,""changepct"")"),2.39)</f>
        <v>2.39</v>
      </c>
      <c r="E21" s="63">
        <f ca="1">IFERROR(__xludf.DUMMYFUNCTION("googlefinance(""nse:""&amp;A21,""change"")"),1.15)</f>
        <v>1.1499999999999999</v>
      </c>
      <c r="F21" s="63">
        <f ca="1">IFERROR(__xludf.DUMMYFUNCTION("googlefinance(""nse:""&amp;A21,""priceopen"")"),49)</f>
        <v>49</v>
      </c>
      <c r="G21" s="63">
        <f ca="1">IFERROR(__xludf.DUMMYFUNCTION("googlefinance(""nse:""&amp;A21,""HIGH"")"),51.25)</f>
        <v>51.25</v>
      </c>
      <c r="H21" s="63">
        <f ca="1">IFERROR(__xludf.DUMMYFUNCTION("googlefinance(""nse:""&amp;A21,""LOW"")"),48.4)</f>
        <v>48.4</v>
      </c>
      <c r="I21" s="63">
        <f ca="1">IFERROR(__xludf.DUMMYFUNCTION("googlefinance(""nse:""&amp;A21,""VOLUME"")"),41912287)</f>
        <v>41912287</v>
      </c>
      <c r="J21" s="63">
        <f ca="1">IFERROR(__xludf.DUMMYFUNCTION("googlefinance(""nse:""&amp;A21,""closeyest"")"),48.1)</f>
        <v>48.1</v>
      </c>
      <c r="K21" s="65" t="str">
        <f ca="1">IFERROR(__xludf.DUMMYFUNCTION("INDEX( GoogleFinance( ""NSE:""&amp;A21 , ""all"" , TODAY()-4) , 2, 3)"),"#N/A")</f>
        <v>#N/A</v>
      </c>
      <c r="L21" s="66" t="str">
        <f ca="1">IFERROR(__xludf.DUMMYFUNCTION("INDEX( GoogleFinance(""NSE:""&amp;A21 , ""all"" , TODAY()-4 ) , 2, 4)"),"#N/A")</f>
        <v>#N/A</v>
      </c>
      <c r="M21" s="67" t="str">
        <f ca="1">IFERROR(__xludf.DUMMYFUNCTION("INDEX( GoogleFinance( ""NSE:""&amp;A21 , ""all"" , TODAY()-4) , 2, 2)"),"#N/A")</f>
        <v>#N/A</v>
      </c>
      <c r="N21" s="68" t="str">
        <f ca="1">IFERROR(__xludf.DUMMYFUNCTION("INDEX( GoogleFinance( ""NSE:""&amp;A21 , ""all"" , TODAY()-4) , 2, 6)"),"#N/A")</f>
        <v>#N/A</v>
      </c>
      <c r="O21" s="69" t="str">
        <f t="shared" ca="1" si="1"/>
        <v/>
      </c>
      <c r="P21" s="69" t="e">
        <f t="shared" ca="1" si="2"/>
        <v>#VALUE!</v>
      </c>
      <c r="Q21" s="69" t="e">
        <f t="shared" ca="1" si="3"/>
        <v>#VALUE!</v>
      </c>
      <c r="R21" s="69" t="e">
        <f t="shared" ca="1" si="23"/>
        <v>#VALUE!</v>
      </c>
      <c r="S21" s="69" t="e">
        <f t="shared" ca="1" si="5"/>
        <v>#VALUE!</v>
      </c>
      <c r="T21" s="69" t="e">
        <f t="shared" ca="1" si="6"/>
        <v>#VALUE!</v>
      </c>
      <c r="U21" s="69" t="e">
        <f t="shared" ca="1" si="7"/>
        <v>#VALUE!</v>
      </c>
      <c r="V21" s="69" t="e">
        <f t="shared" ca="1" si="22"/>
        <v>#VALUE!</v>
      </c>
      <c r="W21" s="70" t="str">
        <f t="shared" ca="1" si="9"/>
        <v/>
      </c>
      <c r="X21" s="70" t="e">
        <f t="shared" ca="1" si="10"/>
        <v>#VALUE!</v>
      </c>
      <c r="Y21" s="70" t="e">
        <f t="shared" ca="1" si="11"/>
        <v>#VALUE!</v>
      </c>
      <c r="Z21" s="71" t="e">
        <f t="shared" ca="1" si="12"/>
        <v>#VALUE!</v>
      </c>
      <c r="AA21" s="72" t="e">
        <f t="shared" ca="1" si="13"/>
        <v>#VALUE!</v>
      </c>
      <c r="AB21" s="72" t="e">
        <f t="shared" ca="1" si="14"/>
        <v>#VALUE!</v>
      </c>
      <c r="AC21" s="72" t="e">
        <f t="shared" ca="1" si="15"/>
        <v>#VALUE!</v>
      </c>
      <c r="AD21" s="73" t="e">
        <f t="shared" ca="1" si="16"/>
        <v>#VALUE!</v>
      </c>
      <c r="AE21" s="19" t="e">
        <f t="shared" ca="1" si="17"/>
        <v>#VALUE!</v>
      </c>
      <c r="AF21" s="74" t="str">
        <f t="shared" ca="1" si="18"/>
        <v>Below D1 Low</v>
      </c>
      <c r="AG21" s="17" t="str">
        <f t="shared" ca="1" si="19"/>
        <v>Sell</v>
      </c>
      <c r="AH21" s="17" t="str">
        <f t="shared" ca="1" si="20"/>
        <v>SELL</v>
      </c>
      <c r="AI21" s="75">
        <f ca="1">IFERROR(__xludf.DUMMYFUNCTION("AVERAGE.WEIGHTED((G21+H21+B21)/3, I21)"),49.6333333333333)</f>
        <v>49.633333333333297</v>
      </c>
      <c r="AJ21" s="75" t="str">
        <f ca="1">IFERROR(__xludf.DUMMYFUNCTION("AVERAGE.WEIGHTED((K21+L21+J21)/3, N21)"),"#N/A")</f>
        <v>#N/A</v>
      </c>
      <c r="AK21" s="75" t="str">
        <f t="shared" ca="1" si="21"/>
        <v>SELL</v>
      </c>
      <c r="AL21" s="31"/>
      <c r="AM21" s="31"/>
      <c r="AN21" s="31"/>
      <c r="AO21" s="31"/>
      <c r="AP21" s="31"/>
      <c r="AQ21" s="31"/>
      <c r="AR21" s="31"/>
    </row>
    <row r="22" spans="1:44" ht="15.75" customHeight="1">
      <c r="A22" s="61" t="s">
        <v>74</v>
      </c>
      <c r="B22" s="62">
        <f ca="1">IFERROR(__xludf.DUMMYFUNCTION("googlefinance(""nse:""&amp;A22,""price"")"),1382)</f>
        <v>1382</v>
      </c>
      <c r="C22" s="63">
        <f t="shared" ca="1" si="0"/>
        <v>0</v>
      </c>
      <c r="D22" s="63">
        <f ca="1">IFERROR(__xludf.DUMMYFUNCTION("googlefinance(""nse:""&amp;A22,""changepct"")"),3.28)</f>
        <v>3.28</v>
      </c>
      <c r="E22" s="63">
        <f ca="1">IFERROR(__xludf.DUMMYFUNCTION("googlefinance(""nse:""&amp;A22,""change"")"),43.85)</f>
        <v>43.85</v>
      </c>
      <c r="F22" s="63">
        <f ca="1">IFERROR(__xludf.DUMMYFUNCTION("googlefinance(""nse:""&amp;A22,""priceopen"")"),1355)</f>
        <v>1355</v>
      </c>
      <c r="G22" s="63">
        <f ca="1">IFERROR(__xludf.DUMMYFUNCTION("googlefinance(""nse:""&amp;A22,""HIGH"")"),1382)</f>
        <v>1382</v>
      </c>
      <c r="H22" s="63">
        <f ca="1">IFERROR(__xludf.DUMMYFUNCTION("googlefinance(""nse:""&amp;A22,""LOW"")"),1320)</f>
        <v>1320</v>
      </c>
      <c r="I22" s="63">
        <f ca="1">IFERROR(__xludf.DUMMYFUNCTION("googlefinance(""nse:""&amp;A22,""VOLUME"")"),1561853)</f>
        <v>1561853</v>
      </c>
      <c r="J22" s="63">
        <f ca="1">IFERROR(__xludf.DUMMYFUNCTION("googlefinance(""nse:""&amp;A22,""closeyest"")"),1338.15)</f>
        <v>1338.15</v>
      </c>
      <c r="K22" s="65" t="str">
        <f ca="1">IFERROR(__xludf.DUMMYFUNCTION("INDEX( GoogleFinance( ""NSE:""&amp;A22 , ""all"" , TODAY()-4) , 2, 3)"),"#N/A")</f>
        <v>#N/A</v>
      </c>
      <c r="L22" s="66" t="str">
        <f ca="1">IFERROR(__xludf.DUMMYFUNCTION("INDEX( GoogleFinance(""NSE:""&amp;A22 , ""all"" , TODAY()-4 ) , 2, 4)"),"#N/A")</f>
        <v>#N/A</v>
      </c>
      <c r="M22" s="67" t="str">
        <f ca="1">IFERROR(__xludf.DUMMYFUNCTION("INDEX( GoogleFinance( ""NSE:""&amp;A22 , ""all"" , TODAY()-4) , 2, 2)"),"#N/A")</f>
        <v>#N/A</v>
      </c>
      <c r="N22" s="68" t="str">
        <f ca="1">IFERROR(__xludf.DUMMYFUNCTION("INDEX( GoogleFinance( ""NSE:""&amp;A22 , ""all"" , TODAY()-4) , 2, 6)"),"#N/A")</f>
        <v>#N/A</v>
      </c>
      <c r="O22" s="69" t="str">
        <f t="shared" ca="1" si="1"/>
        <v/>
      </c>
      <c r="P22" s="69" t="e">
        <f t="shared" ca="1" si="2"/>
        <v>#VALUE!</v>
      </c>
      <c r="Q22" s="69" t="e">
        <f t="shared" ca="1" si="3"/>
        <v>#VALUE!</v>
      </c>
      <c r="R22" s="69" t="e">
        <f t="shared" ca="1" si="23"/>
        <v>#VALUE!</v>
      </c>
      <c r="S22" s="69" t="e">
        <f t="shared" ca="1" si="5"/>
        <v>#VALUE!</v>
      </c>
      <c r="T22" s="69" t="e">
        <f t="shared" ca="1" si="6"/>
        <v>#VALUE!</v>
      </c>
      <c r="U22" s="69" t="e">
        <f t="shared" ca="1" si="7"/>
        <v>#VALUE!</v>
      </c>
      <c r="V22" s="69" t="e">
        <f t="shared" ca="1" si="22"/>
        <v>#VALUE!</v>
      </c>
      <c r="W22" s="70" t="str">
        <f t="shared" ca="1" si="9"/>
        <v/>
      </c>
      <c r="X22" s="70" t="e">
        <f t="shared" ca="1" si="10"/>
        <v>#VALUE!</v>
      </c>
      <c r="Y22" s="70" t="e">
        <f t="shared" ca="1" si="11"/>
        <v>#VALUE!</v>
      </c>
      <c r="Z22" s="71" t="e">
        <f t="shared" ca="1" si="12"/>
        <v>#VALUE!</v>
      </c>
      <c r="AA22" s="72" t="e">
        <f t="shared" ca="1" si="13"/>
        <v>#VALUE!</v>
      </c>
      <c r="AB22" s="72" t="e">
        <f t="shared" ca="1" si="14"/>
        <v>#VALUE!</v>
      </c>
      <c r="AC22" s="72" t="e">
        <f t="shared" ca="1" si="15"/>
        <v>#VALUE!</v>
      </c>
      <c r="AD22" s="73" t="e">
        <f t="shared" ca="1" si="16"/>
        <v>#VALUE!</v>
      </c>
      <c r="AE22" s="19" t="e">
        <f t="shared" ca="1" si="17"/>
        <v>#VALUE!</v>
      </c>
      <c r="AF22" s="74" t="str">
        <f t="shared" ca="1" si="18"/>
        <v>Below D1 Low</v>
      </c>
      <c r="AG22" s="17" t="str">
        <f t="shared" ca="1" si="19"/>
        <v>Sell</v>
      </c>
      <c r="AH22" s="17" t="str">
        <f t="shared" ca="1" si="20"/>
        <v>SELL</v>
      </c>
      <c r="AI22" s="75">
        <f ca="1">IFERROR(__xludf.DUMMYFUNCTION("AVERAGE.WEIGHTED((G22+H22+B22)/3, I22)"),1361.33333333333)</f>
        <v>1361.3333333333301</v>
      </c>
      <c r="AJ22" s="75" t="str">
        <f ca="1">IFERROR(__xludf.DUMMYFUNCTION("AVERAGE.WEIGHTED((K22+L22+J22)/3, N22)"),"#N/A")</f>
        <v>#N/A</v>
      </c>
      <c r="AK22" s="75" t="str">
        <f t="shared" ca="1" si="21"/>
        <v>SELL</v>
      </c>
      <c r="AL22" s="31"/>
      <c r="AM22" s="31"/>
      <c r="AN22" s="31"/>
      <c r="AO22" s="31"/>
      <c r="AP22" s="31"/>
      <c r="AQ22" s="31"/>
      <c r="AR22" s="31"/>
    </row>
    <row r="23" spans="1:44" ht="15.75" customHeight="1">
      <c r="A23" s="61" t="s">
        <v>75</v>
      </c>
      <c r="B23" s="62">
        <f ca="1">IFERROR(__xludf.DUMMYFUNCTION("googlefinance(""nse:""&amp;A23,""price"")"),72.05)</f>
        <v>72.05</v>
      </c>
      <c r="C23" s="63">
        <f t="shared" ca="1" si="0"/>
        <v>0</v>
      </c>
      <c r="D23" s="63">
        <f ca="1">IFERROR(__xludf.DUMMYFUNCTION("googlefinance(""nse:""&amp;A23,""changepct"")"),-1.5)</f>
        <v>-1.5</v>
      </c>
      <c r="E23" s="63">
        <f ca="1">IFERROR(__xludf.DUMMYFUNCTION("googlefinance(""nse:""&amp;A23,""change"")"),-1.1)</f>
        <v>-1.1000000000000001</v>
      </c>
      <c r="F23" s="63">
        <f ca="1">IFERROR(__xludf.DUMMYFUNCTION("googlefinance(""nse:""&amp;A23,""priceopen"")"),74.1)</f>
        <v>74.099999999999994</v>
      </c>
      <c r="G23" s="63">
        <f ca="1">IFERROR(__xludf.DUMMYFUNCTION("googlefinance(""nse:""&amp;A23,""HIGH"")"),74.45)</f>
        <v>74.45</v>
      </c>
      <c r="H23" s="63">
        <f ca="1">IFERROR(__xludf.DUMMYFUNCTION("googlefinance(""nse:""&amp;A23,""LOW"")"),71.35)</f>
        <v>71.349999999999994</v>
      </c>
      <c r="I23" s="63">
        <f ca="1">IFERROR(__xludf.DUMMYFUNCTION("googlefinance(""nse:""&amp;A23,""VOLUME"")"),17110089)</f>
        <v>17110089</v>
      </c>
      <c r="J23" s="63">
        <f ca="1">IFERROR(__xludf.DUMMYFUNCTION("googlefinance(""nse:""&amp;A23,""closeyest"")"),73.15)</f>
        <v>73.150000000000006</v>
      </c>
      <c r="K23" s="65" t="str">
        <f ca="1">IFERROR(__xludf.DUMMYFUNCTION("INDEX( GoogleFinance( ""NSE:""&amp;A23 , ""all"" , TODAY()-4) , 2, 3)"),"#N/A")</f>
        <v>#N/A</v>
      </c>
      <c r="L23" s="66" t="str">
        <f ca="1">IFERROR(__xludf.DUMMYFUNCTION("INDEX( GoogleFinance(""NSE:""&amp;A23 , ""all"" , TODAY()-4 ) , 2, 4)"),"#N/A")</f>
        <v>#N/A</v>
      </c>
      <c r="M23" s="67" t="str">
        <f ca="1">IFERROR(__xludf.DUMMYFUNCTION("INDEX( GoogleFinance( ""NSE:""&amp;A23 , ""all"" , TODAY()-4) , 2, 2)"),"#N/A")</f>
        <v>#N/A</v>
      </c>
      <c r="N23" s="68" t="str">
        <f ca="1">IFERROR(__xludf.DUMMYFUNCTION("INDEX( GoogleFinance( ""NSE:""&amp;A23 , ""all"" , TODAY()-4) , 2, 6)"),"#N/A")</f>
        <v>#N/A</v>
      </c>
      <c r="O23" s="69" t="str">
        <f t="shared" ca="1" si="1"/>
        <v/>
      </c>
      <c r="P23" s="69" t="e">
        <f t="shared" ca="1" si="2"/>
        <v>#VALUE!</v>
      </c>
      <c r="Q23" s="69" t="e">
        <f t="shared" ca="1" si="3"/>
        <v>#VALUE!</v>
      </c>
      <c r="R23" s="69" t="e">
        <f t="shared" ca="1" si="23"/>
        <v>#VALUE!</v>
      </c>
      <c r="S23" s="69" t="e">
        <f t="shared" ca="1" si="5"/>
        <v>#VALUE!</v>
      </c>
      <c r="T23" s="69" t="e">
        <f t="shared" ca="1" si="6"/>
        <v>#VALUE!</v>
      </c>
      <c r="U23" s="69" t="e">
        <f t="shared" ca="1" si="7"/>
        <v>#VALUE!</v>
      </c>
      <c r="V23" s="69" t="e">
        <f t="shared" ca="1" si="22"/>
        <v>#VALUE!</v>
      </c>
      <c r="W23" s="70" t="str">
        <f t="shared" ca="1" si="9"/>
        <v/>
      </c>
      <c r="X23" s="70" t="e">
        <f t="shared" ca="1" si="10"/>
        <v>#VALUE!</v>
      </c>
      <c r="Y23" s="70" t="e">
        <f t="shared" ca="1" si="11"/>
        <v>#VALUE!</v>
      </c>
      <c r="Z23" s="71" t="e">
        <f t="shared" ca="1" si="12"/>
        <v>#VALUE!</v>
      </c>
      <c r="AA23" s="72" t="e">
        <f t="shared" ca="1" si="13"/>
        <v>#VALUE!</v>
      </c>
      <c r="AB23" s="72" t="e">
        <f t="shared" ca="1" si="14"/>
        <v>#VALUE!</v>
      </c>
      <c r="AC23" s="72" t="e">
        <f t="shared" ca="1" si="15"/>
        <v>#VALUE!</v>
      </c>
      <c r="AD23" s="73" t="e">
        <f t="shared" ca="1" si="16"/>
        <v>#VALUE!</v>
      </c>
      <c r="AE23" s="19" t="e">
        <f t="shared" ca="1" si="17"/>
        <v>#VALUE!</v>
      </c>
      <c r="AF23" s="74" t="str">
        <f t="shared" ca="1" si="18"/>
        <v>Below D1 Low</v>
      </c>
      <c r="AG23" s="17" t="str">
        <f t="shared" ca="1" si="19"/>
        <v>Sell</v>
      </c>
      <c r="AH23" s="17" t="str">
        <f t="shared" ca="1" si="20"/>
        <v>SELL</v>
      </c>
      <c r="AI23" s="75">
        <f ca="1">IFERROR(__xludf.DUMMYFUNCTION("AVERAGE.WEIGHTED((G23+H23+B23)/3, I23)"),72.6166666666666)</f>
        <v>72.616666666666603</v>
      </c>
      <c r="AJ23" s="75" t="str">
        <f ca="1">IFERROR(__xludf.DUMMYFUNCTION("AVERAGE.WEIGHTED((K23+L23+J23)/3, N23)"),"#N/A")</f>
        <v>#N/A</v>
      </c>
      <c r="AK23" s="75" t="str">
        <f t="shared" ca="1" si="21"/>
        <v>SELL</v>
      </c>
      <c r="AL23" s="31"/>
      <c r="AM23" s="31"/>
      <c r="AN23" s="31"/>
      <c r="AO23" s="31"/>
      <c r="AP23" s="31"/>
      <c r="AQ23" s="31"/>
      <c r="AR23" s="31"/>
    </row>
    <row r="24" spans="1:44" ht="15.75" customHeight="1">
      <c r="A24" s="61" t="s">
        <v>76</v>
      </c>
      <c r="B24" s="62">
        <f ca="1">IFERROR(__xludf.DUMMYFUNCTION("googlefinance(""nse:""&amp;A24,""price"")"),507)</f>
        <v>507</v>
      </c>
      <c r="C24" s="63">
        <f t="shared" ca="1" si="0"/>
        <v>0</v>
      </c>
      <c r="D24" s="63">
        <f ca="1">IFERROR(__xludf.DUMMYFUNCTION("googlefinance(""nse:""&amp;A24,""changepct"")"),-1.98)</f>
        <v>-1.98</v>
      </c>
      <c r="E24" s="63">
        <f ca="1">IFERROR(__xludf.DUMMYFUNCTION("googlefinance(""nse:""&amp;A24,""change"")"),-10.25)</f>
        <v>-10.25</v>
      </c>
      <c r="F24" s="63">
        <f ca="1">IFERROR(__xludf.DUMMYFUNCTION("googlefinance(""nse:""&amp;A24,""priceopen"")"),515)</f>
        <v>515</v>
      </c>
      <c r="G24" s="63">
        <f ca="1">IFERROR(__xludf.DUMMYFUNCTION("googlefinance(""nse:""&amp;A24,""HIGH"")"),517.25)</f>
        <v>517.25</v>
      </c>
      <c r="H24" s="63">
        <f ca="1">IFERROR(__xludf.DUMMYFUNCTION("googlefinance(""nse:""&amp;A24,""LOW"")"),502.55)</f>
        <v>502.55</v>
      </c>
      <c r="I24" s="63">
        <f ca="1">IFERROR(__xludf.DUMMYFUNCTION("googlefinance(""nse:""&amp;A24,""VOLUME"")"),2294731)</f>
        <v>2294731</v>
      </c>
      <c r="J24" s="63">
        <f ca="1">IFERROR(__xludf.DUMMYFUNCTION("googlefinance(""nse:""&amp;A24,""closeyest"")"),517.25)</f>
        <v>517.25</v>
      </c>
      <c r="K24" s="65" t="str">
        <f ca="1">IFERROR(__xludf.DUMMYFUNCTION("INDEX( GoogleFinance( ""NSE:""&amp;A24 , ""all"" , TODAY()-4) , 2, 3)"),"#N/A")</f>
        <v>#N/A</v>
      </c>
      <c r="L24" s="66" t="str">
        <f ca="1">IFERROR(__xludf.DUMMYFUNCTION("INDEX( GoogleFinance(""NSE:""&amp;A24 , ""all"" , TODAY()-4 ) , 2, 4)"),"#N/A")</f>
        <v>#N/A</v>
      </c>
      <c r="M24" s="67" t="str">
        <f ca="1">IFERROR(__xludf.DUMMYFUNCTION("INDEX( GoogleFinance( ""NSE:""&amp;A24 , ""all"" , TODAY()-4) , 2, 2)"),"#N/A")</f>
        <v>#N/A</v>
      </c>
      <c r="N24" s="68" t="str">
        <f ca="1">IFERROR(__xludf.DUMMYFUNCTION("INDEX( GoogleFinance( ""NSE:""&amp;A24 , ""all"" , TODAY()-4) , 2, 6)"),"#N/A")</f>
        <v>#N/A</v>
      </c>
      <c r="O24" s="69" t="str">
        <f t="shared" ca="1" si="1"/>
        <v/>
      </c>
      <c r="P24" s="69" t="e">
        <f t="shared" ca="1" si="2"/>
        <v>#VALUE!</v>
      </c>
      <c r="Q24" s="69" t="e">
        <f t="shared" ca="1" si="3"/>
        <v>#VALUE!</v>
      </c>
      <c r="R24" s="69" t="e">
        <f t="shared" ca="1" si="23"/>
        <v>#VALUE!</v>
      </c>
      <c r="S24" s="69" t="e">
        <f t="shared" ca="1" si="5"/>
        <v>#VALUE!</v>
      </c>
      <c r="T24" s="69" t="e">
        <f t="shared" ca="1" si="6"/>
        <v>#VALUE!</v>
      </c>
      <c r="U24" s="69" t="e">
        <f t="shared" ca="1" si="7"/>
        <v>#VALUE!</v>
      </c>
      <c r="V24" s="69" t="e">
        <f t="shared" ca="1" si="22"/>
        <v>#VALUE!</v>
      </c>
      <c r="W24" s="70" t="str">
        <f t="shared" ca="1" si="9"/>
        <v/>
      </c>
      <c r="X24" s="70" t="e">
        <f t="shared" ca="1" si="10"/>
        <v>#VALUE!</v>
      </c>
      <c r="Y24" s="70" t="e">
        <f t="shared" ca="1" si="11"/>
        <v>#VALUE!</v>
      </c>
      <c r="Z24" s="71" t="e">
        <f t="shared" ca="1" si="12"/>
        <v>#VALUE!</v>
      </c>
      <c r="AA24" s="72" t="e">
        <f t="shared" ca="1" si="13"/>
        <v>#VALUE!</v>
      </c>
      <c r="AB24" s="72" t="e">
        <f t="shared" ca="1" si="14"/>
        <v>#VALUE!</v>
      </c>
      <c r="AC24" s="72" t="e">
        <f t="shared" ca="1" si="15"/>
        <v>#VALUE!</v>
      </c>
      <c r="AD24" s="73" t="e">
        <f t="shared" ca="1" si="16"/>
        <v>#VALUE!</v>
      </c>
      <c r="AE24" s="19" t="e">
        <f t="shared" ca="1" si="17"/>
        <v>#VALUE!</v>
      </c>
      <c r="AF24" s="74" t="str">
        <f t="shared" ca="1" si="18"/>
        <v>Below D1 Low</v>
      </c>
      <c r="AG24" s="17" t="str">
        <f t="shared" ca="1" si="19"/>
        <v>Sell</v>
      </c>
      <c r="AH24" s="17" t="str">
        <f t="shared" ca="1" si="20"/>
        <v>SELL</v>
      </c>
      <c r="AI24" s="75">
        <f ca="1">IFERROR(__xludf.DUMMYFUNCTION("AVERAGE.WEIGHTED((G24+H24+B24)/3, I24)"),508.933333333333)</f>
        <v>508.933333333333</v>
      </c>
      <c r="AJ24" s="75" t="str">
        <f ca="1">IFERROR(__xludf.DUMMYFUNCTION("AVERAGE.WEIGHTED((K24+L24+J24)/3, N24)"),"#N/A")</f>
        <v>#N/A</v>
      </c>
      <c r="AK24" s="75" t="str">
        <f t="shared" ca="1" si="21"/>
        <v>SELL</v>
      </c>
      <c r="AL24" s="31"/>
      <c r="AM24" s="31"/>
      <c r="AN24" s="31"/>
      <c r="AO24" s="31"/>
      <c r="AP24" s="31"/>
      <c r="AQ24" s="31"/>
      <c r="AR24" s="31"/>
    </row>
    <row r="25" spans="1:44" ht="15.75" customHeight="1">
      <c r="A25" s="61" t="s">
        <v>77</v>
      </c>
      <c r="B25" s="62">
        <f ca="1">IFERROR(__xludf.DUMMYFUNCTION("googlefinance(""nse:""&amp;A25,""price"")"),308.1)</f>
        <v>308.10000000000002</v>
      </c>
      <c r="C25" s="63">
        <f t="shared" ca="1" si="0"/>
        <v>0</v>
      </c>
      <c r="D25" s="63">
        <f ca="1">IFERROR(__xludf.DUMMYFUNCTION("googlefinance(""nse:""&amp;A25,""changepct"")"),9.24)</f>
        <v>9.24</v>
      </c>
      <c r="E25" s="63">
        <f ca="1">IFERROR(__xludf.DUMMYFUNCTION("googlefinance(""nse:""&amp;A25,""change"")"),26.05)</f>
        <v>26.05</v>
      </c>
      <c r="F25" s="63">
        <f ca="1">IFERROR(__xludf.DUMMYFUNCTION("googlefinance(""nse:""&amp;A25,""priceopen"")"),290)</f>
        <v>290</v>
      </c>
      <c r="G25" s="63">
        <f ca="1">IFERROR(__xludf.DUMMYFUNCTION("googlefinance(""nse:""&amp;A25,""HIGH"")"),324.35)</f>
        <v>324.35000000000002</v>
      </c>
      <c r="H25" s="63">
        <f ca="1">IFERROR(__xludf.DUMMYFUNCTION("googlefinance(""nse:""&amp;A25,""LOW"")"),287)</f>
        <v>287</v>
      </c>
      <c r="I25" s="63">
        <f ca="1">IFERROR(__xludf.DUMMYFUNCTION("googlefinance(""nse:""&amp;A25,""VOLUME"")"),8508750)</f>
        <v>8508750</v>
      </c>
      <c r="J25" s="63">
        <f ca="1">IFERROR(__xludf.DUMMYFUNCTION("googlefinance(""nse:""&amp;A25,""closeyest"")"),282.05)</f>
        <v>282.05</v>
      </c>
      <c r="K25" s="65" t="str">
        <f ca="1">IFERROR(__xludf.DUMMYFUNCTION("INDEX( GoogleFinance( ""NSE:""&amp;A25 , ""all"" , TODAY()-4) , 2, 3)"),"#N/A")</f>
        <v>#N/A</v>
      </c>
      <c r="L25" s="66" t="str">
        <f ca="1">IFERROR(__xludf.DUMMYFUNCTION("INDEX( GoogleFinance(""NSE:""&amp;A25 , ""all"" , TODAY()-4 ) , 2, 4)"),"#N/A")</f>
        <v>#N/A</v>
      </c>
      <c r="M25" s="67" t="str">
        <f ca="1">IFERROR(__xludf.DUMMYFUNCTION("INDEX( GoogleFinance( ""NSE:""&amp;A25 , ""all"" , TODAY()-4) , 2, 2)"),"#N/A")</f>
        <v>#N/A</v>
      </c>
      <c r="N25" s="68" t="str">
        <f ca="1">IFERROR(__xludf.DUMMYFUNCTION("INDEX( GoogleFinance( ""NSE:""&amp;A25 , ""all"" , TODAY()-4) , 2, 6)"),"#N/A")</f>
        <v>#N/A</v>
      </c>
      <c r="O25" s="69" t="str">
        <f t="shared" ca="1" si="1"/>
        <v/>
      </c>
      <c r="P25" s="69" t="e">
        <f t="shared" ca="1" si="2"/>
        <v>#VALUE!</v>
      </c>
      <c r="Q25" s="69" t="e">
        <f t="shared" ca="1" si="3"/>
        <v>#VALUE!</v>
      </c>
      <c r="R25" s="69" t="e">
        <f t="shared" ca="1" si="23"/>
        <v>#VALUE!</v>
      </c>
      <c r="S25" s="69" t="e">
        <f t="shared" ca="1" si="5"/>
        <v>#VALUE!</v>
      </c>
      <c r="T25" s="69" t="e">
        <f t="shared" ca="1" si="6"/>
        <v>#VALUE!</v>
      </c>
      <c r="U25" s="69" t="e">
        <f t="shared" ca="1" si="7"/>
        <v>#VALUE!</v>
      </c>
      <c r="V25" s="69" t="e">
        <f t="shared" ca="1" si="22"/>
        <v>#VALUE!</v>
      </c>
      <c r="W25" s="70" t="str">
        <f t="shared" ca="1" si="9"/>
        <v/>
      </c>
      <c r="X25" s="70" t="e">
        <f t="shared" ca="1" si="10"/>
        <v>#VALUE!</v>
      </c>
      <c r="Y25" s="70" t="e">
        <f t="shared" ca="1" si="11"/>
        <v>#VALUE!</v>
      </c>
      <c r="Z25" s="71" t="e">
        <f t="shared" ca="1" si="12"/>
        <v>#VALUE!</v>
      </c>
      <c r="AA25" s="72" t="e">
        <f t="shared" ca="1" si="13"/>
        <v>#VALUE!</v>
      </c>
      <c r="AB25" s="72" t="e">
        <f t="shared" ca="1" si="14"/>
        <v>#VALUE!</v>
      </c>
      <c r="AC25" s="72" t="e">
        <f t="shared" ca="1" si="15"/>
        <v>#VALUE!</v>
      </c>
      <c r="AD25" s="73" t="e">
        <f t="shared" ca="1" si="16"/>
        <v>#VALUE!</v>
      </c>
      <c r="AE25" s="19" t="e">
        <f t="shared" ca="1" si="17"/>
        <v>#VALUE!</v>
      </c>
      <c r="AF25" s="74" t="str">
        <f t="shared" ca="1" si="18"/>
        <v>Below D1 Low</v>
      </c>
      <c r="AG25" s="17" t="str">
        <f t="shared" ca="1" si="19"/>
        <v>Sell</v>
      </c>
      <c r="AH25" s="17" t="str">
        <f t="shared" ca="1" si="20"/>
        <v>SELL</v>
      </c>
      <c r="AI25" s="75">
        <f ca="1">IFERROR(__xludf.DUMMYFUNCTION("AVERAGE.WEIGHTED((G25+H25+B25)/3, I25)"),306.483333333333)</f>
        <v>306.48333333333301</v>
      </c>
      <c r="AJ25" s="75" t="str">
        <f ca="1">IFERROR(__xludf.DUMMYFUNCTION("AVERAGE.WEIGHTED((K25+L25+J25)/3, N25)"),"#N/A")</f>
        <v>#N/A</v>
      </c>
      <c r="AK25" s="75" t="str">
        <f t="shared" ca="1" si="21"/>
        <v>SELL</v>
      </c>
      <c r="AL25" s="31"/>
      <c r="AM25" s="31"/>
      <c r="AN25" s="31"/>
      <c r="AO25" s="31"/>
      <c r="AP25" s="31"/>
      <c r="AQ25" s="31"/>
      <c r="AR25" s="31"/>
    </row>
    <row r="26" spans="1:44" ht="15.75" customHeight="1">
      <c r="A26" s="61" t="s">
        <v>78</v>
      </c>
      <c r="B26" s="62">
        <f ca="1">IFERROR(__xludf.DUMMYFUNCTION("googlefinance(""nse:""&amp;A26,""price"")"),514.55)</f>
        <v>514.54999999999995</v>
      </c>
      <c r="C26" s="63">
        <f t="shared" ca="1" si="0"/>
        <v>0</v>
      </c>
      <c r="D26" s="63">
        <f ca="1">IFERROR(__xludf.DUMMYFUNCTION("googlefinance(""nse:""&amp;A26,""changepct"")"),3.74)</f>
        <v>3.74</v>
      </c>
      <c r="E26" s="63">
        <f ca="1">IFERROR(__xludf.DUMMYFUNCTION("googlefinance(""nse:""&amp;A26,""change"")"),18.55)</f>
        <v>18.55</v>
      </c>
      <c r="F26" s="63">
        <f ca="1">IFERROR(__xludf.DUMMYFUNCTION("googlefinance(""nse:""&amp;A26,""priceopen"")"),503.1)</f>
        <v>503.1</v>
      </c>
      <c r="G26" s="63">
        <f ca="1">IFERROR(__xludf.DUMMYFUNCTION("googlefinance(""nse:""&amp;A26,""HIGH"")"),515.95)</f>
        <v>515.95000000000005</v>
      </c>
      <c r="H26" s="63">
        <f ca="1">IFERROR(__xludf.DUMMYFUNCTION("googlefinance(""nse:""&amp;A26,""LOW"")"),495.2)</f>
        <v>495.2</v>
      </c>
      <c r="I26" s="63">
        <f ca="1">IFERROR(__xludf.DUMMYFUNCTION("googlefinance(""nse:""&amp;A26,""VOLUME"")"),19799179)</f>
        <v>19799179</v>
      </c>
      <c r="J26" s="63">
        <f ca="1">IFERROR(__xludf.DUMMYFUNCTION("googlefinance(""nse:""&amp;A26,""closeyest"")"),496)</f>
        <v>496</v>
      </c>
      <c r="K26" s="65" t="str">
        <f ca="1">IFERROR(__xludf.DUMMYFUNCTION("INDEX( GoogleFinance( ""NSE:""&amp;A26 , ""all"" , TODAY()-4) , 2, 3)"),"#N/A")</f>
        <v>#N/A</v>
      </c>
      <c r="L26" s="66" t="str">
        <f ca="1">IFERROR(__xludf.DUMMYFUNCTION("INDEX( GoogleFinance(""NSE:""&amp;A26 , ""all"" , TODAY()-4 ) , 2, 4)"),"#N/A")</f>
        <v>#N/A</v>
      </c>
      <c r="M26" s="67" t="str">
        <f ca="1">IFERROR(__xludf.DUMMYFUNCTION("INDEX( GoogleFinance( ""NSE:""&amp;A26 , ""all"" , TODAY()-4) , 2, 2)"),"#N/A")</f>
        <v>#N/A</v>
      </c>
      <c r="N26" s="68" t="str">
        <f ca="1">IFERROR(__xludf.DUMMYFUNCTION("INDEX( GoogleFinance( ""NSE:""&amp;A26 , ""all"" , TODAY()-4) , 2, 6)"),"#N/A")</f>
        <v>#N/A</v>
      </c>
      <c r="O26" s="69" t="str">
        <f t="shared" ca="1" si="1"/>
        <v/>
      </c>
      <c r="P26" s="69" t="e">
        <f t="shared" ca="1" si="2"/>
        <v>#VALUE!</v>
      </c>
      <c r="Q26" s="69" t="e">
        <f t="shared" ca="1" si="3"/>
        <v>#VALUE!</v>
      </c>
      <c r="R26" s="69" t="e">
        <f t="shared" ca="1" si="23"/>
        <v>#VALUE!</v>
      </c>
      <c r="S26" s="69" t="e">
        <f t="shared" ca="1" si="5"/>
        <v>#VALUE!</v>
      </c>
      <c r="T26" s="69" t="e">
        <f t="shared" ca="1" si="6"/>
        <v>#VALUE!</v>
      </c>
      <c r="U26" s="69" t="e">
        <f t="shared" ca="1" si="7"/>
        <v>#VALUE!</v>
      </c>
      <c r="V26" s="69" t="e">
        <f t="shared" ca="1" si="22"/>
        <v>#VALUE!</v>
      </c>
      <c r="W26" s="70" t="str">
        <f t="shared" ca="1" si="9"/>
        <v/>
      </c>
      <c r="X26" s="70" t="e">
        <f t="shared" ca="1" si="10"/>
        <v>#VALUE!</v>
      </c>
      <c r="Y26" s="70" t="e">
        <f t="shared" ca="1" si="11"/>
        <v>#VALUE!</v>
      </c>
      <c r="Z26" s="71" t="e">
        <f t="shared" ca="1" si="12"/>
        <v>#VALUE!</v>
      </c>
      <c r="AA26" s="72" t="e">
        <f t="shared" ca="1" si="13"/>
        <v>#VALUE!</v>
      </c>
      <c r="AB26" s="72" t="e">
        <f t="shared" ca="1" si="14"/>
        <v>#VALUE!</v>
      </c>
      <c r="AC26" s="72" t="e">
        <f t="shared" ca="1" si="15"/>
        <v>#VALUE!</v>
      </c>
      <c r="AD26" s="73" t="e">
        <f t="shared" ca="1" si="16"/>
        <v>#VALUE!</v>
      </c>
      <c r="AE26" s="19" t="e">
        <f t="shared" ca="1" si="17"/>
        <v>#VALUE!</v>
      </c>
      <c r="AF26" s="74" t="str">
        <f t="shared" ca="1" si="18"/>
        <v>Below D1 Low</v>
      </c>
      <c r="AG26" s="17" t="str">
        <f t="shared" ca="1" si="19"/>
        <v>Sell</v>
      </c>
      <c r="AH26" s="17" t="str">
        <f t="shared" ca="1" si="20"/>
        <v>SELL</v>
      </c>
      <c r="AI26" s="75">
        <f ca="1">IFERROR(__xludf.DUMMYFUNCTION("AVERAGE.WEIGHTED((G26+H26+B26)/3, I26)"),508.566666666666)</f>
        <v>508.56666666666598</v>
      </c>
      <c r="AJ26" s="75" t="str">
        <f ca="1">IFERROR(__xludf.DUMMYFUNCTION("AVERAGE.WEIGHTED((K26+L26+J26)/3, N26)"),"#N/A")</f>
        <v>#N/A</v>
      </c>
      <c r="AK26" s="75" t="str">
        <f t="shared" ca="1" si="21"/>
        <v>SELL</v>
      </c>
      <c r="AL26" s="31"/>
      <c r="AM26" s="31"/>
      <c r="AN26" s="31"/>
      <c r="AO26" s="31"/>
      <c r="AP26" s="31"/>
      <c r="AQ26" s="31"/>
      <c r="AR26" s="31"/>
    </row>
    <row r="27" spans="1:44" ht="15.75" customHeight="1">
      <c r="A27" s="61" t="s">
        <v>79</v>
      </c>
      <c r="B27" s="62">
        <f ca="1">IFERROR(__xludf.DUMMYFUNCTION("googlefinance(""nse:""&amp;A27,""price"")"),22.6)</f>
        <v>22.6</v>
      </c>
      <c r="C27" s="63">
        <f t="shared" ca="1" si="0"/>
        <v>0</v>
      </c>
      <c r="D27" s="63">
        <f ca="1">IFERROR(__xludf.DUMMYFUNCTION("googlefinance(""nse:""&amp;A27,""changepct"")"),7.88)</f>
        <v>7.88</v>
      </c>
      <c r="E27" s="63">
        <f ca="1">IFERROR(__xludf.DUMMYFUNCTION("googlefinance(""nse:""&amp;A27,""change"")"),1.65)</f>
        <v>1.65</v>
      </c>
      <c r="F27" s="63">
        <f ca="1">IFERROR(__xludf.DUMMYFUNCTION("googlefinance(""nse:""&amp;A27,""priceopen"")"),21.3)</f>
        <v>21.3</v>
      </c>
      <c r="G27" s="63">
        <f ca="1">IFERROR(__xludf.DUMMYFUNCTION("googlefinance(""nse:""&amp;A27,""HIGH"")"),22.9)</f>
        <v>22.9</v>
      </c>
      <c r="H27" s="63">
        <f ca="1">IFERROR(__xludf.DUMMYFUNCTION("googlefinance(""nse:""&amp;A27,""LOW"")"),21.15)</f>
        <v>21.15</v>
      </c>
      <c r="I27" s="63">
        <f ca="1">IFERROR(__xludf.DUMMYFUNCTION("googlefinance(""nse:""&amp;A27,""VOLUME"")"),56261295)</f>
        <v>56261295</v>
      </c>
      <c r="J27" s="63">
        <f ca="1">IFERROR(__xludf.DUMMYFUNCTION("googlefinance(""nse:""&amp;A27,""closeyest"")"),20.95)</f>
        <v>20.95</v>
      </c>
      <c r="K27" s="65" t="str">
        <f ca="1">IFERROR(__xludf.DUMMYFUNCTION("INDEX( GoogleFinance( ""NSE:""&amp;A27 , ""all"" , TODAY()-4) , 2, 3)"),"#N/A")</f>
        <v>#N/A</v>
      </c>
      <c r="L27" s="66" t="str">
        <f ca="1">IFERROR(__xludf.DUMMYFUNCTION("INDEX( GoogleFinance(""NSE:""&amp;A27 , ""all"" , TODAY()-4 ) , 2, 4)"),"#N/A")</f>
        <v>#N/A</v>
      </c>
      <c r="M27" s="67" t="str">
        <f ca="1">IFERROR(__xludf.DUMMYFUNCTION("INDEX( GoogleFinance( ""NSE:""&amp;A27 , ""all"" , TODAY()-4) , 2, 2)"),"#N/A")</f>
        <v>#N/A</v>
      </c>
      <c r="N27" s="68" t="str">
        <f ca="1">IFERROR(__xludf.DUMMYFUNCTION("INDEX( GoogleFinance( ""NSE:""&amp;A27 , ""all"" , TODAY()-4) , 2, 6)"),"#N/A")</f>
        <v>#N/A</v>
      </c>
      <c r="O27" s="69" t="str">
        <f t="shared" ca="1" si="1"/>
        <v/>
      </c>
      <c r="P27" s="69" t="e">
        <f t="shared" ca="1" si="2"/>
        <v>#VALUE!</v>
      </c>
      <c r="Q27" s="69" t="e">
        <f t="shared" ca="1" si="3"/>
        <v>#VALUE!</v>
      </c>
      <c r="R27" s="69" t="e">
        <f t="shared" ca="1" si="23"/>
        <v>#VALUE!</v>
      </c>
      <c r="S27" s="69" t="e">
        <f t="shared" ca="1" si="5"/>
        <v>#VALUE!</v>
      </c>
      <c r="T27" s="69" t="e">
        <f t="shared" ca="1" si="6"/>
        <v>#VALUE!</v>
      </c>
      <c r="U27" s="69" t="e">
        <f t="shared" ca="1" si="7"/>
        <v>#VALUE!</v>
      </c>
      <c r="V27" s="69" t="e">
        <f t="shared" ca="1" si="22"/>
        <v>#VALUE!</v>
      </c>
      <c r="W27" s="70" t="str">
        <f t="shared" ca="1" si="9"/>
        <v/>
      </c>
      <c r="X27" s="70" t="e">
        <f t="shared" ca="1" si="10"/>
        <v>#VALUE!</v>
      </c>
      <c r="Y27" s="70" t="e">
        <f t="shared" ca="1" si="11"/>
        <v>#VALUE!</v>
      </c>
      <c r="Z27" s="71" t="e">
        <f t="shared" ca="1" si="12"/>
        <v>#VALUE!</v>
      </c>
      <c r="AA27" s="72" t="e">
        <f t="shared" ca="1" si="13"/>
        <v>#VALUE!</v>
      </c>
      <c r="AB27" s="72" t="e">
        <f t="shared" ca="1" si="14"/>
        <v>#VALUE!</v>
      </c>
      <c r="AC27" s="72" t="e">
        <f t="shared" ca="1" si="15"/>
        <v>#VALUE!</v>
      </c>
      <c r="AD27" s="73" t="e">
        <f t="shared" ca="1" si="16"/>
        <v>#VALUE!</v>
      </c>
      <c r="AE27" s="19" t="e">
        <f t="shared" ca="1" si="17"/>
        <v>#VALUE!</v>
      </c>
      <c r="AF27" s="74" t="str">
        <f t="shared" ca="1" si="18"/>
        <v>Below D1 Low</v>
      </c>
      <c r="AG27" s="17" t="str">
        <f t="shared" ca="1" si="19"/>
        <v>Sell</v>
      </c>
      <c r="AH27" s="17" t="str">
        <f t="shared" ca="1" si="20"/>
        <v>SELL</v>
      </c>
      <c r="AI27" s="75">
        <f ca="1">IFERROR(__xludf.DUMMYFUNCTION("AVERAGE.WEIGHTED((G27+H27+B27)/3, I27)"),22.2166666666666)</f>
        <v>22.216666666666601</v>
      </c>
      <c r="AJ27" s="75" t="str">
        <f ca="1">IFERROR(__xludf.DUMMYFUNCTION("AVERAGE.WEIGHTED((K27+L27+J27)/3, N27)"),"#N/A")</f>
        <v>#N/A</v>
      </c>
      <c r="AK27" s="75" t="str">
        <f t="shared" ca="1" si="21"/>
        <v>SELL</v>
      </c>
      <c r="AL27" s="31"/>
      <c r="AM27" s="31"/>
      <c r="AN27" s="31"/>
      <c r="AO27" s="31"/>
      <c r="AP27" s="31"/>
      <c r="AQ27" s="31"/>
      <c r="AR27" s="31"/>
    </row>
    <row r="28" spans="1:44" ht="15.75" customHeight="1">
      <c r="A28" s="61" t="s">
        <v>80</v>
      </c>
      <c r="B28" s="62">
        <f ca="1">IFERROR(__xludf.DUMMYFUNCTION("googlefinance(""nse:""&amp;A28,""price"")"),354.1)</f>
        <v>354.1</v>
      </c>
      <c r="C28" s="63" t="str">
        <f t="shared" ca="1" si="0"/>
        <v>SELL</v>
      </c>
      <c r="D28" s="63">
        <f ca="1">IFERROR(__xludf.DUMMYFUNCTION("googlefinance(""nse:""&amp;A28,""changepct"")"),0.55)</f>
        <v>0.55000000000000004</v>
      </c>
      <c r="E28" s="63">
        <f ca="1">IFERROR(__xludf.DUMMYFUNCTION("googlefinance(""nse:""&amp;A28,""change"")"),1.95)</f>
        <v>1.95</v>
      </c>
      <c r="F28" s="63">
        <f ca="1">IFERROR(__xludf.DUMMYFUNCTION("googlefinance(""nse:""&amp;A28,""priceopen"")"),360)</f>
        <v>360</v>
      </c>
      <c r="G28" s="63">
        <f ca="1">IFERROR(__xludf.DUMMYFUNCTION("googlefinance(""nse:""&amp;A28,""HIGH"")"),360)</f>
        <v>360</v>
      </c>
      <c r="H28" s="63">
        <f ca="1">IFERROR(__xludf.DUMMYFUNCTION("googlefinance(""nse:""&amp;A28,""LOW"")"),347.25)</f>
        <v>347.25</v>
      </c>
      <c r="I28" s="63">
        <f ca="1">IFERROR(__xludf.DUMMYFUNCTION("googlefinance(""nse:""&amp;A28,""VOLUME"")"),5869794)</f>
        <v>5869794</v>
      </c>
      <c r="J28" s="63">
        <f ca="1">IFERROR(__xludf.DUMMYFUNCTION("googlefinance(""nse:""&amp;A28,""closeyest"")"),352.15)</f>
        <v>352.15</v>
      </c>
      <c r="K28" s="65" t="str">
        <f ca="1">IFERROR(__xludf.DUMMYFUNCTION("INDEX( GoogleFinance( ""NSE:""&amp;A28 , ""all"" , TODAY()-4) , 2, 3)"),"#N/A")</f>
        <v>#N/A</v>
      </c>
      <c r="L28" s="66" t="str">
        <f ca="1">IFERROR(__xludf.DUMMYFUNCTION("INDEX( GoogleFinance(""NSE:""&amp;A28 , ""all"" , TODAY()-4 ) , 2, 4)"),"#N/A")</f>
        <v>#N/A</v>
      </c>
      <c r="M28" s="67" t="str">
        <f ca="1">IFERROR(__xludf.DUMMYFUNCTION("INDEX( GoogleFinance( ""NSE:""&amp;A28 , ""all"" , TODAY()-4) , 2, 2)"),"#N/A")</f>
        <v>#N/A</v>
      </c>
      <c r="N28" s="68" t="str">
        <f ca="1">IFERROR(__xludf.DUMMYFUNCTION("INDEX( GoogleFinance( ""NSE:""&amp;A28 , ""all"" , TODAY()-4) , 2, 6)"),"#N/A")</f>
        <v>#N/A</v>
      </c>
      <c r="O28" s="69" t="str">
        <f t="shared" ca="1" si="1"/>
        <v/>
      </c>
      <c r="P28" s="69" t="e">
        <f t="shared" ca="1" si="2"/>
        <v>#VALUE!</v>
      </c>
      <c r="Q28" s="69" t="e">
        <f t="shared" ca="1" si="3"/>
        <v>#VALUE!</v>
      </c>
      <c r="R28" s="69" t="e">
        <f t="shared" ca="1" si="23"/>
        <v>#VALUE!</v>
      </c>
      <c r="S28" s="69" t="e">
        <f t="shared" ca="1" si="5"/>
        <v>#VALUE!</v>
      </c>
      <c r="T28" s="69" t="e">
        <f t="shared" ca="1" si="6"/>
        <v>#VALUE!</v>
      </c>
      <c r="U28" s="69" t="e">
        <f t="shared" ca="1" si="7"/>
        <v>#VALUE!</v>
      </c>
      <c r="V28" s="69" t="e">
        <f t="shared" ca="1" si="22"/>
        <v>#VALUE!</v>
      </c>
      <c r="W28" s="70" t="str">
        <f t="shared" ca="1" si="9"/>
        <v/>
      </c>
      <c r="X28" s="70" t="e">
        <f t="shared" ca="1" si="10"/>
        <v>#VALUE!</v>
      </c>
      <c r="Y28" s="70" t="e">
        <f t="shared" ca="1" si="11"/>
        <v>#VALUE!</v>
      </c>
      <c r="Z28" s="71" t="e">
        <f t="shared" ca="1" si="12"/>
        <v>#VALUE!</v>
      </c>
      <c r="AA28" s="72" t="e">
        <f t="shared" ca="1" si="13"/>
        <v>#VALUE!</v>
      </c>
      <c r="AB28" s="72" t="e">
        <f t="shared" ca="1" si="14"/>
        <v>#VALUE!</v>
      </c>
      <c r="AC28" s="72" t="e">
        <f t="shared" ca="1" si="15"/>
        <v>#VALUE!</v>
      </c>
      <c r="AD28" s="73" t="e">
        <f t="shared" ca="1" si="16"/>
        <v>#VALUE!</v>
      </c>
      <c r="AE28" s="19" t="e">
        <f t="shared" ca="1" si="17"/>
        <v>#VALUE!</v>
      </c>
      <c r="AF28" s="74" t="str">
        <f t="shared" ca="1" si="18"/>
        <v>Below D1 Low</v>
      </c>
      <c r="AG28" s="17" t="str">
        <f t="shared" ca="1" si="19"/>
        <v>Sell</v>
      </c>
      <c r="AH28" s="17" t="str">
        <f t="shared" ca="1" si="20"/>
        <v>SELL</v>
      </c>
      <c r="AI28" s="75">
        <f ca="1">IFERROR(__xludf.DUMMYFUNCTION("AVERAGE.WEIGHTED((G28+H28+B28)/3, I28)"),353.783333333333)</f>
        <v>353.78333333333302</v>
      </c>
      <c r="AJ28" s="75" t="str">
        <f ca="1">IFERROR(__xludf.DUMMYFUNCTION("AVERAGE.WEIGHTED((K28+L28+J28)/3, N28)"),"#N/A")</f>
        <v>#N/A</v>
      </c>
      <c r="AK28" s="75" t="str">
        <f t="shared" ca="1" si="21"/>
        <v>SELL</v>
      </c>
      <c r="AL28" s="31"/>
      <c r="AM28" s="31"/>
      <c r="AN28" s="31"/>
      <c r="AO28" s="31"/>
      <c r="AP28" s="31"/>
      <c r="AQ28" s="31"/>
      <c r="AR28" s="31"/>
    </row>
    <row r="29" spans="1:44" ht="15.75" customHeight="1">
      <c r="A29" s="61" t="s">
        <v>81</v>
      </c>
      <c r="B29" s="62">
        <f ca="1">IFERROR(__xludf.DUMMYFUNCTION("googlefinance(""nse:""&amp;A29,""price"")"),10610.05)</f>
        <v>10610.05</v>
      </c>
      <c r="C29" s="63">
        <f t="shared" ca="1" si="0"/>
        <v>0</v>
      </c>
      <c r="D29" s="63">
        <f ca="1">IFERROR(__xludf.DUMMYFUNCTION("googlefinance(""nse:""&amp;A29,""changepct"")"),5.85)</f>
        <v>5.85</v>
      </c>
      <c r="E29" s="63">
        <f ca="1">IFERROR(__xludf.DUMMYFUNCTION("googlefinance(""nse:""&amp;A29,""change"")"),586.05)</f>
        <v>586.04999999999995</v>
      </c>
      <c r="F29" s="63">
        <f ca="1">IFERROR(__xludf.DUMMYFUNCTION("googlefinance(""nse:""&amp;A29,""priceopen"")"),10199)</f>
        <v>10199</v>
      </c>
      <c r="G29" s="63">
        <f ca="1">IFERROR(__xludf.DUMMYFUNCTION("googlefinance(""nse:""&amp;A29,""HIGH"")"),10760.1)</f>
        <v>10760.1</v>
      </c>
      <c r="H29" s="63">
        <f ca="1">IFERROR(__xludf.DUMMYFUNCTION("googlefinance(""nse:""&amp;A29,""LOW"")"),10113.55)</f>
        <v>10113.549999999999</v>
      </c>
      <c r="I29" s="63">
        <f ca="1">IFERROR(__xludf.DUMMYFUNCTION("googlefinance(""nse:""&amp;A29,""VOLUME"")"),71220)</f>
        <v>71220</v>
      </c>
      <c r="J29" s="63">
        <f ca="1">IFERROR(__xludf.DUMMYFUNCTION("googlefinance(""nse:""&amp;A29,""closeyest"")"),10024)</f>
        <v>10024</v>
      </c>
      <c r="K29" s="65" t="str">
        <f ca="1">IFERROR(__xludf.DUMMYFUNCTION("INDEX( GoogleFinance( ""NSE:""&amp;A29 , ""all"" , TODAY()-4) , 2, 3)"),"#N/A")</f>
        <v>#N/A</v>
      </c>
      <c r="L29" s="66" t="str">
        <f ca="1">IFERROR(__xludf.DUMMYFUNCTION("INDEX( GoogleFinance(""NSE:""&amp;A29 , ""all"" , TODAY()-4 ) , 2, 4)"),"#N/A")</f>
        <v>#N/A</v>
      </c>
      <c r="M29" s="67" t="str">
        <f ca="1">IFERROR(__xludf.DUMMYFUNCTION("INDEX( GoogleFinance( ""NSE:""&amp;A29 , ""all"" , TODAY()-4) , 2, 2)"),"#N/A")</f>
        <v>#N/A</v>
      </c>
      <c r="N29" s="68" t="str">
        <f ca="1">IFERROR(__xludf.DUMMYFUNCTION("INDEX( GoogleFinance( ""NSE:""&amp;A29 , ""all"" , TODAY()-4) , 2, 6)"),"#N/A")</f>
        <v>#N/A</v>
      </c>
      <c r="O29" s="69" t="str">
        <f t="shared" ca="1" si="1"/>
        <v/>
      </c>
      <c r="P29" s="69" t="e">
        <f t="shared" ca="1" si="2"/>
        <v>#VALUE!</v>
      </c>
      <c r="Q29" s="69" t="e">
        <f t="shared" ca="1" si="3"/>
        <v>#VALUE!</v>
      </c>
      <c r="R29" s="69" t="e">
        <f t="shared" ca="1" si="23"/>
        <v>#VALUE!</v>
      </c>
      <c r="S29" s="69" t="e">
        <f t="shared" ca="1" si="5"/>
        <v>#VALUE!</v>
      </c>
      <c r="T29" s="69" t="e">
        <f t="shared" ca="1" si="6"/>
        <v>#VALUE!</v>
      </c>
      <c r="U29" s="69" t="e">
        <f t="shared" ca="1" si="7"/>
        <v>#VALUE!</v>
      </c>
      <c r="V29" s="69" t="e">
        <f t="shared" ca="1" si="22"/>
        <v>#VALUE!</v>
      </c>
      <c r="W29" s="70" t="str">
        <f t="shared" ca="1" si="9"/>
        <v/>
      </c>
      <c r="X29" s="70" t="e">
        <f t="shared" ca="1" si="10"/>
        <v>#VALUE!</v>
      </c>
      <c r="Y29" s="70" t="e">
        <f t="shared" ca="1" si="11"/>
        <v>#VALUE!</v>
      </c>
      <c r="Z29" s="71" t="e">
        <f t="shared" ca="1" si="12"/>
        <v>#VALUE!</v>
      </c>
      <c r="AA29" s="72" t="e">
        <f t="shared" ca="1" si="13"/>
        <v>#VALUE!</v>
      </c>
      <c r="AB29" s="72" t="e">
        <f t="shared" ca="1" si="14"/>
        <v>#VALUE!</v>
      </c>
      <c r="AC29" s="72" t="e">
        <f t="shared" ca="1" si="15"/>
        <v>#VALUE!</v>
      </c>
      <c r="AD29" s="73" t="e">
        <f t="shared" ca="1" si="16"/>
        <v>#VALUE!</v>
      </c>
      <c r="AE29" s="19" t="e">
        <f t="shared" ca="1" si="17"/>
        <v>#VALUE!</v>
      </c>
      <c r="AF29" s="74" t="str">
        <f t="shared" ca="1" si="18"/>
        <v>Below D1 Low</v>
      </c>
      <c r="AG29" s="17" t="str">
        <f t="shared" ca="1" si="19"/>
        <v>Sell</v>
      </c>
      <c r="AH29" s="17" t="str">
        <f t="shared" ca="1" si="20"/>
        <v>SELL</v>
      </c>
      <c r="AI29" s="75">
        <f ca="1">IFERROR(__xludf.DUMMYFUNCTION("AVERAGE.WEIGHTED((G29+H29+B29)/3, I29)"),10494.5666666666)</f>
        <v>10494.5666666666</v>
      </c>
      <c r="AJ29" s="75" t="str">
        <f ca="1">IFERROR(__xludf.DUMMYFUNCTION("AVERAGE.WEIGHTED((K29+L29+J29)/3, N29)"),"#N/A")</f>
        <v>#N/A</v>
      </c>
      <c r="AK29" s="75" t="str">
        <f t="shared" ca="1" si="21"/>
        <v>SELL</v>
      </c>
      <c r="AL29" s="31"/>
      <c r="AM29" s="31"/>
      <c r="AN29" s="31"/>
      <c r="AO29" s="31"/>
      <c r="AP29" s="31"/>
      <c r="AQ29" s="31"/>
      <c r="AR29" s="31"/>
    </row>
    <row r="30" spans="1:44" ht="15.75" customHeight="1">
      <c r="A30" s="61" t="s">
        <v>82</v>
      </c>
      <c r="B30" s="62">
        <f ca="1">IFERROR(__xludf.DUMMYFUNCTION("googlefinance(""nse:""&amp;A30,""price"")"),371.85)</f>
        <v>371.85</v>
      </c>
      <c r="C30" s="63">
        <f t="shared" ca="1" si="0"/>
        <v>0</v>
      </c>
      <c r="D30" s="63">
        <f ca="1">IFERROR(__xludf.DUMMYFUNCTION("googlefinance(""nse:""&amp;A30,""changepct"")"),3.08)</f>
        <v>3.08</v>
      </c>
      <c r="E30" s="63">
        <f ca="1">IFERROR(__xludf.DUMMYFUNCTION("googlefinance(""nse:""&amp;A30,""change"")"),11.1)</f>
        <v>11.1</v>
      </c>
      <c r="F30" s="63">
        <f ca="1">IFERROR(__xludf.DUMMYFUNCTION("googlefinance(""nse:""&amp;A30,""priceopen"")"),364.25)</f>
        <v>364.25</v>
      </c>
      <c r="G30" s="63">
        <f ca="1">IFERROR(__xludf.DUMMYFUNCTION("googlefinance(""nse:""&amp;A30,""HIGH"")"),373.4)</f>
        <v>373.4</v>
      </c>
      <c r="H30" s="63">
        <f ca="1">IFERROR(__xludf.DUMMYFUNCTION("googlefinance(""nse:""&amp;A30,""LOW"")"),358)</f>
        <v>358</v>
      </c>
      <c r="I30" s="63">
        <f ca="1">IFERROR(__xludf.DUMMYFUNCTION("googlefinance(""nse:""&amp;A30,""VOLUME"")"),8008429)</f>
        <v>8008429</v>
      </c>
      <c r="J30" s="63">
        <f ca="1">IFERROR(__xludf.DUMMYFUNCTION("googlefinance(""nse:""&amp;A30,""closeyest"")"),360.75)</f>
        <v>360.75</v>
      </c>
      <c r="K30" s="65" t="str">
        <f ca="1">IFERROR(__xludf.DUMMYFUNCTION("INDEX( GoogleFinance( ""NSE:""&amp;A30 , ""all"" , TODAY()-4) , 2, 3)"),"#N/A")</f>
        <v>#N/A</v>
      </c>
      <c r="L30" s="66" t="str">
        <f ca="1">IFERROR(__xludf.DUMMYFUNCTION("INDEX( GoogleFinance(""NSE:""&amp;A30 , ""all"" , TODAY()-4 ) , 2, 4)"),"#N/A")</f>
        <v>#N/A</v>
      </c>
      <c r="M30" s="67" t="str">
        <f ca="1">IFERROR(__xludf.DUMMYFUNCTION("INDEX( GoogleFinance( ""NSE:""&amp;A30 , ""all"" , TODAY()-4) , 2, 2)"),"#N/A")</f>
        <v>#N/A</v>
      </c>
      <c r="N30" s="68" t="str">
        <f ca="1">IFERROR(__xludf.DUMMYFUNCTION("INDEX( GoogleFinance( ""NSE:""&amp;A30 , ""all"" , TODAY()-4) , 2, 6)"),"#N/A")</f>
        <v>#N/A</v>
      </c>
      <c r="O30" s="69" t="str">
        <f t="shared" ca="1" si="1"/>
        <v/>
      </c>
      <c r="P30" s="69" t="e">
        <f t="shared" ca="1" si="2"/>
        <v>#VALUE!</v>
      </c>
      <c r="Q30" s="69" t="e">
        <f t="shared" ca="1" si="3"/>
        <v>#VALUE!</v>
      </c>
      <c r="R30" s="69" t="e">
        <f t="shared" ca="1" si="23"/>
        <v>#VALUE!</v>
      </c>
      <c r="S30" s="69" t="e">
        <f t="shared" ca="1" si="5"/>
        <v>#VALUE!</v>
      </c>
      <c r="T30" s="69" t="e">
        <f t="shared" ca="1" si="6"/>
        <v>#VALUE!</v>
      </c>
      <c r="U30" s="69" t="e">
        <f t="shared" ca="1" si="7"/>
        <v>#VALUE!</v>
      </c>
      <c r="V30" s="69" t="e">
        <f t="shared" ca="1" si="22"/>
        <v>#VALUE!</v>
      </c>
      <c r="W30" s="70" t="str">
        <f t="shared" ca="1" si="9"/>
        <v/>
      </c>
      <c r="X30" s="70" t="e">
        <f t="shared" ca="1" si="10"/>
        <v>#VALUE!</v>
      </c>
      <c r="Y30" s="70" t="e">
        <f t="shared" ca="1" si="11"/>
        <v>#VALUE!</v>
      </c>
      <c r="Z30" s="71" t="e">
        <f t="shared" ca="1" si="12"/>
        <v>#VALUE!</v>
      </c>
      <c r="AA30" s="72" t="e">
        <f t="shared" ca="1" si="13"/>
        <v>#VALUE!</v>
      </c>
      <c r="AB30" s="72" t="e">
        <f t="shared" ca="1" si="14"/>
        <v>#VALUE!</v>
      </c>
      <c r="AC30" s="72" t="e">
        <f t="shared" ca="1" si="15"/>
        <v>#VALUE!</v>
      </c>
      <c r="AD30" s="73" t="e">
        <f t="shared" ca="1" si="16"/>
        <v>#VALUE!</v>
      </c>
      <c r="AE30" s="19" t="e">
        <f t="shared" ca="1" si="17"/>
        <v>#VALUE!</v>
      </c>
      <c r="AF30" s="74" t="str">
        <f t="shared" ca="1" si="18"/>
        <v>Below D1 Low</v>
      </c>
      <c r="AG30" s="17" t="str">
        <f t="shared" ca="1" si="19"/>
        <v>Sell</v>
      </c>
      <c r="AH30" s="17" t="str">
        <f t="shared" ca="1" si="20"/>
        <v>SELL</v>
      </c>
      <c r="AI30" s="75">
        <f ca="1">IFERROR(__xludf.DUMMYFUNCTION("AVERAGE.WEIGHTED((G30+H30+B30)/3, I30)"),367.75)</f>
        <v>367.75</v>
      </c>
      <c r="AJ30" s="75" t="str">
        <f ca="1">IFERROR(__xludf.DUMMYFUNCTION("AVERAGE.WEIGHTED((K30+L30+J30)/3, N30)"),"#N/A")</f>
        <v>#N/A</v>
      </c>
      <c r="AK30" s="75" t="str">
        <f t="shared" ca="1" si="21"/>
        <v>SELL</v>
      </c>
      <c r="AL30" s="31"/>
      <c r="AM30" s="31"/>
      <c r="AN30" s="31"/>
      <c r="AO30" s="31"/>
      <c r="AP30" s="31"/>
      <c r="AQ30" s="31"/>
      <c r="AR30" s="31"/>
    </row>
    <row r="31" spans="1:44" ht="15.75" customHeight="1">
      <c r="A31" s="61" t="s">
        <v>83</v>
      </c>
      <c r="B31" s="62">
        <f ca="1">IFERROR(__xludf.DUMMYFUNCTION("googlefinance(""nse:""&amp;A31,""price"")"),3160.5)</f>
        <v>3160.5</v>
      </c>
      <c r="C31" s="63">
        <f t="shared" ca="1" si="0"/>
        <v>0</v>
      </c>
      <c r="D31" s="63">
        <f ca="1">IFERROR(__xludf.DUMMYFUNCTION("googlefinance(""nse:""&amp;A31,""changepct"")"),0.12)</f>
        <v>0.12</v>
      </c>
      <c r="E31" s="63">
        <f ca="1">IFERROR(__xludf.DUMMYFUNCTION("googlefinance(""nse:""&amp;A31,""change"")"),3.7)</f>
        <v>3.7</v>
      </c>
      <c r="F31" s="63">
        <f ca="1">IFERROR(__xludf.DUMMYFUNCTION("googlefinance(""nse:""&amp;A31,""priceopen"")"),3195)</f>
        <v>3195</v>
      </c>
      <c r="G31" s="63">
        <f ca="1">IFERROR(__xludf.DUMMYFUNCTION("googlefinance(""nse:""&amp;A31,""HIGH"")"),3205)</f>
        <v>3205</v>
      </c>
      <c r="H31" s="63">
        <f ca="1">IFERROR(__xludf.DUMMYFUNCTION("googlefinance(""nse:""&amp;A31,""LOW"")"),3150)</f>
        <v>3150</v>
      </c>
      <c r="I31" s="63">
        <f ca="1">IFERROR(__xludf.DUMMYFUNCTION("googlefinance(""nse:""&amp;A31,""VOLUME"")"),1021592)</f>
        <v>1021592</v>
      </c>
      <c r="J31" s="63">
        <f ca="1">IFERROR(__xludf.DUMMYFUNCTION("googlefinance(""nse:""&amp;A31,""closeyest"")"),3156.8)</f>
        <v>3156.8</v>
      </c>
      <c r="K31" s="65" t="str">
        <f ca="1">IFERROR(__xludf.DUMMYFUNCTION("INDEX( GoogleFinance( ""NSE:""&amp;A31 , ""all"" , TODAY()-4) , 2, 3)"),"#N/A")</f>
        <v>#N/A</v>
      </c>
      <c r="L31" s="66" t="str">
        <f ca="1">IFERROR(__xludf.DUMMYFUNCTION("INDEX( GoogleFinance(""NSE:""&amp;A31 , ""all"" , TODAY()-4 ) , 2, 4)"),"#N/A")</f>
        <v>#N/A</v>
      </c>
      <c r="M31" s="67" t="str">
        <f ca="1">IFERROR(__xludf.DUMMYFUNCTION("INDEX( GoogleFinance( ""NSE:""&amp;A31 , ""all"" , TODAY()-4) , 2, 2)"),"#N/A")</f>
        <v>#N/A</v>
      </c>
      <c r="N31" s="68" t="str">
        <f ca="1">IFERROR(__xludf.DUMMYFUNCTION("INDEX( GoogleFinance( ""NSE:""&amp;A31 , ""all"" , TODAY()-4) , 2, 6)"),"#N/A")</f>
        <v>#N/A</v>
      </c>
      <c r="O31" s="69" t="str">
        <f t="shared" ca="1" si="1"/>
        <v/>
      </c>
      <c r="P31" s="69" t="e">
        <f t="shared" ca="1" si="2"/>
        <v>#VALUE!</v>
      </c>
      <c r="Q31" s="69" t="e">
        <f t="shared" ca="1" si="3"/>
        <v>#VALUE!</v>
      </c>
      <c r="R31" s="69" t="e">
        <f t="shared" ca="1" si="23"/>
        <v>#VALUE!</v>
      </c>
      <c r="S31" s="69" t="e">
        <f t="shared" ca="1" si="5"/>
        <v>#VALUE!</v>
      </c>
      <c r="T31" s="69" t="e">
        <f t="shared" ca="1" si="6"/>
        <v>#VALUE!</v>
      </c>
      <c r="U31" s="69" t="e">
        <f t="shared" ca="1" si="7"/>
        <v>#VALUE!</v>
      </c>
      <c r="V31" s="69" t="e">
        <f t="shared" ca="1" si="22"/>
        <v>#VALUE!</v>
      </c>
      <c r="W31" s="70" t="str">
        <f t="shared" ca="1" si="9"/>
        <v/>
      </c>
      <c r="X31" s="70" t="e">
        <f t="shared" ca="1" si="10"/>
        <v>#VALUE!</v>
      </c>
      <c r="Y31" s="70" t="e">
        <f t="shared" ca="1" si="11"/>
        <v>#VALUE!</v>
      </c>
      <c r="Z31" s="71" t="e">
        <f t="shared" ca="1" si="12"/>
        <v>#VALUE!</v>
      </c>
      <c r="AA31" s="72" t="e">
        <f t="shared" ca="1" si="13"/>
        <v>#VALUE!</v>
      </c>
      <c r="AB31" s="72" t="e">
        <f t="shared" ca="1" si="14"/>
        <v>#VALUE!</v>
      </c>
      <c r="AC31" s="72" t="e">
        <f t="shared" ca="1" si="15"/>
        <v>#VALUE!</v>
      </c>
      <c r="AD31" s="73" t="e">
        <f t="shared" ca="1" si="16"/>
        <v>#VALUE!</v>
      </c>
      <c r="AE31" s="19" t="e">
        <f t="shared" ca="1" si="17"/>
        <v>#VALUE!</v>
      </c>
      <c r="AF31" s="74" t="str">
        <f t="shared" ca="1" si="18"/>
        <v>Below D1 Low</v>
      </c>
      <c r="AG31" s="17" t="str">
        <f t="shared" ca="1" si="19"/>
        <v>Sell</v>
      </c>
      <c r="AH31" s="17" t="str">
        <f t="shared" ca="1" si="20"/>
        <v>SELL</v>
      </c>
      <c r="AI31" s="75">
        <f ca="1">IFERROR(__xludf.DUMMYFUNCTION("AVERAGE.WEIGHTED((G31+H31+B31)/3, I31)"),3171.83333333333)</f>
        <v>3171.8333333333298</v>
      </c>
      <c r="AJ31" s="75" t="str">
        <f ca="1">IFERROR(__xludf.DUMMYFUNCTION("AVERAGE.WEIGHTED((K31+L31+J31)/3, N31)"),"#N/A")</f>
        <v>#N/A</v>
      </c>
      <c r="AK31" s="75" t="str">
        <f t="shared" ca="1" si="21"/>
        <v>SELL</v>
      </c>
      <c r="AL31" s="31"/>
      <c r="AM31" s="31"/>
      <c r="AN31" s="31"/>
      <c r="AO31" s="31"/>
      <c r="AP31" s="31"/>
      <c r="AQ31" s="31"/>
      <c r="AR31" s="31"/>
    </row>
    <row r="32" spans="1:44" ht="15.75" customHeight="1">
      <c r="A32" s="61" t="s">
        <v>84</v>
      </c>
      <c r="B32" s="62">
        <f ca="1">IFERROR(__xludf.DUMMYFUNCTION("googlefinance(""nse:""&amp;A32,""price"")"),323.95)</f>
        <v>323.95</v>
      </c>
      <c r="C32" s="63">
        <f t="shared" ca="1" si="0"/>
        <v>0</v>
      </c>
      <c r="D32" s="63">
        <f ca="1">IFERROR(__xludf.DUMMYFUNCTION("googlefinance(""nse:""&amp;A32,""changepct"")"),-0.84)</f>
        <v>-0.84</v>
      </c>
      <c r="E32" s="63">
        <f ca="1">IFERROR(__xludf.DUMMYFUNCTION("googlefinance(""nse:""&amp;A32,""change"")"),-2.75)</f>
        <v>-2.75</v>
      </c>
      <c r="F32" s="63">
        <f ca="1">IFERROR(__xludf.DUMMYFUNCTION("googlefinance(""nse:""&amp;A32,""priceopen"")"),330.5)</f>
        <v>330.5</v>
      </c>
      <c r="G32" s="63">
        <f ca="1">IFERROR(__xludf.DUMMYFUNCTION("googlefinance(""nse:""&amp;A32,""HIGH"")"),332)</f>
        <v>332</v>
      </c>
      <c r="H32" s="63">
        <f ca="1">IFERROR(__xludf.DUMMYFUNCTION("googlefinance(""nse:""&amp;A32,""LOW"")"),321.3)</f>
        <v>321.3</v>
      </c>
      <c r="I32" s="63">
        <f ca="1">IFERROR(__xludf.DUMMYFUNCTION("googlefinance(""nse:""&amp;A32,""VOLUME"")"),5084577)</f>
        <v>5084577</v>
      </c>
      <c r="J32" s="63">
        <f ca="1">IFERROR(__xludf.DUMMYFUNCTION("googlefinance(""nse:""&amp;A32,""closeyest"")"),326.7)</f>
        <v>326.7</v>
      </c>
      <c r="K32" s="65" t="str">
        <f ca="1">IFERROR(__xludf.DUMMYFUNCTION("INDEX( GoogleFinance( ""NSE:""&amp;A32 , ""all"" , TODAY()-4) , 2, 3)"),"#N/A")</f>
        <v>#N/A</v>
      </c>
      <c r="L32" s="66" t="str">
        <f ca="1">IFERROR(__xludf.DUMMYFUNCTION("INDEX( GoogleFinance(""NSE:""&amp;A32 , ""all"" , TODAY()-4 ) , 2, 4)"),"#N/A")</f>
        <v>#N/A</v>
      </c>
      <c r="M32" s="67" t="str">
        <f ca="1">IFERROR(__xludf.DUMMYFUNCTION("INDEX( GoogleFinance( ""NSE:""&amp;A32 , ""all"" , TODAY()-4) , 2, 2)"),"#N/A")</f>
        <v>#N/A</v>
      </c>
      <c r="N32" s="68" t="str">
        <f ca="1">IFERROR(__xludf.DUMMYFUNCTION("INDEX( GoogleFinance( ""NSE:""&amp;A32 , ""all"" , TODAY()-4) , 2, 6)"),"#N/A")</f>
        <v>#N/A</v>
      </c>
      <c r="O32" s="69" t="str">
        <f t="shared" ca="1" si="1"/>
        <v/>
      </c>
      <c r="P32" s="69" t="e">
        <f t="shared" ca="1" si="2"/>
        <v>#VALUE!</v>
      </c>
      <c r="Q32" s="69" t="e">
        <f t="shared" ca="1" si="3"/>
        <v>#VALUE!</v>
      </c>
      <c r="R32" s="69" t="e">
        <f t="shared" ca="1" si="23"/>
        <v>#VALUE!</v>
      </c>
      <c r="S32" s="69" t="e">
        <f t="shared" ca="1" si="5"/>
        <v>#VALUE!</v>
      </c>
      <c r="T32" s="69" t="e">
        <f t="shared" ca="1" si="6"/>
        <v>#VALUE!</v>
      </c>
      <c r="U32" s="69" t="e">
        <f t="shared" ca="1" si="7"/>
        <v>#VALUE!</v>
      </c>
      <c r="V32" s="69" t="e">
        <f t="shared" ca="1" si="22"/>
        <v>#VALUE!</v>
      </c>
      <c r="W32" s="70" t="str">
        <f t="shared" ca="1" si="9"/>
        <v/>
      </c>
      <c r="X32" s="70" t="e">
        <f t="shared" ca="1" si="10"/>
        <v>#VALUE!</v>
      </c>
      <c r="Y32" s="70" t="e">
        <f t="shared" ca="1" si="11"/>
        <v>#VALUE!</v>
      </c>
      <c r="Z32" s="71" t="e">
        <f t="shared" ca="1" si="12"/>
        <v>#VALUE!</v>
      </c>
      <c r="AA32" s="72" t="e">
        <f t="shared" ca="1" si="13"/>
        <v>#VALUE!</v>
      </c>
      <c r="AB32" s="72" t="e">
        <f t="shared" ca="1" si="14"/>
        <v>#VALUE!</v>
      </c>
      <c r="AC32" s="72" t="e">
        <f t="shared" ca="1" si="15"/>
        <v>#VALUE!</v>
      </c>
      <c r="AD32" s="73" t="e">
        <f t="shared" ca="1" si="16"/>
        <v>#VALUE!</v>
      </c>
      <c r="AE32" s="19" t="e">
        <f t="shared" ca="1" si="17"/>
        <v>#VALUE!</v>
      </c>
      <c r="AF32" s="74" t="str">
        <f t="shared" ca="1" si="18"/>
        <v>Below D1 Low</v>
      </c>
      <c r="AG32" s="17" t="str">
        <f t="shared" ca="1" si="19"/>
        <v>Sell</v>
      </c>
      <c r="AH32" s="17" t="str">
        <f t="shared" ca="1" si="20"/>
        <v>SELL</v>
      </c>
      <c r="AI32" s="75">
        <f ca="1">IFERROR(__xludf.DUMMYFUNCTION("AVERAGE.WEIGHTED((G32+H32+B32)/3, I32)"),325.75)</f>
        <v>325.75</v>
      </c>
      <c r="AJ32" s="75" t="str">
        <f ca="1">IFERROR(__xludf.DUMMYFUNCTION("AVERAGE.WEIGHTED((K32+L32+J32)/3, N32)"),"#N/A")</f>
        <v>#N/A</v>
      </c>
      <c r="AK32" s="75" t="str">
        <f t="shared" ca="1" si="21"/>
        <v>SELL</v>
      </c>
      <c r="AL32" s="31"/>
      <c r="AM32" s="31"/>
      <c r="AN32" s="31"/>
      <c r="AO32" s="31"/>
      <c r="AP32" s="31"/>
      <c r="AQ32" s="31"/>
      <c r="AR32" s="31"/>
    </row>
    <row r="33" spans="1:44" ht="15.75" customHeight="1">
      <c r="A33" s="61" t="s">
        <v>85</v>
      </c>
      <c r="B33" s="62">
        <f ca="1">IFERROR(__xludf.DUMMYFUNCTION("googlefinance(""nse:""&amp;A33,""price"")"),87.75)</f>
        <v>87.75</v>
      </c>
      <c r="C33" s="63">
        <f t="shared" ca="1" si="0"/>
        <v>0</v>
      </c>
      <c r="D33" s="63">
        <f ca="1">IFERROR(__xludf.DUMMYFUNCTION("googlefinance(""nse:""&amp;A33,""changepct"")"),0.4)</f>
        <v>0.4</v>
      </c>
      <c r="E33" s="63">
        <f ca="1">IFERROR(__xludf.DUMMYFUNCTION("googlefinance(""nse:""&amp;A33,""change"")"),0.35)</f>
        <v>0.35</v>
      </c>
      <c r="F33" s="63">
        <f ca="1">IFERROR(__xludf.DUMMYFUNCTION("googlefinance(""nse:""&amp;A33,""priceopen"")"),88.45)</f>
        <v>88.45</v>
      </c>
      <c r="G33" s="63">
        <f ca="1">IFERROR(__xludf.DUMMYFUNCTION("googlefinance(""nse:""&amp;A33,""HIGH"")"),91.2)</f>
        <v>91.2</v>
      </c>
      <c r="H33" s="63">
        <f ca="1">IFERROR(__xludf.DUMMYFUNCTION("googlefinance(""nse:""&amp;A33,""LOW"")"),87.4)</f>
        <v>87.4</v>
      </c>
      <c r="I33" s="63">
        <f ca="1">IFERROR(__xludf.DUMMYFUNCTION("googlefinance(""nse:""&amp;A33,""VOLUME"")"),14278203)</f>
        <v>14278203</v>
      </c>
      <c r="J33" s="63">
        <f ca="1">IFERROR(__xludf.DUMMYFUNCTION("googlefinance(""nse:""&amp;A33,""closeyest"")"),87.4)</f>
        <v>87.4</v>
      </c>
      <c r="K33" s="65" t="str">
        <f ca="1">IFERROR(__xludf.DUMMYFUNCTION("INDEX( GoogleFinance( ""NSE:""&amp;A33 , ""all"" , TODAY()-4) , 2, 3)"),"#N/A")</f>
        <v>#N/A</v>
      </c>
      <c r="L33" s="66" t="str">
        <f ca="1">IFERROR(__xludf.DUMMYFUNCTION("INDEX( GoogleFinance(""NSE:""&amp;A33 , ""all"" , TODAY()-4 ) , 2, 4)"),"#N/A")</f>
        <v>#N/A</v>
      </c>
      <c r="M33" s="67" t="str">
        <f ca="1">IFERROR(__xludf.DUMMYFUNCTION("INDEX( GoogleFinance( ""NSE:""&amp;A33 , ""all"" , TODAY()-4) , 2, 2)"),"#N/A")</f>
        <v>#N/A</v>
      </c>
      <c r="N33" s="68" t="str">
        <f ca="1">IFERROR(__xludf.DUMMYFUNCTION("INDEX( GoogleFinance( ""NSE:""&amp;A33 , ""all"" , TODAY()-4) , 2, 6)"),"#N/A")</f>
        <v>#N/A</v>
      </c>
      <c r="O33" s="69" t="str">
        <f t="shared" ca="1" si="1"/>
        <v/>
      </c>
      <c r="P33" s="69" t="e">
        <f t="shared" ca="1" si="2"/>
        <v>#VALUE!</v>
      </c>
      <c r="Q33" s="69" t="e">
        <f t="shared" ca="1" si="3"/>
        <v>#VALUE!</v>
      </c>
      <c r="R33" s="69" t="e">
        <f t="shared" ca="1" si="23"/>
        <v>#VALUE!</v>
      </c>
      <c r="S33" s="69" t="e">
        <f t="shared" ca="1" si="5"/>
        <v>#VALUE!</v>
      </c>
      <c r="T33" s="69" t="e">
        <f t="shared" ca="1" si="6"/>
        <v>#VALUE!</v>
      </c>
      <c r="U33" s="69" t="e">
        <f t="shared" ca="1" si="7"/>
        <v>#VALUE!</v>
      </c>
      <c r="V33" s="69" t="e">
        <f t="shared" ca="1" si="22"/>
        <v>#VALUE!</v>
      </c>
      <c r="W33" s="70" t="str">
        <f t="shared" ca="1" si="9"/>
        <v/>
      </c>
      <c r="X33" s="70" t="e">
        <f t="shared" ca="1" si="10"/>
        <v>#VALUE!</v>
      </c>
      <c r="Y33" s="70" t="e">
        <f t="shared" ca="1" si="11"/>
        <v>#VALUE!</v>
      </c>
      <c r="Z33" s="71" t="e">
        <f t="shared" ca="1" si="12"/>
        <v>#VALUE!</v>
      </c>
      <c r="AA33" s="72" t="e">
        <f t="shared" ca="1" si="13"/>
        <v>#VALUE!</v>
      </c>
      <c r="AB33" s="72" t="e">
        <f t="shared" ca="1" si="14"/>
        <v>#VALUE!</v>
      </c>
      <c r="AC33" s="72" t="e">
        <f t="shared" ca="1" si="15"/>
        <v>#VALUE!</v>
      </c>
      <c r="AD33" s="73" t="e">
        <f t="shared" ca="1" si="16"/>
        <v>#VALUE!</v>
      </c>
      <c r="AE33" s="19" t="e">
        <f t="shared" ca="1" si="17"/>
        <v>#VALUE!</v>
      </c>
      <c r="AF33" s="74" t="str">
        <f t="shared" ca="1" si="18"/>
        <v>Below D1 Low</v>
      </c>
      <c r="AG33" s="17" t="str">
        <f t="shared" ca="1" si="19"/>
        <v>Sell</v>
      </c>
      <c r="AH33" s="17" t="str">
        <f t="shared" ca="1" si="20"/>
        <v>SELL</v>
      </c>
      <c r="AI33" s="75">
        <f ca="1">IFERROR(__xludf.DUMMYFUNCTION("AVERAGE.WEIGHTED((G33+H33+B33)/3, I33)"),88.7833333333333)</f>
        <v>88.783333333333303</v>
      </c>
      <c r="AJ33" s="75" t="str">
        <f ca="1">IFERROR(__xludf.DUMMYFUNCTION("AVERAGE.WEIGHTED((K33+L33+J33)/3, N33)"),"#N/A")</f>
        <v>#N/A</v>
      </c>
      <c r="AK33" s="75" t="str">
        <f t="shared" ca="1" si="21"/>
        <v>SELL</v>
      </c>
      <c r="AL33" s="31"/>
      <c r="AM33" s="31"/>
      <c r="AN33" s="31"/>
      <c r="AO33" s="31"/>
      <c r="AP33" s="31"/>
      <c r="AQ33" s="31"/>
      <c r="AR33" s="31"/>
    </row>
    <row r="34" spans="1:44" ht="15.75" customHeight="1">
      <c r="A34" s="61" t="s">
        <v>86</v>
      </c>
      <c r="B34" s="62">
        <f ca="1">IFERROR(__xludf.DUMMYFUNCTION("googlefinance(""nse:""&amp;A34,""price"")"),292)</f>
        <v>292</v>
      </c>
      <c r="C34" s="63">
        <f t="shared" ca="1" si="0"/>
        <v>0</v>
      </c>
      <c r="D34" s="63">
        <f ca="1">IFERROR(__xludf.DUMMYFUNCTION("googlefinance(""nse:""&amp;A34,""changepct"")"),0.12)</f>
        <v>0.12</v>
      </c>
      <c r="E34" s="63">
        <f ca="1">IFERROR(__xludf.DUMMYFUNCTION("googlefinance(""nse:""&amp;A34,""change"")"),0.35)</f>
        <v>0.35</v>
      </c>
      <c r="F34" s="63">
        <f ca="1">IFERROR(__xludf.DUMMYFUNCTION("googlefinance(""nse:""&amp;A34,""priceopen"")"),296.5)</f>
        <v>296.5</v>
      </c>
      <c r="G34" s="63">
        <f ca="1">IFERROR(__xludf.DUMMYFUNCTION("googlefinance(""nse:""&amp;A34,""HIGH"")"),309.4)</f>
        <v>309.39999999999998</v>
      </c>
      <c r="H34" s="63">
        <f ca="1">IFERROR(__xludf.DUMMYFUNCTION("googlefinance(""nse:""&amp;A34,""LOW"")"),290.3)</f>
        <v>290.3</v>
      </c>
      <c r="I34" s="63">
        <f ca="1">IFERROR(__xludf.DUMMYFUNCTION("googlefinance(""nse:""&amp;A34,""VOLUME"")"),2437836)</f>
        <v>2437836</v>
      </c>
      <c r="J34" s="63">
        <f ca="1">IFERROR(__xludf.DUMMYFUNCTION("googlefinance(""nse:""&amp;A34,""closeyest"")"),291.65)</f>
        <v>291.64999999999998</v>
      </c>
      <c r="K34" s="65" t="str">
        <f ca="1">IFERROR(__xludf.DUMMYFUNCTION("INDEX( GoogleFinance( ""NSE:""&amp;A34 , ""all"" , TODAY()-4) , 2, 3)"),"#N/A")</f>
        <v>#N/A</v>
      </c>
      <c r="L34" s="66" t="str">
        <f ca="1">IFERROR(__xludf.DUMMYFUNCTION("INDEX( GoogleFinance(""NSE:""&amp;A34 , ""all"" , TODAY()-4 ) , 2, 4)"),"#N/A")</f>
        <v>#N/A</v>
      </c>
      <c r="M34" s="67" t="str">
        <f ca="1">IFERROR(__xludf.DUMMYFUNCTION("INDEX( GoogleFinance( ""NSE:""&amp;A34 , ""all"" , TODAY()-4) , 2, 2)"),"#N/A")</f>
        <v>#N/A</v>
      </c>
      <c r="N34" s="68" t="str">
        <f ca="1">IFERROR(__xludf.DUMMYFUNCTION("INDEX( GoogleFinance( ""NSE:""&amp;A34 , ""all"" , TODAY()-4) , 2, 6)"),"#N/A")</f>
        <v>#N/A</v>
      </c>
      <c r="O34" s="69" t="str">
        <f t="shared" ca="1" si="1"/>
        <v/>
      </c>
      <c r="P34" s="69" t="e">
        <f t="shared" ca="1" si="2"/>
        <v>#VALUE!</v>
      </c>
      <c r="Q34" s="69" t="e">
        <f t="shared" ca="1" si="3"/>
        <v>#VALUE!</v>
      </c>
      <c r="R34" s="69" t="e">
        <f t="shared" ca="1" si="23"/>
        <v>#VALUE!</v>
      </c>
      <c r="S34" s="69" t="e">
        <f t="shared" ca="1" si="5"/>
        <v>#VALUE!</v>
      </c>
      <c r="T34" s="69" t="e">
        <f t="shared" ca="1" si="6"/>
        <v>#VALUE!</v>
      </c>
      <c r="U34" s="69" t="e">
        <f t="shared" ca="1" si="7"/>
        <v>#VALUE!</v>
      </c>
      <c r="V34" s="69" t="e">
        <f t="shared" ca="1" si="22"/>
        <v>#VALUE!</v>
      </c>
      <c r="W34" s="70" t="str">
        <f t="shared" ca="1" si="9"/>
        <v/>
      </c>
      <c r="X34" s="70" t="e">
        <f t="shared" ca="1" si="10"/>
        <v>#VALUE!</v>
      </c>
      <c r="Y34" s="70" t="e">
        <f t="shared" ca="1" si="11"/>
        <v>#VALUE!</v>
      </c>
      <c r="Z34" s="71" t="e">
        <f t="shared" ca="1" si="12"/>
        <v>#VALUE!</v>
      </c>
      <c r="AA34" s="72" t="e">
        <f t="shared" ca="1" si="13"/>
        <v>#VALUE!</v>
      </c>
      <c r="AB34" s="72" t="e">
        <f t="shared" ca="1" si="14"/>
        <v>#VALUE!</v>
      </c>
      <c r="AC34" s="72" t="e">
        <f t="shared" ca="1" si="15"/>
        <v>#VALUE!</v>
      </c>
      <c r="AD34" s="73" t="e">
        <f t="shared" ca="1" si="16"/>
        <v>#VALUE!</v>
      </c>
      <c r="AE34" s="19" t="e">
        <f t="shared" ca="1" si="17"/>
        <v>#VALUE!</v>
      </c>
      <c r="AF34" s="74" t="str">
        <f t="shared" ca="1" si="18"/>
        <v>Below D1 Low</v>
      </c>
      <c r="AG34" s="17" t="str">
        <f t="shared" ca="1" si="19"/>
        <v>Sell</v>
      </c>
      <c r="AH34" s="17" t="str">
        <f t="shared" ca="1" si="20"/>
        <v>SELL</v>
      </c>
      <c r="AI34" s="75">
        <f ca="1">IFERROR(__xludf.DUMMYFUNCTION("AVERAGE.WEIGHTED((G34+H34+B34)/3, I34)"),297.233333333333)</f>
        <v>297.23333333333301</v>
      </c>
      <c r="AJ34" s="75" t="str">
        <f ca="1">IFERROR(__xludf.DUMMYFUNCTION("AVERAGE.WEIGHTED((K34+L34+J34)/3, N34)"),"#N/A")</f>
        <v>#N/A</v>
      </c>
      <c r="AK34" s="75" t="str">
        <f t="shared" ca="1" si="21"/>
        <v>SELL</v>
      </c>
      <c r="AL34" s="31"/>
      <c r="AM34" s="31"/>
      <c r="AN34" s="31"/>
      <c r="AO34" s="31"/>
      <c r="AP34" s="31"/>
      <c r="AQ34" s="31"/>
      <c r="AR34" s="31"/>
    </row>
    <row r="35" spans="1:44" ht="15.75" customHeight="1">
      <c r="A35" s="61" t="s">
        <v>87</v>
      </c>
      <c r="B35" s="62">
        <f ca="1">IFERROR(__xludf.DUMMYFUNCTION("googlefinance(""nse:""&amp;A35,""price"")"),650.1)</f>
        <v>650.1</v>
      </c>
      <c r="C35" s="63">
        <f t="shared" ca="1" si="0"/>
        <v>0</v>
      </c>
      <c r="D35" s="63">
        <f ca="1">IFERROR(__xludf.DUMMYFUNCTION("googlefinance(""nse:""&amp;A35,""changepct"")"),4.44)</f>
        <v>4.4400000000000004</v>
      </c>
      <c r="E35" s="63">
        <f ca="1">IFERROR(__xludf.DUMMYFUNCTION("googlefinance(""nse:""&amp;A35,""change"")"),27.65)</f>
        <v>27.65</v>
      </c>
      <c r="F35" s="63">
        <f ca="1">IFERROR(__xludf.DUMMYFUNCTION("googlefinance(""nse:""&amp;A35,""priceopen"")"),640)</f>
        <v>640</v>
      </c>
      <c r="G35" s="63">
        <f ca="1">IFERROR(__xludf.DUMMYFUNCTION("googlefinance(""nse:""&amp;A35,""HIGH"")"),668.3)</f>
        <v>668.3</v>
      </c>
      <c r="H35" s="63">
        <f ca="1">IFERROR(__xludf.DUMMYFUNCTION("googlefinance(""nse:""&amp;A35,""LOW"")"),625.15)</f>
        <v>625.15</v>
      </c>
      <c r="I35" s="63">
        <f ca="1">IFERROR(__xludf.DUMMYFUNCTION("googlefinance(""nse:""&amp;A35,""VOLUME"")"),1303694)</f>
        <v>1303694</v>
      </c>
      <c r="J35" s="63">
        <f ca="1">IFERROR(__xludf.DUMMYFUNCTION("googlefinance(""nse:""&amp;A35,""closeyest"")"),622.45)</f>
        <v>622.45000000000005</v>
      </c>
      <c r="K35" s="65" t="str">
        <f ca="1">IFERROR(__xludf.DUMMYFUNCTION("INDEX( GoogleFinance( ""NSE:""&amp;A35 , ""all"" , TODAY()-4) , 2, 3)"),"#N/A")</f>
        <v>#N/A</v>
      </c>
      <c r="L35" s="66" t="str">
        <f ca="1">IFERROR(__xludf.DUMMYFUNCTION("INDEX( GoogleFinance(""NSE:""&amp;A35 , ""all"" , TODAY()-4 ) , 2, 4)"),"#N/A")</f>
        <v>#N/A</v>
      </c>
      <c r="M35" s="67" t="str">
        <f ca="1">IFERROR(__xludf.DUMMYFUNCTION("INDEX( GoogleFinance( ""NSE:""&amp;A35 , ""all"" , TODAY()-4) , 2, 2)"),"#N/A")</f>
        <v>#N/A</v>
      </c>
      <c r="N35" s="68" t="str">
        <f ca="1">IFERROR(__xludf.DUMMYFUNCTION("INDEX( GoogleFinance( ""NSE:""&amp;A35 , ""all"" , TODAY()-4) , 2, 6)"),"#N/A")</f>
        <v>#N/A</v>
      </c>
      <c r="O35" s="69" t="str">
        <f t="shared" ca="1" si="1"/>
        <v/>
      </c>
      <c r="P35" s="69" t="e">
        <f t="shared" ca="1" si="2"/>
        <v>#VALUE!</v>
      </c>
      <c r="Q35" s="69" t="e">
        <f t="shared" ca="1" si="3"/>
        <v>#VALUE!</v>
      </c>
      <c r="R35" s="69" t="e">
        <f t="shared" ca="1" si="23"/>
        <v>#VALUE!</v>
      </c>
      <c r="S35" s="69" t="e">
        <f t="shared" ca="1" si="5"/>
        <v>#VALUE!</v>
      </c>
      <c r="T35" s="69" t="e">
        <f t="shared" ca="1" si="6"/>
        <v>#VALUE!</v>
      </c>
      <c r="U35" s="69" t="e">
        <f t="shared" ca="1" si="7"/>
        <v>#VALUE!</v>
      </c>
      <c r="V35" s="69" t="e">
        <f t="shared" ca="1" si="22"/>
        <v>#VALUE!</v>
      </c>
      <c r="W35" s="70" t="str">
        <f t="shared" ca="1" si="9"/>
        <v/>
      </c>
      <c r="X35" s="70" t="e">
        <f t="shared" ca="1" si="10"/>
        <v>#VALUE!</v>
      </c>
      <c r="Y35" s="70" t="e">
        <f t="shared" ca="1" si="11"/>
        <v>#VALUE!</v>
      </c>
      <c r="Z35" s="71" t="e">
        <f t="shared" ca="1" si="12"/>
        <v>#VALUE!</v>
      </c>
      <c r="AA35" s="72" t="e">
        <f t="shared" ca="1" si="13"/>
        <v>#VALUE!</v>
      </c>
      <c r="AB35" s="72" t="e">
        <f t="shared" ca="1" si="14"/>
        <v>#VALUE!</v>
      </c>
      <c r="AC35" s="72" t="e">
        <f t="shared" ca="1" si="15"/>
        <v>#VALUE!</v>
      </c>
      <c r="AD35" s="73" t="e">
        <f t="shared" ca="1" si="16"/>
        <v>#VALUE!</v>
      </c>
      <c r="AE35" s="19" t="e">
        <f t="shared" ca="1" si="17"/>
        <v>#VALUE!</v>
      </c>
      <c r="AF35" s="74" t="str">
        <f t="shared" ca="1" si="18"/>
        <v>Below D1 Low</v>
      </c>
      <c r="AG35" s="17" t="str">
        <f t="shared" ca="1" si="19"/>
        <v>Sell</v>
      </c>
      <c r="AH35" s="17" t="str">
        <f t="shared" ca="1" si="20"/>
        <v>SELL</v>
      </c>
      <c r="AI35" s="75">
        <f ca="1">IFERROR(__xludf.DUMMYFUNCTION("AVERAGE.WEIGHTED((G35+H35+B35)/3, I35)"),647.849999999999)</f>
        <v>647.849999999999</v>
      </c>
      <c r="AJ35" s="75" t="str">
        <f ca="1">IFERROR(__xludf.DUMMYFUNCTION("AVERAGE.WEIGHTED((K35+L35+J35)/3, N35)"),"#N/A")</f>
        <v>#N/A</v>
      </c>
      <c r="AK35" s="75" t="str">
        <f t="shared" ca="1" si="21"/>
        <v>SELL</v>
      </c>
      <c r="AL35" s="31"/>
      <c r="AM35" s="31"/>
      <c r="AN35" s="31"/>
      <c r="AO35" s="31"/>
      <c r="AP35" s="31"/>
      <c r="AQ35" s="31"/>
      <c r="AR35" s="31"/>
    </row>
    <row r="36" spans="1:44" ht="15.75" customHeight="1">
      <c r="A36" s="61" t="s">
        <v>88</v>
      </c>
      <c r="B36" s="62">
        <f ca="1">IFERROR(__xludf.DUMMYFUNCTION("googlefinance(""nse:""&amp;A36,""price"")"),159)</f>
        <v>159</v>
      </c>
      <c r="C36" s="63">
        <f t="shared" ca="1" si="0"/>
        <v>0</v>
      </c>
      <c r="D36" s="63">
        <f ca="1">IFERROR(__xludf.DUMMYFUNCTION("googlefinance(""nse:""&amp;A36,""changepct"")"),5.54)</f>
        <v>5.54</v>
      </c>
      <c r="E36" s="63">
        <f ca="1">IFERROR(__xludf.DUMMYFUNCTION("googlefinance(""nse:""&amp;A36,""change"")"),8.35)</f>
        <v>8.35</v>
      </c>
      <c r="F36" s="63">
        <f ca="1">IFERROR(__xludf.DUMMYFUNCTION("googlefinance(""nse:""&amp;A36,""priceopen"")"),154.8)</f>
        <v>154.80000000000001</v>
      </c>
      <c r="G36" s="63">
        <f ca="1">IFERROR(__xludf.DUMMYFUNCTION("googlefinance(""nse:""&amp;A36,""HIGH"")"),170.6)</f>
        <v>170.6</v>
      </c>
      <c r="H36" s="63">
        <f ca="1">IFERROR(__xludf.DUMMYFUNCTION("googlefinance(""nse:""&amp;A36,""LOW"")"),153.35)</f>
        <v>153.35</v>
      </c>
      <c r="I36" s="63">
        <f ca="1">IFERROR(__xludf.DUMMYFUNCTION("googlefinance(""nse:""&amp;A36,""VOLUME"")"),18444012)</f>
        <v>18444012</v>
      </c>
      <c r="J36" s="63">
        <f ca="1">IFERROR(__xludf.DUMMYFUNCTION("googlefinance(""nse:""&amp;A36,""closeyest"")"),150.65)</f>
        <v>150.65</v>
      </c>
      <c r="K36" s="65" t="str">
        <f ca="1">IFERROR(__xludf.DUMMYFUNCTION("INDEX( GoogleFinance( ""NSE:""&amp;A36 , ""all"" , TODAY()-4) , 2, 3)"),"#N/A")</f>
        <v>#N/A</v>
      </c>
      <c r="L36" s="66" t="str">
        <f ca="1">IFERROR(__xludf.DUMMYFUNCTION("INDEX( GoogleFinance(""NSE:""&amp;A36 , ""all"" , TODAY()-4 ) , 2, 4)"),"#N/A")</f>
        <v>#N/A</v>
      </c>
      <c r="M36" s="67" t="str">
        <f ca="1">IFERROR(__xludf.DUMMYFUNCTION("INDEX( GoogleFinance( ""NSE:""&amp;A36 , ""all"" , TODAY()-4) , 2, 2)"),"#N/A")</f>
        <v>#N/A</v>
      </c>
      <c r="N36" s="68" t="str">
        <f ca="1">IFERROR(__xludf.DUMMYFUNCTION("INDEX( GoogleFinance( ""NSE:""&amp;A36 , ""all"" , TODAY()-4) , 2, 6)"),"#N/A")</f>
        <v>#N/A</v>
      </c>
      <c r="O36" s="69" t="str">
        <f t="shared" ca="1" si="1"/>
        <v/>
      </c>
      <c r="P36" s="69" t="e">
        <f t="shared" ca="1" si="2"/>
        <v>#VALUE!</v>
      </c>
      <c r="Q36" s="69" t="e">
        <f t="shared" ca="1" si="3"/>
        <v>#VALUE!</v>
      </c>
      <c r="R36" s="69" t="e">
        <f t="shared" ca="1" si="23"/>
        <v>#VALUE!</v>
      </c>
      <c r="S36" s="69" t="e">
        <f t="shared" ca="1" si="5"/>
        <v>#VALUE!</v>
      </c>
      <c r="T36" s="69" t="e">
        <f t="shared" ca="1" si="6"/>
        <v>#VALUE!</v>
      </c>
      <c r="U36" s="69" t="e">
        <f t="shared" ca="1" si="7"/>
        <v>#VALUE!</v>
      </c>
      <c r="V36" s="69" t="e">
        <f t="shared" ca="1" si="22"/>
        <v>#VALUE!</v>
      </c>
      <c r="W36" s="70" t="str">
        <f t="shared" ca="1" si="9"/>
        <v/>
      </c>
      <c r="X36" s="70" t="e">
        <f t="shared" ca="1" si="10"/>
        <v>#VALUE!</v>
      </c>
      <c r="Y36" s="70" t="e">
        <f t="shared" ca="1" si="11"/>
        <v>#VALUE!</v>
      </c>
      <c r="Z36" s="71" t="e">
        <f t="shared" ca="1" si="12"/>
        <v>#VALUE!</v>
      </c>
      <c r="AA36" s="72" t="e">
        <f t="shared" ca="1" si="13"/>
        <v>#VALUE!</v>
      </c>
      <c r="AB36" s="72" t="e">
        <f t="shared" ca="1" si="14"/>
        <v>#VALUE!</v>
      </c>
      <c r="AC36" s="72" t="e">
        <f t="shared" ca="1" si="15"/>
        <v>#VALUE!</v>
      </c>
      <c r="AD36" s="73" t="e">
        <f t="shared" ca="1" si="16"/>
        <v>#VALUE!</v>
      </c>
      <c r="AE36" s="19" t="e">
        <f t="shared" ca="1" si="17"/>
        <v>#VALUE!</v>
      </c>
      <c r="AF36" s="74" t="str">
        <f t="shared" ca="1" si="18"/>
        <v>Below D1 Low</v>
      </c>
      <c r="AG36" s="17" t="str">
        <f t="shared" ca="1" si="19"/>
        <v>Sell</v>
      </c>
      <c r="AH36" s="17" t="str">
        <f t="shared" ca="1" si="20"/>
        <v>SELL</v>
      </c>
      <c r="AI36" s="75">
        <f ca="1">IFERROR(__xludf.DUMMYFUNCTION("AVERAGE.WEIGHTED((G36+H36+B36)/3, I36)"),160.983333333333)</f>
        <v>160.98333333333301</v>
      </c>
      <c r="AJ36" s="75" t="str">
        <f ca="1">IFERROR(__xludf.DUMMYFUNCTION("AVERAGE.WEIGHTED((K36+L36+J36)/3, N36)"),"#N/A")</f>
        <v>#N/A</v>
      </c>
      <c r="AK36" s="75" t="str">
        <f t="shared" ca="1" si="21"/>
        <v>SELL</v>
      </c>
      <c r="AL36" s="31"/>
      <c r="AM36" s="31"/>
      <c r="AN36" s="31"/>
      <c r="AO36" s="31"/>
      <c r="AP36" s="31"/>
      <c r="AQ36" s="31"/>
      <c r="AR36" s="31"/>
    </row>
    <row r="37" spans="1:44" ht="15.75" customHeight="1">
      <c r="A37" s="61" t="s">
        <v>89</v>
      </c>
      <c r="B37" s="62">
        <f ca="1">IFERROR(__xludf.DUMMYFUNCTION("googlefinance(""nse:""&amp;A37,""price"")"),590)</f>
        <v>590</v>
      </c>
      <c r="C37" s="63">
        <f t="shared" ca="1" si="0"/>
        <v>0</v>
      </c>
      <c r="D37" s="63">
        <f ca="1">IFERROR(__xludf.DUMMYFUNCTION("googlefinance(""nse:""&amp;A37,""changepct"")"),-1.05)</f>
        <v>-1.05</v>
      </c>
      <c r="E37" s="63">
        <f ca="1">IFERROR(__xludf.DUMMYFUNCTION("googlefinance(""nse:""&amp;A37,""change"")"),-6.25)</f>
        <v>-6.25</v>
      </c>
      <c r="F37" s="63">
        <f ca="1">IFERROR(__xludf.DUMMYFUNCTION("googlefinance(""nse:""&amp;A37,""priceopen"")"),607.9)</f>
        <v>607.9</v>
      </c>
      <c r="G37" s="63">
        <f ca="1">IFERROR(__xludf.DUMMYFUNCTION("googlefinance(""nse:""&amp;A37,""HIGH"")"),611.45)</f>
        <v>611.45000000000005</v>
      </c>
      <c r="H37" s="63">
        <f ca="1">IFERROR(__xludf.DUMMYFUNCTION("googlefinance(""nse:""&amp;A37,""LOW"")"),586.1)</f>
        <v>586.1</v>
      </c>
      <c r="I37" s="63">
        <f ca="1">IFERROR(__xludf.DUMMYFUNCTION("googlefinance(""nse:""&amp;A37,""VOLUME"")"),9100084)</f>
        <v>9100084</v>
      </c>
      <c r="J37" s="63">
        <f ca="1">IFERROR(__xludf.DUMMYFUNCTION("googlefinance(""nse:""&amp;A37,""closeyest"")"),596.25)</f>
        <v>596.25</v>
      </c>
      <c r="K37" s="65" t="str">
        <f ca="1">IFERROR(__xludf.DUMMYFUNCTION("INDEX( GoogleFinance( ""NSE:""&amp;A37 , ""all"" , TODAY()-4) , 2, 3)"),"#N/A")</f>
        <v>#N/A</v>
      </c>
      <c r="L37" s="66" t="str">
        <f ca="1">IFERROR(__xludf.DUMMYFUNCTION("INDEX( GoogleFinance(""NSE:""&amp;A37 , ""all"" , TODAY()-4 ) , 2, 4)"),"#N/A")</f>
        <v>#N/A</v>
      </c>
      <c r="M37" s="67" t="str">
        <f ca="1">IFERROR(__xludf.DUMMYFUNCTION("INDEX( GoogleFinance( ""NSE:""&amp;A37 , ""all"" , TODAY()-4) , 2, 2)"),"#N/A")</f>
        <v>#N/A</v>
      </c>
      <c r="N37" s="68" t="str">
        <f ca="1">IFERROR(__xludf.DUMMYFUNCTION("INDEX( GoogleFinance( ""NSE:""&amp;A37 , ""all"" , TODAY()-4) , 2, 6)"),"#N/A")</f>
        <v>#N/A</v>
      </c>
      <c r="O37" s="69" t="str">
        <f t="shared" ca="1" si="1"/>
        <v/>
      </c>
      <c r="P37" s="69" t="e">
        <f t="shared" ca="1" si="2"/>
        <v>#VALUE!</v>
      </c>
      <c r="Q37" s="69" t="e">
        <f t="shared" ca="1" si="3"/>
        <v>#VALUE!</v>
      </c>
      <c r="R37" s="69" t="e">
        <f t="shared" ca="1" si="23"/>
        <v>#VALUE!</v>
      </c>
      <c r="S37" s="69" t="e">
        <f t="shared" ca="1" si="5"/>
        <v>#VALUE!</v>
      </c>
      <c r="T37" s="69" t="e">
        <f t="shared" ca="1" si="6"/>
        <v>#VALUE!</v>
      </c>
      <c r="U37" s="69" t="e">
        <f t="shared" ca="1" si="7"/>
        <v>#VALUE!</v>
      </c>
      <c r="V37" s="69" t="e">
        <f t="shared" ca="1" si="22"/>
        <v>#VALUE!</v>
      </c>
      <c r="W37" s="70" t="str">
        <f t="shared" ca="1" si="9"/>
        <v/>
      </c>
      <c r="X37" s="70" t="e">
        <f t="shared" ca="1" si="10"/>
        <v>#VALUE!</v>
      </c>
      <c r="Y37" s="70" t="e">
        <f t="shared" ca="1" si="11"/>
        <v>#VALUE!</v>
      </c>
      <c r="Z37" s="71" t="e">
        <f t="shared" ca="1" si="12"/>
        <v>#VALUE!</v>
      </c>
      <c r="AA37" s="72" t="e">
        <f t="shared" ca="1" si="13"/>
        <v>#VALUE!</v>
      </c>
      <c r="AB37" s="72" t="e">
        <f t="shared" ca="1" si="14"/>
        <v>#VALUE!</v>
      </c>
      <c r="AC37" s="72" t="e">
        <f t="shared" ca="1" si="15"/>
        <v>#VALUE!</v>
      </c>
      <c r="AD37" s="73" t="e">
        <f t="shared" ca="1" si="16"/>
        <v>#VALUE!</v>
      </c>
      <c r="AE37" s="19" t="e">
        <f t="shared" ca="1" si="17"/>
        <v>#VALUE!</v>
      </c>
      <c r="AF37" s="74" t="str">
        <f t="shared" ca="1" si="18"/>
        <v>Below D1 Low</v>
      </c>
      <c r="AG37" s="17" t="str">
        <f t="shared" ca="1" si="19"/>
        <v>Sell</v>
      </c>
      <c r="AH37" s="17" t="str">
        <f t="shared" ca="1" si="20"/>
        <v>SELL</v>
      </c>
      <c r="AI37" s="75">
        <f ca="1">IFERROR(__xludf.DUMMYFUNCTION("AVERAGE.WEIGHTED((G37+H37+B37)/3, I37)"),595.85)</f>
        <v>595.85</v>
      </c>
      <c r="AJ37" s="75" t="str">
        <f ca="1">IFERROR(__xludf.DUMMYFUNCTION("AVERAGE.WEIGHTED((K37+L37+J37)/3, N37)"),"#N/A")</f>
        <v>#N/A</v>
      </c>
      <c r="AK37" s="75" t="str">
        <f t="shared" ca="1" si="21"/>
        <v>SELL</v>
      </c>
      <c r="AL37" s="31"/>
      <c r="AM37" s="31"/>
      <c r="AN37" s="31"/>
      <c r="AO37" s="31"/>
      <c r="AP37" s="31"/>
      <c r="AQ37" s="31"/>
      <c r="AR37" s="31"/>
    </row>
    <row r="38" spans="1:44" ht="15.75" customHeight="1">
      <c r="A38" s="61" t="s">
        <v>90</v>
      </c>
      <c r="B38" s="62">
        <f ca="1">IFERROR(__xludf.DUMMYFUNCTION("googlefinance(""nse:""&amp;A38,""price"")"),148.8)</f>
        <v>148.80000000000001</v>
      </c>
      <c r="C38" s="63">
        <f t="shared" ca="1" si="0"/>
        <v>0</v>
      </c>
      <c r="D38" s="63">
        <f ca="1">IFERROR(__xludf.DUMMYFUNCTION("googlefinance(""nse:""&amp;A38,""changepct"")"),6.4)</f>
        <v>6.4</v>
      </c>
      <c r="E38" s="63">
        <f ca="1">IFERROR(__xludf.DUMMYFUNCTION("googlefinance(""nse:""&amp;A38,""change"")"),8.95)</f>
        <v>8.9499999999999993</v>
      </c>
      <c r="F38" s="63">
        <f ca="1">IFERROR(__xludf.DUMMYFUNCTION("googlefinance(""nse:""&amp;A38,""priceopen"")"),141.5)</f>
        <v>141.5</v>
      </c>
      <c r="G38" s="63">
        <f ca="1">IFERROR(__xludf.DUMMYFUNCTION("googlefinance(""nse:""&amp;A38,""HIGH"")"),149.45)</f>
        <v>149.44999999999999</v>
      </c>
      <c r="H38" s="63">
        <f ca="1">IFERROR(__xludf.DUMMYFUNCTION("googlefinance(""nse:""&amp;A38,""LOW"")"),141.35)</f>
        <v>141.35</v>
      </c>
      <c r="I38" s="63">
        <f ca="1">IFERROR(__xludf.DUMMYFUNCTION("googlefinance(""nse:""&amp;A38,""VOLUME"")"),13146077)</f>
        <v>13146077</v>
      </c>
      <c r="J38" s="63">
        <f ca="1">IFERROR(__xludf.DUMMYFUNCTION("googlefinance(""nse:""&amp;A38,""closeyest"")"),139.85)</f>
        <v>139.85</v>
      </c>
      <c r="K38" s="65" t="str">
        <f ca="1">IFERROR(__xludf.DUMMYFUNCTION("INDEX( GoogleFinance( ""NSE:""&amp;A38 , ""all"" , TODAY()-4) , 2, 3)"),"#N/A")</f>
        <v>#N/A</v>
      </c>
      <c r="L38" s="66" t="str">
        <f ca="1">IFERROR(__xludf.DUMMYFUNCTION("INDEX( GoogleFinance(""NSE:""&amp;A38 , ""all"" , TODAY()-4 ) , 2, 4)"),"#N/A")</f>
        <v>#N/A</v>
      </c>
      <c r="M38" s="67" t="str">
        <f ca="1">IFERROR(__xludf.DUMMYFUNCTION("INDEX( GoogleFinance( ""NSE:""&amp;A38 , ""all"" , TODAY()-4) , 2, 2)"),"#N/A")</f>
        <v>#N/A</v>
      </c>
      <c r="N38" s="68" t="str">
        <f ca="1">IFERROR(__xludf.DUMMYFUNCTION("INDEX( GoogleFinance( ""NSE:""&amp;A38 , ""all"" , TODAY()-4) , 2, 6)"),"#N/A")</f>
        <v>#N/A</v>
      </c>
      <c r="O38" s="69" t="str">
        <f t="shared" ca="1" si="1"/>
        <v/>
      </c>
      <c r="P38" s="69" t="e">
        <f t="shared" ca="1" si="2"/>
        <v>#VALUE!</v>
      </c>
      <c r="Q38" s="69" t="e">
        <f t="shared" ca="1" si="3"/>
        <v>#VALUE!</v>
      </c>
      <c r="R38" s="69" t="e">
        <f t="shared" ca="1" si="23"/>
        <v>#VALUE!</v>
      </c>
      <c r="S38" s="69" t="e">
        <f t="shared" ca="1" si="5"/>
        <v>#VALUE!</v>
      </c>
      <c r="T38" s="69" t="e">
        <f t="shared" ca="1" si="6"/>
        <v>#VALUE!</v>
      </c>
      <c r="U38" s="69" t="e">
        <f t="shared" ca="1" si="7"/>
        <v>#VALUE!</v>
      </c>
      <c r="V38" s="69" t="e">
        <f t="shared" ca="1" si="22"/>
        <v>#VALUE!</v>
      </c>
      <c r="W38" s="70" t="str">
        <f t="shared" ca="1" si="9"/>
        <v/>
      </c>
      <c r="X38" s="70" t="e">
        <f t="shared" ca="1" si="10"/>
        <v>#VALUE!</v>
      </c>
      <c r="Y38" s="70" t="e">
        <f t="shared" ca="1" si="11"/>
        <v>#VALUE!</v>
      </c>
      <c r="Z38" s="71" t="e">
        <f t="shared" ca="1" si="12"/>
        <v>#VALUE!</v>
      </c>
      <c r="AA38" s="72" t="e">
        <f t="shared" ca="1" si="13"/>
        <v>#VALUE!</v>
      </c>
      <c r="AB38" s="72" t="e">
        <f t="shared" ca="1" si="14"/>
        <v>#VALUE!</v>
      </c>
      <c r="AC38" s="72" t="e">
        <f t="shared" ca="1" si="15"/>
        <v>#VALUE!</v>
      </c>
      <c r="AD38" s="73" t="e">
        <f t="shared" ca="1" si="16"/>
        <v>#VALUE!</v>
      </c>
      <c r="AE38" s="19" t="e">
        <f t="shared" ca="1" si="17"/>
        <v>#VALUE!</v>
      </c>
      <c r="AF38" s="74" t="str">
        <f t="shared" ca="1" si="18"/>
        <v>Below D1 Low</v>
      </c>
      <c r="AG38" s="17" t="str">
        <f t="shared" ca="1" si="19"/>
        <v>Sell</v>
      </c>
      <c r="AH38" s="17" t="str">
        <f t="shared" ca="1" si="20"/>
        <v>SELL</v>
      </c>
      <c r="AI38" s="75">
        <f ca="1">IFERROR(__xludf.DUMMYFUNCTION("AVERAGE.WEIGHTED((G38+H38+B38)/3, I38)"),146.533333333333)</f>
        <v>146.53333333333299</v>
      </c>
      <c r="AJ38" s="75" t="str">
        <f ca="1">IFERROR(__xludf.DUMMYFUNCTION("AVERAGE.WEIGHTED((K38+L38+J38)/3, N38)"),"#N/A")</f>
        <v>#N/A</v>
      </c>
      <c r="AK38" s="75" t="str">
        <f t="shared" ca="1" si="21"/>
        <v>SELL</v>
      </c>
      <c r="AL38" s="31"/>
      <c r="AM38" s="31"/>
      <c r="AN38" s="31"/>
      <c r="AO38" s="31"/>
      <c r="AP38" s="31"/>
      <c r="AQ38" s="31"/>
      <c r="AR38" s="31"/>
    </row>
    <row r="39" spans="1:44" ht="15.75" customHeight="1">
      <c r="A39" s="61" t="s">
        <v>91</v>
      </c>
      <c r="B39" s="62">
        <f ca="1">IFERROR(__xludf.DUMMYFUNCTION("googlefinance(""nse:""&amp;A39,""price"")"),1464)</f>
        <v>1464</v>
      </c>
      <c r="C39" s="63" t="str">
        <f t="shared" ca="1" si="0"/>
        <v>SELL</v>
      </c>
      <c r="D39" s="63">
        <f ca="1">IFERROR(__xludf.DUMMYFUNCTION("googlefinance(""nse:""&amp;A39,""changepct"")"),-0.65)</f>
        <v>-0.65</v>
      </c>
      <c r="E39" s="63">
        <f ca="1">IFERROR(__xludf.DUMMYFUNCTION("googlefinance(""nse:""&amp;A39,""change"")"),-9.6)</f>
        <v>-9.6</v>
      </c>
      <c r="F39" s="63">
        <f ca="1">IFERROR(__xludf.DUMMYFUNCTION("googlefinance(""nse:""&amp;A39,""priceopen"")"),1485.2)</f>
        <v>1485.2</v>
      </c>
      <c r="G39" s="63">
        <f ca="1">IFERROR(__xludf.DUMMYFUNCTION("googlefinance(""nse:""&amp;A39,""HIGH"")"),1485.2)</f>
        <v>1485.2</v>
      </c>
      <c r="H39" s="63">
        <f ca="1">IFERROR(__xludf.DUMMYFUNCTION("googlefinance(""nse:""&amp;A39,""LOW"")"),1442.5)</f>
        <v>1442.5</v>
      </c>
      <c r="I39" s="63">
        <f ca="1">IFERROR(__xludf.DUMMYFUNCTION("googlefinance(""nse:""&amp;A39,""VOLUME"")"),1673537)</f>
        <v>1673537</v>
      </c>
      <c r="J39" s="63">
        <f ca="1">IFERROR(__xludf.DUMMYFUNCTION("googlefinance(""nse:""&amp;A39,""closeyest"")"),1473.6)</f>
        <v>1473.6</v>
      </c>
      <c r="K39" s="65" t="str">
        <f ca="1">IFERROR(__xludf.DUMMYFUNCTION("INDEX( GoogleFinance( ""NSE:""&amp;A39 , ""all"" , TODAY()-4) , 2, 3)"),"#N/A")</f>
        <v>#N/A</v>
      </c>
      <c r="L39" s="66" t="str">
        <f ca="1">IFERROR(__xludf.DUMMYFUNCTION("INDEX( GoogleFinance(""NSE:""&amp;A39 , ""all"" , TODAY()-4 ) , 2, 4)"),"#N/A")</f>
        <v>#N/A</v>
      </c>
      <c r="M39" s="67" t="str">
        <f ca="1">IFERROR(__xludf.DUMMYFUNCTION("INDEX( GoogleFinance( ""NSE:""&amp;A39 , ""all"" , TODAY()-4) , 2, 2)"),"#N/A")</f>
        <v>#N/A</v>
      </c>
      <c r="N39" s="68" t="str">
        <f ca="1">IFERROR(__xludf.DUMMYFUNCTION("INDEX( GoogleFinance( ""NSE:""&amp;A39 , ""all"" , TODAY()-4) , 2, 6)"),"#N/A")</f>
        <v>#N/A</v>
      </c>
      <c r="O39" s="69" t="str">
        <f t="shared" ca="1" si="1"/>
        <v/>
      </c>
      <c r="P39" s="69" t="e">
        <f t="shared" ca="1" si="2"/>
        <v>#VALUE!</v>
      </c>
      <c r="Q39" s="69" t="e">
        <f t="shared" ca="1" si="3"/>
        <v>#VALUE!</v>
      </c>
      <c r="R39" s="69" t="e">
        <f t="shared" ca="1" si="23"/>
        <v>#VALUE!</v>
      </c>
      <c r="S39" s="69" t="e">
        <f t="shared" ca="1" si="5"/>
        <v>#VALUE!</v>
      </c>
      <c r="T39" s="69" t="e">
        <f t="shared" ca="1" si="6"/>
        <v>#VALUE!</v>
      </c>
      <c r="U39" s="69" t="e">
        <f t="shared" ca="1" si="7"/>
        <v>#VALUE!</v>
      </c>
      <c r="V39" s="69" t="e">
        <f t="shared" ca="1" si="22"/>
        <v>#VALUE!</v>
      </c>
      <c r="W39" s="70" t="str">
        <f t="shared" ca="1" si="9"/>
        <v/>
      </c>
      <c r="X39" s="70" t="e">
        <f t="shared" ca="1" si="10"/>
        <v>#VALUE!</v>
      </c>
      <c r="Y39" s="70" t="e">
        <f t="shared" ca="1" si="11"/>
        <v>#VALUE!</v>
      </c>
      <c r="Z39" s="71" t="e">
        <f t="shared" ca="1" si="12"/>
        <v>#VALUE!</v>
      </c>
      <c r="AA39" s="72" t="e">
        <f t="shared" ca="1" si="13"/>
        <v>#VALUE!</v>
      </c>
      <c r="AB39" s="72" t="e">
        <f t="shared" ca="1" si="14"/>
        <v>#VALUE!</v>
      </c>
      <c r="AC39" s="72" t="e">
        <f t="shared" ca="1" si="15"/>
        <v>#VALUE!</v>
      </c>
      <c r="AD39" s="73" t="e">
        <f t="shared" ca="1" si="16"/>
        <v>#VALUE!</v>
      </c>
      <c r="AE39" s="19" t="e">
        <f t="shared" ca="1" si="17"/>
        <v>#VALUE!</v>
      </c>
      <c r="AF39" s="74" t="str">
        <f t="shared" ca="1" si="18"/>
        <v>Below D1 Low</v>
      </c>
      <c r="AG39" s="17" t="str">
        <f t="shared" ca="1" si="19"/>
        <v>Sell</v>
      </c>
      <c r="AH39" s="17" t="str">
        <f t="shared" ca="1" si="20"/>
        <v>SELL</v>
      </c>
      <c r="AI39" s="75">
        <f ca="1">IFERROR(__xludf.DUMMYFUNCTION("AVERAGE.WEIGHTED((G39+H39+B39)/3, I39)"),1463.89999999999)</f>
        <v>1463.8999999999901</v>
      </c>
      <c r="AJ39" s="75" t="str">
        <f ca="1">IFERROR(__xludf.DUMMYFUNCTION("AVERAGE.WEIGHTED((K39+L39+J39)/3, N39)"),"#N/A")</f>
        <v>#N/A</v>
      </c>
      <c r="AK39" s="75" t="str">
        <f t="shared" ca="1" si="21"/>
        <v>SELL</v>
      </c>
      <c r="AL39" s="31"/>
      <c r="AM39" s="31"/>
      <c r="AN39" s="31"/>
      <c r="AO39" s="31"/>
      <c r="AP39" s="31"/>
      <c r="AQ39" s="31"/>
      <c r="AR39" s="31"/>
    </row>
    <row r="40" spans="1:44" ht="15.75" customHeight="1">
      <c r="A40" s="61" t="s">
        <v>92</v>
      </c>
      <c r="B40" s="62">
        <f ca="1">IFERROR(__xludf.DUMMYFUNCTION("googlefinance(""nse:""&amp;A40,""price"")"),374)</f>
        <v>374</v>
      </c>
      <c r="C40" s="63">
        <f t="shared" ca="1" si="0"/>
        <v>0</v>
      </c>
      <c r="D40" s="63">
        <f ca="1">IFERROR(__xludf.DUMMYFUNCTION("googlefinance(""nse:""&amp;A40,""changepct"")"),2.16)</f>
        <v>2.16</v>
      </c>
      <c r="E40" s="63">
        <f ca="1">IFERROR(__xludf.DUMMYFUNCTION("googlefinance(""nse:""&amp;A40,""change"")"),7.9)</f>
        <v>7.9</v>
      </c>
      <c r="F40" s="63">
        <f ca="1">IFERROR(__xludf.DUMMYFUNCTION("googlefinance(""nse:""&amp;A40,""priceopen"")"),371)</f>
        <v>371</v>
      </c>
      <c r="G40" s="63">
        <f ca="1">IFERROR(__xludf.DUMMYFUNCTION("googlefinance(""nse:""&amp;A40,""HIGH"")"),381.9)</f>
        <v>381.9</v>
      </c>
      <c r="H40" s="63">
        <f ca="1">IFERROR(__xludf.DUMMYFUNCTION("googlefinance(""nse:""&amp;A40,""LOW"")"),369.1)</f>
        <v>369.1</v>
      </c>
      <c r="I40" s="63">
        <f ca="1">IFERROR(__xludf.DUMMYFUNCTION("googlefinance(""nse:""&amp;A40,""VOLUME"")"),1463582)</f>
        <v>1463582</v>
      </c>
      <c r="J40" s="63">
        <f ca="1">IFERROR(__xludf.DUMMYFUNCTION("googlefinance(""nse:""&amp;A40,""closeyest"")"),366.1)</f>
        <v>366.1</v>
      </c>
      <c r="K40" s="65" t="str">
        <f ca="1">IFERROR(__xludf.DUMMYFUNCTION("INDEX( GoogleFinance( ""NSE:""&amp;A40 , ""all"" , TODAY()-4) , 2, 3)"),"#N/A")</f>
        <v>#N/A</v>
      </c>
      <c r="L40" s="66" t="str">
        <f ca="1">IFERROR(__xludf.DUMMYFUNCTION("INDEX( GoogleFinance(""NSE:""&amp;A40 , ""all"" , TODAY()-4 ) , 2, 4)"),"#N/A")</f>
        <v>#N/A</v>
      </c>
      <c r="M40" s="67" t="str">
        <f ca="1">IFERROR(__xludf.DUMMYFUNCTION("INDEX( GoogleFinance( ""NSE:""&amp;A40 , ""all"" , TODAY()-4) , 2, 2)"),"#N/A")</f>
        <v>#N/A</v>
      </c>
      <c r="N40" s="68" t="str">
        <f ca="1">IFERROR(__xludf.DUMMYFUNCTION("INDEX( GoogleFinance( ""NSE:""&amp;A40 , ""all"" , TODAY()-4) , 2, 6)"),"#N/A")</f>
        <v>#N/A</v>
      </c>
      <c r="O40" s="69" t="str">
        <f t="shared" ca="1" si="1"/>
        <v/>
      </c>
      <c r="P40" s="69" t="e">
        <f t="shared" ca="1" si="2"/>
        <v>#VALUE!</v>
      </c>
      <c r="Q40" s="69" t="e">
        <f t="shared" ca="1" si="3"/>
        <v>#VALUE!</v>
      </c>
      <c r="R40" s="69" t="e">
        <f t="shared" ca="1" si="23"/>
        <v>#VALUE!</v>
      </c>
      <c r="S40" s="69" t="e">
        <f t="shared" ca="1" si="5"/>
        <v>#VALUE!</v>
      </c>
      <c r="T40" s="69" t="e">
        <f t="shared" ca="1" si="6"/>
        <v>#VALUE!</v>
      </c>
      <c r="U40" s="69" t="e">
        <f t="shared" ca="1" si="7"/>
        <v>#VALUE!</v>
      </c>
      <c r="V40" s="69" t="e">
        <f t="shared" ca="1" si="22"/>
        <v>#VALUE!</v>
      </c>
      <c r="W40" s="70" t="str">
        <f t="shared" ca="1" si="9"/>
        <v/>
      </c>
      <c r="X40" s="70" t="e">
        <f t="shared" ca="1" si="10"/>
        <v>#VALUE!</v>
      </c>
      <c r="Y40" s="70" t="e">
        <f t="shared" ca="1" si="11"/>
        <v>#VALUE!</v>
      </c>
      <c r="Z40" s="71" t="e">
        <f t="shared" ca="1" si="12"/>
        <v>#VALUE!</v>
      </c>
      <c r="AA40" s="72" t="e">
        <f t="shared" ca="1" si="13"/>
        <v>#VALUE!</v>
      </c>
      <c r="AB40" s="72" t="e">
        <f t="shared" ca="1" si="14"/>
        <v>#VALUE!</v>
      </c>
      <c r="AC40" s="72" t="e">
        <f t="shared" ca="1" si="15"/>
        <v>#VALUE!</v>
      </c>
      <c r="AD40" s="73" t="e">
        <f t="shared" ca="1" si="16"/>
        <v>#VALUE!</v>
      </c>
      <c r="AE40" s="19" t="e">
        <f t="shared" ca="1" si="17"/>
        <v>#VALUE!</v>
      </c>
      <c r="AF40" s="74" t="str">
        <f t="shared" ca="1" si="18"/>
        <v>Below D1 Low</v>
      </c>
      <c r="AG40" s="17" t="str">
        <f t="shared" ca="1" si="19"/>
        <v>Sell</v>
      </c>
      <c r="AH40" s="17" t="str">
        <f t="shared" ca="1" si="20"/>
        <v>SELL</v>
      </c>
      <c r="AI40" s="75">
        <f ca="1">IFERROR(__xludf.DUMMYFUNCTION("AVERAGE.WEIGHTED((G40+H40+B40)/3, I40)"),375)</f>
        <v>375</v>
      </c>
      <c r="AJ40" s="75" t="str">
        <f ca="1">IFERROR(__xludf.DUMMYFUNCTION("AVERAGE.WEIGHTED((K40+L40+J40)/3, N40)"),"#N/A")</f>
        <v>#N/A</v>
      </c>
      <c r="AK40" s="75" t="str">
        <f t="shared" ca="1" si="21"/>
        <v>SELL</v>
      </c>
      <c r="AL40" s="31"/>
      <c r="AM40" s="31"/>
      <c r="AN40" s="31"/>
      <c r="AO40" s="31"/>
      <c r="AP40" s="31"/>
      <c r="AQ40" s="31"/>
      <c r="AR40" s="31"/>
    </row>
    <row r="41" spans="1:44" ht="15.75" customHeight="1">
      <c r="A41" s="61" t="s">
        <v>93</v>
      </c>
      <c r="B41" s="62">
        <f ca="1">IFERROR(__xludf.DUMMYFUNCTION("googlefinance(""nse:""&amp;A41,""price"")"),376.05)</f>
        <v>376.05</v>
      </c>
      <c r="C41" s="63">
        <f t="shared" ca="1" si="0"/>
        <v>0</v>
      </c>
      <c r="D41" s="63">
        <f ca="1">IFERROR(__xludf.DUMMYFUNCTION("googlefinance(""nse:""&amp;A41,""changepct"")"),-0.77)</f>
        <v>-0.77</v>
      </c>
      <c r="E41" s="63">
        <f ca="1">IFERROR(__xludf.DUMMYFUNCTION("googlefinance(""nse:""&amp;A41,""change"")"),-2.9)</f>
        <v>-2.9</v>
      </c>
      <c r="F41" s="63">
        <f ca="1">IFERROR(__xludf.DUMMYFUNCTION("googlefinance(""nse:""&amp;A41,""priceopen"")"),379)</f>
        <v>379</v>
      </c>
      <c r="G41" s="63">
        <f ca="1">IFERROR(__xludf.DUMMYFUNCTION("googlefinance(""nse:""&amp;A41,""HIGH"")"),382)</f>
        <v>382</v>
      </c>
      <c r="H41" s="63">
        <f ca="1">IFERROR(__xludf.DUMMYFUNCTION("googlefinance(""nse:""&amp;A41,""LOW"")"),371)</f>
        <v>371</v>
      </c>
      <c r="I41" s="63">
        <f ca="1">IFERROR(__xludf.DUMMYFUNCTION("googlefinance(""nse:""&amp;A41,""VOLUME"")"),1797179)</f>
        <v>1797179</v>
      </c>
      <c r="J41" s="63">
        <f ca="1">IFERROR(__xludf.DUMMYFUNCTION("googlefinance(""nse:""&amp;A41,""closeyest"")"),378.95)</f>
        <v>378.95</v>
      </c>
      <c r="K41" s="65" t="str">
        <f ca="1">IFERROR(__xludf.DUMMYFUNCTION("INDEX( GoogleFinance( ""NSE:""&amp;A41 , ""all"" , TODAY()-4) , 2, 3)"),"#N/A")</f>
        <v>#N/A</v>
      </c>
      <c r="L41" s="66" t="str">
        <f ca="1">IFERROR(__xludf.DUMMYFUNCTION("INDEX( GoogleFinance(""NSE:""&amp;A41 , ""all"" , TODAY()-4 ) , 2, 4)"),"#N/A")</f>
        <v>#N/A</v>
      </c>
      <c r="M41" s="67" t="str">
        <f ca="1">IFERROR(__xludf.DUMMYFUNCTION("INDEX( GoogleFinance( ""NSE:""&amp;A41 , ""all"" , TODAY()-4) , 2, 2)"),"#N/A")</f>
        <v>#N/A</v>
      </c>
      <c r="N41" s="68" t="str">
        <f ca="1">IFERROR(__xludf.DUMMYFUNCTION("INDEX( GoogleFinance( ""NSE:""&amp;A41 , ""all"" , TODAY()-4) , 2, 6)"),"#N/A")</f>
        <v>#N/A</v>
      </c>
      <c r="O41" s="69" t="str">
        <f t="shared" ca="1" si="1"/>
        <v/>
      </c>
      <c r="P41" s="69" t="e">
        <f t="shared" ca="1" si="2"/>
        <v>#VALUE!</v>
      </c>
      <c r="Q41" s="69" t="e">
        <f t="shared" ca="1" si="3"/>
        <v>#VALUE!</v>
      </c>
      <c r="R41" s="69" t="e">
        <f t="shared" ca="1" si="23"/>
        <v>#VALUE!</v>
      </c>
      <c r="S41" s="69" t="e">
        <f t="shared" ca="1" si="5"/>
        <v>#VALUE!</v>
      </c>
      <c r="T41" s="69" t="e">
        <f t="shared" ca="1" si="6"/>
        <v>#VALUE!</v>
      </c>
      <c r="U41" s="69" t="e">
        <f t="shared" ca="1" si="7"/>
        <v>#VALUE!</v>
      </c>
      <c r="V41" s="69" t="e">
        <f t="shared" ca="1" si="22"/>
        <v>#VALUE!</v>
      </c>
      <c r="W41" s="70" t="str">
        <f t="shared" ca="1" si="9"/>
        <v/>
      </c>
      <c r="X41" s="70" t="e">
        <f t="shared" ca="1" si="10"/>
        <v>#VALUE!</v>
      </c>
      <c r="Y41" s="70" t="e">
        <f t="shared" ca="1" si="11"/>
        <v>#VALUE!</v>
      </c>
      <c r="Z41" s="71" t="e">
        <f t="shared" ca="1" si="12"/>
        <v>#VALUE!</v>
      </c>
      <c r="AA41" s="72" t="e">
        <f t="shared" ca="1" si="13"/>
        <v>#VALUE!</v>
      </c>
      <c r="AB41" s="72" t="e">
        <f t="shared" ca="1" si="14"/>
        <v>#VALUE!</v>
      </c>
      <c r="AC41" s="72" t="e">
        <f t="shared" ca="1" si="15"/>
        <v>#VALUE!</v>
      </c>
      <c r="AD41" s="73" t="e">
        <f t="shared" ca="1" si="16"/>
        <v>#VALUE!</v>
      </c>
      <c r="AE41" s="19" t="e">
        <f t="shared" ca="1" si="17"/>
        <v>#VALUE!</v>
      </c>
      <c r="AF41" s="74" t="str">
        <f t="shared" ca="1" si="18"/>
        <v>Below D1 Low</v>
      </c>
      <c r="AG41" s="17" t="str">
        <f t="shared" ca="1" si="19"/>
        <v>Sell</v>
      </c>
      <c r="AH41" s="17" t="str">
        <f t="shared" ca="1" si="20"/>
        <v>SELL</v>
      </c>
      <c r="AI41" s="75">
        <f ca="1">IFERROR(__xludf.DUMMYFUNCTION("AVERAGE.WEIGHTED((G41+H41+B41)/3, I41)"),376.349999999999)</f>
        <v>376.349999999999</v>
      </c>
      <c r="AJ41" s="75" t="str">
        <f ca="1">IFERROR(__xludf.DUMMYFUNCTION("AVERAGE.WEIGHTED((K41+L41+J41)/3, N41)"),"#N/A")</f>
        <v>#N/A</v>
      </c>
      <c r="AK41" s="75" t="str">
        <f t="shared" ca="1" si="21"/>
        <v>SELL</v>
      </c>
      <c r="AL41" s="31"/>
      <c r="AM41" s="31"/>
      <c r="AN41" s="31"/>
      <c r="AO41" s="31"/>
      <c r="AP41" s="31"/>
      <c r="AQ41" s="31"/>
      <c r="AR41" s="31"/>
    </row>
    <row r="42" spans="1:44" ht="15.75" customHeight="1">
      <c r="A42" s="61" t="s">
        <v>94</v>
      </c>
      <c r="B42" s="62">
        <f ca="1">IFERROR(__xludf.DUMMYFUNCTION("googlefinance(""nse:""&amp;A42,""price"")"),490)</f>
        <v>490</v>
      </c>
      <c r="C42" s="63">
        <f t="shared" ca="1" si="0"/>
        <v>0</v>
      </c>
      <c r="D42" s="63">
        <f ca="1">IFERROR(__xludf.DUMMYFUNCTION("googlefinance(""nse:""&amp;A42,""changepct"")"),2.46)</f>
        <v>2.46</v>
      </c>
      <c r="E42" s="63">
        <f ca="1">IFERROR(__xludf.DUMMYFUNCTION("googlefinance(""nse:""&amp;A42,""change"")"),11.75)</f>
        <v>11.75</v>
      </c>
      <c r="F42" s="63">
        <f ca="1">IFERROR(__xludf.DUMMYFUNCTION("googlefinance(""nse:""&amp;A42,""priceopen"")"),485)</f>
        <v>485</v>
      </c>
      <c r="G42" s="63">
        <f ca="1">IFERROR(__xludf.DUMMYFUNCTION("googlefinance(""nse:""&amp;A42,""HIGH"")"),495.35)</f>
        <v>495.35</v>
      </c>
      <c r="H42" s="63">
        <f ca="1">IFERROR(__xludf.DUMMYFUNCTION("googlefinance(""nse:""&amp;A42,""LOW"")"),478.25)</f>
        <v>478.25</v>
      </c>
      <c r="I42" s="63">
        <f ca="1">IFERROR(__xludf.DUMMYFUNCTION("googlefinance(""nse:""&amp;A42,""VOLUME"")"),4295419)</f>
        <v>4295419</v>
      </c>
      <c r="J42" s="63">
        <f ca="1">IFERROR(__xludf.DUMMYFUNCTION("googlefinance(""nse:""&amp;A42,""closeyest"")"),478.25)</f>
        <v>478.25</v>
      </c>
      <c r="K42" s="65" t="str">
        <f ca="1">IFERROR(__xludf.DUMMYFUNCTION("INDEX( GoogleFinance( ""NSE:""&amp;A42 , ""all"" , TODAY()-4) , 2, 3)"),"#N/A")</f>
        <v>#N/A</v>
      </c>
      <c r="L42" s="66" t="str">
        <f ca="1">IFERROR(__xludf.DUMMYFUNCTION("INDEX( GoogleFinance(""NSE:""&amp;A42 , ""all"" , TODAY()-4 ) , 2, 4)"),"#N/A")</f>
        <v>#N/A</v>
      </c>
      <c r="M42" s="67" t="str">
        <f ca="1">IFERROR(__xludf.DUMMYFUNCTION("INDEX( GoogleFinance( ""NSE:""&amp;A42 , ""all"" , TODAY()-4) , 2, 2)"),"#N/A")</f>
        <v>#N/A</v>
      </c>
      <c r="N42" s="68" t="str">
        <f ca="1">IFERROR(__xludf.DUMMYFUNCTION("INDEX( GoogleFinance( ""NSE:""&amp;A42 , ""all"" , TODAY()-4) , 2, 6)"),"#N/A")</f>
        <v>#N/A</v>
      </c>
      <c r="O42" s="69" t="str">
        <f t="shared" ca="1" si="1"/>
        <v/>
      </c>
      <c r="P42" s="69" t="e">
        <f t="shared" ca="1" si="2"/>
        <v>#VALUE!</v>
      </c>
      <c r="Q42" s="69" t="e">
        <f t="shared" ca="1" si="3"/>
        <v>#VALUE!</v>
      </c>
      <c r="R42" s="69" t="e">
        <f t="shared" ca="1" si="23"/>
        <v>#VALUE!</v>
      </c>
      <c r="S42" s="69" t="e">
        <f t="shared" ca="1" si="5"/>
        <v>#VALUE!</v>
      </c>
      <c r="T42" s="69" t="e">
        <f t="shared" ca="1" si="6"/>
        <v>#VALUE!</v>
      </c>
      <c r="U42" s="69" t="e">
        <f t="shared" ca="1" si="7"/>
        <v>#VALUE!</v>
      </c>
      <c r="V42" s="69" t="e">
        <f t="shared" ca="1" si="22"/>
        <v>#VALUE!</v>
      </c>
      <c r="W42" s="70" t="str">
        <f t="shared" ca="1" si="9"/>
        <v/>
      </c>
      <c r="X42" s="70" t="e">
        <f t="shared" ca="1" si="10"/>
        <v>#VALUE!</v>
      </c>
      <c r="Y42" s="70" t="e">
        <f t="shared" ca="1" si="11"/>
        <v>#VALUE!</v>
      </c>
      <c r="Z42" s="71" t="e">
        <f t="shared" ca="1" si="12"/>
        <v>#VALUE!</v>
      </c>
      <c r="AA42" s="72" t="e">
        <f t="shared" ca="1" si="13"/>
        <v>#VALUE!</v>
      </c>
      <c r="AB42" s="72" t="e">
        <f t="shared" ca="1" si="14"/>
        <v>#VALUE!</v>
      </c>
      <c r="AC42" s="72" t="e">
        <f t="shared" ca="1" si="15"/>
        <v>#VALUE!</v>
      </c>
      <c r="AD42" s="73" t="e">
        <f t="shared" ca="1" si="16"/>
        <v>#VALUE!</v>
      </c>
      <c r="AE42" s="19" t="e">
        <f t="shared" ca="1" si="17"/>
        <v>#VALUE!</v>
      </c>
      <c r="AF42" s="74" t="str">
        <f t="shared" ca="1" si="18"/>
        <v>Below D1 Low</v>
      </c>
      <c r="AG42" s="17" t="str">
        <f t="shared" ca="1" si="19"/>
        <v>Sell</v>
      </c>
      <c r="AH42" s="17" t="str">
        <f t="shared" ca="1" si="20"/>
        <v>SELL</v>
      </c>
      <c r="AI42" s="75">
        <f ca="1">IFERROR(__xludf.DUMMYFUNCTION("AVERAGE.WEIGHTED((G42+H42+B42)/3, I42)"),487.866666666666)</f>
        <v>487.86666666666599</v>
      </c>
      <c r="AJ42" s="75" t="str">
        <f ca="1">IFERROR(__xludf.DUMMYFUNCTION("AVERAGE.WEIGHTED((K42+L42+J42)/3, N42)"),"#N/A")</f>
        <v>#N/A</v>
      </c>
      <c r="AK42" s="75" t="str">
        <f t="shared" ca="1" si="21"/>
        <v>SELL</v>
      </c>
      <c r="AL42" s="31"/>
      <c r="AM42" s="31"/>
      <c r="AN42" s="31"/>
      <c r="AO42" s="31"/>
      <c r="AP42" s="31"/>
      <c r="AQ42" s="31"/>
      <c r="AR42" s="31"/>
    </row>
    <row r="43" spans="1:44" ht="15.75" customHeight="1">
      <c r="A43" s="61" t="s">
        <v>95</v>
      </c>
      <c r="B43" s="62">
        <f ca="1">IFERROR(__xludf.DUMMYFUNCTION("googlefinance(""nse:""&amp;A43,""price"")"),2333)</f>
        <v>2333</v>
      </c>
      <c r="C43" s="63">
        <f t="shared" ca="1" si="0"/>
        <v>0</v>
      </c>
      <c r="D43" s="63">
        <f ca="1">IFERROR(__xludf.DUMMYFUNCTION("googlefinance(""nse:""&amp;A43,""changepct"")"),-1.55)</f>
        <v>-1.55</v>
      </c>
      <c r="E43" s="63">
        <f ca="1">IFERROR(__xludf.DUMMYFUNCTION("googlefinance(""nse:""&amp;A43,""change"")"),-36.85)</f>
        <v>-36.85</v>
      </c>
      <c r="F43" s="63">
        <f ca="1">IFERROR(__xludf.DUMMYFUNCTION("googlefinance(""nse:""&amp;A43,""priceopen"")"),2365)</f>
        <v>2365</v>
      </c>
      <c r="G43" s="63">
        <f ca="1">IFERROR(__xludf.DUMMYFUNCTION("googlefinance(""nse:""&amp;A43,""HIGH"")"),2372.7)</f>
        <v>2372.6999999999998</v>
      </c>
      <c r="H43" s="63">
        <f ca="1">IFERROR(__xludf.DUMMYFUNCTION("googlefinance(""nse:""&amp;A43,""LOW"")"),2300.7)</f>
        <v>2300.6999999999998</v>
      </c>
      <c r="I43" s="63">
        <f ca="1">IFERROR(__xludf.DUMMYFUNCTION("googlefinance(""nse:""&amp;A43,""VOLUME"")"),843164)</f>
        <v>843164</v>
      </c>
      <c r="J43" s="63">
        <f ca="1">IFERROR(__xludf.DUMMYFUNCTION("googlefinance(""nse:""&amp;A43,""closeyest"")"),2369.85)</f>
        <v>2369.85</v>
      </c>
      <c r="K43" s="65" t="str">
        <f ca="1">IFERROR(__xludf.DUMMYFUNCTION("INDEX( GoogleFinance( ""NSE:""&amp;A43 , ""all"" , TODAY()-4) , 2, 3)"),"#N/A")</f>
        <v>#N/A</v>
      </c>
      <c r="L43" s="66" t="str">
        <f ca="1">IFERROR(__xludf.DUMMYFUNCTION("INDEX( GoogleFinance(""NSE:""&amp;A43 , ""all"" , TODAY()-4 ) , 2, 4)"),"#N/A")</f>
        <v>#N/A</v>
      </c>
      <c r="M43" s="67" t="str">
        <f ca="1">IFERROR(__xludf.DUMMYFUNCTION("INDEX( GoogleFinance( ""NSE:""&amp;A43 , ""all"" , TODAY()-4) , 2, 2)"),"#N/A")</f>
        <v>#N/A</v>
      </c>
      <c r="N43" s="68" t="str">
        <f ca="1">IFERROR(__xludf.DUMMYFUNCTION("INDEX( GoogleFinance( ""NSE:""&amp;A43 , ""all"" , TODAY()-4) , 2, 6)"),"#N/A")</f>
        <v>#N/A</v>
      </c>
      <c r="O43" s="69" t="str">
        <f t="shared" ca="1" si="1"/>
        <v/>
      </c>
      <c r="P43" s="69" t="e">
        <f t="shared" ca="1" si="2"/>
        <v>#VALUE!</v>
      </c>
      <c r="Q43" s="69" t="e">
        <f t="shared" ca="1" si="3"/>
        <v>#VALUE!</v>
      </c>
      <c r="R43" s="69" t="e">
        <f t="shared" ca="1" si="23"/>
        <v>#VALUE!</v>
      </c>
      <c r="S43" s="69" t="e">
        <f t="shared" ca="1" si="5"/>
        <v>#VALUE!</v>
      </c>
      <c r="T43" s="69" t="e">
        <f t="shared" ca="1" si="6"/>
        <v>#VALUE!</v>
      </c>
      <c r="U43" s="69" t="e">
        <f ca="1">IF(AND(O43="BUY",G43&gt;=T43),"TARGET HIT","")</f>
        <v>#VALUE!</v>
      </c>
      <c r="V43" s="69" t="e">
        <f ca="1">IF(AND(O43="BUY",H43&lt;=R43),"SL HIT","")</f>
        <v>#VALUE!</v>
      </c>
      <c r="W43" s="70" t="str">
        <f t="shared" ca="1" si="9"/>
        <v/>
      </c>
      <c r="X43" s="70" t="e">
        <f t="shared" ca="1" si="10"/>
        <v>#VALUE!</v>
      </c>
      <c r="Y43" s="70" t="e">
        <f t="shared" ca="1" si="11"/>
        <v>#VALUE!</v>
      </c>
      <c r="Z43" s="71" t="e">
        <f t="shared" ca="1" si="12"/>
        <v>#VALUE!</v>
      </c>
      <c r="AA43" s="72" t="e">
        <f t="shared" ca="1" si="13"/>
        <v>#VALUE!</v>
      </c>
      <c r="AB43" s="72" t="e">
        <f t="shared" ca="1" si="14"/>
        <v>#VALUE!</v>
      </c>
      <c r="AC43" s="72" t="e">
        <f t="shared" ca="1" si="15"/>
        <v>#VALUE!</v>
      </c>
      <c r="AD43" s="73" t="e">
        <f t="shared" ca="1" si="16"/>
        <v>#VALUE!</v>
      </c>
      <c r="AE43" s="19" t="e">
        <f t="shared" ca="1" si="17"/>
        <v>#VALUE!</v>
      </c>
      <c r="AF43" s="74" t="str">
        <f t="shared" ca="1" si="18"/>
        <v>Below D1 Low</v>
      </c>
      <c r="AG43" s="17" t="str">
        <f t="shared" ca="1" si="19"/>
        <v>Sell</v>
      </c>
      <c r="AH43" s="17" t="str">
        <f t="shared" ca="1" si="20"/>
        <v>SELL</v>
      </c>
      <c r="AI43" s="75">
        <f ca="1">IFERROR(__xludf.DUMMYFUNCTION("AVERAGE.WEIGHTED((G43+H43+B43)/3, I43)"),2335.46666666666)</f>
        <v>2335.4666666666599</v>
      </c>
      <c r="AJ43" s="75" t="str">
        <f ca="1">IFERROR(__xludf.DUMMYFUNCTION("AVERAGE.WEIGHTED((K43+L43+J43)/3, N43)"),"#N/A")</f>
        <v>#N/A</v>
      </c>
      <c r="AK43" s="75" t="str">
        <f t="shared" ca="1" si="21"/>
        <v>SELL</v>
      </c>
      <c r="AL43" s="31"/>
      <c r="AM43" s="31"/>
      <c r="AN43" s="31"/>
      <c r="AO43" s="31"/>
      <c r="AP43" s="31"/>
      <c r="AQ43" s="31"/>
      <c r="AR43" s="31"/>
    </row>
    <row r="44" spans="1:44" ht="15.75" customHeight="1">
      <c r="A44" s="61" t="s">
        <v>96</v>
      </c>
      <c r="B44" s="62">
        <f ca="1">IFERROR(__xludf.DUMMYFUNCTION("googlefinance(""nse:""&amp;A44,""price"")"),146.75)</f>
        <v>146.75</v>
      </c>
      <c r="C44" s="63">
        <f t="shared" ca="1" si="0"/>
        <v>0</v>
      </c>
      <c r="D44" s="63">
        <f ca="1">IFERROR(__xludf.DUMMYFUNCTION("googlefinance(""nse:""&amp;A44,""changepct"")"),3.6)</f>
        <v>3.6</v>
      </c>
      <c r="E44" s="63">
        <f ca="1">IFERROR(__xludf.DUMMYFUNCTION("googlefinance(""nse:""&amp;A44,""change"")"),5.1)</f>
        <v>5.0999999999999996</v>
      </c>
      <c r="F44" s="63">
        <f ca="1">IFERROR(__xludf.DUMMYFUNCTION("googlefinance(""nse:""&amp;A44,""priceopen"")"),143.65)</f>
        <v>143.65</v>
      </c>
      <c r="G44" s="63">
        <f ca="1">IFERROR(__xludf.DUMMYFUNCTION("googlefinance(""nse:""&amp;A44,""HIGH"")"),152.25)</f>
        <v>152.25</v>
      </c>
      <c r="H44" s="63">
        <f ca="1">IFERROR(__xludf.DUMMYFUNCTION("googlefinance(""nse:""&amp;A44,""LOW"")"),142.25)</f>
        <v>142.25</v>
      </c>
      <c r="I44" s="63">
        <f ca="1">IFERROR(__xludf.DUMMYFUNCTION("googlefinance(""nse:""&amp;A44,""VOLUME"")"),12818946)</f>
        <v>12818946</v>
      </c>
      <c r="J44" s="63">
        <f ca="1">IFERROR(__xludf.DUMMYFUNCTION("googlefinance(""nse:""&amp;A44,""closeyest"")"),141.65)</f>
        <v>141.65</v>
      </c>
      <c r="K44" s="65" t="str">
        <f ca="1">IFERROR(__xludf.DUMMYFUNCTION("INDEX( GoogleFinance( ""NSE:""&amp;A44 , ""all"" , TODAY()-4) , 2, 3)"),"#N/A")</f>
        <v>#N/A</v>
      </c>
      <c r="L44" s="66" t="str">
        <f ca="1">IFERROR(__xludf.DUMMYFUNCTION("INDEX( GoogleFinance(""NSE:""&amp;A44 , ""all"" , TODAY()-4 ) , 2, 4)"),"#N/A")</f>
        <v>#N/A</v>
      </c>
      <c r="M44" s="67" t="str">
        <f ca="1">IFERROR(__xludf.DUMMYFUNCTION("INDEX( GoogleFinance( ""NSE:""&amp;A44 , ""all"" , TODAY()-4) , 2, 2)"),"#N/A")</f>
        <v>#N/A</v>
      </c>
      <c r="N44" s="68" t="str">
        <f ca="1">IFERROR(__xludf.DUMMYFUNCTION("INDEX( GoogleFinance( ""NSE:""&amp;A44 , ""all"" , TODAY()-4) , 2, 6)"),"#N/A")</f>
        <v>#N/A</v>
      </c>
      <c r="O44" s="69" t="str">
        <f t="shared" ca="1" si="1"/>
        <v/>
      </c>
      <c r="P44" s="69" t="e">
        <f t="shared" ca="1" si="2"/>
        <v>#VALUE!</v>
      </c>
      <c r="Q44" s="69" t="e">
        <f t="shared" ca="1" si="3"/>
        <v>#VALUE!</v>
      </c>
      <c r="R44" s="69" t="e">
        <f t="shared" ca="1" si="23"/>
        <v>#VALUE!</v>
      </c>
      <c r="S44" s="69" t="e">
        <f t="shared" ca="1" si="5"/>
        <v>#VALUE!</v>
      </c>
      <c r="T44" s="69" t="e">
        <f t="shared" ca="1" si="6"/>
        <v>#VALUE!</v>
      </c>
      <c r="U44" s="69" t="e">
        <f t="shared" ref="U44:U146" ca="1" si="24">IF(AND(O44="BUY",B44&gt;=T44),"TARGET HIT","")</f>
        <v>#VALUE!</v>
      </c>
      <c r="V44" s="69" t="e">
        <f t="shared" ref="V44:V146" ca="1" si="25">IF(AND(O44="BUY",B44&lt;=T44),"SL HIT","")</f>
        <v>#VALUE!</v>
      </c>
      <c r="W44" s="70" t="str">
        <f t="shared" ca="1" si="9"/>
        <v/>
      </c>
      <c r="X44" s="70" t="e">
        <f t="shared" ca="1" si="10"/>
        <v>#VALUE!</v>
      </c>
      <c r="Y44" s="70" t="e">
        <f t="shared" ca="1" si="11"/>
        <v>#VALUE!</v>
      </c>
      <c r="Z44" s="71" t="e">
        <f t="shared" ca="1" si="12"/>
        <v>#VALUE!</v>
      </c>
      <c r="AA44" s="72" t="e">
        <f t="shared" ca="1" si="13"/>
        <v>#VALUE!</v>
      </c>
      <c r="AB44" s="72" t="e">
        <f t="shared" ca="1" si="14"/>
        <v>#VALUE!</v>
      </c>
      <c r="AC44" s="72" t="e">
        <f t="shared" ca="1" si="15"/>
        <v>#VALUE!</v>
      </c>
      <c r="AD44" s="73" t="e">
        <f t="shared" ca="1" si="16"/>
        <v>#VALUE!</v>
      </c>
      <c r="AE44" s="19" t="e">
        <f t="shared" ca="1" si="17"/>
        <v>#VALUE!</v>
      </c>
      <c r="AF44" s="74" t="str">
        <f t="shared" ca="1" si="18"/>
        <v>Below D1 Low</v>
      </c>
      <c r="AG44" s="17" t="str">
        <f t="shared" ca="1" si="19"/>
        <v>Sell</v>
      </c>
      <c r="AH44" s="17" t="str">
        <f t="shared" ca="1" si="20"/>
        <v>SELL</v>
      </c>
      <c r="AI44" s="75">
        <f ca="1">IFERROR(__xludf.DUMMYFUNCTION("AVERAGE.WEIGHTED((G44+H44+B44)/3, I44)"),147.083333333333)</f>
        <v>147.083333333333</v>
      </c>
      <c r="AJ44" s="75" t="str">
        <f ca="1">IFERROR(__xludf.DUMMYFUNCTION("AVERAGE.WEIGHTED((K44+L44+J44)/3, N44)"),"#N/A")</f>
        <v>#N/A</v>
      </c>
      <c r="AK44" s="75" t="str">
        <f t="shared" ca="1" si="21"/>
        <v>SELL</v>
      </c>
      <c r="AL44" s="31"/>
      <c r="AM44" s="31"/>
      <c r="AN44" s="31"/>
      <c r="AO44" s="31"/>
      <c r="AP44" s="31"/>
      <c r="AQ44" s="31"/>
      <c r="AR44" s="31"/>
    </row>
    <row r="45" spans="1:44" ht="15.75" customHeight="1">
      <c r="A45" s="61" t="s">
        <v>97</v>
      </c>
      <c r="B45" s="62">
        <f ca="1">IFERROR(__xludf.DUMMYFUNCTION("googlefinance(""nse:""&amp;A45,""price"")"),3931)</f>
        <v>3931</v>
      </c>
      <c r="C45" s="63">
        <f t="shared" ca="1" si="0"/>
        <v>0</v>
      </c>
      <c r="D45" s="63">
        <f ca="1">IFERROR(__xludf.DUMMYFUNCTION("googlefinance(""nse:""&amp;A45,""changepct"")"),1.3)</f>
        <v>1.3</v>
      </c>
      <c r="E45" s="63">
        <f ca="1">IFERROR(__xludf.DUMMYFUNCTION("googlefinance(""nse:""&amp;A45,""change"")"),50.3)</f>
        <v>50.3</v>
      </c>
      <c r="F45" s="63">
        <f ca="1">IFERROR(__xludf.DUMMYFUNCTION("googlefinance(""nse:""&amp;A45,""priceopen"")"),3933.1)</f>
        <v>3933.1</v>
      </c>
      <c r="G45" s="63">
        <f ca="1">IFERROR(__xludf.DUMMYFUNCTION("googlefinance(""nse:""&amp;A45,""HIGH"")"),4093.75)</f>
        <v>4093.75</v>
      </c>
      <c r="H45" s="63">
        <f ca="1">IFERROR(__xludf.DUMMYFUNCTION("googlefinance(""nse:""&amp;A45,""LOW"")"),3895.05)</f>
        <v>3895.05</v>
      </c>
      <c r="I45" s="63">
        <f ca="1">IFERROR(__xludf.DUMMYFUNCTION("googlefinance(""nse:""&amp;A45,""VOLUME"")"),2178034)</f>
        <v>2178034</v>
      </c>
      <c r="J45" s="63">
        <f ca="1">IFERROR(__xludf.DUMMYFUNCTION("googlefinance(""nse:""&amp;A45,""closeyest"")"),3880.7)</f>
        <v>3880.7</v>
      </c>
      <c r="K45" s="65" t="str">
        <f ca="1">IFERROR(__xludf.DUMMYFUNCTION("INDEX( GoogleFinance( ""NSE:""&amp;A45 , ""all"" , TODAY()-4) , 2, 3)"),"#N/A")</f>
        <v>#N/A</v>
      </c>
      <c r="L45" s="66" t="str">
        <f ca="1">IFERROR(__xludf.DUMMYFUNCTION("INDEX( GoogleFinance(""NSE:""&amp;A45 , ""all"" , TODAY()-4 ) , 2, 4)"),"#N/A")</f>
        <v>#N/A</v>
      </c>
      <c r="M45" s="67" t="str">
        <f ca="1">IFERROR(__xludf.DUMMYFUNCTION("INDEX( GoogleFinance( ""NSE:""&amp;A45 , ""all"" , TODAY()-4) , 2, 2)"),"#N/A")</f>
        <v>#N/A</v>
      </c>
      <c r="N45" s="68" t="str">
        <f ca="1">IFERROR(__xludf.DUMMYFUNCTION("INDEX( GoogleFinance( ""NSE:""&amp;A45 , ""all"" , TODAY()-4) , 2, 6)"),"#N/A")</f>
        <v>#N/A</v>
      </c>
      <c r="O45" s="69" t="str">
        <f t="shared" ca="1" si="1"/>
        <v/>
      </c>
      <c r="P45" s="69" t="e">
        <f t="shared" ca="1" si="2"/>
        <v>#VALUE!</v>
      </c>
      <c r="Q45" s="69" t="e">
        <f t="shared" ca="1" si="3"/>
        <v>#VALUE!</v>
      </c>
      <c r="R45" s="69" t="e">
        <f t="shared" ca="1" si="23"/>
        <v>#VALUE!</v>
      </c>
      <c r="S45" s="69" t="e">
        <f t="shared" ca="1" si="5"/>
        <v>#VALUE!</v>
      </c>
      <c r="T45" s="69" t="e">
        <f t="shared" ca="1" si="6"/>
        <v>#VALUE!</v>
      </c>
      <c r="U45" s="69" t="e">
        <f t="shared" ca="1" si="24"/>
        <v>#VALUE!</v>
      </c>
      <c r="V45" s="69" t="e">
        <f t="shared" ca="1" si="25"/>
        <v>#VALUE!</v>
      </c>
      <c r="W45" s="70" t="str">
        <f t="shared" ca="1" si="9"/>
        <v/>
      </c>
      <c r="X45" s="70" t="e">
        <f t="shared" ca="1" si="10"/>
        <v>#VALUE!</v>
      </c>
      <c r="Y45" s="70" t="e">
        <f t="shared" ca="1" si="11"/>
        <v>#VALUE!</v>
      </c>
      <c r="Z45" s="71" t="e">
        <f t="shared" ca="1" si="12"/>
        <v>#VALUE!</v>
      </c>
      <c r="AA45" s="72" t="e">
        <f t="shared" ca="1" si="13"/>
        <v>#VALUE!</v>
      </c>
      <c r="AB45" s="72" t="e">
        <f t="shared" ca="1" si="14"/>
        <v>#VALUE!</v>
      </c>
      <c r="AC45" s="72" t="e">
        <f t="shared" ca="1" si="15"/>
        <v>#VALUE!</v>
      </c>
      <c r="AD45" s="73" t="e">
        <f t="shared" ca="1" si="16"/>
        <v>#VALUE!</v>
      </c>
      <c r="AE45" s="19" t="e">
        <f t="shared" ca="1" si="17"/>
        <v>#VALUE!</v>
      </c>
      <c r="AF45" s="74" t="str">
        <f t="shared" ca="1" si="18"/>
        <v>Below D1 Low</v>
      </c>
      <c r="AG45" s="17" t="str">
        <f t="shared" ca="1" si="19"/>
        <v>Sell</v>
      </c>
      <c r="AH45" s="17" t="str">
        <f t="shared" ca="1" si="20"/>
        <v>SELL</v>
      </c>
      <c r="AI45" s="75">
        <f ca="1">IFERROR(__xludf.DUMMYFUNCTION("AVERAGE.WEIGHTED((G45+H45+B45)/3, I45)"),3973.26666666666)</f>
        <v>3973.2666666666601</v>
      </c>
      <c r="AJ45" s="75" t="str">
        <f ca="1">IFERROR(__xludf.DUMMYFUNCTION("AVERAGE.WEIGHTED((K45+L45+J45)/3, N45)"),"#N/A")</f>
        <v>#N/A</v>
      </c>
      <c r="AK45" s="75" t="str">
        <f t="shared" ca="1" si="21"/>
        <v>SELL</v>
      </c>
      <c r="AL45" s="31"/>
      <c r="AM45" s="31"/>
      <c r="AN45" s="31"/>
      <c r="AO45" s="31"/>
      <c r="AP45" s="31"/>
      <c r="AQ45" s="31"/>
      <c r="AR45" s="31"/>
    </row>
    <row r="46" spans="1:44" ht="15.75" customHeight="1">
      <c r="A46" s="61" t="s">
        <v>98</v>
      </c>
      <c r="B46" s="62">
        <f ca="1">IFERROR(__xludf.DUMMYFUNCTION("googlefinance(""nse:""&amp;A46,""price"")"),14650)</f>
        <v>14650</v>
      </c>
      <c r="C46" s="63">
        <f t="shared" ca="1" si="0"/>
        <v>0</v>
      </c>
      <c r="D46" s="63">
        <f ca="1">IFERROR(__xludf.DUMMYFUNCTION("googlefinance(""nse:""&amp;A46,""changepct"")"),2.33)</f>
        <v>2.33</v>
      </c>
      <c r="E46" s="63">
        <f ca="1">IFERROR(__xludf.DUMMYFUNCTION("googlefinance(""nse:""&amp;A46,""change"")"),334.25)</f>
        <v>334.25</v>
      </c>
      <c r="F46" s="63">
        <f ca="1">IFERROR(__xludf.DUMMYFUNCTION("googlefinance(""nse:""&amp;A46,""priceopen"")"),14580.2)</f>
        <v>14580.2</v>
      </c>
      <c r="G46" s="63">
        <f ca="1">IFERROR(__xludf.DUMMYFUNCTION("googlefinance(""nse:""&amp;A46,""HIGH"")"),14900)</f>
        <v>14900</v>
      </c>
      <c r="H46" s="63">
        <f ca="1">IFERROR(__xludf.DUMMYFUNCTION("googlefinance(""nse:""&amp;A46,""LOW"")"),14402)</f>
        <v>14402</v>
      </c>
      <c r="I46" s="63">
        <f ca="1">IFERROR(__xludf.DUMMYFUNCTION("googlefinance(""nse:""&amp;A46,""VOLUME"")"),347244)</f>
        <v>347244</v>
      </c>
      <c r="J46" s="63">
        <f ca="1">IFERROR(__xludf.DUMMYFUNCTION("googlefinance(""nse:""&amp;A46,""closeyest"")"),14315.75)</f>
        <v>14315.75</v>
      </c>
      <c r="K46" s="65" t="str">
        <f ca="1">IFERROR(__xludf.DUMMYFUNCTION("INDEX( GoogleFinance( ""NSE:""&amp;A46 , ""all"" , TODAY()-4) , 2, 3)"),"#N/A")</f>
        <v>#N/A</v>
      </c>
      <c r="L46" s="66" t="str">
        <f ca="1">IFERROR(__xludf.DUMMYFUNCTION("INDEX( GoogleFinance(""NSE:""&amp;A46 , ""all"" , TODAY()-4 ) , 2, 4)"),"#N/A")</f>
        <v>#N/A</v>
      </c>
      <c r="M46" s="67" t="str">
        <f ca="1">IFERROR(__xludf.DUMMYFUNCTION("INDEX( GoogleFinance( ""NSE:""&amp;A46 , ""all"" , TODAY()-4) , 2, 2)"),"#N/A")</f>
        <v>#N/A</v>
      </c>
      <c r="N46" s="68" t="str">
        <f ca="1">IFERROR(__xludf.DUMMYFUNCTION("INDEX( GoogleFinance( ""NSE:""&amp;A46 , ""all"" , TODAY()-4) , 2, 6)"),"#N/A")</f>
        <v>#N/A</v>
      </c>
      <c r="O46" s="69" t="str">
        <f t="shared" ca="1" si="1"/>
        <v/>
      </c>
      <c r="P46" s="69" t="e">
        <f t="shared" ca="1" si="2"/>
        <v>#VALUE!</v>
      </c>
      <c r="Q46" s="69" t="e">
        <f t="shared" ca="1" si="3"/>
        <v>#VALUE!</v>
      </c>
      <c r="R46" s="69" t="e">
        <f t="shared" ca="1" si="23"/>
        <v>#VALUE!</v>
      </c>
      <c r="S46" s="69" t="e">
        <f t="shared" ca="1" si="5"/>
        <v>#VALUE!</v>
      </c>
      <c r="T46" s="69" t="e">
        <f t="shared" ca="1" si="6"/>
        <v>#VALUE!</v>
      </c>
      <c r="U46" s="69" t="e">
        <f t="shared" ca="1" si="24"/>
        <v>#VALUE!</v>
      </c>
      <c r="V46" s="69" t="e">
        <f t="shared" ca="1" si="25"/>
        <v>#VALUE!</v>
      </c>
      <c r="W46" s="70" t="str">
        <f t="shared" ca="1" si="9"/>
        <v/>
      </c>
      <c r="X46" s="70" t="e">
        <f t="shared" ca="1" si="10"/>
        <v>#VALUE!</v>
      </c>
      <c r="Y46" s="70" t="e">
        <f t="shared" ca="1" si="11"/>
        <v>#VALUE!</v>
      </c>
      <c r="Z46" s="71" t="e">
        <f t="shared" ca="1" si="12"/>
        <v>#VALUE!</v>
      </c>
      <c r="AA46" s="72" t="e">
        <f t="shared" ca="1" si="13"/>
        <v>#VALUE!</v>
      </c>
      <c r="AB46" s="72" t="e">
        <f t="shared" ca="1" si="14"/>
        <v>#VALUE!</v>
      </c>
      <c r="AC46" s="72" t="e">
        <f t="shared" ca="1" si="15"/>
        <v>#VALUE!</v>
      </c>
      <c r="AD46" s="73" t="e">
        <f t="shared" ca="1" si="16"/>
        <v>#VALUE!</v>
      </c>
      <c r="AE46" s="19" t="e">
        <f t="shared" ca="1" si="17"/>
        <v>#VALUE!</v>
      </c>
      <c r="AF46" s="74" t="str">
        <f t="shared" ca="1" si="18"/>
        <v>Below D1 Low</v>
      </c>
      <c r="AG46" s="17" t="str">
        <f t="shared" ca="1" si="19"/>
        <v>Sell</v>
      </c>
      <c r="AH46" s="17" t="str">
        <f t="shared" ca="1" si="20"/>
        <v>SELL</v>
      </c>
      <c r="AI46" s="75">
        <f ca="1">IFERROR(__xludf.DUMMYFUNCTION("AVERAGE.WEIGHTED((G46+H46+B46)/3, I46)"),14650.6666666666)</f>
        <v>14650.666666666601</v>
      </c>
      <c r="AJ46" s="75" t="str">
        <f ca="1">IFERROR(__xludf.DUMMYFUNCTION("AVERAGE.WEIGHTED((K46+L46+J46)/3, N46)"),"#N/A")</f>
        <v>#N/A</v>
      </c>
      <c r="AK46" s="75" t="str">
        <f t="shared" ca="1" si="21"/>
        <v>SELL</v>
      </c>
      <c r="AL46" s="31"/>
      <c r="AM46" s="31"/>
      <c r="AN46" s="31"/>
      <c r="AO46" s="31"/>
      <c r="AP46" s="31"/>
      <c r="AQ46" s="31"/>
      <c r="AR46" s="31"/>
    </row>
    <row r="47" spans="1:44" ht="15.75" customHeight="1">
      <c r="A47" s="61" t="s">
        <v>99</v>
      </c>
      <c r="B47" s="62">
        <f ca="1">IFERROR(__xludf.DUMMYFUNCTION("googlefinance(""nse:""&amp;A47,""price"")"),51.6)</f>
        <v>51.6</v>
      </c>
      <c r="C47" s="63">
        <f t="shared" ca="1" si="0"/>
        <v>0</v>
      </c>
      <c r="D47" s="63">
        <f ca="1">IFERROR(__xludf.DUMMYFUNCTION("googlefinance(""nse:""&amp;A47,""changepct"")"),-1.34)</f>
        <v>-1.34</v>
      </c>
      <c r="E47" s="63">
        <f ca="1">IFERROR(__xludf.DUMMYFUNCTION("googlefinance(""nse:""&amp;A47,""change"")"),-0.7)</f>
        <v>-0.7</v>
      </c>
      <c r="F47" s="63">
        <f ca="1">IFERROR(__xludf.DUMMYFUNCTION("googlefinance(""nse:""&amp;A47,""priceopen"")"),53.9)</f>
        <v>53.9</v>
      </c>
      <c r="G47" s="63">
        <f ca="1">IFERROR(__xludf.DUMMYFUNCTION("googlefinance(""nse:""&amp;A47,""HIGH"")"),54.4)</f>
        <v>54.4</v>
      </c>
      <c r="H47" s="63">
        <f ca="1">IFERROR(__xludf.DUMMYFUNCTION("googlefinance(""nse:""&amp;A47,""LOW"")"),50.8)</f>
        <v>50.8</v>
      </c>
      <c r="I47" s="63">
        <f ca="1">IFERROR(__xludf.DUMMYFUNCTION("googlefinance(""nse:""&amp;A47,""VOLUME"")"),15652066)</f>
        <v>15652066</v>
      </c>
      <c r="J47" s="63">
        <f ca="1">IFERROR(__xludf.DUMMYFUNCTION("googlefinance(""nse:""&amp;A47,""closeyest"")"),52.3)</f>
        <v>52.3</v>
      </c>
      <c r="K47" s="65" t="str">
        <f ca="1">IFERROR(__xludf.DUMMYFUNCTION("INDEX( GoogleFinance( ""NSE:""&amp;A47 , ""all"" , TODAY()-4) , 2, 3)"),"#N/A")</f>
        <v>#N/A</v>
      </c>
      <c r="L47" s="66" t="str">
        <f ca="1">IFERROR(__xludf.DUMMYFUNCTION("INDEX( GoogleFinance(""NSE:""&amp;A47 , ""all"" , TODAY()-4 ) , 2, 4)"),"#N/A")</f>
        <v>#N/A</v>
      </c>
      <c r="M47" s="67" t="str">
        <f ca="1">IFERROR(__xludf.DUMMYFUNCTION("INDEX( GoogleFinance( ""NSE:""&amp;A47 , ""all"" , TODAY()-4) , 2, 2)"),"#N/A")</f>
        <v>#N/A</v>
      </c>
      <c r="N47" s="68" t="str">
        <f ca="1">IFERROR(__xludf.DUMMYFUNCTION("INDEX( GoogleFinance( ""NSE:""&amp;A47 , ""all"" , TODAY()-4) , 2, 6)"),"#N/A")</f>
        <v>#N/A</v>
      </c>
      <c r="O47" s="69" t="str">
        <f t="shared" ca="1" si="1"/>
        <v/>
      </c>
      <c r="P47" s="69" t="e">
        <f t="shared" ca="1" si="2"/>
        <v>#VALUE!</v>
      </c>
      <c r="Q47" s="69" t="e">
        <f t="shared" ca="1" si="3"/>
        <v>#VALUE!</v>
      </c>
      <c r="R47" s="69" t="e">
        <f t="shared" ca="1" si="23"/>
        <v>#VALUE!</v>
      </c>
      <c r="S47" s="69" t="e">
        <f t="shared" ca="1" si="5"/>
        <v>#VALUE!</v>
      </c>
      <c r="T47" s="69" t="e">
        <f t="shared" ca="1" si="6"/>
        <v>#VALUE!</v>
      </c>
      <c r="U47" s="69" t="e">
        <f t="shared" ca="1" si="24"/>
        <v>#VALUE!</v>
      </c>
      <c r="V47" s="69" t="e">
        <f t="shared" ca="1" si="25"/>
        <v>#VALUE!</v>
      </c>
      <c r="W47" s="70" t="str">
        <f t="shared" ca="1" si="9"/>
        <v/>
      </c>
      <c r="X47" s="70" t="e">
        <f t="shared" ca="1" si="10"/>
        <v>#VALUE!</v>
      </c>
      <c r="Y47" s="70" t="e">
        <f t="shared" ca="1" si="11"/>
        <v>#VALUE!</v>
      </c>
      <c r="Z47" s="71" t="e">
        <f t="shared" ca="1" si="12"/>
        <v>#VALUE!</v>
      </c>
      <c r="AA47" s="72" t="e">
        <f t="shared" ca="1" si="13"/>
        <v>#VALUE!</v>
      </c>
      <c r="AB47" s="72" t="e">
        <f t="shared" ca="1" si="14"/>
        <v>#VALUE!</v>
      </c>
      <c r="AC47" s="72" t="e">
        <f t="shared" ca="1" si="15"/>
        <v>#VALUE!</v>
      </c>
      <c r="AD47" s="73" t="e">
        <f t="shared" ca="1" si="16"/>
        <v>#VALUE!</v>
      </c>
      <c r="AE47" s="19" t="e">
        <f t="shared" ca="1" si="17"/>
        <v>#VALUE!</v>
      </c>
      <c r="AF47" s="74" t="str">
        <f t="shared" ca="1" si="18"/>
        <v>Below D1 Low</v>
      </c>
      <c r="AG47" s="17" t="str">
        <f t="shared" ca="1" si="19"/>
        <v>Sell</v>
      </c>
      <c r="AH47" s="17" t="str">
        <f t="shared" ca="1" si="20"/>
        <v>SELL</v>
      </c>
      <c r="AI47" s="75">
        <f ca="1">IFERROR(__xludf.DUMMYFUNCTION("AVERAGE.WEIGHTED((G47+H47+B47)/3, I47)"),52.2666666666666)</f>
        <v>52.266666666666602</v>
      </c>
      <c r="AJ47" s="75" t="str">
        <f ca="1">IFERROR(__xludf.DUMMYFUNCTION("AVERAGE.WEIGHTED((K47+L47+J47)/3, N47)"),"#N/A")</f>
        <v>#N/A</v>
      </c>
      <c r="AK47" s="75" t="str">
        <f t="shared" ca="1" si="21"/>
        <v>SELL</v>
      </c>
      <c r="AL47" s="31"/>
      <c r="AM47" s="31"/>
      <c r="AN47" s="31"/>
      <c r="AO47" s="31"/>
      <c r="AP47" s="31"/>
      <c r="AQ47" s="31"/>
      <c r="AR47" s="31"/>
    </row>
    <row r="48" spans="1:44" ht="15.75" customHeight="1">
      <c r="A48" s="61" t="s">
        <v>100</v>
      </c>
      <c r="B48" s="62">
        <f ca="1">IFERROR(__xludf.DUMMYFUNCTION("googlefinance(""nse:""&amp;A48,""price"")"),710.3)</f>
        <v>710.3</v>
      </c>
      <c r="C48" s="63">
        <f t="shared" ca="1" si="0"/>
        <v>0</v>
      </c>
      <c r="D48" s="63">
        <f ca="1">IFERROR(__xludf.DUMMYFUNCTION("googlefinance(""nse:""&amp;A48,""changepct"")"),-0.66)</f>
        <v>-0.66</v>
      </c>
      <c r="E48" s="63">
        <f ca="1">IFERROR(__xludf.DUMMYFUNCTION("googlefinance(""nse:""&amp;A48,""change"")"),-4.7)</f>
        <v>-4.7</v>
      </c>
      <c r="F48" s="63">
        <f ca="1">IFERROR(__xludf.DUMMYFUNCTION("googlefinance(""nse:""&amp;A48,""priceopen"")"),728.8)</f>
        <v>728.8</v>
      </c>
      <c r="G48" s="63">
        <f ca="1">IFERROR(__xludf.DUMMYFUNCTION("googlefinance(""nse:""&amp;A48,""HIGH"")"),738.75)</f>
        <v>738.75</v>
      </c>
      <c r="H48" s="63">
        <f ca="1">IFERROR(__xludf.DUMMYFUNCTION("googlefinance(""nse:""&amp;A48,""LOW"")"),708.5)</f>
        <v>708.5</v>
      </c>
      <c r="I48" s="63">
        <f ca="1">IFERROR(__xludf.DUMMYFUNCTION("googlefinance(""nse:""&amp;A48,""VOLUME"")"),3220473)</f>
        <v>3220473</v>
      </c>
      <c r="J48" s="63">
        <f ca="1">IFERROR(__xludf.DUMMYFUNCTION("googlefinance(""nse:""&amp;A48,""closeyest"")"),715)</f>
        <v>715</v>
      </c>
      <c r="K48" s="65" t="str">
        <f ca="1">IFERROR(__xludf.DUMMYFUNCTION("INDEX( GoogleFinance( ""NSE:""&amp;A48 , ""all"" , TODAY()-4) , 2, 3)"),"#N/A")</f>
        <v>#N/A</v>
      </c>
      <c r="L48" s="66" t="str">
        <f ca="1">IFERROR(__xludf.DUMMYFUNCTION("INDEX( GoogleFinance(""NSE:""&amp;A48 , ""all"" , TODAY()-4 ) , 2, 4)"),"#N/A")</f>
        <v>#N/A</v>
      </c>
      <c r="M48" s="67" t="str">
        <f ca="1">IFERROR(__xludf.DUMMYFUNCTION("INDEX( GoogleFinance( ""NSE:""&amp;A48 , ""all"" , TODAY()-4) , 2, 2)"),"#N/A")</f>
        <v>#N/A</v>
      </c>
      <c r="N48" s="68" t="str">
        <f ca="1">IFERROR(__xludf.DUMMYFUNCTION("INDEX( GoogleFinance( ""NSE:""&amp;A48 , ""all"" , TODAY()-4) , 2, 6)"),"#N/A")</f>
        <v>#N/A</v>
      </c>
      <c r="O48" s="69" t="str">
        <f t="shared" ca="1" si="1"/>
        <v/>
      </c>
      <c r="P48" s="69" t="e">
        <f t="shared" ca="1" si="2"/>
        <v>#VALUE!</v>
      </c>
      <c r="Q48" s="69" t="e">
        <f t="shared" ca="1" si="3"/>
        <v>#VALUE!</v>
      </c>
      <c r="R48" s="69" t="e">
        <f t="shared" ca="1" si="23"/>
        <v>#VALUE!</v>
      </c>
      <c r="S48" s="69" t="e">
        <f t="shared" ca="1" si="5"/>
        <v>#VALUE!</v>
      </c>
      <c r="T48" s="69" t="e">
        <f t="shared" ca="1" si="6"/>
        <v>#VALUE!</v>
      </c>
      <c r="U48" s="69" t="e">
        <f t="shared" ca="1" si="24"/>
        <v>#VALUE!</v>
      </c>
      <c r="V48" s="69" t="e">
        <f t="shared" ca="1" si="25"/>
        <v>#VALUE!</v>
      </c>
      <c r="W48" s="70" t="str">
        <f t="shared" ca="1" si="9"/>
        <v/>
      </c>
      <c r="X48" s="70" t="e">
        <f t="shared" ca="1" si="10"/>
        <v>#VALUE!</v>
      </c>
      <c r="Y48" s="70" t="e">
        <f t="shared" ca="1" si="11"/>
        <v>#VALUE!</v>
      </c>
      <c r="Z48" s="71" t="e">
        <f t="shared" ca="1" si="12"/>
        <v>#VALUE!</v>
      </c>
      <c r="AA48" s="72" t="e">
        <f t="shared" ca="1" si="13"/>
        <v>#VALUE!</v>
      </c>
      <c r="AB48" s="72" t="e">
        <f t="shared" ca="1" si="14"/>
        <v>#VALUE!</v>
      </c>
      <c r="AC48" s="72" t="e">
        <f t="shared" ca="1" si="15"/>
        <v>#VALUE!</v>
      </c>
      <c r="AD48" s="73" t="e">
        <f t="shared" ca="1" si="16"/>
        <v>#VALUE!</v>
      </c>
      <c r="AE48" s="19" t="e">
        <f t="shared" ca="1" si="17"/>
        <v>#VALUE!</v>
      </c>
      <c r="AF48" s="74" t="str">
        <f t="shared" ca="1" si="18"/>
        <v>Below D1 Low</v>
      </c>
      <c r="AG48" s="17" t="str">
        <f t="shared" ca="1" si="19"/>
        <v>Sell</v>
      </c>
      <c r="AH48" s="17" t="str">
        <f t="shared" ca="1" si="20"/>
        <v>SELL</v>
      </c>
      <c r="AI48" s="75">
        <f ca="1">IFERROR(__xludf.DUMMYFUNCTION("AVERAGE.WEIGHTED((G48+H48+B48)/3, I48)"),719.183333333333)</f>
        <v>719.18333333333305</v>
      </c>
      <c r="AJ48" s="75" t="str">
        <f ca="1">IFERROR(__xludf.DUMMYFUNCTION("AVERAGE.WEIGHTED((K48+L48+J48)/3, N48)"),"#N/A")</f>
        <v>#N/A</v>
      </c>
      <c r="AK48" s="75" t="str">
        <f t="shared" ca="1" si="21"/>
        <v>SELL</v>
      </c>
      <c r="AL48" s="31"/>
      <c r="AM48" s="31"/>
      <c r="AN48" s="31"/>
      <c r="AO48" s="31"/>
      <c r="AP48" s="31"/>
      <c r="AQ48" s="31"/>
      <c r="AR48" s="31"/>
    </row>
    <row r="49" spans="1:44" ht="15.75" customHeight="1">
      <c r="A49" s="61" t="s">
        <v>101</v>
      </c>
      <c r="B49" s="62">
        <f ca="1">IFERROR(__xludf.DUMMYFUNCTION("googlefinance(""nse:""&amp;A49,""price"")"),157.55)</f>
        <v>157.55000000000001</v>
      </c>
      <c r="C49" s="63">
        <f t="shared" ca="1" si="0"/>
        <v>0</v>
      </c>
      <c r="D49" s="63">
        <f ca="1">IFERROR(__xludf.DUMMYFUNCTION("googlefinance(""nse:""&amp;A49,""changepct"")"),1.48)</f>
        <v>1.48</v>
      </c>
      <c r="E49" s="63">
        <f ca="1">IFERROR(__xludf.DUMMYFUNCTION("googlefinance(""nse:""&amp;A49,""change"")"),2.3)</f>
        <v>2.2999999999999998</v>
      </c>
      <c r="F49" s="63">
        <f ca="1">IFERROR(__xludf.DUMMYFUNCTION("googlefinance(""nse:""&amp;A49,""priceopen"")"),160)</f>
        <v>160</v>
      </c>
      <c r="G49" s="63">
        <f ca="1">IFERROR(__xludf.DUMMYFUNCTION("googlefinance(""nse:""&amp;A49,""HIGH"")"),163.35)</f>
        <v>163.35</v>
      </c>
      <c r="H49" s="63">
        <f ca="1">IFERROR(__xludf.DUMMYFUNCTION("googlefinance(""nse:""&amp;A49,""LOW"")"),155.25)</f>
        <v>155.25</v>
      </c>
      <c r="I49" s="63">
        <f ca="1">IFERROR(__xludf.DUMMYFUNCTION("googlefinance(""nse:""&amp;A49,""VOLUME"")"),5229761)</f>
        <v>5229761</v>
      </c>
      <c r="J49" s="63">
        <f ca="1">IFERROR(__xludf.DUMMYFUNCTION("googlefinance(""nse:""&amp;A49,""closeyest"")"),155.25)</f>
        <v>155.25</v>
      </c>
      <c r="K49" s="65" t="str">
        <f ca="1">IFERROR(__xludf.DUMMYFUNCTION("INDEX( GoogleFinance( ""NSE:""&amp;A49 , ""all"" , TODAY()-4) , 2, 3)"),"#N/A")</f>
        <v>#N/A</v>
      </c>
      <c r="L49" s="66" t="str">
        <f ca="1">IFERROR(__xludf.DUMMYFUNCTION("INDEX( GoogleFinance(""NSE:""&amp;A49 , ""all"" , TODAY()-4 ) , 2, 4)"),"#N/A")</f>
        <v>#N/A</v>
      </c>
      <c r="M49" s="67" t="str">
        <f ca="1">IFERROR(__xludf.DUMMYFUNCTION("INDEX( GoogleFinance( ""NSE:""&amp;A49 , ""all"" , TODAY()-4) , 2, 2)"),"#N/A")</f>
        <v>#N/A</v>
      </c>
      <c r="N49" s="68" t="str">
        <f ca="1">IFERROR(__xludf.DUMMYFUNCTION("INDEX( GoogleFinance( ""NSE:""&amp;A49 , ""all"" , TODAY()-4) , 2, 6)"),"#N/A")</f>
        <v>#N/A</v>
      </c>
      <c r="O49" s="69" t="str">
        <f t="shared" ca="1" si="1"/>
        <v/>
      </c>
      <c r="P49" s="69" t="e">
        <f t="shared" ca="1" si="2"/>
        <v>#VALUE!</v>
      </c>
      <c r="Q49" s="69" t="e">
        <f t="shared" ca="1" si="3"/>
        <v>#VALUE!</v>
      </c>
      <c r="R49" s="69" t="e">
        <f t="shared" ca="1" si="23"/>
        <v>#VALUE!</v>
      </c>
      <c r="S49" s="69" t="e">
        <f t="shared" ca="1" si="5"/>
        <v>#VALUE!</v>
      </c>
      <c r="T49" s="69" t="e">
        <f t="shared" ca="1" si="6"/>
        <v>#VALUE!</v>
      </c>
      <c r="U49" s="69" t="e">
        <f t="shared" ca="1" si="24"/>
        <v>#VALUE!</v>
      </c>
      <c r="V49" s="69" t="e">
        <f t="shared" ca="1" si="25"/>
        <v>#VALUE!</v>
      </c>
      <c r="W49" s="70" t="str">
        <f t="shared" ca="1" si="9"/>
        <v/>
      </c>
      <c r="X49" s="70" t="e">
        <f t="shared" ca="1" si="10"/>
        <v>#VALUE!</v>
      </c>
      <c r="Y49" s="70" t="e">
        <f t="shared" ca="1" si="11"/>
        <v>#VALUE!</v>
      </c>
      <c r="Z49" s="71" t="e">
        <f t="shared" ca="1" si="12"/>
        <v>#VALUE!</v>
      </c>
      <c r="AA49" s="72" t="e">
        <f t="shared" ca="1" si="13"/>
        <v>#VALUE!</v>
      </c>
      <c r="AB49" s="72" t="e">
        <f t="shared" ca="1" si="14"/>
        <v>#VALUE!</v>
      </c>
      <c r="AC49" s="72" t="e">
        <f t="shared" ca="1" si="15"/>
        <v>#VALUE!</v>
      </c>
      <c r="AD49" s="73" t="e">
        <f t="shared" ca="1" si="16"/>
        <v>#VALUE!</v>
      </c>
      <c r="AE49" s="19" t="e">
        <f t="shared" ca="1" si="17"/>
        <v>#VALUE!</v>
      </c>
      <c r="AF49" s="74" t="str">
        <f t="shared" ca="1" si="18"/>
        <v>Below D1 Low</v>
      </c>
      <c r="AG49" s="17" t="str">
        <f t="shared" ca="1" si="19"/>
        <v>Sell</v>
      </c>
      <c r="AH49" s="17" t="str">
        <f t="shared" ca="1" si="20"/>
        <v>SELL</v>
      </c>
      <c r="AI49" s="75">
        <f ca="1">IFERROR(__xludf.DUMMYFUNCTION("AVERAGE.WEIGHTED((G49+H49+B49)/3, I49)"),158.716666666666)</f>
        <v>158.71666666666599</v>
      </c>
      <c r="AJ49" s="75" t="str">
        <f ca="1">IFERROR(__xludf.DUMMYFUNCTION("AVERAGE.WEIGHTED((K49+L49+J49)/3, N49)"),"#N/A")</f>
        <v>#N/A</v>
      </c>
      <c r="AK49" s="75" t="str">
        <f t="shared" ca="1" si="21"/>
        <v>SELL</v>
      </c>
      <c r="AL49" s="31"/>
      <c r="AM49" s="31"/>
      <c r="AN49" s="31"/>
      <c r="AO49" s="31"/>
      <c r="AP49" s="31"/>
      <c r="AQ49" s="31"/>
      <c r="AR49" s="31"/>
    </row>
    <row r="50" spans="1:44" ht="15.75" customHeight="1">
      <c r="A50" s="61" t="s">
        <v>102</v>
      </c>
      <c r="B50" s="62">
        <f ca="1">IFERROR(__xludf.DUMMYFUNCTION("googlefinance(""nse:""&amp;A50,""price"")"),48.65)</f>
        <v>48.65</v>
      </c>
      <c r="C50" s="63">
        <f t="shared" ca="1" si="0"/>
        <v>0</v>
      </c>
      <c r="D50" s="63">
        <f ca="1">IFERROR(__xludf.DUMMYFUNCTION("googlefinance(""nse:""&amp;A50,""changepct"")"),4.62)</f>
        <v>4.62</v>
      </c>
      <c r="E50" s="63">
        <f ca="1">IFERROR(__xludf.DUMMYFUNCTION("googlefinance(""nse:""&amp;A50,""change"")"),2.15)</f>
        <v>2.15</v>
      </c>
      <c r="F50" s="63">
        <f ca="1">IFERROR(__xludf.DUMMYFUNCTION("googlefinance(""nse:""&amp;A50,""priceopen"")"),47.05)</f>
        <v>47.05</v>
      </c>
      <c r="G50" s="63">
        <f ca="1">IFERROR(__xludf.DUMMYFUNCTION("googlefinance(""nse:""&amp;A50,""HIGH"")"),50.75)</f>
        <v>50.75</v>
      </c>
      <c r="H50" s="63">
        <f ca="1">IFERROR(__xludf.DUMMYFUNCTION("googlefinance(""nse:""&amp;A50,""LOW"")"),46.6)</f>
        <v>46.6</v>
      </c>
      <c r="I50" s="63">
        <f ca="1">IFERROR(__xludf.DUMMYFUNCTION("googlefinance(""nse:""&amp;A50,""VOLUME"")"),60287266)</f>
        <v>60287266</v>
      </c>
      <c r="J50" s="63">
        <f ca="1">IFERROR(__xludf.DUMMYFUNCTION("googlefinance(""nse:""&amp;A50,""closeyest"")"),46.5)</f>
        <v>46.5</v>
      </c>
      <c r="K50" s="65" t="str">
        <f ca="1">IFERROR(__xludf.DUMMYFUNCTION("INDEX( GoogleFinance( ""NSE:""&amp;A50 , ""all"" , TODAY()-4) , 2, 3)"),"#N/A")</f>
        <v>#N/A</v>
      </c>
      <c r="L50" s="66" t="str">
        <f ca="1">IFERROR(__xludf.DUMMYFUNCTION("INDEX( GoogleFinance(""NSE:""&amp;A50 , ""all"" , TODAY()-4 ) , 2, 4)"),"#N/A")</f>
        <v>#N/A</v>
      </c>
      <c r="M50" s="67" t="str">
        <f ca="1">IFERROR(__xludf.DUMMYFUNCTION("INDEX( GoogleFinance( ""NSE:""&amp;A50 , ""all"" , TODAY()-4) , 2, 2)"),"#N/A")</f>
        <v>#N/A</v>
      </c>
      <c r="N50" s="68" t="str">
        <f ca="1">IFERROR(__xludf.DUMMYFUNCTION("INDEX( GoogleFinance( ""NSE:""&amp;A50 , ""all"" , TODAY()-4) , 2, 6)"),"#N/A")</f>
        <v>#N/A</v>
      </c>
      <c r="O50" s="69" t="str">
        <f t="shared" ca="1" si="1"/>
        <v/>
      </c>
      <c r="P50" s="69" t="e">
        <f t="shared" ca="1" si="2"/>
        <v>#VALUE!</v>
      </c>
      <c r="Q50" s="69" t="e">
        <f t="shared" ca="1" si="3"/>
        <v>#VALUE!</v>
      </c>
      <c r="R50" s="69" t="e">
        <f t="shared" ca="1" si="23"/>
        <v>#VALUE!</v>
      </c>
      <c r="S50" s="69" t="e">
        <f t="shared" ca="1" si="5"/>
        <v>#VALUE!</v>
      </c>
      <c r="T50" s="69" t="e">
        <f t="shared" ca="1" si="6"/>
        <v>#VALUE!</v>
      </c>
      <c r="U50" s="69" t="e">
        <f t="shared" ca="1" si="24"/>
        <v>#VALUE!</v>
      </c>
      <c r="V50" s="69" t="e">
        <f t="shared" ca="1" si="25"/>
        <v>#VALUE!</v>
      </c>
      <c r="W50" s="70" t="str">
        <f t="shared" ca="1" si="9"/>
        <v/>
      </c>
      <c r="X50" s="70" t="e">
        <f t="shared" ca="1" si="10"/>
        <v>#VALUE!</v>
      </c>
      <c r="Y50" s="70" t="e">
        <f t="shared" ca="1" si="11"/>
        <v>#VALUE!</v>
      </c>
      <c r="Z50" s="71" t="e">
        <f t="shared" ca="1" si="12"/>
        <v>#VALUE!</v>
      </c>
      <c r="AA50" s="72" t="e">
        <f t="shared" ca="1" si="13"/>
        <v>#VALUE!</v>
      </c>
      <c r="AB50" s="72" t="e">
        <f t="shared" ca="1" si="14"/>
        <v>#VALUE!</v>
      </c>
      <c r="AC50" s="72" t="e">
        <f t="shared" ca="1" si="15"/>
        <v>#VALUE!</v>
      </c>
      <c r="AD50" s="73" t="e">
        <f t="shared" ca="1" si="16"/>
        <v>#VALUE!</v>
      </c>
      <c r="AE50" s="19" t="e">
        <f t="shared" ca="1" si="17"/>
        <v>#VALUE!</v>
      </c>
      <c r="AF50" s="74" t="str">
        <f t="shared" ca="1" si="18"/>
        <v>Below D1 Low</v>
      </c>
      <c r="AG50" s="17" t="str">
        <f t="shared" ca="1" si="19"/>
        <v>Sell</v>
      </c>
      <c r="AH50" s="17" t="str">
        <f t="shared" ca="1" si="20"/>
        <v>SELL</v>
      </c>
      <c r="AI50" s="75">
        <f ca="1">IFERROR(__xludf.DUMMYFUNCTION("AVERAGE.WEIGHTED((G50+H50+B50)/3, I50)"),48.6666666666666)</f>
        <v>48.6666666666666</v>
      </c>
      <c r="AJ50" s="75" t="str">
        <f ca="1">IFERROR(__xludf.DUMMYFUNCTION("AVERAGE.WEIGHTED((K50+L50+J50)/3, N50)"),"#N/A")</f>
        <v>#N/A</v>
      </c>
      <c r="AK50" s="75" t="str">
        <f t="shared" ca="1" si="21"/>
        <v>SELL</v>
      </c>
      <c r="AL50" s="31"/>
      <c r="AM50" s="31"/>
      <c r="AN50" s="31"/>
      <c r="AO50" s="31"/>
      <c r="AP50" s="31"/>
      <c r="AQ50" s="31"/>
      <c r="AR50" s="31"/>
    </row>
    <row r="51" spans="1:44" ht="15.75" customHeight="1">
      <c r="A51" s="61" t="s">
        <v>104</v>
      </c>
      <c r="B51" s="62">
        <f ca="1">IFERROR(__xludf.DUMMYFUNCTION("googlefinance(""nse:""&amp;A51,""price"")"),94.85)</f>
        <v>94.85</v>
      </c>
      <c r="C51" s="63">
        <f t="shared" ca="1" si="0"/>
        <v>0</v>
      </c>
      <c r="D51" s="63">
        <f ca="1">IFERROR(__xludf.DUMMYFUNCTION("googlefinance(""nse:""&amp;A51,""changepct"")"),6.45)</f>
        <v>6.45</v>
      </c>
      <c r="E51" s="63">
        <f ca="1">IFERROR(__xludf.DUMMYFUNCTION("googlefinance(""nse:""&amp;A51,""change"")"),5.75)</f>
        <v>5.75</v>
      </c>
      <c r="F51" s="63">
        <f ca="1">IFERROR(__xludf.DUMMYFUNCTION("googlefinance(""nse:""&amp;A51,""priceopen"")"),91.5)</f>
        <v>91.5</v>
      </c>
      <c r="G51" s="63">
        <f ca="1">IFERROR(__xludf.DUMMYFUNCTION("googlefinance(""nse:""&amp;A51,""HIGH"")"),96.55)</f>
        <v>96.55</v>
      </c>
      <c r="H51" s="63">
        <f ca="1">IFERROR(__xludf.DUMMYFUNCTION("googlefinance(""nse:""&amp;A51,""LOW"")"),91.3)</f>
        <v>91.3</v>
      </c>
      <c r="I51" s="63">
        <f ca="1">IFERROR(__xludf.DUMMYFUNCTION("googlefinance(""nse:""&amp;A51,""VOLUME"")"),18495310)</f>
        <v>18495310</v>
      </c>
      <c r="J51" s="63">
        <f ca="1">IFERROR(__xludf.DUMMYFUNCTION("googlefinance(""nse:""&amp;A51,""closeyest"")"),89.1)</f>
        <v>89.1</v>
      </c>
      <c r="K51" s="65" t="str">
        <f ca="1">IFERROR(__xludf.DUMMYFUNCTION("INDEX( GoogleFinance( ""NSE:""&amp;A51 , ""all"" , TODAY()-4) , 2, 3)"),"#N/A")</f>
        <v>#N/A</v>
      </c>
      <c r="L51" s="66" t="str">
        <f ca="1">IFERROR(__xludf.DUMMYFUNCTION("INDEX( GoogleFinance(""NSE:""&amp;A51 , ""all"" , TODAY()-4 ) , 2, 4)"),"#N/A")</f>
        <v>#N/A</v>
      </c>
      <c r="M51" s="67" t="str">
        <f ca="1">IFERROR(__xludf.DUMMYFUNCTION("INDEX( GoogleFinance( ""NSE:""&amp;A51 , ""all"" , TODAY()-4) , 2, 2)"),"#N/A")</f>
        <v>#N/A</v>
      </c>
      <c r="N51" s="68" t="str">
        <f ca="1">IFERROR(__xludf.DUMMYFUNCTION("INDEX( GoogleFinance( ""NSE:""&amp;A51 , ""all"" , TODAY()-4) , 2, 6)"),"#N/A")</f>
        <v>#N/A</v>
      </c>
      <c r="O51" s="69" t="str">
        <f t="shared" ca="1" si="1"/>
        <v/>
      </c>
      <c r="P51" s="69" t="e">
        <f t="shared" ca="1" si="2"/>
        <v>#VALUE!</v>
      </c>
      <c r="Q51" s="69" t="e">
        <f t="shared" ca="1" si="3"/>
        <v>#VALUE!</v>
      </c>
      <c r="R51" s="69" t="e">
        <f t="shared" ca="1" si="23"/>
        <v>#VALUE!</v>
      </c>
      <c r="S51" s="69" t="e">
        <f t="shared" ca="1" si="5"/>
        <v>#VALUE!</v>
      </c>
      <c r="T51" s="69" t="e">
        <f t="shared" ca="1" si="6"/>
        <v>#VALUE!</v>
      </c>
      <c r="U51" s="69" t="e">
        <f t="shared" ca="1" si="24"/>
        <v>#VALUE!</v>
      </c>
      <c r="V51" s="69" t="e">
        <f t="shared" ca="1" si="25"/>
        <v>#VALUE!</v>
      </c>
      <c r="W51" s="70" t="str">
        <f t="shared" ca="1" si="9"/>
        <v/>
      </c>
      <c r="X51" s="70" t="e">
        <f t="shared" ca="1" si="10"/>
        <v>#VALUE!</v>
      </c>
      <c r="Y51" s="70" t="e">
        <f t="shared" ca="1" si="11"/>
        <v>#VALUE!</v>
      </c>
      <c r="Z51" s="71" t="e">
        <f t="shared" ca="1" si="12"/>
        <v>#VALUE!</v>
      </c>
      <c r="AA51" s="72" t="e">
        <f t="shared" ca="1" si="13"/>
        <v>#VALUE!</v>
      </c>
      <c r="AB51" s="72" t="e">
        <f t="shared" ca="1" si="14"/>
        <v>#VALUE!</v>
      </c>
      <c r="AC51" s="72" t="e">
        <f t="shared" ca="1" si="15"/>
        <v>#VALUE!</v>
      </c>
      <c r="AD51" s="73" t="e">
        <f t="shared" ca="1" si="16"/>
        <v>#VALUE!</v>
      </c>
      <c r="AE51" s="19" t="e">
        <f t="shared" ca="1" si="17"/>
        <v>#VALUE!</v>
      </c>
      <c r="AF51" s="74" t="str">
        <f t="shared" ca="1" si="18"/>
        <v>Below D1 Low</v>
      </c>
      <c r="AG51" s="17" t="str">
        <f t="shared" ca="1" si="19"/>
        <v>Sell</v>
      </c>
      <c r="AH51" s="17" t="str">
        <f t="shared" ca="1" si="20"/>
        <v>SELL</v>
      </c>
      <c r="AI51" s="75">
        <f ca="1">IFERROR(__xludf.DUMMYFUNCTION("AVERAGE.WEIGHTED((G51+H51+B51)/3, I51)"),94.2333333333333)</f>
        <v>94.233333333333306</v>
      </c>
      <c r="AJ51" s="75" t="str">
        <f ca="1">IFERROR(__xludf.DUMMYFUNCTION("AVERAGE.WEIGHTED((K51+L51+J51)/3, N51)"),"#N/A")</f>
        <v>#N/A</v>
      </c>
      <c r="AK51" s="75" t="str">
        <f t="shared" ca="1" si="21"/>
        <v>SELL</v>
      </c>
      <c r="AL51" s="31"/>
      <c r="AM51" s="31"/>
      <c r="AN51" s="31"/>
      <c r="AO51" s="31"/>
      <c r="AP51" s="31"/>
      <c r="AQ51" s="31"/>
      <c r="AR51" s="31"/>
    </row>
    <row r="52" spans="1:44" ht="15.75" customHeight="1">
      <c r="A52" s="61" t="s">
        <v>105</v>
      </c>
      <c r="B52" s="62">
        <f ca="1">IFERROR(__xludf.DUMMYFUNCTION("googlefinance(""nse:""&amp;A52,""price"")"),337.5)</f>
        <v>337.5</v>
      </c>
      <c r="C52" s="63">
        <f t="shared" ca="1" si="0"/>
        <v>0</v>
      </c>
      <c r="D52" s="63">
        <f ca="1">IFERROR(__xludf.DUMMYFUNCTION("googlefinance(""nse:""&amp;A52,""changepct"")"),2.37)</f>
        <v>2.37</v>
      </c>
      <c r="E52" s="63">
        <f ca="1">IFERROR(__xludf.DUMMYFUNCTION("googlefinance(""nse:""&amp;A52,""change"")"),7.8)</f>
        <v>7.8</v>
      </c>
      <c r="F52" s="63">
        <f ca="1">IFERROR(__xludf.DUMMYFUNCTION("googlefinance(""nse:""&amp;A52,""priceopen"")"),354)</f>
        <v>354</v>
      </c>
      <c r="G52" s="63">
        <f ca="1">IFERROR(__xludf.DUMMYFUNCTION("googlefinance(""nse:""&amp;A52,""HIGH"")"),359)</f>
        <v>359</v>
      </c>
      <c r="H52" s="63">
        <f ca="1">IFERROR(__xludf.DUMMYFUNCTION("googlefinance(""nse:""&amp;A52,""LOW"")"),335.8)</f>
        <v>335.8</v>
      </c>
      <c r="I52" s="63">
        <f ca="1">IFERROR(__xludf.DUMMYFUNCTION("googlefinance(""nse:""&amp;A52,""VOLUME"")"),11120364)</f>
        <v>11120364</v>
      </c>
      <c r="J52" s="63">
        <f ca="1">IFERROR(__xludf.DUMMYFUNCTION("googlefinance(""nse:""&amp;A52,""closeyest"")"),329.7)</f>
        <v>329.7</v>
      </c>
      <c r="K52" s="65" t="str">
        <f ca="1">IFERROR(__xludf.DUMMYFUNCTION("INDEX( GoogleFinance( ""NSE:""&amp;A52 , ""all"" , TODAY()-4) , 2, 3)"),"#N/A")</f>
        <v>#N/A</v>
      </c>
      <c r="L52" s="66" t="str">
        <f ca="1">IFERROR(__xludf.DUMMYFUNCTION("INDEX( GoogleFinance(""NSE:""&amp;A52 , ""all"" , TODAY()-4 ) , 2, 4)"),"#N/A")</f>
        <v>#N/A</v>
      </c>
      <c r="M52" s="67" t="str">
        <f ca="1">IFERROR(__xludf.DUMMYFUNCTION("INDEX( GoogleFinance( ""NSE:""&amp;A52 , ""all"" , TODAY()-4) , 2, 2)"),"#N/A")</f>
        <v>#N/A</v>
      </c>
      <c r="N52" s="68" t="str">
        <f ca="1">IFERROR(__xludf.DUMMYFUNCTION("INDEX( GoogleFinance( ""NSE:""&amp;A52 , ""all"" , TODAY()-4) , 2, 6)"),"#N/A")</f>
        <v>#N/A</v>
      </c>
      <c r="O52" s="69" t="str">
        <f t="shared" ca="1" si="1"/>
        <v/>
      </c>
      <c r="P52" s="69" t="e">
        <f t="shared" ca="1" si="2"/>
        <v>#VALUE!</v>
      </c>
      <c r="Q52" s="69" t="e">
        <f t="shared" ca="1" si="3"/>
        <v>#VALUE!</v>
      </c>
      <c r="R52" s="69" t="e">
        <f t="shared" ca="1" si="23"/>
        <v>#VALUE!</v>
      </c>
      <c r="S52" s="69" t="e">
        <f t="shared" ca="1" si="5"/>
        <v>#VALUE!</v>
      </c>
      <c r="T52" s="69" t="e">
        <f t="shared" ca="1" si="6"/>
        <v>#VALUE!</v>
      </c>
      <c r="U52" s="69" t="e">
        <f t="shared" ca="1" si="24"/>
        <v>#VALUE!</v>
      </c>
      <c r="V52" s="69" t="e">
        <f t="shared" ca="1" si="25"/>
        <v>#VALUE!</v>
      </c>
      <c r="W52" s="70" t="str">
        <f t="shared" ca="1" si="9"/>
        <v/>
      </c>
      <c r="X52" s="70" t="e">
        <f t="shared" ca="1" si="10"/>
        <v>#VALUE!</v>
      </c>
      <c r="Y52" s="70" t="e">
        <f t="shared" ca="1" si="11"/>
        <v>#VALUE!</v>
      </c>
      <c r="Z52" s="71" t="e">
        <f t="shared" ca="1" si="12"/>
        <v>#VALUE!</v>
      </c>
      <c r="AA52" s="72" t="e">
        <f t="shared" ca="1" si="13"/>
        <v>#VALUE!</v>
      </c>
      <c r="AB52" s="72" t="e">
        <f t="shared" ca="1" si="14"/>
        <v>#VALUE!</v>
      </c>
      <c r="AC52" s="72" t="e">
        <f t="shared" ca="1" si="15"/>
        <v>#VALUE!</v>
      </c>
      <c r="AD52" s="73" t="e">
        <f t="shared" ca="1" si="16"/>
        <v>#VALUE!</v>
      </c>
      <c r="AE52" s="19" t="e">
        <f t="shared" ca="1" si="17"/>
        <v>#VALUE!</v>
      </c>
      <c r="AF52" s="74" t="str">
        <f t="shared" ca="1" si="18"/>
        <v>Below D1 Low</v>
      </c>
      <c r="AG52" s="17" t="str">
        <f t="shared" ca="1" si="19"/>
        <v>Sell</v>
      </c>
      <c r="AH52" s="17" t="str">
        <f t="shared" ca="1" si="20"/>
        <v>SELL</v>
      </c>
      <c r="AI52" s="75">
        <f ca="1">IFERROR(__xludf.DUMMYFUNCTION("AVERAGE.WEIGHTED((G52+H52+B52)/3, I52)"),344.099999999999)</f>
        <v>344.099999999999</v>
      </c>
      <c r="AJ52" s="75" t="str">
        <f ca="1">IFERROR(__xludf.DUMMYFUNCTION("AVERAGE.WEIGHTED((K52+L52+J52)/3, N52)"),"#N/A")</f>
        <v>#N/A</v>
      </c>
      <c r="AK52" s="75" t="str">
        <f t="shared" ca="1" si="21"/>
        <v>SELL</v>
      </c>
      <c r="AL52" s="31"/>
      <c r="AM52" s="31"/>
      <c r="AN52" s="31"/>
      <c r="AO52" s="31"/>
      <c r="AP52" s="31"/>
      <c r="AQ52" s="31"/>
      <c r="AR52" s="31"/>
    </row>
    <row r="53" spans="1:44" ht="15.75" customHeight="1">
      <c r="A53" s="61" t="s">
        <v>107</v>
      </c>
      <c r="B53" s="62">
        <f ca="1">IFERROR(__xludf.DUMMYFUNCTION("googlefinance(""nse:""&amp;A53,""price"")"),17.05)</f>
        <v>17.05</v>
      </c>
      <c r="C53" s="63">
        <f t="shared" ca="1" si="0"/>
        <v>0</v>
      </c>
      <c r="D53" s="63">
        <f ca="1">IFERROR(__xludf.DUMMYFUNCTION("googlefinance(""nse:""&amp;A53,""changepct"")"),0.59)</f>
        <v>0.59</v>
      </c>
      <c r="E53" s="63">
        <f ca="1">IFERROR(__xludf.DUMMYFUNCTION("googlefinance(""nse:""&amp;A53,""change"")"),0.1)</f>
        <v>0.1</v>
      </c>
      <c r="F53" s="63">
        <f ca="1">IFERROR(__xludf.DUMMYFUNCTION("googlefinance(""nse:""&amp;A53,""priceopen"")"),17.2)</f>
        <v>17.2</v>
      </c>
      <c r="G53" s="63">
        <f ca="1">IFERROR(__xludf.DUMMYFUNCTION("googlefinance(""nse:""&amp;A53,""HIGH"")"),17.6)</f>
        <v>17.600000000000001</v>
      </c>
      <c r="H53" s="63">
        <f ca="1">IFERROR(__xludf.DUMMYFUNCTION("googlefinance(""nse:""&amp;A53,""LOW"")"),17)</f>
        <v>17</v>
      </c>
      <c r="I53" s="63">
        <f ca="1">IFERROR(__xludf.DUMMYFUNCTION("googlefinance(""nse:""&amp;A53,""VOLUME"")"),11099466)</f>
        <v>11099466</v>
      </c>
      <c r="J53" s="63">
        <f ca="1">IFERROR(__xludf.DUMMYFUNCTION("googlefinance(""nse:""&amp;A53,""closeyest"")"),16.95)</f>
        <v>16.95</v>
      </c>
      <c r="K53" s="65" t="str">
        <f ca="1">IFERROR(__xludf.DUMMYFUNCTION("INDEX( GoogleFinance( ""NSE:""&amp;A53 , ""all"" , TODAY()-4) , 2, 3)"),"#N/A")</f>
        <v>#N/A</v>
      </c>
      <c r="L53" s="66" t="str">
        <f ca="1">IFERROR(__xludf.DUMMYFUNCTION("INDEX( GoogleFinance(""NSE:""&amp;A53 , ""all"" , TODAY()-4 ) , 2, 4)"),"#N/A")</f>
        <v>#N/A</v>
      </c>
      <c r="M53" s="67" t="str">
        <f ca="1">IFERROR(__xludf.DUMMYFUNCTION("INDEX( GoogleFinance( ""NSE:""&amp;A53 , ""all"" , TODAY()-4) , 2, 2)"),"#N/A")</f>
        <v>#N/A</v>
      </c>
      <c r="N53" s="68" t="str">
        <f ca="1">IFERROR(__xludf.DUMMYFUNCTION("INDEX( GoogleFinance( ""NSE:""&amp;A53 , ""all"" , TODAY()-4) , 2, 6)"),"#N/A")</f>
        <v>#N/A</v>
      </c>
      <c r="O53" s="69" t="str">
        <f t="shared" ca="1" si="1"/>
        <v/>
      </c>
      <c r="P53" s="69" t="e">
        <f t="shared" ca="1" si="2"/>
        <v>#VALUE!</v>
      </c>
      <c r="Q53" s="69" t="e">
        <f t="shared" ca="1" si="3"/>
        <v>#VALUE!</v>
      </c>
      <c r="R53" s="69" t="e">
        <f t="shared" ca="1" si="23"/>
        <v>#VALUE!</v>
      </c>
      <c r="S53" s="69" t="e">
        <f t="shared" ca="1" si="5"/>
        <v>#VALUE!</v>
      </c>
      <c r="T53" s="69" t="e">
        <f t="shared" ca="1" si="6"/>
        <v>#VALUE!</v>
      </c>
      <c r="U53" s="69" t="e">
        <f t="shared" ca="1" si="24"/>
        <v>#VALUE!</v>
      </c>
      <c r="V53" s="69" t="e">
        <f t="shared" ca="1" si="25"/>
        <v>#VALUE!</v>
      </c>
      <c r="W53" s="70" t="str">
        <f t="shared" ca="1" si="9"/>
        <v/>
      </c>
      <c r="X53" s="70" t="e">
        <f t="shared" ca="1" si="10"/>
        <v>#VALUE!</v>
      </c>
      <c r="Y53" s="70" t="e">
        <f t="shared" ca="1" si="11"/>
        <v>#VALUE!</v>
      </c>
      <c r="Z53" s="71" t="e">
        <f t="shared" ca="1" si="12"/>
        <v>#VALUE!</v>
      </c>
      <c r="AA53" s="72" t="e">
        <f t="shared" ca="1" si="13"/>
        <v>#VALUE!</v>
      </c>
      <c r="AB53" s="72" t="e">
        <f t="shared" ca="1" si="14"/>
        <v>#VALUE!</v>
      </c>
      <c r="AC53" s="72" t="e">
        <f t="shared" ca="1" si="15"/>
        <v>#VALUE!</v>
      </c>
      <c r="AD53" s="73" t="e">
        <f t="shared" ca="1" si="16"/>
        <v>#VALUE!</v>
      </c>
      <c r="AE53" s="19" t="e">
        <f t="shared" ca="1" si="17"/>
        <v>#VALUE!</v>
      </c>
      <c r="AF53" s="74" t="str">
        <f t="shared" ca="1" si="18"/>
        <v>Below D1 Low</v>
      </c>
      <c r="AG53" s="17" t="str">
        <f t="shared" ca="1" si="19"/>
        <v>Sell</v>
      </c>
      <c r="AH53" s="17" t="str">
        <f t="shared" ca="1" si="20"/>
        <v>SELL</v>
      </c>
      <c r="AI53" s="75">
        <f ca="1">IFERROR(__xludf.DUMMYFUNCTION("AVERAGE.WEIGHTED((G53+H53+B53)/3, I53)"),17.2166666666666)</f>
        <v>17.216666666666601</v>
      </c>
      <c r="AJ53" s="75" t="str">
        <f ca="1">IFERROR(__xludf.DUMMYFUNCTION("AVERAGE.WEIGHTED((K53+L53+J53)/3, N53)"),"#N/A")</f>
        <v>#N/A</v>
      </c>
      <c r="AK53" s="75" t="str">
        <f t="shared" ca="1" si="21"/>
        <v>SELL</v>
      </c>
      <c r="AL53" s="31"/>
      <c r="AM53" s="31"/>
      <c r="AN53" s="31"/>
      <c r="AO53" s="31"/>
      <c r="AP53" s="31"/>
      <c r="AQ53" s="31"/>
      <c r="AR53" s="31"/>
    </row>
    <row r="54" spans="1:44" ht="15.75" customHeight="1">
      <c r="A54" s="61" t="s">
        <v>109</v>
      </c>
      <c r="B54" s="62">
        <f ca="1">IFERROR(__xludf.DUMMYFUNCTION("googlefinance(""nse:""&amp;A54,""price"")"),543)</f>
        <v>543</v>
      </c>
      <c r="C54" s="63">
        <f t="shared" ca="1" si="0"/>
        <v>0</v>
      </c>
      <c r="D54" s="63">
        <f ca="1">IFERROR(__xludf.DUMMYFUNCTION("googlefinance(""nse:""&amp;A54,""changepct"")"),1.22)</f>
        <v>1.22</v>
      </c>
      <c r="E54" s="63">
        <f ca="1">IFERROR(__xludf.DUMMYFUNCTION("googlefinance(""nse:""&amp;A54,""change"")"),6.55)</f>
        <v>6.55</v>
      </c>
      <c r="F54" s="63">
        <f ca="1">IFERROR(__xludf.DUMMYFUNCTION("googlefinance(""nse:""&amp;A54,""priceopen"")"),540.55)</f>
        <v>540.54999999999995</v>
      </c>
      <c r="G54" s="63">
        <f ca="1">IFERROR(__xludf.DUMMYFUNCTION("googlefinance(""nse:""&amp;A54,""HIGH"")"),546.9)</f>
        <v>546.9</v>
      </c>
      <c r="H54" s="63">
        <f ca="1">IFERROR(__xludf.DUMMYFUNCTION("googlefinance(""nse:""&amp;A54,""LOW"")"),528)</f>
        <v>528</v>
      </c>
      <c r="I54" s="63">
        <f ca="1">IFERROR(__xludf.DUMMYFUNCTION("googlefinance(""nse:""&amp;A54,""VOLUME"")"),2792195)</f>
        <v>2792195</v>
      </c>
      <c r="J54" s="63">
        <f ca="1">IFERROR(__xludf.DUMMYFUNCTION("googlefinance(""nse:""&amp;A54,""closeyest"")"),536.45)</f>
        <v>536.45000000000005</v>
      </c>
      <c r="K54" s="65" t="str">
        <f ca="1">IFERROR(__xludf.DUMMYFUNCTION("INDEX( GoogleFinance( ""NSE:""&amp;A54 , ""all"" , TODAY()-4) , 2, 3)"),"#N/A")</f>
        <v>#N/A</v>
      </c>
      <c r="L54" s="66" t="str">
        <f ca="1">IFERROR(__xludf.DUMMYFUNCTION("INDEX( GoogleFinance(""NSE:""&amp;A54 , ""all"" , TODAY()-4 ) , 2, 4)"),"#N/A")</f>
        <v>#N/A</v>
      </c>
      <c r="M54" s="67" t="str">
        <f ca="1">IFERROR(__xludf.DUMMYFUNCTION("INDEX( GoogleFinance( ""NSE:""&amp;A54 , ""all"" , TODAY()-4) , 2, 2)"),"#N/A")</f>
        <v>#N/A</v>
      </c>
      <c r="N54" s="68" t="str">
        <f ca="1">IFERROR(__xludf.DUMMYFUNCTION("INDEX( GoogleFinance( ""NSE:""&amp;A54 , ""all"" , TODAY()-4) , 2, 6)"),"#N/A")</f>
        <v>#N/A</v>
      </c>
      <c r="O54" s="69" t="str">
        <f t="shared" ca="1" si="1"/>
        <v/>
      </c>
      <c r="P54" s="69" t="e">
        <f t="shared" ca="1" si="2"/>
        <v>#VALUE!</v>
      </c>
      <c r="Q54" s="69" t="e">
        <f t="shared" ca="1" si="3"/>
        <v>#VALUE!</v>
      </c>
      <c r="R54" s="69" t="e">
        <f t="shared" ca="1" si="23"/>
        <v>#VALUE!</v>
      </c>
      <c r="S54" s="69" t="e">
        <f t="shared" ca="1" si="5"/>
        <v>#VALUE!</v>
      </c>
      <c r="T54" s="69" t="e">
        <f t="shared" ca="1" si="6"/>
        <v>#VALUE!</v>
      </c>
      <c r="U54" s="69" t="e">
        <f t="shared" ca="1" si="24"/>
        <v>#VALUE!</v>
      </c>
      <c r="V54" s="69" t="e">
        <f t="shared" ca="1" si="25"/>
        <v>#VALUE!</v>
      </c>
      <c r="W54" s="70" t="str">
        <f t="shared" ca="1" si="9"/>
        <v/>
      </c>
      <c r="X54" s="70" t="e">
        <f t="shared" ca="1" si="10"/>
        <v>#VALUE!</v>
      </c>
      <c r="Y54" s="70" t="e">
        <f t="shared" ca="1" si="11"/>
        <v>#VALUE!</v>
      </c>
      <c r="Z54" s="71" t="e">
        <f t="shared" ca="1" si="12"/>
        <v>#VALUE!</v>
      </c>
      <c r="AA54" s="72" t="e">
        <f t="shared" ca="1" si="13"/>
        <v>#VALUE!</v>
      </c>
      <c r="AB54" s="72" t="e">
        <f t="shared" ca="1" si="14"/>
        <v>#VALUE!</v>
      </c>
      <c r="AC54" s="72" t="e">
        <f t="shared" ca="1" si="15"/>
        <v>#VALUE!</v>
      </c>
      <c r="AD54" s="73" t="e">
        <f t="shared" ca="1" si="16"/>
        <v>#VALUE!</v>
      </c>
      <c r="AE54" s="19" t="e">
        <f t="shared" ca="1" si="17"/>
        <v>#VALUE!</v>
      </c>
      <c r="AF54" s="74" t="str">
        <f t="shared" ca="1" si="18"/>
        <v>Below D1 Low</v>
      </c>
      <c r="AG54" s="17" t="str">
        <f t="shared" ca="1" si="19"/>
        <v>Sell</v>
      </c>
      <c r="AH54" s="17" t="str">
        <f t="shared" ca="1" si="20"/>
        <v>SELL</v>
      </c>
      <c r="AI54" s="75">
        <f ca="1">IFERROR(__xludf.DUMMYFUNCTION("AVERAGE.WEIGHTED((G54+H54+B54)/3, I54)"),539.3)</f>
        <v>539.29999999999995</v>
      </c>
      <c r="AJ54" s="75" t="str">
        <f ca="1">IFERROR(__xludf.DUMMYFUNCTION("AVERAGE.WEIGHTED((K54+L54+J54)/3, N54)"),"#N/A")</f>
        <v>#N/A</v>
      </c>
      <c r="AK54" s="75" t="str">
        <f t="shared" ca="1" si="21"/>
        <v>SELL</v>
      </c>
      <c r="AL54" s="31"/>
      <c r="AM54" s="31"/>
      <c r="AN54" s="31"/>
      <c r="AO54" s="31"/>
      <c r="AP54" s="31"/>
      <c r="AQ54" s="31"/>
      <c r="AR54" s="31"/>
    </row>
    <row r="55" spans="1:44" ht="15.75" customHeight="1">
      <c r="A55" s="61" t="s">
        <v>110</v>
      </c>
      <c r="B55" s="62">
        <f ca="1">IFERROR(__xludf.DUMMYFUNCTION("googlefinance(""nse:""&amp;A55,""price"")"),673.3)</f>
        <v>673.3</v>
      </c>
      <c r="C55" s="63" t="str">
        <f t="shared" ca="1" si="0"/>
        <v>BUY</v>
      </c>
      <c r="D55" s="63">
        <f ca="1">IFERROR(__xludf.DUMMYFUNCTION("googlefinance(""nse:""&amp;A55,""changepct"")"),1.64)</f>
        <v>1.64</v>
      </c>
      <c r="E55" s="63">
        <f ca="1">IFERROR(__xludf.DUMMYFUNCTION("googlefinance(""nse:""&amp;A55,""change"")"),10.85)</f>
        <v>10.85</v>
      </c>
      <c r="F55" s="63">
        <f ca="1">IFERROR(__xludf.DUMMYFUNCTION("googlefinance(""nse:""&amp;A55,""priceopen"")"),668)</f>
        <v>668</v>
      </c>
      <c r="G55" s="63">
        <f ca="1">IFERROR(__xludf.DUMMYFUNCTION("googlefinance(""nse:""&amp;A55,""HIGH"")"),699.5)</f>
        <v>699.5</v>
      </c>
      <c r="H55" s="63">
        <f ca="1">IFERROR(__xludf.DUMMYFUNCTION("googlefinance(""nse:""&amp;A55,""LOW"")"),668)</f>
        <v>668</v>
      </c>
      <c r="I55" s="63">
        <f ca="1">IFERROR(__xludf.DUMMYFUNCTION("googlefinance(""nse:""&amp;A55,""VOLUME"")"),675173)</f>
        <v>675173</v>
      </c>
      <c r="J55" s="63">
        <f ca="1">IFERROR(__xludf.DUMMYFUNCTION("googlefinance(""nse:""&amp;A55,""closeyest"")"),662.45)</f>
        <v>662.45</v>
      </c>
      <c r="K55" s="65" t="str">
        <f ca="1">IFERROR(__xludf.DUMMYFUNCTION("INDEX( GoogleFinance( ""NSE:""&amp;A55 , ""all"" , TODAY()-4) , 2, 3)"),"#N/A")</f>
        <v>#N/A</v>
      </c>
      <c r="L55" s="66" t="str">
        <f ca="1">IFERROR(__xludf.DUMMYFUNCTION("INDEX( GoogleFinance(""NSE:""&amp;A55 , ""all"" , TODAY()-4 ) , 2, 4)"),"#N/A")</f>
        <v>#N/A</v>
      </c>
      <c r="M55" s="67" t="str">
        <f ca="1">IFERROR(__xludf.DUMMYFUNCTION("INDEX( GoogleFinance( ""NSE:""&amp;A55 , ""all"" , TODAY()-4) , 2, 2)"),"#N/A")</f>
        <v>#N/A</v>
      </c>
      <c r="N55" s="68" t="str">
        <f ca="1">IFERROR(__xludf.DUMMYFUNCTION("INDEX( GoogleFinance( ""NSE:""&amp;A55 , ""all"" , TODAY()-4) , 2, 6)"),"#N/A")</f>
        <v>#N/A</v>
      </c>
      <c r="O55" s="69" t="str">
        <f t="shared" ca="1" si="1"/>
        <v/>
      </c>
      <c r="P55" s="69" t="e">
        <f t="shared" ca="1" si="2"/>
        <v>#VALUE!</v>
      </c>
      <c r="Q55" s="69" t="e">
        <f t="shared" ca="1" si="3"/>
        <v>#VALUE!</v>
      </c>
      <c r="R55" s="69" t="e">
        <f t="shared" ca="1" si="23"/>
        <v>#VALUE!</v>
      </c>
      <c r="S55" s="69" t="e">
        <f t="shared" ca="1" si="5"/>
        <v>#VALUE!</v>
      </c>
      <c r="T55" s="69" t="e">
        <f t="shared" ca="1" si="6"/>
        <v>#VALUE!</v>
      </c>
      <c r="U55" s="69" t="e">
        <f t="shared" ca="1" si="24"/>
        <v>#VALUE!</v>
      </c>
      <c r="V55" s="69" t="e">
        <f t="shared" ca="1" si="25"/>
        <v>#VALUE!</v>
      </c>
      <c r="W55" s="70" t="str">
        <f t="shared" ca="1" si="9"/>
        <v/>
      </c>
      <c r="X55" s="70" t="e">
        <f t="shared" ca="1" si="10"/>
        <v>#VALUE!</v>
      </c>
      <c r="Y55" s="70" t="e">
        <f t="shared" ca="1" si="11"/>
        <v>#VALUE!</v>
      </c>
      <c r="Z55" s="71" t="e">
        <f t="shared" ca="1" si="12"/>
        <v>#VALUE!</v>
      </c>
      <c r="AA55" s="72" t="e">
        <f t="shared" ca="1" si="13"/>
        <v>#VALUE!</v>
      </c>
      <c r="AB55" s="72" t="e">
        <f t="shared" ca="1" si="14"/>
        <v>#VALUE!</v>
      </c>
      <c r="AC55" s="72" t="e">
        <f t="shared" ca="1" si="15"/>
        <v>#VALUE!</v>
      </c>
      <c r="AD55" s="73" t="e">
        <f t="shared" ca="1" si="16"/>
        <v>#VALUE!</v>
      </c>
      <c r="AE55" s="19" t="e">
        <f t="shared" ca="1" si="17"/>
        <v>#VALUE!</v>
      </c>
      <c r="AF55" s="74" t="str">
        <f t="shared" ca="1" si="18"/>
        <v>Below D1 Low</v>
      </c>
      <c r="AG55" s="17" t="str">
        <f t="shared" ca="1" si="19"/>
        <v>Sell</v>
      </c>
      <c r="AH55" s="17" t="str">
        <f t="shared" ca="1" si="20"/>
        <v>SELL</v>
      </c>
      <c r="AI55" s="75">
        <f ca="1">IFERROR(__xludf.DUMMYFUNCTION("AVERAGE.WEIGHTED((G55+H55+B55)/3, I55)"),680.266666666666)</f>
        <v>680.26666666666597</v>
      </c>
      <c r="AJ55" s="75" t="str">
        <f ca="1">IFERROR(__xludf.DUMMYFUNCTION("AVERAGE.WEIGHTED((K55+L55+J55)/3, N55)"),"#N/A")</f>
        <v>#N/A</v>
      </c>
      <c r="AK55" s="75" t="str">
        <f t="shared" ca="1" si="21"/>
        <v>SELL</v>
      </c>
      <c r="AL55" s="31"/>
      <c r="AM55" s="31"/>
      <c r="AN55" s="31"/>
      <c r="AO55" s="31"/>
      <c r="AP55" s="31"/>
      <c r="AQ55" s="31"/>
      <c r="AR55" s="31"/>
    </row>
    <row r="56" spans="1:44" ht="15.75" customHeight="1">
      <c r="A56" s="61" t="s">
        <v>112</v>
      </c>
      <c r="B56" s="62">
        <f ca="1">IFERROR(__xludf.DUMMYFUNCTION("googlefinance(""nse:""&amp;A56,""price"")"),507.95)</f>
        <v>507.95</v>
      </c>
      <c r="C56" s="63">
        <f t="shared" ca="1" si="0"/>
        <v>0</v>
      </c>
      <c r="D56" s="63">
        <f ca="1">IFERROR(__xludf.DUMMYFUNCTION("googlefinance(""nse:""&amp;A56,""changepct"")"),1.2)</f>
        <v>1.2</v>
      </c>
      <c r="E56" s="63">
        <f ca="1">IFERROR(__xludf.DUMMYFUNCTION("googlefinance(""nse:""&amp;A56,""change"")"),6)</f>
        <v>6</v>
      </c>
      <c r="F56" s="63">
        <f ca="1">IFERROR(__xludf.DUMMYFUNCTION("googlefinance(""nse:""&amp;A56,""priceopen"")"),505)</f>
        <v>505</v>
      </c>
      <c r="G56" s="63">
        <f ca="1">IFERROR(__xludf.DUMMYFUNCTION("googlefinance(""nse:""&amp;A56,""HIGH"")"),515)</f>
        <v>515</v>
      </c>
      <c r="H56" s="63">
        <f ca="1">IFERROR(__xludf.DUMMYFUNCTION("googlefinance(""nse:""&amp;A56,""LOW"")"),501.3)</f>
        <v>501.3</v>
      </c>
      <c r="I56" s="63">
        <f ca="1">IFERROR(__xludf.DUMMYFUNCTION("googlefinance(""nse:""&amp;A56,""VOLUME"")"),6535679)</f>
        <v>6535679</v>
      </c>
      <c r="J56" s="63">
        <f ca="1">IFERROR(__xludf.DUMMYFUNCTION("googlefinance(""nse:""&amp;A56,""closeyest"")"),501.95)</f>
        <v>501.95</v>
      </c>
      <c r="K56" s="65" t="str">
        <f ca="1">IFERROR(__xludf.DUMMYFUNCTION("INDEX( GoogleFinance( ""NSE:""&amp;A56 , ""all"" , TODAY()-4) , 2, 3)"),"#N/A")</f>
        <v>#N/A</v>
      </c>
      <c r="L56" s="66" t="str">
        <f ca="1">IFERROR(__xludf.DUMMYFUNCTION("INDEX( GoogleFinance(""NSE:""&amp;A56 , ""all"" , TODAY()-4 ) , 2, 4)"),"#N/A")</f>
        <v>#N/A</v>
      </c>
      <c r="M56" s="67" t="str">
        <f ca="1">IFERROR(__xludf.DUMMYFUNCTION("INDEX( GoogleFinance( ""NSE:""&amp;A56 , ""all"" , TODAY()-4) , 2, 2)"),"#N/A")</f>
        <v>#N/A</v>
      </c>
      <c r="N56" s="68" t="str">
        <f ca="1">IFERROR(__xludf.DUMMYFUNCTION("INDEX( GoogleFinance( ""NSE:""&amp;A56 , ""all"" , TODAY()-4) , 2, 6)"),"#N/A")</f>
        <v>#N/A</v>
      </c>
      <c r="O56" s="69" t="str">
        <f t="shared" ca="1" si="1"/>
        <v/>
      </c>
      <c r="P56" s="69" t="e">
        <f t="shared" ca="1" si="2"/>
        <v>#VALUE!</v>
      </c>
      <c r="Q56" s="69" t="e">
        <f t="shared" ca="1" si="3"/>
        <v>#VALUE!</v>
      </c>
      <c r="R56" s="69" t="e">
        <f t="shared" ca="1" si="23"/>
        <v>#VALUE!</v>
      </c>
      <c r="S56" s="69" t="e">
        <f t="shared" ca="1" si="5"/>
        <v>#VALUE!</v>
      </c>
      <c r="T56" s="69" t="e">
        <f t="shared" ca="1" si="6"/>
        <v>#VALUE!</v>
      </c>
      <c r="U56" s="69" t="e">
        <f t="shared" ca="1" si="24"/>
        <v>#VALUE!</v>
      </c>
      <c r="V56" s="69" t="e">
        <f t="shared" ca="1" si="25"/>
        <v>#VALUE!</v>
      </c>
      <c r="W56" s="70" t="str">
        <f t="shared" ca="1" si="9"/>
        <v/>
      </c>
      <c r="X56" s="70" t="e">
        <f t="shared" ca="1" si="10"/>
        <v>#VALUE!</v>
      </c>
      <c r="Y56" s="70" t="e">
        <f t="shared" ca="1" si="11"/>
        <v>#VALUE!</v>
      </c>
      <c r="Z56" s="71" t="e">
        <f t="shared" ca="1" si="12"/>
        <v>#VALUE!</v>
      </c>
      <c r="AA56" s="72" t="e">
        <f t="shared" ca="1" si="13"/>
        <v>#VALUE!</v>
      </c>
      <c r="AB56" s="72" t="e">
        <f t="shared" ca="1" si="14"/>
        <v>#VALUE!</v>
      </c>
      <c r="AC56" s="72" t="e">
        <f t="shared" ca="1" si="15"/>
        <v>#VALUE!</v>
      </c>
      <c r="AD56" s="73" t="e">
        <f t="shared" ca="1" si="16"/>
        <v>#VALUE!</v>
      </c>
      <c r="AE56" s="19" t="e">
        <f t="shared" ca="1" si="17"/>
        <v>#VALUE!</v>
      </c>
      <c r="AF56" s="74" t="str">
        <f t="shared" ca="1" si="18"/>
        <v>Below D1 Low</v>
      </c>
      <c r="AG56" s="17" t="str">
        <f t="shared" ca="1" si="19"/>
        <v>Sell</v>
      </c>
      <c r="AH56" s="17" t="str">
        <f t="shared" ca="1" si="20"/>
        <v>SELL</v>
      </c>
      <c r="AI56" s="75">
        <f ca="1">IFERROR(__xludf.DUMMYFUNCTION("AVERAGE.WEIGHTED((G56+H56+B56)/3, I56)"),508.083333333333)</f>
        <v>508.08333333333297</v>
      </c>
      <c r="AJ56" s="75" t="str">
        <f ca="1">IFERROR(__xludf.DUMMYFUNCTION("AVERAGE.WEIGHTED((K56+L56+J56)/3, N56)"),"#N/A")</f>
        <v>#N/A</v>
      </c>
      <c r="AK56" s="75" t="str">
        <f t="shared" ca="1" si="21"/>
        <v>SELL</v>
      </c>
      <c r="AL56" s="31"/>
      <c r="AM56" s="31"/>
      <c r="AN56" s="31"/>
      <c r="AO56" s="31"/>
      <c r="AP56" s="31"/>
      <c r="AQ56" s="31"/>
      <c r="AR56" s="31"/>
    </row>
    <row r="57" spans="1:44" ht="15.75" customHeight="1">
      <c r="A57" s="61" t="s">
        <v>114</v>
      </c>
      <c r="B57" s="62">
        <f ca="1">IFERROR(__xludf.DUMMYFUNCTION("googlefinance(""nse:""&amp;A57,""price"")"),563)</f>
        <v>563</v>
      </c>
      <c r="C57" s="63">
        <f t="shared" ca="1" si="0"/>
        <v>0</v>
      </c>
      <c r="D57" s="63">
        <f ca="1">IFERROR(__xludf.DUMMYFUNCTION("googlefinance(""nse:""&amp;A57,""changepct"")"),3.71)</f>
        <v>3.71</v>
      </c>
      <c r="E57" s="63">
        <f ca="1">IFERROR(__xludf.DUMMYFUNCTION("googlefinance(""nse:""&amp;A57,""change"")"),20.15)</f>
        <v>20.149999999999999</v>
      </c>
      <c r="F57" s="63">
        <f ca="1">IFERROR(__xludf.DUMMYFUNCTION("googlefinance(""nse:""&amp;A57,""priceopen"")"),552.25)</f>
        <v>552.25</v>
      </c>
      <c r="G57" s="63">
        <f ca="1">IFERROR(__xludf.DUMMYFUNCTION("googlefinance(""nse:""&amp;A57,""HIGH"")"),565.75)</f>
        <v>565.75</v>
      </c>
      <c r="H57" s="63">
        <f ca="1">IFERROR(__xludf.DUMMYFUNCTION("googlefinance(""nse:""&amp;A57,""LOW"")"),544.7)</f>
        <v>544.70000000000005</v>
      </c>
      <c r="I57" s="63">
        <f ca="1">IFERROR(__xludf.DUMMYFUNCTION("googlefinance(""nse:""&amp;A57,""VOLUME"")"),2637280)</f>
        <v>2637280</v>
      </c>
      <c r="J57" s="63">
        <f ca="1">IFERROR(__xludf.DUMMYFUNCTION("googlefinance(""nse:""&amp;A57,""closeyest"")"),542.85)</f>
        <v>542.85</v>
      </c>
      <c r="K57" s="65" t="str">
        <f ca="1">IFERROR(__xludf.DUMMYFUNCTION("INDEX( GoogleFinance( ""NSE:""&amp;A57 , ""all"" , TODAY()-4) , 2, 3)"),"#N/A")</f>
        <v>#N/A</v>
      </c>
      <c r="L57" s="66" t="str">
        <f ca="1">IFERROR(__xludf.DUMMYFUNCTION("INDEX( GoogleFinance(""NSE:""&amp;A57 , ""all"" , TODAY()-4 ) , 2, 4)"),"#N/A")</f>
        <v>#N/A</v>
      </c>
      <c r="M57" s="67" t="str">
        <f ca="1">IFERROR(__xludf.DUMMYFUNCTION("INDEX( GoogleFinance( ""NSE:""&amp;A57 , ""all"" , TODAY()-4) , 2, 2)"),"#N/A")</f>
        <v>#N/A</v>
      </c>
      <c r="N57" s="68" t="str">
        <f ca="1">IFERROR(__xludf.DUMMYFUNCTION("INDEX( GoogleFinance( ""NSE:""&amp;A57 , ""all"" , TODAY()-4) , 2, 6)"),"#N/A")</f>
        <v>#N/A</v>
      </c>
      <c r="O57" s="69" t="str">
        <f t="shared" ca="1" si="1"/>
        <v/>
      </c>
      <c r="P57" s="69" t="e">
        <f t="shared" ca="1" si="2"/>
        <v>#VALUE!</v>
      </c>
      <c r="Q57" s="69" t="e">
        <f t="shared" ca="1" si="3"/>
        <v>#VALUE!</v>
      </c>
      <c r="R57" s="69" t="e">
        <f t="shared" ca="1" si="23"/>
        <v>#VALUE!</v>
      </c>
      <c r="S57" s="69" t="e">
        <f t="shared" ca="1" si="5"/>
        <v>#VALUE!</v>
      </c>
      <c r="T57" s="69" t="e">
        <f t="shared" ca="1" si="6"/>
        <v>#VALUE!</v>
      </c>
      <c r="U57" s="69" t="e">
        <f t="shared" ca="1" si="24"/>
        <v>#VALUE!</v>
      </c>
      <c r="V57" s="69" t="e">
        <f t="shared" ca="1" si="25"/>
        <v>#VALUE!</v>
      </c>
      <c r="W57" s="70" t="str">
        <f t="shared" ca="1" si="9"/>
        <v/>
      </c>
      <c r="X57" s="70" t="e">
        <f t="shared" ca="1" si="10"/>
        <v>#VALUE!</v>
      </c>
      <c r="Y57" s="70" t="e">
        <f t="shared" ca="1" si="11"/>
        <v>#VALUE!</v>
      </c>
      <c r="Z57" s="71" t="e">
        <f t="shared" ca="1" si="12"/>
        <v>#VALUE!</v>
      </c>
      <c r="AA57" s="72" t="e">
        <f t="shared" ca="1" si="13"/>
        <v>#VALUE!</v>
      </c>
      <c r="AB57" s="72" t="e">
        <f t="shared" ca="1" si="14"/>
        <v>#VALUE!</v>
      </c>
      <c r="AC57" s="72" t="e">
        <f t="shared" ca="1" si="15"/>
        <v>#VALUE!</v>
      </c>
      <c r="AD57" s="73" t="e">
        <f t="shared" ca="1" si="16"/>
        <v>#VALUE!</v>
      </c>
      <c r="AE57" s="19" t="e">
        <f t="shared" ca="1" si="17"/>
        <v>#VALUE!</v>
      </c>
      <c r="AF57" s="74" t="str">
        <f t="shared" ca="1" si="18"/>
        <v>Below D1 Low</v>
      </c>
      <c r="AG57" s="17" t="str">
        <f t="shared" ca="1" si="19"/>
        <v>Sell</v>
      </c>
      <c r="AH57" s="17" t="str">
        <f t="shared" ca="1" si="20"/>
        <v>SELL</v>
      </c>
      <c r="AI57" s="75">
        <f ca="1">IFERROR(__xludf.DUMMYFUNCTION("AVERAGE.WEIGHTED((G57+H57+B57)/3, I57)"),557.816666666666)</f>
        <v>557.81666666666604</v>
      </c>
      <c r="AJ57" s="75" t="str">
        <f ca="1">IFERROR(__xludf.DUMMYFUNCTION("AVERAGE.WEIGHTED((K57+L57+J57)/3, N57)"),"#N/A")</f>
        <v>#N/A</v>
      </c>
      <c r="AK57" s="75" t="str">
        <f t="shared" ca="1" si="21"/>
        <v>SELL</v>
      </c>
      <c r="AL57" s="31"/>
      <c r="AM57" s="31"/>
      <c r="AN57" s="31"/>
      <c r="AO57" s="31"/>
      <c r="AP57" s="31"/>
      <c r="AQ57" s="31"/>
      <c r="AR57" s="31"/>
    </row>
    <row r="58" spans="1:44" ht="15.75" customHeight="1">
      <c r="A58" s="61" t="s">
        <v>115</v>
      </c>
      <c r="B58" s="62">
        <f ca="1">IFERROR(__xludf.DUMMYFUNCTION("googlefinance(""nse:""&amp;A58,""price"")"),545)</f>
        <v>545</v>
      </c>
      <c r="C58" s="63">
        <f t="shared" ca="1" si="0"/>
        <v>0</v>
      </c>
      <c r="D58" s="63">
        <f ca="1">IFERROR(__xludf.DUMMYFUNCTION("googlefinance(""nse:""&amp;A58,""changepct"")"),10.83)</f>
        <v>10.83</v>
      </c>
      <c r="E58" s="63">
        <f ca="1">IFERROR(__xludf.DUMMYFUNCTION("googlefinance(""nse:""&amp;A58,""change"")"),53.25)</f>
        <v>53.25</v>
      </c>
      <c r="F58" s="63">
        <f ca="1">IFERROR(__xludf.DUMMYFUNCTION("googlefinance(""nse:""&amp;A58,""priceopen"")"),506.5)</f>
        <v>506.5</v>
      </c>
      <c r="G58" s="63">
        <f ca="1">IFERROR(__xludf.DUMMYFUNCTION("googlefinance(""nse:""&amp;A58,""HIGH"")"),565.5)</f>
        <v>565.5</v>
      </c>
      <c r="H58" s="63">
        <f ca="1">IFERROR(__xludf.DUMMYFUNCTION("googlefinance(""nse:""&amp;A58,""LOW"")"),501)</f>
        <v>501</v>
      </c>
      <c r="I58" s="63">
        <f ca="1">IFERROR(__xludf.DUMMYFUNCTION("googlefinance(""nse:""&amp;A58,""VOLUME"")"),8035698)</f>
        <v>8035698</v>
      </c>
      <c r="J58" s="63">
        <f ca="1">IFERROR(__xludf.DUMMYFUNCTION("googlefinance(""nse:""&amp;A58,""closeyest"")"),491.75)</f>
        <v>491.75</v>
      </c>
      <c r="K58" s="65" t="str">
        <f ca="1">IFERROR(__xludf.DUMMYFUNCTION("INDEX( GoogleFinance( ""NSE:""&amp;A58 , ""all"" , TODAY()-4) , 2, 3)"),"#N/A")</f>
        <v>#N/A</v>
      </c>
      <c r="L58" s="66" t="str">
        <f ca="1">IFERROR(__xludf.DUMMYFUNCTION("INDEX( GoogleFinance(""NSE:""&amp;A58 , ""all"" , TODAY()-4 ) , 2, 4)"),"#N/A")</f>
        <v>#N/A</v>
      </c>
      <c r="M58" s="67" t="str">
        <f ca="1">IFERROR(__xludf.DUMMYFUNCTION("INDEX( GoogleFinance( ""NSE:""&amp;A58 , ""all"" , TODAY()-4) , 2, 2)"),"#N/A")</f>
        <v>#N/A</v>
      </c>
      <c r="N58" s="68" t="str">
        <f ca="1">IFERROR(__xludf.DUMMYFUNCTION("INDEX( GoogleFinance( ""NSE:""&amp;A58 , ""all"" , TODAY()-4) , 2, 6)"),"#N/A")</f>
        <v>#N/A</v>
      </c>
      <c r="O58" s="69" t="str">
        <f t="shared" ca="1" si="1"/>
        <v/>
      </c>
      <c r="P58" s="69" t="e">
        <f t="shared" ca="1" si="2"/>
        <v>#VALUE!</v>
      </c>
      <c r="Q58" s="69" t="e">
        <f t="shared" ca="1" si="3"/>
        <v>#VALUE!</v>
      </c>
      <c r="R58" s="69" t="e">
        <f t="shared" ca="1" si="23"/>
        <v>#VALUE!</v>
      </c>
      <c r="S58" s="69" t="e">
        <f t="shared" ca="1" si="5"/>
        <v>#VALUE!</v>
      </c>
      <c r="T58" s="69" t="e">
        <f t="shared" ca="1" si="6"/>
        <v>#VALUE!</v>
      </c>
      <c r="U58" s="69" t="e">
        <f t="shared" ca="1" si="24"/>
        <v>#VALUE!</v>
      </c>
      <c r="V58" s="69" t="e">
        <f t="shared" ca="1" si="25"/>
        <v>#VALUE!</v>
      </c>
      <c r="W58" s="70" t="str">
        <f t="shared" ca="1" si="9"/>
        <v/>
      </c>
      <c r="X58" s="70" t="e">
        <f t="shared" ca="1" si="10"/>
        <v>#VALUE!</v>
      </c>
      <c r="Y58" s="70" t="e">
        <f t="shared" ca="1" si="11"/>
        <v>#VALUE!</v>
      </c>
      <c r="Z58" s="71" t="e">
        <f t="shared" ca="1" si="12"/>
        <v>#VALUE!</v>
      </c>
      <c r="AA58" s="72" t="e">
        <f t="shared" ca="1" si="13"/>
        <v>#VALUE!</v>
      </c>
      <c r="AB58" s="72" t="e">
        <f t="shared" ca="1" si="14"/>
        <v>#VALUE!</v>
      </c>
      <c r="AC58" s="72" t="e">
        <f t="shared" ca="1" si="15"/>
        <v>#VALUE!</v>
      </c>
      <c r="AD58" s="73" t="e">
        <f t="shared" ca="1" si="16"/>
        <v>#VALUE!</v>
      </c>
      <c r="AE58" s="19" t="e">
        <f t="shared" ca="1" si="17"/>
        <v>#VALUE!</v>
      </c>
      <c r="AF58" s="74" t="str">
        <f t="shared" ca="1" si="18"/>
        <v>Below D1 Low</v>
      </c>
      <c r="AG58" s="17" t="str">
        <f t="shared" ca="1" si="19"/>
        <v>Sell</v>
      </c>
      <c r="AH58" s="17" t="str">
        <f t="shared" ca="1" si="20"/>
        <v>SELL</v>
      </c>
      <c r="AI58" s="75">
        <f ca="1">IFERROR(__xludf.DUMMYFUNCTION("AVERAGE.WEIGHTED((G58+H58+B58)/3, I58)"),537.166666666666)</f>
        <v>537.16666666666595</v>
      </c>
      <c r="AJ58" s="75" t="str">
        <f ca="1">IFERROR(__xludf.DUMMYFUNCTION("AVERAGE.WEIGHTED((K58+L58+J58)/3, N58)"),"#N/A")</f>
        <v>#N/A</v>
      </c>
      <c r="AK58" s="75" t="str">
        <f t="shared" ca="1" si="21"/>
        <v>SELL</v>
      </c>
      <c r="AL58" s="31"/>
      <c r="AM58" s="31"/>
      <c r="AN58" s="31"/>
      <c r="AO58" s="31"/>
      <c r="AP58" s="31"/>
      <c r="AQ58" s="31"/>
      <c r="AR58" s="31"/>
    </row>
    <row r="59" spans="1:44" ht="15.75" customHeight="1">
      <c r="A59" s="61" t="s">
        <v>116</v>
      </c>
      <c r="B59" s="62">
        <f ca="1">IFERROR(__xludf.DUMMYFUNCTION("googlefinance(""nse:""&amp;A59,""price"")"),1916.15)</f>
        <v>1916.15</v>
      </c>
      <c r="C59" s="63">
        <f t="shared" ca="1" si="0"/>
        <v>0</v>
      </c>
      <c r="D59" s="63">
        <f ca="1">IFERROR(__xludf.DUMMYFUNCTION("googlefinance(""nse:""&amp;A59,""changepct"")"),4.32)</f>
        <v>4.32</v>
      </c>
      <c r="E59" s="63">
        <f ca="1">IFERROR(__xludf.DUMMYFUNCTION("googlefinance(""nse:""&amp;A59,""change"")"),79.4)</f>
        <v>79.400000000000006</v>
      </c>
      <c r="F59" s="63">
        <f ca="1">IFERROR(__xludf.DUMMYFUNCTION("googlefinance(""nse:""&amp;A59,""priceopen"")"),1857)</f>
        <v>1857</v>
      </c>
      <c r="G59" s="63">
        <f ca="1">IFERROR(__xludf.DUMMYFUNCTION("googlefinance(""nse:""&amp;A59,""HIGH"")"),1927)</f>
        <v>1927</v>
      </c>
      <c r="H59" s="63">
        <f ca="1">IFERROR(__xludf.DUMMYFUNCTION("googlefinance(""nse:""&amp;A59,""LOW"")"),1855.5)</f>
        <v>1855.5</v>
      </c>
      <c r="I59" s="63">
        <f ca="1">IFERROR(__xludf.DUMMYFUNCTION("googlefinance(""nse:""&amp;A59,""VOLUME"")"),8237079)</f>
        <v>8237079</v>
      </c>
      <c r="J59" s="63">
        <f ca="1">IFERROR(__xludf.DUMMYFUNCTION("googlefinance(""nse:""&amp;A59,""closeyest"")"),1836.75)</f>
        <v>1836.75</v>
      </c>
      <c r="K59" s="65" t="str">
        <f ca="1">IFERROR(__xludf.DUMMYFUNCTION("INDEX( GoogleFinance( ""NSE:""&amp;A59 , ""all"" , TODAY()-4) , 2, 3)"),"#N/A")</f>
        <v>#N/A</v>
      </c>
      <c r="L59" s="66" t="str">
        <f ca="1">IFERROR(__xludf.DUMMYFUNCTION("INDEX( GoogleFinance(""NSE:""&amp;A59 , ""all"" , TODAY()-4 ) , 2, 4)"),"#N/A")</f>
        <v>#N/A</v>
      </c>
      <c r="M59" s="67" t="str">
        <f ca="1">IFERROR(__xludf.DUMMYFUNCTION("INDEX( GoogleFinance( ""NSE:""&amp;A59 , ""all"" , TODAY()-4) , 2, 2)"),"#N/A")</f>
        <v>#N/A</v>
      </c>
      <c r="N59" s="68" t="str">
        <f ca="1">IFERROR(__xludf.DUMMYFUNCTION("INDEX( GoogleFinance( ""NSE:""&amp;A59 , ""all"" , TODAY()-4) , 2, 6)"),"#N/A")</f>
        <v>#N/A</v>
      </c>
      <c r="O59" s="69" t="str">
        <f t="shared" ca="1" si="1"/>
        <v/>
      </c>
      <c r="P59" s="69" t="e">
        <f t="shared" ca="1" si="2"/>
        <v>#VALUE!</v>
      </c>
      <c r="Q59" s="69" t="e">
        <f t="shared" ca="1" si="3"/>
        <v>#VALUE!</v>
      </c>
      <c r="R59" s="69" t="e">
        <f t="shared" ca="1" si="23"/>
        <v>#VALUE!</v>
      </c>
      <c r="S59" s="69" t="e">
        <f t="shared" ca="1" si="5"/>
        <v>#VALUE!</v>
      </c>
      <c r="T59" s="69" t="e">
        <f t="shared" ca="1" si="6"/>
        <v>#VALUE!</v>
      </c>
      <c r="U59" s="69" t="e">
        <f t="shared" ca="1" si="24"/>
        <v>#VALUE!</v>
      </c>
      <c r="V59" s="69" t="e">
        <f t="shared" ca="1" si="25"/>
        <v>#VALUE!</v>
      </c>
      <c r="W59" s="70" t="str">
        <f t="shared" ca="1" si="9"/>
        <v/>
      </c>
      <c r="X59" s="70" t="e">
        <f t="shared" ca="1" si="10"/>
        <v>#VALUE!</v>
      </c>
      <c r="Y59" s="70" t="e">
        <f t="shared" ca="1" si="11"/>
        <v>#VALUE!</v>
      </c>
      <c r="Z59" s="71" t="e">
        <f t="shared" ca="1" si="12"/>
        <v>#VALUE!</v>
      </c>
      <c r="AA59" s="72" t="e">
        <f t="shared" ca="1" si="13"/>
        <v>#VALUE!</v>
      </c>
      <c r="AB59" s="72" t="e">
        <f t="shared" ca="1" si="14"/>
        <v>#VALUE!</v>
      </c>
      <c r="AC59" s="72" t="e">
        <f t="shared" ca="1" si="15"/>
        <v>#VALUE!</v>
      </c>
      <c r="AD59" s="73" t="e">
        <f t="shared" ca="1" si="16"/>
        <v>#VALUE!</v>
      </c>
      <c r="AE59" s="19" t="e">
        <f t="shared" ca="1" si="17"/>
        <v>#VALUE!</v>
      </c>
      <c r="AF59" s="74" t="str">
        <f t="shared" ca="1" si="18"/>
        <v>Below D1 Low</v>
      </c>
      <c r="AG59" s="17" t="str">
        <f t="shared" ca="1" si="19"/>
        <v>Sell</v>
      </c>
      <c r="AH59" s="17" t="str">
        <f t="shared" ca="1" si="20"/>
        <v>SELL</v>
      </c>
      <c r="AI59" s="75">
        <f ca="1">IFERROR(__xludf.DUMMYFUNCTION("AVERAGE.WEIGHTED((G59+H59+B59)/3, I59)"),1899.55)</f>
        <v>1899.55</v>
      </c>
      <c r="AJ59" s="75" t="str">
        <f ca="1">IFERROR(__xludf.DUMMYFUNCTION("AVERAGE.WEIGHTED((K59+L59+J59)/3, N59)"),"#N/A")</f>
        <v>#N/A</v>
      </c>
      <c r="AK59" s="75" t="str">
        <f t="shared" ca="1" si="21"/>
        <v>SELL</v>
      </c>
      <c r="AL59" s="31"/>
      <c r="AM59" s="31"/>
      <c r="AN59" s="31"/>
      <c r="AO59" s="31"/>
      <c r="AP59" s="31"/>
      <c r="AQ59" s="31"/>
      <c r="AR59" s="31"/>
    </row>
    <row r="60" spans="1:44" ht="15.75" customHeight="1">
      <c r="A60" s="61" t="s">
        <v>117</v>
      </c>
      <c r="B60" s="62">
        <f ca="1">IFERROR(__xludf.DUMMYFUNCTION("googlefinance(""nse:""&amp;A60,""price"")"),1000)</f>
        <v>1000</v>
      </c>
      <c r="C60" s="63">
        <f t="shared" ca="1" si="0"/>
        <v>0</v>
      </c>
      <c r="D60" s="63">
        <f ca="1">IFERROR(__xludf.DUMMYFUNCTION("googlefinance(""nse:""&amp;A60,""changepct"")"),2.34)</f>
        <v>2.34</v>
      </c>
      <c r="E60" s="63">
        <f ca="1">IFERROR(__xludf.DUMMYFUNCTION("googlefinance(""nse:""&amp;A60,""change"")"),22.9)</f>
        <v>22.9</v>
      </c>
      <c r="F60" s="63">
        <f ca="1">IFERROR(__xludf.DUMMYFUNCTION("googlefinance(""nse:""&amp;A60,""priceopen"")"),1001.4)</f>
        <v>1001.4</v>
      </c>
      <c r="G60" s="63">
        <f ca="1">IFERROR(__xludf.DUMMYFUNCTION("googlefinance(""nse:""&amp;A60,""HIGH"")"),1019)</f>
        <v>1019</v>
      </c>
      <c r="H60" s="63">
        <f ca="1">IFERROR(__xludf.DUMMYFUNCTION("googlefinance(""nse:""&amp;A60,""LOW"")"),992.1)</f>
        <v>992.1</v>
      </c>
      <c r="I60" s="63">
        <f ca="1">IFERROR(__xludf.DUMMYFUNCTION("googlefinance(""nse:""&amp;A60,""VOLUME"")"),21897643)</f>
        <v>21897643</v>
      </c>
      <c r="J60" s="63">
        <f ca="1">IFERROR(__xludf.DUMMYFUNCTION("googlefinance(""nse:""&amp;A60,""closeyest"")"),977.1)</f>
        <v>977.1</v>
      </c>
      <c r="K60" s="65" t="str">
        <f ca="1">IFERROR(__xludf.DUMMYFUNCTION("INDEX( GoogleFinance( ""NSE:""&amp;A60 , ""all"" , TODAY()-4) , 2, 3)"),"#N/A")</f>
        <v>#N/A</v>
      </c>
      <c r="L60" s="66" t="str">
        <f ca="1">IFERROR(__xludf.DUMMYFUNCTION("INDEX( GoogleFinance(""NSE:""&amp;A60 , ""all"" , TODAY()-4 ) , 2, 4)"),"#N/A")</f>
        <v>#N/A</v>
      </c>
      <c r="M60" s="67" t="str">
        <f ca="1">IFERROR(__xludf.DUMMYFUNCTION("INDEX( GoogleFinance( ""NSE:""&amp;A60 , ""all"" , TODAY()-4) , 2, 2)"),"#N/A")</f>
        <v>#N/A</v>
      </c>
      <c r="N60" s="68" t="str">
        <f ca="1">IFERROR(__xludf.DUMMYFUNCTION("INDEX( GoogleFinance( ""NSE:""&amp;A60 , ""all"" , TODAY()-4) , 2, 6)"),"#N/A")</f>
        <v>#N/A</v>
      </c>
      <c r="O60" s="69" t="str">
        <f t="shared" ca="1" si="1"/>
        <v/>
      </c>
      <c r="P60" s="69" t="e">
        <f t="shared" ca="1" si="2"/>
        <v>#VALUE!</v>
      </c>
      <c r="Q60" s="69" t="e">
        <f t="shared" ca="1" si="3"/>
        <v>#VALUE!</v>
      </c>
      <c r="R60" s="69" t="e">
        <f t="shared" ca="1" si="23"/>
        <v>#VALUE!</v>
      </c>
      <c r="S60" s="69" t="e">
        <f t="shared" ca="1" si="5"/>
        <v>#VALUE!</v>
      </c>
      <c r="T60" s="69" t="e">
        <f t="shared" ca="1" si="6"/>
        <v>#VALUE!</v>
      </c>
      <c r="U60" s="69" t="e">
        <f t="shared" ca="1" si="24"/>
        <v>#VALUE!</v>
      </c>
      <c r="V60" s="69" t="e">
        <f t="shared" ca="1" si="25"/>
        <v>#VALUE!</v>
      </c>
      <c r="W60" s="70" t="str">
        <f t="shared" ca="1" si="9"/>
        <v/>
      </c>
      <c r="X60" s="70" t="e">
        <f t="shared" ca="1" si="10"/>
        <v>#VALUE!</v>
      </c>
      <c r="Y60" s="70" t="e">
        <f t="shared" ca="1" si="11"/>
        <v>#VALUE!</v>
      </c>
      <c r="Z60" s="71" t="e">
        <f t="shared" ca="1" si="12"/>
        <v>#VALUE!</v>
      </c>
      <c r="AA60" s="72" t="e">
        <f t="shared" ca="1" si="13"/>
        <v>#VALUE!</v>
      </c>
      <c r="AB60" s="72" t="e">
        <f t="shared" ca="1" si="14"/>
        <v>#VALUE!</v>
      </c>
      <c r="AC60" s="72" t="e">
        <f t="shared" ca="1" si="15"/>
        <v>#VALUE!</v>
      </c>
      <c r="AD60" s="73" t="e">
        <f t="shared" ca="1" si="16"/>
        <v>#VALUE!</v>
      </c>
      <c r="AE60" s="19" t="e">
        <f t="shared" ca="1" si="17"/>
        <v>#VALUE!</v>
      </c>
      <c r="AF60" s="74" t="str">
        <f t="shared" ca="1" si="18"/>
        <v>Below D1 Low</v>
      </c>
      <c r="AG60" s="17" t="str">
        <f t="shared" ca="1" si="19"/>
        <v>Sell</v>
      </c>
      <c r="AH60" s="17" t="str">
        <f t="shared" ca="1" si="20"/>
        <v>SELL</v>
      </c>
      <c r="AI60" s="75">
        <f ca="1">IFERROR(__xludf.DUMMYFUNCTION("AVERAGE.WEIGHTED((G60+H60+B60)/3, I60)"),1003.69999999999)</f>
        <v>1003.69999999999</v>
      </c>
      <c r="AJ60" s="75" t="str">
        <f ca="1">IFERROR(__xludf.DUMMYFUNCTION("AVERAGE.WEIGHTED((K60+L60+J60)/3, N60)"),"#N/A")</f>
        <v>#N/A</v>
      </c>
      <c r="AK60" s="75" t="str">
        <f t="shared" ca="1" si="21"/>
        <v>SELL</v>
      </c>
      <c r="AL60" s="31"/>
      <c r="AM60" s="31"/>
      <c r="AN60" s="31"/>
      <c r="AO60" s="31"/>
      <c r="AP60" s="31"/>
      <c r="AQ60" s="31"/>
      <c r="AR60" s="31"/>
    </row>
    <row r="61" spans="1:44" ht="15.75" customHeight="1">
      <c r="A61" s="61" t="s">
        <v>118</v>
      </c>
      <c r="B61" s="62">
        <f ca="1">IFERROR(__xludf.DUMMYFUNCTION("googlefinance(""nse:""&amp;A61,""price"")"),499.25)</f>
        <v>499.25</v>
      </c>
      <c r="C61" s="63">
        <f t="shared" ca="1" si="0"/>
        <v>0</v>
      </c>
      <c r="D61" s="63">
        <f ca="1">IFERROR(__xludf.DUMMYFUNCTION("googlefinance(""nse:""&amp;A61,""changepct"")"),1.3)</f>
        <v>1.3</v>
      </c>
      <c r="E61" s="63">
        <f ca="1">IFERROR(__xludf.DUMMYFUNCTION("googlefinance(""nse:""&amp;A61,""change"")"),6.4)</f>
        <v>6.4</v>
      </c>
      <c r="F61" s="63">
        <f ca="1">IFERROR(__xludf.DUMMYFUNCTION("googlefinance(""nse:""&amp;A61,""priceopen"")"),500)</f>
        <v>500</v>
      </c>
      <c r="G61" s="63">
        <f ca="1">IFERROR(__xludf.DUMMYFUNCTION("googlefinance(""nse:""&amp;A61,""HIGH"")"),510.7)</f>
        <v>510.7</v>
      </c>
      <c r="H61" s="63">
        <f ca="1">IFERROR(__xludf.DUMMYFUNCTION("googlefinance(""nse:""&amp;A61,""LOW"")"),493.15)</f>
        <v>493.15</v>
      </c>
      <c r="I61" s="63">
        <f ca="1">IFERROR(__xludf.DUMMYFUNCTION("googlefinance(""nse:""&amp;A61,""VOLUME"")"),3751413)</f>
        <v>3751413</v>
      </c>
      <c r="J61" s="63">
        <f ca="1">IFERROR(__xludf.DUMMYFUNCTION("googlefinance(""nse:""&amp;A61,""closeyest"")"),492.85)</f>
        <v>492.85</v>
      </c>
      <c r="K61" s="65" t="str">
        <f ca="1">IFERROR(__xludf.DUMMYFUNCTION("INDEX( GoogleFinance( ""NSE:""&amp;A61 , ""all"" , TODAY()-4) , 2, 3)"),"#N/A")</f>
        <v>#N/A</v>
      </c>
      <c r="L61" s="66" t="str">
        <f ca="1">IFERROR(__xludf.DUMMYFUNCTION("INDEX( GoogleFinance(""NSE:""&amp;A61 , ""all"" , TODAY()-4 ) , 2, 4)"),"#N/A")</f>
        <v>#N/A</v>
      </c>
      <c r="M61" s="67" t="str">
        <f ca="1">IFERROR(__xludf.DUMMYFUNCTION("INDEX( GoogleFinance( ""NSE:""&amp;A61 , ""all"" , TODAY()-4) , 2, 2)"),"#N/A")</f>
        <v>#N/A</v>
      </c>
      <c r="N61" s="68" t="str">
        <f ca="1">IFERROR(__xludf.DUMMYFUNCTION("INDEX( GoogleFinance( ""NSE:""&amp;A61 , ""all"" , TODAY()-4) , 2, 6)"),"#N/A")</f>
        <v>#N/A</v>
      </c>
      <c r="O61" s="69" t="str">
        <f t="shared" ca="1" si="1"/>
        <v/>
      </c>
      <c r="P61" s="69" t="e">
        <f t="shared" ca="1" si="2"/>
        <v>#VALUE!</v>
      </c>
      <c r="Q61" s="69" t="e">
        <f t="shared" ca="1" si="3"/>
        <v>#VALUE!</v>
      </c>
      <c r="R61" s="69" t="e">
        <f t="shared" ca="1" si="23"/>
        <v>#VALUE!</v>
      </c>
      <c r="S61" s="69" t="e">
        <f t="shared" ca="1" si="5"/>
        <v>#VALUE!</v>
      </c>
      <c r="T61" s="69" t="e">
        <f t="shared" ca="1" si="6"/>
        <v>#VALUE!</v>
      </c>
      <c r="U61" s="69" t="e">
        <f t="shared" ca="1" si="24"/>
        <v>#VALUE!</v>
      </c>
      <c r="V61" s="69" t="e">
        <f t="shared" ca="1" si="25"/>
        <v>#VALUE!</v>
      </c>
      <c r="W61" s="70" t="str">
        <f t="shared" ca="1" si="9"/>
        <v/>
      </c>
      <c r="X61" s="70" t="e">
        <f t="shared" ca="1" si="10"/>
        <v>#VALUE!</v>
      </c>
      <c r="Y61" s="70" t="e">
        <f t="shared" ca="1" si="11"/>
        <v>#VALUE!</v>
      </c>
      <c r="Z61" s="71" t="e">
        <f t="shared" ca="1" si="12"/>
        <v>#VALUE!</v>
      </c>
      <c r="AA61" s="72" t="e">
        <f t="shared" ca="1" si="13"/>
        <v>#VALUE!</v>
      </c>
      <c r="AB61" s="72" t="e">
        <f t="shared" ca="1" si="14"/>
        <v>#VALUE!</v>
      </c>
      <c r="AC61" s="72" t="e">
        <f t="shared" ca="1" si="15"/>
        <v>#VALUE!</v>
      </c>
      <c r="AD61" s="73" t="e">
        <f t="shared" ca="1" si="16"/>
        <v>#VALUE!</v>
      </c>
      <c r="AE61" s="19" t="e">
        <f t="shared" ca="1" si="17"/>
        <v>#VALUE!</v>
      </c>
      <c r="AF61" s="74" t="str">
        <f t="shared" ca="1" si="18"/>
        <v>Below D1 Low</v>
      </c>
      <c r="AG61" s="17" t="str">
        <f t="shared" ca="1" si="19"/>
        <v>Sell</v>
      </c>
      <c r="AH61" s="17" t="str">
        <f t="shared" ca="1" si="20"/>
        <v>SELL</v>
      </c>
      <c r="AI61" s="75">
        <f ca="1">IFERROR(__xludf.DUMMYFUNCTION("AVERAGE.WEIGHTED((G61+H61+B61)/3, I61)"),501.033333333333)</f>
        <v>501.03333333333302</v>
      </c>
      <c r="AJ61" s="75" t="str">
        <f ca="1">IFERROR(__xludf.DUMMYFUNCTION("AVERAGE.WEIGHTED((K61+L61+J61)/3, N61)"),"#N/A")</f>
        <v>#N/A</v>
      </c>
      <c r="AK61" s="75" t="str">
        <f t="shared" ca="1" si="21"/>
        <v>SELL</v>
      </c>
      <c r="AL61" s="31"/>
      <c r="AM61" s="31"/>
      <c r="AN61" s="31"/>
      <c r="AO61" s="31"/>
      <c r="AP61" s="31"/>
      <c r="AQ61" s="31"/>
      <c r="AR61" s="31"/>
    </row>
    <row r="62" spans="1:44" ht="15.75" customHeight="1">
      <c r="A62" s="61" t="s">
        <v>120</v>
      </c>
      <c r="B62" s="62">
        <f ca="1">IFERROR(__xludf.DUMMYFUNCTION("googlefinance(""nse:""&amp;A62,""price"")"),2153)</f>
        <v>2153</v>
      </c>
      <c r="C62" s="63">
        <f t="shared" ca="1" si="0"/>
        <v>0</v>
      </c>
      <c r="D62" s="63">
        <f ca="1">IFERROR(__xludf.DUMMYFUNCTION("googlefinance(""nse:""&amp;A62,""changepct"")"),9.28)</f>
        <v>9.2799999999999994</v>
      </c>
      <c r="E62" s="63">
        <f ca="1">IFERROR(__xludf.DUMMYFUNCTION("googlefinance(""nse:""&amp;A62,""change"")"),182.75)</f>
        <v>182.75</v>
      </c>
      <c r="F62" s="63">
        <f ca="1">IFERROR(__xludf.DUMMYFUNCTION("googlefinance(""nse:""&amp;A62,""priceopen"")"),2017.1)</f>
        <v>2017.1</v>
      </c>
      <c r="G62" s="63">
        <f ca="1">IFERROR(__xludf.DUMMYFUNCTION("googlefinance(""nse:""&amp;A62,""HIGH"")"),2198.1)</f>
        <v>2198.1</v>
      </c>
      <c r="H62" s="63">
        <f ca="1">IFERROR(__xludf.DUMMYFUNCTION("googlefinance(""nse:""&amp;A62,""LOW"")"),1975)</f>
        <v>1975</v>
      </c>
      <c r="I62" s="63">
        <f ca="1">IFERROR(__xludf.DUMMYFUNCTION("googlefinance(""nse:""&amp;A62,""VOLUME"")"),2786594)</f>
        <v>2786594</v>
      </c>
      <c r="J62" s="63">
        <f ca="1">IFERROR(__xludf.DUMMYFUNCTION("googlefinance(""nse:""&amp;A62,""closeyest"")"),1970.25)</f>
        <v>1970.25</v>
      </c>
      <c r="K62" s="65" t="str">
        <f ca="1">IFERROR(__xludf.DUMMYFUNCTION("INDEX( GoogleFinance( ""NSE:""&amp;A62 , ""all"" , TODAY()-4) , 2, 3)"),"#N/A")</f>
        <v>#N/A</v>
      </c>
      <c r="L62" s="66" t="str">
        <f ca="1">IFERROR(__xludf.DUMMYFUNCTION("INDEX( GoogleFinance(""NSE:""&amp;A62 , ""all"" , TODAY()-4 ) , 2, 4)"),"#N/A")</f>
        <v>#N/A</v>
      </c>
      <c r="M62" s="67" t="str">
        <f ca="1">IFERROR(__xludf.DUMMYFUNCTION("INDEX( GoogleFinance( ""NSE:""&amp;A62 , ""all"" , TODAY()-4) , 2, 2)"),"#N/A")</f>
        <v>#N/A</v>
      </c>
      <c r="N62" s="68" t="str">
        <f ca="1">IFERROR(__xludf.DUMMYFUNCTION("INDEX( GoogleFinance( ""NSE:""&amp;A62 , ""all"" , TODAY()-4) , 2, 6)"),"#N/A")</f>
        <v>#N/A</v>
      </c>
      <c r="O62" s="69" t="str">
        <f t="shared" ca="1" si="1"/>
        <v/>
      </c>
      <c r="P62" s="69" t="e">
        <f t="shared" ca="1" si="2"/>
        <v>#VALUE!</v>
      </c>
      <c r="Q62" s="69" t="e">
        <f t="shared" ca="1" si="3"/>
        <v>#VALUE!</v>
      </c>
      <c r="R62" s="69" t="e">
        <f t="shared" ca="1" si="23"/>
        <v>#VALUE!</v>
      </c>
      <c r="S62" s="69" t="e">
        <f t="shared" ca="1" si="5"/>
        <v>#VALUE!</v>
      </c>
      <c r="T62" s="69" t="e">
        <f t="shared" ca="1" si="6"/>
        <v>#VALUE!</v>
      </c>
      <c r="U62" s="69" t="e">
        <f t="shared" ca="1" si="24"/>
        <v>#VALUE!</v>
      </c>
      <c r="V62" s="69" t="e">
        <f t="shared" ca="1" si="25"/>
        <v>#VALUE!</v>
      </c>
      <c r="W62" s="70" t="str">
        <f t="shared" ca="1" si="9"/>
        <v/>
      </c>
      <c r="X62" s="70" t="e">
        <f t="shared" ca="1" si="10"/>
        <v>#VALUE!</v>
      </c>
      <c r="Y62" s="70" t="e">
        <f t="shared" ca="1" si="11"/>
        <v>#VALUE!</v>
      </c>
      <c r="Z62" s="71" t="e">
        <f t="shared" ca="1" si="12"/>
        <v>#VALUE!</v>
      </c>
      <c r="AA62" s="72" t="e">
        <f t="shared" ca="1" si="13"/>
        <v>#VALUE!</v>
      </c>
      <c r="AB62" s="72" t="e">
        <f t="shared" ca="1" si="14"/>
        <v>#VALUE!</v>
      </c>
      <c r="AC62" s="72" t="e">
        <f t="shared" ca="1" si="15"/>
        <v>#VALUE!</v>
      </c>
      <c r="AD62" s="73" t="e">
        <f t="shared" ca="1" si="16"/>
        <v>#VALUE!</v>
      </c>
      <c r="AE62" s="19" t="e">
        <f t="shared" ca="1" si="17"/>
        <v>#VALUE!</v>
      </c>
      <c r="AF62" s="74" t="str">
        <f t="shared" ca="1" si="18"/>
        <v>Below D1 Low</v>
      </c>
      <c r="AG62" s="17" t="str">
        <f t="shared" ca="1" si="19"/>
        <v>Sell</v>
      </c>
      <c r="AH62" s="17" t="str">
        <f t="shared" ca="1" si="20"/>
        <v>SELL</v>
      </c>
      <c r="AI62" s="75">
        <f ca="1">IFERROR(__xludf.DUMMYFUNCTION("AVERAGE.WEIGHTED((G62+H62+B62)/3, I62)"),2108.7)</f>
        <v>2108.6999999999998</v>
      </c>
      <c r="AJ62" s="75" t="str">
        <f ca="1">IFERROR(__xludf.DUMMYFUNCTION("AVERAGE.WEIGHTED((K62+L62+J62)/3, N62)"),"#N/A")</f>
        <v>#N/A</v>
      </c>
      <c r="AK62" s="75" t="str">
        <f t="shared" ca="1" si="21"/>
        <v>SELL</v>
      </c>
      <c r="AL62" s="31"/>
      <c r="AM62" s="31"/>
      <c r="AN62" s="31"/>
      <c r="AO62" s="31"/>
      <c r="AP62" s="31"/>
      <c r="AQ62" s="31"/>
      <c r="AR62" s="31"/>
    </row>
    <row r="63" spans="1:44" ht="15.75" customHeight="1">
      <c r="A63" s="61" t="s">
        <v>122</v>
      </c>
      <c r="B63" s="62">
        <f ca="1">IFERROR(__xludf.DUMMYFUNCTION("googlefinance(""nse:""&amp;A63,""price"")"),130)</f>
        <v>130</v>
      </c>
      <c r="C63" s="63">
        <f t="shared" ca="1" si="0"/>
        <v>0</v>
      </c>
      <c r="D63" s="63">
        <f ca="1">IFERROR(__xludf.DUMMYFUNCTION("googlefinance(""nse:""&amp;A63,""changepct"")"),11.78)</f>
        <v>11.78</v>
      </c>
      <c r="E63" s="63">
        <f ca="1">IFERROR(__xludf.DUMMYFUNCTION("googlefinance(""nse:""&amp;A63,""change"")"),13.7)</f>
        <v>13.7</v>
      </c>
      <c r="F63" s="63">
        <f ca="1">IFERROR(__xludf.DUMMYFUNCTION("googlefinance(""nse:""&amp;A63,""priceopen"")"),120)</f>
        <v>120</v>
      </c>
      <c r="G63" s="63">
        <f ca="1">IFERROR(__xludf.DUMMYFUNCTION("googlefinance(""nse:""&amp;A63,""HIGH"")"),132.2)</f>
        <v>132.19999999999999</v>
      </c>
      <c r="H63" s="63">
        <f ca="1">IFERROR(__xludf.DUMMYFUNCTION("googlefinance(""nse:""&amp;A63,""LOW"")"),119.5)</f>
        <v>119.5</v>
      </c>
      <c r="I63" s="63">
        <f ca="1">IFERROR(__xludf.DUMMYFUNCTION("googlefinance(""nse:""&amp;A63,""VOLUME"")"),45993743)</f>
        <v>45993743</v>
      </c>
      <c r="J63" s="63">
        <f ca="1">IFERROR(__xludf.DUMMYFUNCTION("googlefinance(""nse:""&amp;A63,""closeyest"")"),116.3)</f>
        <v>116.3</v>
      </c>
      <c r="K63" s="65" t="str">
        <f ca="1">IFERROR(__xludf.DUMMYFUNCTION("INDEX( GoogleFinance( ""NSE:""&amp;A63 , ""all"" , TODAY()-4) , 2, 3)"),"#N/A")</f>
        <v>#N/A</v>
      </c>
      <c r="L63" s="66" t="str">
        <f ca="1">IFERROR(__xludf.DUMMYFUNCTION("INDEX( GoogleFinance(""NSE:""&amp;A63 , ""all"" , TODAY()-4 ) , 2, 4)"),"#N/A")</f>
        <v>#N/A</v>
      </c>
      <c r="M63" s="67" t="str">
        <f ca="1">IFERROR(__xludf.DUMMYFUNCTION("INDEX( GoogleFinance( ""NSE:""&amp;A63 , ""all"" , TODAY()-4) , 2, 2)"),"#N/A")</f>
        <v>#N/A</v>
      </c>
      <c r="N63" s="68" t="str">
        <f ca="1">IFERROR(__xludf.DUMMYFUNCTION("INDEX( GoogleFinance( ""NSE:""&amp;A63 , ""all"" , TODAY()-4) , 2, 6)"),"#N/A")</f>
        <v>#N/A</v>
      </c>
      <c r="O63" s="69" t="str">
        <f t="shared" ca="1" si="1"/>
        <v/>
      </c>
      <c r="P63" s="69" t="e">
        <f t="shared" ca="1" si="2"/>
        <v>#VALUE!</v>
      </c>
      <c r="Q63" s="69" t="e">
        <f t="shared" ca="1" si="3"/>
        <v>#VALUE!</v>
      </c>
      <c r="R63" s="69" t="e">
        <f t="shared" ca="1" si="23"/>
        <v>#VALUE!</v>
      </c>
      <c r="S63" s="69" t="e">
        <f t="shared" ca="1" si="5"/>
        <v>#VALUE!</v>
      </c>
      <c r="T63" s="69" t="e">
        <f t="shared" ca="1" si="6"/>
        <v>#VALUE!</v>
      </c>
      <c r="U63" s="69" t="e">
        <f t="shared" ca="1" si="24"/>
        <v>#VALUE!</v>
      </c>
      <c r="V63" s="69" t="e">
        <f t="shared" ca="1" si="25"/>
        <v>#VALUE!</v>
      </c>
      <c r="W63" s="70" t="str">
        <f t="shared" ca="1" si="9"/>
        <v/>
      </c>
      <c r="X63" s="70" t="e">
        <f t="shared" ca="1" si="10"/>
        <v>#VALUE!</v>
      </c>
      <c r="Y63" s="70" t="e">
        <f t="shared" ca="1" si="11"/>
        <v>#VALUE!</v>
      </c>
      <c r="Z63" s="71" t="e">
        <f t="shared" ca="1" si="12"/>
        <v>#VALUE!</v>
      </c>
      <c r="AA63" s="72" t="e">
        <f t="shared" ca="1" si="13"/>
        <v>#VALUE!</v>
      </c>
      <c r="AB63" s="72" t="e">
        <f t="shared" ca="1" si="14"/>
        <v>#VALUE!</v>
      </c>
      <c r="AC63" s="72" t="e">
        <f t="shared" ca="1" si="15"/>
        <v>#VALUE!</v>
      </c>
      <c r="AD63" s="73" t="e">
        <f t="shared" ca="1" si="16"/>
        <v>#VALUE!</v>
      </c>
      <c r="AE63" s="19" t="e">
        <f t="shared" ca="1" si="17"/>
        <v>#VALUE!</v>
      </c>
      <c r="AF63" s="74" t="str">
        <f t="shared" ca="1" si="18"/>
        <v>Below D1 Low</v>
      </c>
      <c r="AG63" s="17" t="str">
        <f t="shared" ca="1" si="19"/>
        <v>Sell</v>
      </c>
      <c r="AH63" s="17" t="str">
        <f t="shared" ca="1" si="20"/>
        <v>SELL</v>
      </c>
      <c r="AI63" s="75">
        <f ca="1">IFERROR(__xludf.DUMMYFUNCTION("AVERAGE.WEIGHTED((G63+H63+B63)/3, I63)"),127.233333333333)</f>
        <v>127.23333333333299</v>
      </c>
      <c r="AJ63" s="75" t="str">
        <f ca="1">IFERROR(__xludf.DUMMYFUNCTION("AVERAGE.WEIGHTED((K63+L63+J63)/3, N63)"),"#N/A")</f>
        <v>#N/A</v>
      </c>
      <c r="AK63" s="75" t="str">
        <f t="shared" ca="1" si="21"/>
        <v>SELL</v>
      </c>
      <c r="AL63" s="31"/>
      <c r="AM63" s="31"/>
      <c r="AN63" s="31"/>
      <c r="AO63" s="31"/>
      <c r="AP63" s="31"/>
      <c r="AQ63" s="31"/>
      <c r="AR63" s="31"/>
    </row>
    <row r="64" spans="1:44" ht="15.75" customHeight="1">
      <c r="A64" s="61" t="s">
        <v>123</v>
      </c>
      <c r="B64" s="62">
        <f ca="1">IFERROR(__xludf.DUMMYFUNCTION("googlefinance(""nse:""&amp;A64,""price"")"),219.35)</f>
        <v>219.35</v>
      </c>
      <c r="C64" s="63">
        <f t="shared" ca="1" si="0"/>
        <v>0</v>
      </c>
      <c r="D64" s="63">
        <f ca="1">IFERROR(__xludf.DUMMYFUNCTION("googlefinance(""nse:""&amp;A64,""changepct"")"),5.28)</f>
        <v>5.28</v>
      </c>
      <c r="E64" s="63">
        <f ca="1">IFERROR(__xludf.DUMMYFUNCTION("googlefinance(""nse:""&amp;A64,""change"")"),11)</f>
        <v>11</v>
      </c>
      <c r="F64" s="63">
        <f ca="1">IFERROR(__xludf.DUMMYFUNCTION("googlefinance(""nse:""&amp;A64,""priceopen"")"),211.05)</f>
        <v>211.05</v>
      </c>
      <c r="G64" s="63">
        <f ca="1">IFERROR(__xludf.DUMMYFUNCTION("googlefinance(""nse:""&amp;A64,""HIGH"")"),224.4)</f>
        <v>224.4</v>
      </c>
      <c r="H64" s="63">
        <f ca="1">IFERROR(__xludf.DUMMYFUNCTION("googlefinance(""nse:""&amp;A64,""LOW"")"),206.7)</f>
        <v>206.7</v>
      </c>
      <c r="I64" s="63">
        <f ca="1">IFERROR(__xludf.DUMMYFUNCTION("googlefinance(""nse:""&amp;A64,""VOLUME"")"),10064082)</f>
        <v>10064082</v>
      </c>
      <c r="J64" s="63">
        <f ca="1">IFERROR(__xludf.DUMMYFUNCTION("googlefinance(""nse:""&amp;A64,""closeyest"")"),208.35)</f>
        <v>208.35</v>
      </c>
      <c r="K64" s="65" t="str">
        <f ca="1">IFERROR(__xludf.DUMMYFUNCTION("INDEX( GoogleFinance( ""NSE:""&amp;A64 , ""all"" , TODAY()-4) , 2, 3)"),"#N/A")</f>
        <v>#N/A</v>
      </c>
      <c r="L64" s="66" t="str">
        <f ca="1">IFERROR(__xludf.DUMMYFUNCTION("INDEX( GoogleFinance(""NSE:""&amp;A64 , ""all"" , TODAY()-4 ) , 2, 4)"),"#N/A")</f>
        <v>#N/A</v>
      </c>
      <c r="M64" s="67" t="str">
        <f ca="1">IFERROR(__xludf.DUMMYFUNCTION("INDEX( GoogleFinance( ""NSE:""&amp;A64 , ""all"" , TODAY()-4) , 2, 2)"),"#N/A")</f>
        <v>#N/A</v>
      </c>
      <c r="N64" s="68" t="str">
        <f ca="1">IFERROR(__xludf.DUMMYFUNCTION("INDEX( GoogleFinance( ""NSE:""&amp;A64 , ""all"" , TODAY()-4) , 2, 6)"),"#N/A")</f>
        <v>#N/A</v>
      </c>
      <c r="O64" s="69" t="str">
        <f t="shared" ca="1" si="1"/>
        <v/>
      </c>
      <c r="P64" s="69" t="e">
        <f t="shared" ca="1" si="2"/>
        <v>#VALUE!</v>
      </c>
      <c r="Q64" s="69" t="e">
        <f t="shared" ca="1" si="3"/>
        <v>#VALUE!</v>
      </c>
      <c r="R64" s="69" t="e">
        <f t="shared" ca="1" si="23"/>
        <v>#VALUE!</v>
      </c>
      <c r="S64" s="69" t="e">
        <f t="shared" ca="1" si="5"/>
        <v>#VALUE!</v>
      </c>
      <c r="T64" s="69" t="e">
        <f t="shared" ca="1" si="6"/>
        <v>#VALUE!</v>
      </c>
      <c r="U64" s="69" t="e">
        <f t="shared" ca="1" si="24"/>
        <v>#VALUE!</v>
      </c>
      <c r="V64" s="69" t="e">
        <f t="shared" ca="1" si="25"/>
        <v>#VALUE!</v>
      </c>
      <c r="W64" s="70" t="str">
        <f t="shared" ca="1" si="9"/>
        <v/>
      </c>
      <c r="X64" s="70" t="e">
        <f t="shared" ca="1" si="10"/>
        <v>#VALUE!</v>
      </c>
      <c r="Y64" s="70" t="e">
        <f t="shared" ca="1" si="11"/>
        <v>#VALUE!</v>
      </c>
      <c r="Z64" s="71" t="e">
        <f t="shared" ca="1" si="12"/>
        <v>#VALUE!</v>
      </c>
      <c r="AA64" s="72" t="e">
        <f t="shared" ca="1" si="13"/>
        <v>#VALUE!</v>
      </c>
      <c r="AB64" s="72" t="e">
        <f t="shared" ca="1" si="14"/>
        <v>#VALUE!</v>
      </c>
      <c r="AC64" s="72" t="e">
        <f t="shared" ca="1" si="15"/>
        <v>#VALUE!</v>
      </c>
      <c r="AD64" s="73" t="e">
        <f t="shared" ca="1" si="16"/>
        <v>#VALUE!</v>
      </c>
      <c r="AE64" s="19" t="e">
        <f t="shared" ca="1" si="17"/>
        <v>#VALUE!</v>
      </c>
      <c r="AF64" s="74" t="str">
        <f t="shared" ca="1" si="18"/>
        <v>Below D1 Low</v>
      </c>
      <c r="AG64" s="17" t="str">
        <f t="shared" ca="1" si="19"/>
        <v>Sell</v>
      </c>
      <c r="AH64" s="17" t="str">
        <f t="shared" ca="1" si="20"/>
        <v>SELL</v>
      </c>
      <c r="AI64" s="75">
        <f ca="1">IFERROR(__xludf.DUMMYFUNCTION("AVERAGE.WEIGHTED((G64+H64+B64)/3, I64)"),216.816666666666)</f>
        <v>216.81666666666601</v>
      </c>
      <c r="AJ64" s="75" t="str">
        <f ca="1">IFERROR(__xludf.DUMMYFUNCTION("AVERAGE.WEIGHTED((K64+L64+J64)/3, N64)"),"#N/A")</f>
        <v>#N/A</v>
      </c>
      <c r="AK64" s="75" t="str">
        <f t="shared" ca="1" si="21"/>
        <v>SELL</v>
      </c>
      <c r="AL64" s="31"/>
      <c r="AM64" s="31"/>
      <c r="AN64" s="31"/>
      <c r="AO64" s="31"/>
      <c r="AP64" s="31"/>
      <c r="AQ64" s="31"/>
      <c r="AR64" s="31"/>
    </row>
    <row r="65" spans="1:44" ht="15.75" customHeight="1">
      <c r="A65" s="61" t="s">
        <v>126</v>
      </c>
      <c r="B65" s="62">
        <f ca="1">IFERROR(__xludf.DUMMYFUNCTION("googlefinance(""nse:""&amp;A65,""price"")"),2205)</f>
        <v>2205</v>
      </c>
      <c r="C65" s="63" t="str">
        <f t="shared" ca="1" si="0"/>
        <v>SELL</v>
      </c>
      <c r="D65" s="63">
        <f ca="1">IFERROR(__xludf.DUMMYFUNCTION("googlefinance(""nse:""&amp;A65,""changepct"")"),-1.2)</f>
        <v>-1.2</v>
      </c>
      <c r="E65" s="63">
        <f ca="1">IFERROR(__xludf.DUMMYFUNCTION("googlefinance(""nse:""&amp;A65,""change"")"),-26.75)</f>
        <v>-26.75</v>
      </c>
      <c r="F65" s="63">
        <f ca="1">IFERROR(__xludf.DUMMYFUNCTION("googlefinance(""nse:""&amp;A65,""priceopen"")"),2272)</f>
        <v>2272</v>
      </c>
      <c r="G65" s="63">
        <f ca="1">IFERROR(__xludf.DUMMYFUNCTION("googlefinance(""nse:""&amp;A65,""HIGH"")"),2272)</f>
        <v>2272</v>
      </c>
      <c r="H65" s="63">
        <f ca="1">IFERROR(__xludf.DUMMYFUNCTION("googlefinance(""nse:""&amp;A65,""LOW"")"),2160)</f>
        <v>2160</v>
      </c>
      <c r="I65" s="63">
        <f ca="1">IFERROR(__xludf.DUMMYFUNCTION("googlefinance(""nse:""&amp;A65,""VOLUME"")"),8448104)</f>
        <v>8448104</v>
      </c>
      <c r="J65" s="63">
        <f ca="1">IFERROR(__xludf.DUMMYFUNCTION("googlefinance(""nse:""&amp;A65,""closeyest"")"),2231.75)</f>
        <v>2231.75</v>
      </c>
      <c r="K65" s="65" t="str">
        <f ca="1">IFERROR(__xludf.DUMMYFUNCTION("INDEX( GoogleFinance( ""NSE:""&amp;A65 , ""all"" , TODAY()-4) , 2, 3)"),"#N/A")</f>
        <v>#N/A</v>
      </c>
      <c r="L65" s="66" t="str">
        <f ca="1">IFERROR(__xludf.DUMMYFUNCTION("INDEX( GoogleFinance(""NSE:""&amp;A65 , ""all"" , TODAY()-4 ) , 2, 4)"),"#N/A")</f>
        <v>#N/A</v>
      </c>
      <c r="M65" s="67" t="str">
        <f ca="1">IFERROR(__xludf.DUMMYFUNCTION("INDEX( GoogleFinance( ""NSE:""&amp;A65 , ""all"" , TODAY()-4) , 2, 2)"),"#N/A")</f>
        <v>#N/A</v>
      </c>
      <c r="N65" s="68" t="str">
        <f ca="1">IFERROR(__xludf.DUMMYFUNCTION("INDEX( GoogleFinance( ""NSE:""&amp;A65 , ""all"" , TODAY()-4) , 2, 6)"),"#N/A")</f>
        <v>#N/A</v>
      </c>
      <c r="O65" s="69" t="str">
        <f t="shared" ca="1" si="1"/>
        <v/>
      </c>
      <c r="P65" s="69" t="e">
        <f t="shared" ca="1" si="2"/>
        <v>#VALUE!</v>
      </c>
      <c r="Q65" s="69" t="e">
        <f t="shared" ca="1" si="3"/>
        <v>#VALUE!</v>
      </c>
      <c r="R65" s="69" t="e">
        <f t="shared" ca="1" si="23"/>
        <v>#VALUE!</v>
      </c>
      <c r="S65" s="69" t="e">
        <f t="shared" ca="1" si="5"/>
        <v>#VALUE!</v>
      </c>
      <c r="T65" s="69" t="e">
        <f t="shared" ca="1" si="6"/>
        <v>#VALUE!</v>
      </c>
      <c r="U65" s="69" t="e">
        <f t="shared" ca="1" si="24"/>
        <v>#VALUE!</v>
      </c>
      <c r="V65" s="69" t="e">
        <f t="shared" ca="1" si="25"/>
        <v>#VALUE!</v>
      </c>
      <c r="W65" s="70" t="str">
        <f t="shared" ca="1" si="9"/>
        <v/>
      </c>
      <c r="X65" s="70" t="e">
        <f t="shared" ca="1" si="10"/>
        <v>#VALUE!</v>
      </c>
      <c r="Y65" s="70" t="e">
        <f t="shared" ca="1" si="11"/>
        <v>#VALUE!</v>
      </c>
      <c r="Z65" s="71" t="e">
        <f t="shared" ca="1" si="12"/>
        <v>#VALUE!</v>
      </c>
      <c r="AA65" s="72" t="e">
        <f t="shared" ca="1" si="13"/>
        <v>#VALUE!</v>
      </c>
      <c r="AB65" s="72" t="e">
        <f t="shared" ca="1" si="14"/>
        <v>#VALUE!</v>
      </c>
      <c r="AC65" s="72" t="e">
        <f t="shared" ca="1" si="15"/>
        <v>#VALUE!</v>
      </c>
      <c r="AD65" s="73" t="e">
        <f t="shared" ca="1" si="16"/>
        <v>#VALUE!</v>
      </c>
      <c r="AE65" s="19" t="e">
        <f t="shared" ca="1" si="17"/>
        <v>#VALUE!</v>
      </c>
      <c r="AF65" s="74" t="str">
        <f t="shared" ca="1" si="18"/>
        <v>Below D1 Low</v>
      </c>
      <c r="AG65" s="17" t="str">
        <f t="shared" ca="1" si="19"/>
        <v>Sell</v>
      </c>
      <c r="AH65" s="17" t="str">
        <f t="shared" ca="1" si="20"/>
        <v>SELL</v>
      </c>
      <c r="AI65" s="75">
        <f ca="1">IFERROR(__xludf.DUMMYFUNCTION("AVERAGE.WEIGHTED((G65+H65+B65)/3, I65)"),2212.33333333333)</f>
        <v>2212.3333333333298</v>
      </c>
      <c r="AJ65" s="75" t="str">
        <f ca="1">IFERROR(__xludf.DUMMYFUNCTION("AVERAGE.WEIGHTED((K65+L65+J65)/3, N65)"),"#N/A")</f>
        <v>#N/A</v>
      </c>
      <c r="AK65" s="75" t="str">
        <f t="shared" ca="1" si="21"/>
        <v>SELL</v>
      </c>
      <c r="AL65" s="31"/>
      <c r="AM65" s="31"/>
      <c r="AN65" s="31"/>
      <c r="AO65" s="31"/>
      <c r="AP65" s="31"/>
      <c r="AQ65" s="31"/>
      <c r="AR65" s="31"/>
    </row>
    <row r="66" spans="1:44" ht="15.75" customHeight="1">
      <c r="A66" s="61" t="s">
        <v>127</v>
      </c>
      <c r="B66" s="62">
        <f ca="1">IFERROR(__xludf.DUMMYFUNCTION("googlefinance(""nse:""&amp;A66,""price"")"),133.5)</f>
        <v>133.5</v>
      </c>
      <c r="C66" s="63">
        <f t="shared" ca="1" si="0"/>
        <v>0</v>
      </c>
      <c r="D66" s="63">
        <f ca="1">IFERROR(__xludf.DUMMYFUNCTION("googlefinance(""nse:""&amp;A66,""changepct"")"),5.2)</f>
        <v>5.2</v>
      </c>
      <c r="E66" s="63">
        <f ca="1">IFERROR(__xludf.DUMMYFUNCTION("googlefinance(""nse:""&amp;A66,""change"")"),6.6)</f>
        <v>6.6</v>
      </c>
      <c r="F66" s="63">
        <f ca="1">IFERROR(__xludf.DUMMYFUNCTION("googlefinance(""nse:""&amp;A66,""priceopen"")"),130.7)</f>
        <v>130.69999999999999</v>
      </c>
      <c r="G66" s="63">
        <f ca="1">IFERROR(__xludf.DUMMYFUNCTION("googlefinance(""nse:""&amp;A66,""HIGH"")"),134.9)</f>
        <v>134.9</v>
      </c>
      <c r="H66" s="63">
        <f ca="1">IFERROR(__xludf.DUMMYFUNCTION("googlefinance(""nse:""&amp;A66,""LOW"")"),127.4)</f>
        <v>127.4</v>
      </c>
      <c r="I66" s="63">
        <f ca="1">IFERROR(__xludf.DUMMYFUNCTION("googlefinance(""nse:""&amp;A66,""VOLUME"")"),30143670)</f>
        <v>30143670</v>
      </c>
      <c r="J66" s="63">
        <f ca="1">IFERROR(__xludf.DUMMYFUNCTION("googlefinance(""nse:""&amp;A66,""closeyest"")"),126.9)</f>
        <v>126.9</v>
      </c>
      <c r="K66" s="65" t="str">
        <f ca="1">IFERROR(__xludf.DUMMYFUNCTION("INDEX( GoogleFinance( ""NSE:""&amp;A66 , ""all"" , TODAY()-4) , 2, 3)"),"#N/A")</f>
        <v>#N/A</v>
      </c>
      <c r="L66" s="66" t="str">
        <f ca="1">IFERROR(__xludf.DUMMYFUNCTION("INDEX( GoogleFinance(""NSE:""&amp;A66 , ""all"" , TODAY()-4 ) , 2, 4)"),"#N/A")</f>
        <v>#N/A</v>
      </c>
      <c r="M66" s="67" t="str">
        <f ca="1">IFERROR(__xludf.DUMMYFUNCTION("INDEX( GoogleFinance( ""NSE:""&amp;A66 , ""all"" , TODAY()-4) , 2, 2)"),"#N/A")</f>
        <v>#N/A</v>
      </c>
      <c r="N66" s="68" t="str">
        <f ca="1">IFERROR(__xludf.DUMMYFUNCTION("INDEX( GoogleFinance( ""NSE:""&amp;A66 , ""all"" , TODAY()-4) , 2, 6)"),"#N/A")</f>
        <v>#N/A</v>
      </c>
      <c r="O66" s="69" t="str">
        <f t="shared" ca="1" si="1"/>
        <v/>
      </c>
      <c r="P66" s="69" t="e">
        <f t="shared" ca="1" si="2"/>
        <v>#VALUE!</v>
      </c>
      <c r="Q66" s="69" t="e">
        <f t="shared" ca="1" si="3"/>
        <v>#VALUE!</v>
      </c>
      <c r="R66" s="69" t="e">
        <f t="shared" ca="1" si="23"/>
        <v>#VALUE!</v>
      </c>
      <c r="S66" s="69" t="e">
        <f t="shared" ca="1" si="5"/>
        <v>#VALUE!</v>
      </c>
      <c r="T66" s="69" t="e">
        <f t="shared" ca="1" si="6"/>
        <v>#VALUE!</v>
      </c>
      <c r="U66" s="69" t="e">
        <f t="shared" ca="1" si="24"/>
        <v>#VALUE!</v>
      </c>
      <c r="V66" s="69" t="e">
        <f t="shared" ca="1" si="25"/>
        <v>#VALUE!</v>
      </c>
      <c r="W66" s="70" t="str">
        <f t="shared" ca="1" si="9"/>
        <v/>
      </c>
      <c r="X66" s="70" t="e">
        <f t="shared" ca="1" si="10"/>
        <v>#VALUE!</v>
      </c>
      <c r="Y66" s="70" t="e">
        <f t="shared" ca="1" si="11"/>
        <v>#VALUE!</v>
      </c>
      <c r="Z66" s="71" t="e">
        <f t="shared" ca="1" si="12"/>
        <v>#VALUE!</v>
      </c>
      <c r="AA66" s="72" t="e">
        <f t="shared" ca="1" si="13"/>
        <v>#VALUE!</v>
      </c>
      <c r="AB66" s="72" t="e">
        <f t="shared" ca="1" si="14"/>
        <v>#VALUE!</v>
      </c>
      <c r="AC66" s="72" t="e">
        <f t="shared" ca="1" si="15"/>
        <v>#VALUE!</v>
      </c>
      <c r="AD66" s="73" t="e">
        <f t="shared" ca="1" si="16"/>
        <v>#VALUE!</v>
      </c>
      <c r="AE66" s="19" t="e">
        <f t="shared" ca="1" si="17"/>
        <v>#VALUE!</v>
      </c>
      <c r="AF66" s="74" t="str">
        <f t="shared" ca="1" si="18"/>
        <v>Below D1 Low</v>
      </c>
      <c r="AG66" s="17" t="str">
        <f t="shared" ca="1" si="19"/>
        <v>Sell</v>
      </c>
      <c r="AH66" s="17" t="str">
        <f t="shared" ca="1" si="20"/>
        <v>SELL</v>
      </c>
      <c r="AI66" s="75">
        <f ca="1">IFERROR(__xludf.DUMMYFUNCTION("AVERAGE.WEIGHTED((G66+H66+B66)/3, I66)"),131.933333333333)</f>
        <v>131.933333333333</v>
      </c>
      <c r="AJ66" s="75" t="str">
        <f ca="1">IFERROR(__xludf.DUMMYFUNCTION("AVERAGE.WEIGHTED((K66+L66+J66)/3, N66)"),"#N/A")</f>
        <v>#N/A</v>
      </c>
      <c r="AK66" s="75" t="str">
        <f t="shared" ca="1" si="21"/>
        <v>SELL</v>
      </c>
      <c r="AL66" s="31"/>
      <c r="AM66" s="31"/>
      <c r="AN66" s="31"/>
      <c r="AO66" s="31"/>
      <c r="AP66" s="31"/>
      <c r="AQ66" s="31"/>
      <c r="AR66" s="31"/>
    </row>
    <row r="67" spans="1:44" ht="15.75" customHeight="1">
      <c r="A67" s="61" t="s">
        <v>129</v>
      </c>
      <c r="B67" s="62">
        <f ca="1">IFERROR(__xludf.DUMMYFUNCTION("googlefinance(""nse:""&amp;A67,""price"")"),377.7)</f>
        <v>377.7</v>
      </c>
      <c r="C67" s="63">
        <f t="shared" ca="1" si="0"/>
        <v>0</v>
      </c>
      <c r="D67" s="63">
        <f ca="1">IFERROR(__xludf.DUMMYFUNCTION("googlefinance(""nse:""&amp;A67,""changepct"")"),1.96)</f>
        <v>1.96</v>
      </c>
      <c r="E67" s="63">
        <f ca="1">IFERROR(__xludf.DUMMYFUNCTION("googlefinance(""nse:""&amp;A67,""change"")"),7.25)</f>
        <v>7.25</v>
      </c>
      <c r="F67" s="63">
        <f ca="1">IFERROR(__xludf.DUMMYFUNCTION("googlefinance(""nse:""&amp;A67,""priceopen"")"),382)</f>
        <v>382</v>
      </c>
      <c r="G67" s="63">
        <f ca="1">IFERROR(__xludf.DUMMYFUNCTION("googlefinance(""nse:""&amp;A67,""HIGH"")"),392.95)</f>
        <v>392.95</v>
      </c>
      <c r="H67" s="63">
        <f ca="1">IFERROR(__xludf.DUMMYFUNCTION("googlefinance(""nse:""&amp;A67,""LOW"")"),374.15)</f>
        <v>374.15</v>
      </c>
      <c r="I67" s="63">
        <f ca="1">IFERROR(__xludf.DUMMYFUNCTION("googlefinance(""nse:""&amp;A67,""VOLUME"")"),45735197)</f>
        <v>45735197</v>
      </c>
      <c r="J67" s="63">
        <f ca="1">IFERROR(__xludf.DUMMYFUNCTION("googlefinance(""nse:""&amp;A67,""closeyest"")"),370.45)</f>
        <v>370.45</v>
      </c>
      <c r="K67" s="65" t="str">
        <f ca="1">IFERROR(__xludf.DUMMYFUNCTION("INDEX( GoogleFinance( ""NSE:""&amp;A67 , ""all"" , TODAY()-4) , 2, 3)"),"#N/A")</f>
        <v>#N/A</v>
      </c>
      <c r="L67" s="66" t="str">
        <f ca="1">IFERROR(__xludf.DUMMYFUNCTION("INDEX( GoogleFinance(""NSE:""&amp;A67 , ""all"" , TODAY()-4 ) , 2, 4)"),"#N/A")</f>
        <v>#N/A</v>
      </c>
      <c r="M67" s="67" t="str">
        <f ca="1">IFERROR(__xludf.DUMMYFUNCTION("INDEX( GoogleFinance( ""NSE:""&amp;A67 , ""all"" , TODAY()-4) , 2, 2)"),"#N/A")</f>
        <v>#N/A</v>
      </c>
      <c r="N67" s="68" t="str">
        <f ca="1">IFERROR(__xludf.DUMMYFUNCTION("INDEX( GoogleFinance( ""NSE:""&amp;A67 , ""all"" , TODAY()-4) , 2, 6)"),"#N/A")</f>
        <v>#N/A</v>
      </c>
      <c r="O67" s="69" t="str">
        <f t="shared" ca="1" si="1"/>
        <v/>
      </c>
      <c r="P67" s="69" t="e">
        <f t="shared" ca="1" si="2"/>
        <v>#VALUE!</v>
      </c>
      <c r="Q67" s="69" t="e">
        <f t="shared" ca="1" si="3"/>
        <v>#VALUE!</v>
      </c>
      <c r="R67" s="69" t="e">
        <f t="shared" ca="1" si="23"/>
        <v>#VALUE!</v>
      </c>
      <c r="S67" s="69" t="e">
        <f t="shared" ca="1" si="5"/>
        <v>#VALUE!</v>
      </c>
      <c r="T67" s="69" t="e">
        <f t="shared" ca="1" si="6"/>
        <v>#VALUE!</v>
      </c>
      <c r="U67" s="69" t="e">
        <f t="shared" ca="1" si="24"/>
        <v>#VALUE!</v>
      </c>
      <c r="V67" s="69" t="e">
        <f t="shared" ca="1" si="25"/>
        <v>#VALUE!</v>
      </c>
      <c r="W67" s="70" t="str">
        <f t="shared" ca="1" si="9"/>
        <v/>
      </c>
      <c r="X67" s="70" t="e">
        <f t="shared" ca="1" si="10"/>
        <v>#VALUE!</v>
      </c>
      <c r="Y67" s="70" t="e">
        <f t="shared" ca="1" si="11"/>
        <v>#VALUE!</v>
      </c>
      <c r="Z67" s="71" t="e">
        <f t="shared" ca="1" si="12"/>
        <v>#VALUE!</v>
      </c>
      <c r="AA67" s="72" t="e">
        <f t="shared" ca="1" si="13"/>
        <v>#VALUE!</v>
      </c>
      <c r="AB67" s="72" t="e">
        <f t="shared" ca="1" si="14"/>
        <v>#VALUE!</v>
      </c>
      <c r="AC67" s="72" t="e">
        <f t="shared" ca="1" si="15"/>
        <v>#VALUE!</v>
      </c>
      <c r="AD67" s="73" t="e">
        <f t="shared" ca="1" si="16"/>
        <v>#VALUE!</v>
      </c>
      <c r="AE67" s="19" t="e">
        <f t="shared" ca="1" si="17"/>
        <v>#VALUE!</v>
      </c>
      <c r="AF67" s="74" t="str">
        <f t="shared" ca="1" si="18"/>
        <v>Below D1 Low</v>
      </c>
      <c r="AG67" s="17" t="str">
        <f t="shared" ca="1" si="19"/>
        <v>Sell</v>
      </c>
      <c r="AH67" s="17" t="str">
        <f t="shared" ca="1" si="20"/>
        <v>SELL</v>
      </c>
      <c r="AI67" s="75">
        <f ca="1">IFERROR(__xludf.DUMMYFUNCTION("AVERAGE.WEIGHTED((G67+H67+B67)/3, I67)"),381.599999999999)</f>
        <v>381.599999999999</v>
      </c>
      <c r="AJ67" s="75" t="str">
        <f ca="1">IFERROR(__xludf.DUMMYFUNCTION("AVERAGE.WEIGHTED((K67+L67+J67)/3, N67)"),"#N/A")</f>
        <v>#N/A</v>
      </c>
      <c r="AK67" s="75" t="str">
        <f t="shared" ca="1" si="21"/>
        <v>SELL</v>
      </c>
      <c r="AL67" s="31"/>
      <c r="AM67" s="31"/>
      <c r="AN67" s="31"/>
      <c r="AO67" s="31"/>
      <c r="AP67" s="31"/>
      <c r="AQ67" s="31"/>
      <c r="AR67" s="31"/>
    </row>
    <row r="68" spans="1:44" ht="15.75" customHeight="1">
      <c r="A68" s="61" t="s">
        <v>130</v>
      </c>
      <c r="B68" s="62">
        <f ca="1">IFERROR(__xludf.DUMMYFUNCTION("googlefinance(""nse:""&amp;A68,""price"")"),410.6)</f>
        <v>410.6</v>
      </c>
      <c r="C68" s="63">
        <f t="shared" ca="1" si="0"/>
        <v>0</v>
      </c>
      <c r="D68" s="63">
        <f ca="1">IFERROR(__xludf.DUMMYFUNCTION("googlefinance(""nse:""&amp;A68,""changepct"")"),2.04)</f>
        <v>2.04</v>
      </c>
      <c r="E68" s="63">
        <f ca="1">IFERROR(__xludf.DUMMYFUNCTION("googlefinance(""nse:""&amp;A68,""change"")"),8.2)</f>
        <v>8.1999999999999993</v>
      </c>
      <c r="F68" s="63">
        <f ca="1">IFERROR(__xludf.DUMMYFUNCTION("googlefinance(""nse:""&amp;A68,""priceopen"")"),405.9)</f>
        <v>405.9</v>
      </c>
      <c r="G68" s="63">
        <f ca="1">IFERROR(__xludf.DUMMYFUNCTION("googlefinance(""nse:""&amp;A68,""HIGH"")"),416.1)</f>
        <v>416.1</v>
      </c>
      <c r="H68" s="63">
        <f ca="1">IFERROR(__xludf.DUMMYFUNCTION("googlefinance(""nse:""&amp;A68,""LOW"")"),405.1)</f>
        <v>405.1</v>
      </c>
      <c r="I68" s="63">
        <f ca="1">IFERROR(__xludf.DUMMYFUNCTION("googlefinance(""nse:""&amp;A68,""VOLUME"")"),3287882)</f>
        <v>3287882</v>
      </c>
      <c r="J68" s="63">
        <f ca="1">IFERROR(__xludf.DUMMYFUNCTION("googlefinance(""nse:""&amp;A68,""closeyest"")"),402.4)</f>
        <v>402.4</v>
      </c>
      <c r="K68" s="65" t="str">
        <f ca="1">IFERROR(__xludf.DUMMYFUNCTION("INDEX( GoogleFinance( ""NSE:""&amp;A68 , ""all"" , TODAY()-4) , 2, 3)"),"#N/A")</f>
        <v>#N/A</v>
      </c>
      <c r="L68" s="66" t="str">
        <f ca="1">IFERROR(__xludf.DUMMYFUNCTION("INDEX( GoogleFinance(""NSE:""&amp;A68 , ""all"" , TODAY()-4 ) , 2, 4)"),"#N/A")</f>
        <v>#N/A</v>
      </c>
      <c r="M68" s="67" t="str">
        <f ca="1">IFERROR(__xludf.DUMMYFUNCTION("INDEX( GoogleFinance( ""NSE:""&amp;A68 , ""all"" , TODAY()-4) , 2, 2)"),"#N/A")</f>
        <v>#N/A</v>
      </c>
      <c r="N68" s="68" t="str">
        <f ca="1">IFERROR(__xludf.DUMMYFUNCTION("INDEX( GoogleFinance( ""NSE:""&amp;A68 , ""all"" , TODAY()-4) , 2, 6)"),"#N/A")</f>
        <v>#N/A</v>
      </c>
      <c r="O68" s="69" t="str">
        <f t="shared" ca="1" si="1"/>
        <v/>
      </c>
      <c r="P68" s="69" t="e">
        <f t="shared" ca="1" si="2"/>
        <v>#VALUE!</v>
      </c>
      <c r="Q68" s="69" t="e">
        <f t="shared" ca="1" si="3"/>
        <v>#VALUE!</v>
      </c>
      <c r="R68" s="69" t="e">
        <f t="shared" ca="1" si="23"/>
        <v>#VALUE!</v>
      </c>
      <c r="S68" s="69" t="e">
        <f t="shared" ca="1" si="5"/>
        <v>#VALUE!</v>
      </c>
      <c r="T68" s="69" t="e">
        <f t="shared" ca="1" si="6"/>
        <v>#VALUE!</v>
      </c>
      <c r="U68" s="69" t="e">
        <f t="shared" ca="1" si="24"/>
        <v>#VALUE!</v>
      </c>
      <c r="V68" s="69" t="e">
        <f t="shared" ca="1" si="25"/>
        <v>#VALUE!</v>
      </c>
      <c r="W68" s="70" t="str">
        <f t="shared" ca="1" si="9"/>
        <v/>
      </c>
      <c r="X68" s="70" t="e">
        <f t="shared" ca="1" si="10"/>
        <v>#VALUE!</v>
      </c>
      <c r="Y68" s="70" t="e">
        <f t="shared" ca="1" si="11"/>
        <v>#VALUE!</v>
      </c>
      <c r="Z68" s="71" t="e">
        <f t="shared" ca="1" si="12"/>
        <v>#VALUE!</v>
      </c>
      <c r="AA68" s="72" t="e">
        <f t="shared" ca="1" si="13"/>
        <v>#VALUE!</v>
      </c>
      <c r="AB68" s="72" t="e">
        <f t="shared" ca="1" si="14"/>
        <v>#VALUE!</v>
      </c>
      <c r="AC68" s="72" t="e">
        <f t="shared" ca="1" si="15"/>
        <v>#VALUE!</v>
      </c>
      <c r="AD68" s="73" t="e">
        <f t="shared" ca="1" si="16"/>
        <v>#VALUE!</v>
      </c>
      <c r="AE68" s="19" t="e">
        <f t="shared" ca="1" si="17"/>
        <v>#VALUE!</v>
      </c>
      <c r="AF68" s="74" t="str">
        <f t="shared" ca="1" si="18"/>
        <v>Below D1 Low</v>
      </c>
      <c r="AG68" s="17" t="str">
        <f t="shared" ca="1" si="19"/>
        <v>Sell</v>
      </c>
      <c r="AH68" s="17" t="str">
        <f t="shared" ca="1" si="20"/>
        <v>SELL</v>
      </c>
      <c r="AI68" s="75">
        <f ca="1">IFERROR(__xludf.DUMMYFUNCTION("AVERAGE.WEIGHTED((G68+H68+B68)/3, I68)"),410.6)</f>
        <v>410.6</v>
      </c>
      <c r="AJ68" s="75" t="str">
        <f ca="1">IFERROR(__xludf.DUMMYFUNCTION("AVERAGE.WEIGHTED((K68+L68+J68)/3, N68)"),"#N/A")</f>
        <v>#N/A</v>
      </c>
      <c r="AK68" s="75" t="str">
        <f t="shared" ca="1" si="21"/>
        <v>SELL</v>
      </c>
      <c r="AL68" s="31"/>
      <c r="AM68" s="31"/>
      <c r="AN68" s="31"/>
      <c r="AO68" s="31"/>
      <c r="AP68" s="31"/>
      <c r="AQ68" s="31"/>
      <c r="AR68" s="31"/>
    </row>
    <row r="69" spans="1:44" ht="15.75" customHeight="1">
      <c r="A69" s="61" t="s">
        <v>132</v>
      </c>
      <c r="B69" s="62">
        <f ca="1">IFERROR(__xludf.DUMMYFUNCTION("googlefinance(""nse:""&amp;A69,""price"")"),4.2)</f>
        <v>4.2</v>
      </c>
      <c r="C69" s="63">
        <f t="shared" ca="1" si="0"/>
        <v>0</v>
      </c>
      <c r="D69" s="63">
        <f ca="1">IFERROR(__xludf.DUMMYFUNCTION("googlefinance(""nse:""&amp;A69,""changepct"")"),0)</f>
        <v>0</v>
      </c>
      <c r="E69" s="63">
        <f ca="1">IFERROR(__xludf.DUMMYFUNCTION("googlefinance(""nse:""&amp;A69,""change"")"),0)</f>
        <v>0</v>
      </c>
      <c r="F69" s="63">
        <f ca="1">IFERROR(__xludf.DUMMYFUNCTION("googlefinance(""nse:""&amp;A69,""priceopen"")"),4.35)</f>
        <v>4.3499999999999996</v>
      </c>
      <c r="G69" s="63">
        <f ca="1">IFERROR(__xludf.DUMMYFUNCTION("googlefinance(""nse:""&amp;A69,""HIGH"")"),4.4)</f>
        <v>4.4000000000000004</v>
      </c>
      <c r="H69" s="63">
        <f ca="1">IFERROR(__xludf.DUMMYFUNCTION("googlefinance(""nse:""&amp;A69,""LOW"")"),4.1)</f>
        <v>4.0999999999999996</v>
      </c>
      <c r="I69" s="63">
        <f ca="1">IFERROR(__xludf.DUMMYFUNCTION("googlefinance(""nse:""&amp;A69,""VOLUME"")"),307549428)</f>
        <v>307549428</v>
      </c>
      <c r="J69" s="63">
        <f ca="1">IFERROR(__xludf.DUMMYFUNCTION("googlefinance(""nse:""&amp;A69,""closeyest"")"),4.2)</f>
        <v>4.2</v>
      </c>
      <c r="K69" s="65" t="str">
        <f ca="1">IFERROR(__xludf.DUMMYFUNCTION("INDEX( GoogleFinance( ""NSE:""&amp;A69 , ""all"" , TODAY()-4) , 2, 3)"),"#N/A")</f>
        <v>#N/A</v>
      </c>
      <c r="L69" s="66" t="str">
        <f ca="1">IFERROR(__xludf.DUMMYFUNCTION("INDEX( GoogleFinance(""NSE:""&amp;A69 , ""all"" , TODAY()-4 ) , 2, 4)"),"#N/A")</f>
        <v>#N/A</v>
      </c>
      <c r="M69" s="67" t="str">
        <f ca="1">IFERROR(__xludf.DUMMYFUNCTION("INDEX( GoogleFinance( ""NSE:""&amp;A69 , ""all"" , TODAY()-4) , 2, 2)"),"#N/A")</f>
        <v>#N/A</v>
      </c>
      <c r="N69" s="68" t="str">
        <f ca="1">IFERROR(__xludf.DUMMYFUNCTION("INDEX( GoogleFinance( ""NSE:""&amp;A69 , ""all"" , TODAY()-4) , 2, 6)"),"#N/A")</f>
        <v>#N/A</v>
      </c>
      <c r="O69" s="69" t="str">
        <f t="shared" ca="1" si="1"/>
        <v/>
      </c>
      <c r="P69" s="69" t="e">
        <f t="shared" ca="1" si="2"/>
        <v>#VALUE!</v>
      </c>
      <c r="Q69" s="69" t="e">
        <f t="shared" ca="1" si="3"/>
        <v>#VALUE!</v>
      </c>
      <c r="R69" s="69" t="e">
        <f t="shared" ca="1" si="23"/>
        <v>#VALUE!</v>
      </c>
      <c r="S69" s="69" t="e">
        <f t="shared" ca="1" si="5"/>
        <v>#VALUE!</v>
      </c>
      <c r="T69" s="69" t="e">
        <f t="shared" ca="1" si="6"/>
        <v>#VALUE!</v>
      </c>
      <c r="U69" s="69" t="e">
        <f t="shared" ca="1" si="24"/>
        <v>#VALUE!</v>
      </c>
      <c r="V69" s="69" t="e">
        <f t="shared" ca="1" si="25"/>
        <v>#VALUE!</v>
      </c>
      <c r="W69" s="70" t="str">
        <f t="shared" ca="1" si="9"/>
        <v/>
      </c>
      <c r="X69" s="70" t="e">
        <f t="shared" ca="1" si="10"/>
        <v>#VALUE!</v>
      </c>
      <c r="Y69" s="70" t="e">
        <f t="shared" ca="1" si="11"/>
        <v>#VALUE!</v>
      </c>
      <c r="Z69" s="71" t="e">
        <f t="shared" ca="1" si="12"/>
        <v>#VALUE!</v>
      </c>
      <c r="AA69" s="72" t="e">
        <f t="shared" ca="1" si="13"/>
        <v>#VALUE!</v>
      </c>
      <c r="AB69" s="72" t="e">
        <f t="shared" ca="1" si="14"/>
        <v>#VALUE!</v>
      </c>
      <c r="AC69" s="72" t="e">
        <f t="shared" ca="1" si="15"/>
        <v>#VALUE!</v>
      </c>
      <c r="AD69" s="73" t="e">
        <f t="shared" ca="1" si="16"/>
        <v>#VALUE!</v>
      </c>
      <c r="AE69" s="19" t="e">
        <f t="shared" ca="1" si="17"/>
        <v>#VALUE!</v>
      </c>
      <c r="AF69" s="74" t="str">
        <f t="shared" ca="1" si="18"/>
        <v>Below D1 Low</v>
      </c>
      <c r="AG69" s="17" t="str">
        <f t="shared" ca="1" si="19"/>
        <v>Sell</v>
      </c>
      <c r="AH69" s="17" t="str">
        <f t="shared" ca="1" si="20"/>
        <v>SELL</v>
      </c>
      <c r="AI69" s="75">
        <f ca="1">IFERROR(__xludf.DUMMYFUNCTION("AVERAGE.WEIGHTED((G69+H69+B69)/3, I69)"),4.23333333333333)</f>
        <v>4.2333333333333298</v>
      </c>
      <c r="AJ69" s="75" t="str">
        <f ca="1">IFERROR(__xludf.DUMMYFUNCTION("AVERAGE.WEIGHTED((K69+L69+J69)/3, N69)"),"#N/A")</f>
        <v>#N/A</v>
      </c>
      <c r="AK69" s="75" t="str">
        <f t="shared" ca="1" si="21"/>
        <v>SELL</v>
      </c>
      <c r="AL69" s="31"/>
      <c r="AM69" s="31"/>
      <c r="AN69" s="31"/>
      <c r="AO69" s="31"/>
      <c r="AP69" s="31"/>
      <c r="AQ69" s="31"/>
      <c r="AR69" s="31"/>
    </row>
    <row r="70" spans="1:44" ht="15.75" customHeight="1">
      <c r="A70" s="61" t="s">
        <v>133</v>
      </c>
      <c r="B70" s="62">
        <f ca="1">IFERROR(__xludf.DUMMYFUNCTION("googlefinance(""nse:""&amp;A70,""price"")"),21.85)</f>
        <v>21.85</v>
      </c>
      <c r="C70" s="63">
        <f t="shared" ca="1" si="0"/>
        <v>0</v>
      </c>
      <c r="D70" s="63">
        <f ca="1">IFERROR(__xludf.DUMMYFUNCTION("googlefinance(""nse:""&amp;A70,""changepct"")"),-0.68)</f>
        <v>-0.68</v>
      </c>
      <c r="E70" s="63">
        <f ca="1">IFERROR(__xludf.DUMMYFUNCTION("googlefinance(""nse:""&amp;A70,""change"")"),-0.15)</f>
        <v>-0.15</v>
      </c>
      <c r="F70" s="63">
        <f ca="1">IFERROR(__xludf.DUMMYFUNCTION("googlefinance(""nse:""&amp;A70,""priceopen"")"),22.4)</f>
        <v>22.4</v>
      </c>
      <c r="G70" s="63">
        <f ca="1">IFERROR(__xludf.DUMMYFUNCTION("googlefinance(""nse:""&amp;A70,""HIGH"")"),22.75)</f>
        <v>22.75</v>
      </c>
      <c r="H70" s="63">
        <f ca="1">IFERROR(__xludf.DUMMYFUNCTION("googlefinance(""nse:""&amp;A70,""LOW"")"),21.7)</f>
        <v>21.7</v>
      </c>
      <c r="I70" s="63">
        <f ca="1">IFERROR(__xludf.DUMMYFUNCTION("googlefinance(""nse:""&amp;A70,""VOLUME"")"),64987885)</f>
        <v>64987885</v>
      </c>
      <c r="J70" s="63">
        <f ca="1">IFERROR(__xludf.DUMMYFUNCTION("googlefinance(""nse:""&amp;A70,""closeyest"")"),22)</f>
        <v>22</v>
      </c>
      <c r="K70" s="65" t="str">
        <f ca="1">IFERROR(__xludf.DUMMYFUNCTION("INDEX( GoogleFinance( ""NSE:""&amp;A70 , ""all"" , TODAY()-4) , 2, 3)"),"#N/A")</f>
        <v>#N/A</v>
      </c>
      <c r="L70" s="66" t="str">
        <f ca="1">IFERROR(__xludf.DUMMYFUNCTION("INDEX( GoogleFinance(""NSE:""&amp;A70 , ""all"" , TODAY()-4 ) , 2, 4)"),"#N/A")</f>
        <v>#N/A</v>
      </c>
      <c r="M70" s="67" t="str">
        <f ca="1">IFERROR(__xludf.DUMMYFUNCTION("INDEX( GoogleFinance( ""NSE:""&amp;A70 , ""all"" , TODAY()-4) , 2, 2)"),"#N/A")</f>
        <v>#N/A</v>
      </c>
      <c r="N70" s="68" t="str">
        <f ca="1">IFERROR(__xludf.DUMMYFUNCTION("INDEX( GoogleFinance( ""NSE:""&amp;A70 , ""all"" , TODAY()-4) , 2, 6)"),"#N/A")</f>
        <v>#N/A</v>
      </c>
      <c r="O70" s="69" t="str">
        <f t="shared" ca="1" si="1"/>
        <v/>
      </c>
      <c r="P70" s="69" t="e">
        <f t="shared" ca="1" si="2"/>
        <v>#VALUE!</v>
      </c>
      <c r="Q70" s="69" t="e">
        <f t="shared" ca="1" si="3"/>
        <v>#VALUE!</v>
      </c>
      <c r="R70" s="69" t="e">
        <f t="shared" ca="1" si="23"/>
        <v>#VALUE!</v>
      </c>
      <c r="S70" s="69" t="e">
        <f t="shared" ca="1" si="5"/>
        <v>#VALUE!</v>
      </c>
      <c r="T70" s="69" t="e">
        <f t="shared" ca="1" si="6"/>
        <v>#VALUE!</v>
      </c>
      <c r="U70" s="69" t="e">
        <f t="shared" ca="1" si="24"/>
        <v>#VALUE!</v>
      </c>
      <c r="V70" s="69" t="e">
        <f t="shared" ca="1" si="25"/>
        <v>#VALUE!</v>
      </c>
      <c r="W70" s="70" t="str">
        <f t="shared" ca="1" si="9"/>
        <v/>
      </c>
      <c r="X70" s="70" t="e">
        <f t="shared" ca="1" si="10"/>
        <v>#VALUE!</v>
      </c>
      <c r="Y70" s="70" t="e">
        <f t="shared" ca="1" si="11"/>
        <v>#VALUE!</v>
      </c>
      <c r="Z70" s="71" t="e">
        <f t="shared" ca="1" si="12"/>
        <v>#VALUE!</v>
      </c>
      <c r="AA70" s="72" t="e">
        <f t="shared" ca="1" si="13"/>
        <v>#VALUE!</v>
      </c>
      <c r="AB70" s="72" t="e">
        <f t="shared" ca="1" si="14"/>
        <v>#VALUE!</v>
      </c>
      <c r="AC70" s="72" t="e">
        <f t="shared" ca="1" si="15"/>
        <v>#VALUE!</v>
      </c>
      <c r="AD70" s="73" t="e">
        <f t="shared" ca="1" si="16"/>
        <v>#VALUE!</v>
      </c>
      <c r="AE70" s="19" t="e">
        <f t="shared" ca="1" si="17"/>
        <v>#VALUE!</v>
      </c>
      <c r="AF70" s="74" t="str">
        <f t="shared" ca="1" si="18"/>
        <v>Below D1 Low</v>
      </c>
      <c r="AG70" s="17" t="str">
        <f t="shared" ca="1" si="19"/>
        <v>Sell</v>
      </c>
      <c r="AH70" s="17" t="str">
        <f t="shared" ca="1" si="20"/>
        <v>SELL</v>
      </c>
      <c r="AI70" s="75">
        <f ca="1">IFERROR(__xludf.DUMMYFUNCTION("AVERAGE.WEIGHTED((G70+H70+B70)/3, I70)"),22.1)</f>
        <v>22.1</v>
      </c>
      <c r="AJ70" s="75" t="str">
        <f ca="1">IFERROR(__xludf.DUMMYFUNCTION("AVERAGE.WEIGHTED((K70+L70+J70)/3, N70)"),"#N/A")</f>
        <v>#N/A</v>
      </c>
      <c r="AK70" s="75" t="str">
        <f t="shared" ca="1" si="21"/>
        <v>SELL</v>
      </c>
      <c r="AL70" s="31"/>
      <c r="AM70" s="31"/>
      <c r="AN70" s="31"/>
      <c r="AO70" s="31"/>
      <c r="AP70" s="31"/>
      <c r="AQ70" s="31"/>
      <c r="AR70" s="31"/>
    </row>
    <row r="71" spans="1:44" ht="15.75" customHeight="1">
      <c r="A71" s="61" t="s">
        <v>136</v>
      </c>
      <c r="B71" s="62">
        <f ca="1">IFERROR(__xludf.DUMMYFUNCTION("googlefinance(""nse:""&amp;A71,""price"")"),476.65)</f>
        <v>476.65</v>
      </c>
      <c r="C71" s="63">
        <f t="shared" ca="1" si="0"/>
        <v>0</v>
      </c>
      <c r="D71" s="63">
        <f ca="1">IFERROR(__xludf.DUMMYFUNCTION("googlefinance(""nse:""&amp;A71,""changepct"")"),0.15)</f>
        <v>0.15</v>
      </c>
      <c r="E71" s="63">
        <f ca="1">IFERROR(__xludf.DUMMYFUNCTION("googlefinance(""nse:""&amp;A71,""change"")"),0.7)</f>
        <v>0.7</v>
      </c>
      <c r="F71" s="63">
        <f ca="1">IFERROR(__xludf.DUMMYFUNCTION("googlefinance(""nse:""&amp;A71,""priceopen"")"),481)</f>
        <v>481</v>
      </c>
      <c r="G71" s="63">
        <f ca="1">IFERROR(__xludf.DUMMYFUNCTION("googlefinance(""nse:""&amp;A71,""HIGH"")"),485)</f>
        <v>485</v>
      </c>
      <c r="H71" s="63">
        <f ca="1">IFERROR(__xludf.DUMMYFUNCTION("googlefinance(""nse:""&amp;A71,""LOW"")"),470.6)</f>
        <v>470.6</v>
      </c>
      <c r="I71" s="63">
        <f ca="1">IFERROR(__xludf.DUMMYFUNCTION("googlefinance(""nse:""&amp;A71,""VOLUME"")"),2423236)</f>
        <v>2423236</v>
      </c>
      <c r="J71" s="63">
        <f ca="1">IFERROR(__xludf.DUMMYFUNCTION("googlefinance(""nse:""&amp;A71,""closeyest"")"),475.95)</f>
        <v>475.95</v>
      </c>
      <c r="K71" s="65" t="str">
        <f ca="1">IFERROR(__xludf.DUMMYFUNCTION("INDEX( GoogleFinance( ""NSE:""&amp;A71 , ""all"" , TODAY()-4) , 2, 3)"),"#N/A")</f>
        <v>#N/A</v>
      </c>
      <c r="L71" s="66" t="str">
        <f ca="1">IFERROR(__xludf.DUMMYFUNCTION("INDEX( GoogleFinance(""NSE:""&amp;A71 , ""all"" , TODAY()-4 ) , 2, 4)"),"#N/A")</f>
        <v>#N/A</v>
      </c>
      <c r="M71" s="67" t="str">
        <f ca="1">IFERROR(__xludf.DUMMYFUNCTION("INDEX( GoogleFinance( ""NSE:""&amp;A71 , ""all"" , TODAY()-4) , 2, 2)"),"#N/A")</f>
        <v>#N/A</v>
      </c>
      <c r="N71" s="68" t="str">
        <f ca="1">IFERROR(__xludf.DUMMYFUNCTION("INDEX( GoogleFinance( ""NSE:""&amp;A71 , ""all"" , TODAY()-4) , 2, 6)"),"#N/A")</f>
        <v>#N/A</v>
      </c>
      <c r="O71" s="69" t="str">
        <f t="shared" ca="1" si="1"/>
        <v/>
      </c>
      <c r="P71" s="69" t="e">
        <f t="shared" ca="1" si="2"/>
        <v>#VALUE!</v>
      </c>
      <c r="Q71" s="69" t="e">
        <f t="shared" ca="1" si="3"/>
        <v>#VALUE!</v>
      </c>
      <c r="R71" s="69" t="e">
        <f t="shared" ca="1" si="23"/>
        <v>#VALUE!</v>
      </c>
      <c r="S71" s="69" t="e">
        <f t="shared" ca="1" si="5"/>
        <v>#VALUE!</v>
      </c>
      <c r="T71" s="69" t="e">
        <f t="shared" ca="1" si="6"/>
        <v>#VALUE!</v>
      </c>
      <c r="U71" s="69" t="e">
        <f t="shared" ca="1" si="24"/>
        <v>#VALUE!</v>
      </c>
      <c r="V71" s="69" t="e">
        <f t="shared" ca="1" si="25"/>
        <v>#VALUE!</v>
      </c>
      <c r="W71" s="70" t="str">
        <f t="shared" ca="1" si="9"/>
        <v/>
      </c>
      <c r="X71" s="70" t="e">
        <f t="shared" ca="1" si="10"/>
        <v>#VALUE!</v>
      </c>
      <c r="Y71" s="70" t="e">
        <f t="shared" ca="1" si="11"/>
        <v>#VALUE!</v>
      </c>
      <c r="Z71" s="71" t="e">
        <f t="shared" ca="1" si="12"/>
        <v>#VALUE!</v>
      </c>
      <c r="AA71" s="72" t="e">
        <f t="shared" ca="1" si="13"/>
        <v>#VALUE!</v>
      </c>
      <c r="AB71" s="72" t="e">
        <f t="shared" ca="1" si="14"/>
        <v>#VALUE!</v>
      </c>
      <c r="AC71" s="72" t="e">
        <f t="shared" ca="1" si="15"/>
        <v>#VALUE!</v>
      </c>
      <c r="AD71" s="73" t="e">
        <f t="shared" ca="1" si="16"/>
        <v>#VALUE!</v>
      </c>
      <c r="AE71" s="19" t="e">
        <f t="shared" ca="1" si="17"/>
        <v>#VALUE!</v>
      </c>
      <c r="AF71" s="74" t="str">
        <f t="shared" ca="1" si="18"/>
        <v>Below D1 Low</v>
      </c>
      <c r="AG71" s="17" t="str">
        <f t="shared" ca="1" si="19"/>
        <v>Sell</v>
      </c>
      <c r="AH71" s="17" t="str">
        <f t="shared" ca="1" si="20"/>
        <v>SELL</v>
      </c>
      <c r="AI71" s="75">
        <f ca="1">IFERROR(__xludf.DUMMYFUNCTION("AVERAGE.WEIGHTED((G71+H71+B71)/3, I71)"),477.416666666666)</f>
        <v>477.416666666666</v>
      </c>
      <c r="AJ71" s="75" t="str">
        <f ca="1">IFERROR(__xludf.DUMMYFUNCTION("AVERAGE.WEIGHTED((K71+L71+J71)/3, N71)"),"#N/A")</f>
        <v>#N/A</v>
      </c>
      <c r="AK71" s="75" t="str">
        <f t="shared" ca="1" si="21"/>
        <v>SELL</v>
      </c>
      <c r="AL71" s="31"/>
      <c r="AM71" s="31"/>
      <c r="AN71" s="31"/>
      <c r="AO71" s="31"/>
      <c r="AP71" s="31"/>
      <c r="AQ71" s="31"/>
      <c r="AR71" s="31"/>
    </row>
    <row r="72" spans="1:44" ht="15.75" customHeight="1">
      <c r="A72" s="61" t="s">
        <v>137</v>
      </c>
      <c r="B72" s="62">
        <f ca="1">IFERROR(__xludf.DUMMYFUNCTION("googlefinance(""nse:""&amp;A72,""price"")"),993)</f>
        <v>993</v>
      </c>
      <c r="C72" s="63">
        <f t="shared" ca="1" si="0"/>
        <v>0</v>
      </c>
      <c r="D72" s="63">
        <f ca="1">IFERROR(__xludf.DUMMYFUNCTION("googlefinance(""nse:""&amp;A72,""changepct"")"),7.78)</f>
        <v>7.78</v>
      </c>
      <c r="E72" s="63">
        <f ca="1">IFERROR(__xludf.DUMMYFUNCTION("googlefinance(""nse:""&amp;A72,""change"")"),71.7)</f>
        <v>71.7</v>
      </c>
      <c r="F72" s="63">
        <f ca="1">IFERROR(__xludf.DUMMYFUNCTION("googlefinance(""nse:""&amp;A72,""priceopen"")"),949)</f>
        <v>949</v>
      </c>
      <c r="G72" s="63">
        <f ca="1">IFERROR(__xludf.DUMMYFUNCTION("googlefinance(""nse:""&amp;A72,""HIGH"")"),1037.85)</f>
        <v>1037.8499999999999</v>
      </c>
      <c r="H72" s="63">
        <f ca="1">IFERROR(__xludf.DUMMYFUNCTION("googlefinance(""nse:""&amp;A72,""LOW"")"),930.05)</f>
        <v>930.05</v>
      </c>
      <c r="I72" s="63">
        <f ca="1">IFERROR(__xludf.DUMMYFUNCTION("googlefinance(""nse:""&amp;A72,""VOLUME"")"),5402344)</f>
        <v>5402344</v>
      </c>
      <c r="J72" s="63">
        <f ca="1">IFERROR(__xludf.DUMMYFUNCTION("googlefinance(""nse:""&amp;A72,""closeyest"")"),921.3)</f>
        <v>921.3</v>
      </c>
      <c r="K72" s="65" t="str">
        <f ca="1">IFERROR(__xludf.DUMMYFUNCTION("INDEX( GoogleFinance( ""NSE:""&amp;A72 , ""all"" , TODAY()-4) , 2, 3)"),"#N/A")</f>
        <v>#N/A</v>
      </c>
      <c r="L72" s="66" t="str">
        <f ca="1">IFERROR(__xludf.DUMMYFUNCTION("INDEX( GoogleFinance(""NSE:""&amp;A72 , ""all"" , TODAY()-4 ) , 2, 4)"),"#N/A")</f>
        <v>#N/A</v>
      </c>
      <c r="M72" s="67" t="str">
        <f ca="1">IFERROR(__xludf.DUMMYFUNCTION("INDEX( GoogleFinance( ""NSE:""&amp;A72 , ""all"" , TODAY()-4) , 2, 2)"),"#N/A")</f>
        <v>#N/A</v>
      </c>
      <c r="N72" s="68" t="str">
        <f ca="1">IFERROR(__xludf.DUMMYFUNCTION("INDEX( GoogleFinance( ""NSE:""&amp;A72 , ""all"" , TODAY()-4) , 2, 6)"),"#N/A")</f>
        <v>#N/A</v>
      </c>
      <c r="O72" s="69" t="str">
        <f t="shared" ca="1" si="1"/>
        <v/>
      </c>
      <c r="P72" s="69" t="e">
        <f t="shared" ca="1" si="2"/>
        <v>#VALUE!</v>
      </c>
      <c r="Q72" s="69" t="e">
        <f t="shared" ca="1" si="3"/>
        <v>#VALUE!</v>
      </c>
      <c r="R72" s="69" t="e">
        <f t="shared" ca="1" si="23"/>
        <v>#VALUE!</v>
      </c>
      <c r="S72" s="69" t="e">
        <f t="shared" ca="1" si="5"/>
        <v>#VALUE!</v>
      </c>
      <c r="T72" s="69" t="e">
        <f t="shared" ca="1" si="6"/>
        <v>#VALUE!</v>
      </c>
      <c r="U72" s="69" t="e">
        <f t="shared" ca="1" si="24"/>
        <v>#VALUE!</v>
      </c>
      <c r="V72" s="69" t="e">
        <f t="shared" ca="1" si="25"/>
        <v>#VALUE!</v>
      </c>
      <c r="W72" s="70" t="str">
        <f t="shared" ca="1" si="9"/>
        <v/>
      </c>
      <c r="X72" s="70" t="e">
        <f t="shared" ca="1" si="10"/>
        <v>#VALUE!</v>
      </c>
      <c r="Y72" s="70" t="e">
        <f t="shared" ca="1" si="11"/>
        <v>#VALUE!</v>
      </c>
      <c r="Z72" s="71" t="e">
        <f t="shared" ca="1" si="12"/>
        <v>#VALUE!</v>
      </c>
      <c r="AA72" s="72" t="e">
        <f t="shared" ca="1" si="13"/>
        <v>#VALUE!</v>
      </c>
      <c r="AB72" s="72" t="e">
        <f t="shared" ca="1" si="14"/>
        <v>#VALUE!</v>
      </c>
      <c r="AC72" s="72" t="e">
        <f t="shared" ca="1" si="15"/>
        <v>#VALUE!</v>
      </c>
      <c r="AD72" s="73" t="e">
        <f t="shared" ca="1" si="16"/>
        <v>#VALUE!</v>
      </c>
      <c r="AE72" s="19" t="e">
        <f t="shared" ca="1" si="17"/>
        <v>#VALUE!</v>
      </c>
      <c r="AF72" s="74" t="str">
        <f t="shared" ca="1" si="18"/>
        <v>Below D1 Low</v>
      </c>
      <c r="AG72" s="17" t="str">
        <f t="shared" ca="1" si="19"/>
        <v>Sell</v>
      </c>
      <c r="AH72" s="17" t="str">
        <f t="shared" ca="1" si="20"/>
        <v>SELL</v>
      </c>
      <c r="AI72" s="75">
        <f ca="1">IFERROR(__xludf.DUMMYFUNCTION("AVERAGE.WEIGHTED((G72+H72+B72)/3, I72)"),986.966666666666)</f>
        <v>986.96666666666601</v>
      </c>
      <c r="AJ72" s="75" t="str">
        <f ca="1">IFERROR(__xludf.DUMMYFUNCTION("AVERAGE.WEIGHTED((K72+L72+J72)/3, N72)"),"#N/A")</f>
        <v>#N/A</v>
      </c>
      <c r="AK72" s="75" t="str">
        <f t="shared" ca="1" si="21"/>
        <v>SELL</v>
      </c>
      <c r="AL72" s="31"/>
      <c r="AM72" s="31"/>
      <c r="AN72" s="31"/>
      <c r="AO72" s="31"/>
      <c r="AP72" s="31"/>
      <c r="AQ72" s="31"/>
      <c r="AR72" s="31"/>
    </row>
    <row r="73" spans="1:44" ht="15.75" customHeight="1">
      <c r="A73" s="61" t="s">
        <v>138</v>
      </c>
      <c r="B73" s="62">
        <f ca="1">IFERROR(__xludf.DUMMYFUNCTION("googlefinance(""nse:""&amp;A73,""price"")"),468)</f>
        <v>468</v>
      </c>
      <c r="C73" s="63">
        <f t="shared" ca="1" si="0"/>
        <v>0</v>
      </c>
      <c r="D73" s="63">
        <f ca="1">IFERROR(__xludf.DUMMYFUNCTION("googlefinance(""nse:""&amp;A73,""changepct"")"),-0.66)</f>
        <v>-0.66</v>
      </c>
      <c r="E73" s="63">
        <f ca="1">IFERROR(__xludf.DUMMYFUNCTION("googlefinance(""nse:""&amp;A73,""change"")"),-3.1)</f>
        <v>-3.1</v>
      </c>
      <c r="F73" s="63">
        <f ca="1">IFERROR(__xludf.DUMMYFUNCTION("googlefinance(""nse:""&amp;A73,""priceopen"")"),486.25)</f>
        <v>486.25</v>
      </c>
      <c r="G73" s="63">
        <f ca="1">IFERROR(__xludf.DUMMYFUNCTION("googlefinance(""nse:""&amp;A73,""HIGH"")"),491.85)</f>
        <v>491.85</v>
      </c>
      <c r="H73" s="63">
        <f ca="1">IFERROR(__xludf.DUMMYFUNCTION("googlefinance(""nse:""&amp;A73,""LOW"")"),461.6)</f>
        <v>461.6</v>
      </c>
      <c r="I73" s="63">
        <f ca="1">IFERROR(__xludf.DUMMYFUNCTION("googlefinance(""nse:""&amp;A73,""VOLUME"")"),26655548)</f>
        <v>26655548</v>
      </c>
      <c r="J73" s="63">
        <f ca="1">IFERROR(__xludf.DUMMYFUNCTION("googlefinance(""nse:""&amp;A73,""closeyest"")"),471.1)</f>
        <v>471.1</v>
      </c>
      <c r="K73" s="65" t="str">
        <f ca="1">IFERROR(__xludf.DUMMYFUNCTION("INDEX( GoogleFinance( ""NSE:""&amp;A73 , ""all"" , TODAY()-4) , 2, 3)"),"#N/A")</f>
        <v>#N/A</v>
      </c>
      <c r="L73" s="66" t="str">
        <f ca="1">IFERROR(__xludf.DUMMYFUNCTION("INDEX( GoogleFinance(""NSE:""&amp;A73 , ""all"" , TODAY()-4 ) , 2, 4)"),"#N/A")</f>
        <v>#N/A</v>
      </c>
      <c r="M73" s="67" t="str">
        <f ca="1">IFERROR(__xludf.DUMMYFUNCTION("INDEX( GoogleFinance( ""NSE:""&amp;A73 , ""all"" , TODAY()-4) , 2, 2)"),"#N/A")</f>
        <v>#N/A</v>
      </c>
      <c r="N73" s="68" t="str">
        <f ca="1">IFERROR(__xludf.DUMMYFUNCTION("INDEX( GoogleFinance( ""NSE:""&amp;A73 , ""all"" , TODAY()-4) , 2, 6)"),"#N/A")</f>
        <v>#N/A</v>
      </c>
      <c r="O73" s="69" t="str">
        <f t="shared" ca="1" si="1"/>
        <v/>
      </c>
      <c r="P73" s="69" t="e">
        <f t="shared" ca="1" si="2"/>
        <v>#VALUE!</v>
      </c>
      <c r="Q73" s="69" t="e">
        <f t="shared" ca="1" si="3"/>
        <v>#VALUE!</v>
      </c>
      <c r="R73" s="69" t="e">
        <f t="shared" ca="1" si="23"/>
        <v>#VALUE!</v>
      </c>
      <c r="S73" s="69" t="e">
        <f t="shared" ca="1" si="5"/>
        <v>#VALUE!</v>
      </c>
      <c r="T73" s="69" t="e">
        <f t="shared" ca="1" si="6"/>
        <v>#VALUE!</v>
      </c>
      <c r="U73" s="69" t="e">
        <f t="shared" ca="1" si="24"/>
        <v>#VALUE!</v>
      </c>
      <c r="V73" s="69" t="e">
        <f t="shared" ca="1" si="25"/>
        <v>#VALUE!</v>
      </c>
      <c r="W73" s="70" t="str">
        <f t="shared" ca="1" si="9"/>
        <v/>
      </c>
      <c r="X73" s="70" t="e">
        <f t="shared" ca="1" si="10"/>
        <v>#VALUE!</v>
      </c>
      <c r="Y73" s="70" t="e">
        <f t="shared" ca="1" si="11"/>
        <v>#VALUE!</v>
      </c>
      <c r="Z73" s="71" t="e">
        <f t="shared" ca="1" si="12"/>
        <v>#VALUE!</v>
      </c>
      <c r="AA73" s="72" t="e">
        <f t="shared" ca="1" si="13"/>
        <v>#VALUE!</v>
      </c>
      <c r="AB73" s="72" t="e">
        <f t="shared" ca="1" si="14"/>
        <v>#VALUE!</v>
      </c>
      <c r="AC73" s="72" t="e">
        <f t="shared" ca="1" si="15"/>
        <v>#VALUE!</v>
      </c>
      <c r="AD73" s="73" t="e">
        <f t="shared" ca="1" si="16"/>
        <v>#VALUE!</v>
      </c>
      <c r="AE73" s="19" t="e">
        <f t="shared" ca="1" si="17"/>
        <v>#VALUE!</v>
      </c>
      <c r="AF73" s="74" t="str">
        <f t="shared" ca="1" si="18"/>
        <v>Below D1 Low</v>
      </c>
      <c r="AG73" s="17" t="str">
        <f t="shared" ca="1" si="19"/>
        <v>Sell</v>
      </c>
      <c r="AH73" s="17" t="str">
        <f t="shared" ca="1" si="20"/>
        <v>SELL</v>
      </c>
      <c r="AI73" s="75">
        <f ca="1">IFERROR(__xludf.DUMMYFUNCTION("AVERAGE.WEIGHTED((G73+H73+B73)/3, I73)"),473.816666666666)</f>
        <v>473.81666666666598</v>
      </c>
      <c r="AJ73" s="75" t="str">
        <f ca="1">IFERROR(__xludf.DUMMYFUNCTION("AVERAGE.WEIGHTED((K73+L73+J73)/3, N73)"),"#N/A")</f>
        <v>#N/A</v>
      </c>
      <c r="AK73" s="75" t="str">
        <f t="shared" ca="1" si="21"/>
        <v>SELL</v>
      </c>
      <c r="AL73" s="31"/>
      <c r="AM73" s="31"/>
      <c r="AN73" s="31"/>
      <c r="AO73" s="31"/>
      <c r="AP73" s="31"/>
      <c r="AQ73" s="31"/>
      <c r="AR73" s="31"/>
    </row>
    <row r="74" spans="1:44" ht="15.75" customHeight="1">
      <c r="A74" s="61" t="s">
        <v>139</v>
      </c>
      <c r="B74" s="62">
        <f ca="1">IFERROR(__xludf.DUMMYFUNCTION("googlefinance(""nse:""&amp;A74,""price"")"),174.25)</f>
        <v>174.25</v>
      </c>
      <c r="C74" s="63">
        <f t="shared" ca="1" si="0"/>
        <v>0</v>
      </c>
      <c r="D74" s="63">
        <f ca="1">IFERROR(__xludf.DUMMYFUNCTION("googlefinance(""nse:""&amp;A74,""changepct"")"),6.9)</f>
        <v>6.9</v>
      </c>
      <c r="E74" s="63">
        <f ca="1">IFERROR(__xludf.DUMMYFUNCTION("googlefinance(""nse:""&amp;A74,""change"")"),11.25)</f>
        <v>11.25</v>
      </c>
      <c r="F74" s="63">
        <f ca="1">IFERROR(__xludf.DUMMYFUNCTION("googlefinance(""nse:""&amp;A74,""priceopen"")"),163)</f>
        <v>163</v>
      </c>
      <c r="G74" s="63">
        <f ca="1">IFERROR(__xludf.DUMMYFUNCTION("googlefinance(""nse:""&amp;A74,""HIGH"")"),175.8)</f>
        <v>175.8</v>
      </c>
      <c r="H74" s="63">
        <f ca="1">IFERROR(__xludf.DUMMYFUNCTION("googlefinance(""nse:""&amp;A74,""LOW"")"),162.15)</f>
        <v>162.15</v>
      </c>
      <c r="I74" s="63">
        <f ca="1">IFERROR(__xludf.DUMMYFUNCTION("googlefinance(""nse:""&amp;A74,""VOLUME"")"),5671218)</f>
        <v>5671218</v>
      </c>
      <c r="J74" s="63">
        <f ca="1">IFERROR(__xludf.DUMMYFUNCTION("googlefinance(""nse:""&amp;A74,""closeyest"")"),163)</f>
        <v>163</v>
      </c>
      <c r="K74" s="65" t="str">
        <f ca="1">IFERROR(__xludf.DUMMYFUNCTION("INDEX( GoogleFinance( ""NSE:""&amp;A74 , ""all"" , TODAY()-4) , 2, 3)"),"#N/A")</f>
        <v>#N/A</v>
      </c>
      <c r="L74" s="66" t="str">
        <f ca="1">IFERROR(__xludf.DUMMYFUNCTION("INDEX( GoogleFinance(""NSE:""&amp;A74 , ""all"" , TODAY()-4 ) , 2, 4)"),"#N/A")</f>
        <v>#N/A</v>
      </c>
      <c r="M74" s="67" t="str">
        <f ca="1">IFERROR(__xludf.DUMMYFUNCTION("INDEX( GoogleFinance( ""NSE:""&amp;A74 , ""all"" , TODAY()-4) , 2, 2)"),"#N/A")</f>
        <v>#N/A</v>
      </c>
      <c r="N74" s="68" t="str">
        <f ca="1">IFERROR(__xludf.DUMMYFUNCTION("INDEX( GoogleFinance( ""NSE:""&amp;A74 , ""all"" , TODAY()-4) , 2, 6)"),"#N/A")</f>
        <v>#N/A</v>
      </c>
      <c r="O74" s="69" t="str">
        <f t="shared" ca="1" si="1"/>
        <v/>
      </c>
      <c r="P74" s="69" t="e">
        <f t="shared" ca="1" si="2"/>
        <v>#VALUE!</v>
      </c>
      <c r="Q74" s="69" t="e">
        <f t="shared" ca="1" si="3"/>
        <v>#VALUE!</v>
      </c>
      <c r="R74" s="69" t="e">
        <f t="shared" ca="1" si="23"/>
        <v>#VALUE!</v>
      </c>
      <c r="S74" s="69" t="e">
        <f t="shared" ca="1" si="5"/>
        <v>#VALUE!</v>
      </c>
      <c r="T74" s="69" t="e">
        <f t="shared" ca="1" si="6"/>
        <v>#VALUE!</v>
      </c>
      <c r="U74" s="69" t="e">
        <f t="shared" ca="1" si="24"/>
        <v>#VALUE!</v>
      </c>
      <c r="V74" s="69" t="e">
        <f t="shared" ca="1" si="25"/>
        <v>#VALUE!</v>
      </c>
      <c r="W74" s="70" t="str">
        <f t="shared" ca="1" si="9"/>
        <v/>
      </c>
      <c r="X74" s="70" t="e">
        <f t="shared" ca="1" si="10"/>
        <v>#VALUE!</v>
      </c>
      <c r="Y74" s="70" t="e">
        <f t="shared" ca="1" si="11"/>
        <v>#VALUE!</v>
      </c>
      <c r="Z74" s="71" t="e">
        <f t="shared" ca="1" si="12"/>
        <v>#VALUE!</v>
      </c>
      <c r="AA74" s="72" t="e">
        <f t="shared" ca="1" si="13"/>
        <v>#VALUE!</v>
      </c>
      <c r="AB74" s="72" t="e">
        <f t="shared" ca="1" si="14"/>
        <v>#VALUE!</v>
      </c>
      <c r="AC74" s="72" t="e">
        <f t="shared" ca="1" si="15"/>
        <v>#VALUE!</v>
      </c>
      <c r="AD74" s="73" t="e">
        <f t="shared" ca="1" si="16"/>
        <v>#VALUE!</v>
      </c>
      <c r="AE74" s="19" t="e">
        <f t="shared" ca="1" si="17"/>
        <v>#VALUE!</v>
      </c>
      <c r="AF74" s="74" t="str">
        <f t="shared" ca="1" si="18"/>
        <v>Below D1 Low</v>
      </c>
      <c r="AG74" s="17" t="str">
        <f t="shared" ca="1" si="19"/>
        <v>Sell</v>
      </c>
      <c r="AH74" s="17" t="str">
        <f t="shared" ca="1" si="20"/>
        <v>SELL</v>
      </c>
      <c r="AI74" s="75">
        <f ca="1">IFERROR(__xludf.DUMMYFUNCTION("AVERAGE.WEIGHTED((G74+H74+B74)/3, I74)"),170.733333333333)</f>
        <v>170.73333333333301</v>
      </c>
      <c r="AJ74" s="75" t="str">
        <f ca="1">IFERROR(__xludf.DUMMYFUNCTION("AVERAGE.WEIGHTED((K74+L74+J74)/3, N74)"),"#N/A")</f>
        <v>#N/A</v>
      </c>
      <c r="AK74" s="75" t="str">
        <f t="shared" ca="1" si="21"/>
        <v>SELL</v>
      </c>
      <c r="AL74" s="31"/>
      <c r="AM74" s="31"/>
      <c r="AN74" s="31"/>
      <c r="AO74" s="31"/>
      <c r="AP74" s="31"/>
      <c r="AQ74" s="31"/>
      <c r="AR74" s="31"/>
    </row>
    <row r="75" spans="1:44" ht="15.75" customHeight="1">
      <c r="A75" s="61" t="s">
        <v>140</v>
      </c>
      <c r="B75" s="62">
        <f ca="1">IFERROR(__xludf.DUMMYFUNCTION("googlefinance(""nse:""&amp;A75,""price"")"),715.05)</f>
        <v>715.05</v>
      </c>
      <c r="C75" s="63">
        <f t="shared" ca="1" si="0"/>
        <v>0</v>
      </c>
      <c r="D75" s="63">
        <f ca="1">IFERROR(__xludf.DUMMYFUNCTION("googlefinance(""nse:""&amp;A75,""changepct"")"),5.69)</f>
        <v>5.69</v>
      </c>
      <c r="E75" s="63">
        <f ca="1">IFERROR(__xludf.DUMMYFUNCTION("googlefinance(""nse:""&amp;A75,""change"")"),38.5)</f>
        <v>38.5</v>
      </c>
      <c r="F75" s="63">
        <f ca="1">IFERROR(__xludf.DUMMYFUNCTION("googlefinance(""nse:""&amp;A75,""priceopen"")"),700)</f>
        <v>700</v>
      </c>
      <c r="G75" s="63">
        <f ca="1">IFERROR(__xludf.DUMMYFUNCTION("googlefinance(""nse:""&amp;A75,""HIGH"")"),720)</f>
        <v>720</v>
      </c>
      <c r="H75" s="63">
        <f ca="1">IFERROR(__xludf.DUMMYFUNCTION("googlefinance(""nse:""&amp;A75,""LOW"")"),698.1)</f>
        <v>698.1</v>
      </c>
      <c r="I75" s="63">
        <f ca="1">IFERROR(__xludf.DUMMYFUNCTION("googlefinance(""nse:""&amp;A75,""VOLUME"")"),16254036)</f>
        <v>16254036</v>
      </c>
      <c r="J75" s="63">
        <f ca="1">IFERROR(__xludf.DUMMYFUNCTION("googlefinance(""nse:""&amp;A75,""closeyest"")"),676.55)</f>
        <v>676.55</v>
      </c>
      <c r="K75" s="65" t="str">
        <f ca="1">IFERROR(__xludf.DUMMYFUNCTION("INDEX( GoogleFinance( ""NSE:""&amp;A75 , ""all"" , TODAY()-4) , 2, 3)"),"#N/A")</f>
        <v>#N/A</v>
      </c>
      <c r="L75" s="66" t="str">
        <f ca="1">IFERROR(__xludf.DUMMYFUNCTION("INDEX( GoogleFinance(""NSE:""&amp;A75 , ""all"" , TODAY()-4 ) , 2, 4)"),"#N/A")</f>
        <v>#N/A</v>
      </c>
      <c r="M75" s="67" t="str">
        <f ca="1">IFERROR(__xludf.DUMMYFUNCTION("INDEX( GoogleFinance( ""NSE:""&amp;A75 , ""all"" , TODAY()-4) , 2, 2)"),"#N/A")</f>
        <v>#N/A</v>
      </c>
      <c r="N75" s="68" t="str">
        <f ca="1">IFERROR(__xludf.DUMMYFUNCTION("INDEX( GoogleFinance( ""NSE:""&amp;A75 , ""all"" , TODAY()-4) , 2, 6)"),"#N/A")</f>
        <v>#N/A</v>
      </c>
      <c r="O75" s="69" t="str">
        <f t="shared" ca="1" si="1"/>
        <v/>
      </c>
      <c r="P75" s="69" t="e">
        <f t="shared" ca="1" si="2"/>
        <v>#VALUE!</v>
      </c>
      <c r="Q75" s="69" t="e">
        <f t="shared" ca="1" si="3"/>
        <v>#VALUE!</v>
      </c>
      <c r="R75" s="69" t="e">
        <f t="shared" ca="1" si="23"/>
        <v>#VALUE!</v>
      </c>
      <c r="S75" s="69" t="e">
        <f t="shared" ca="1" si="5"/>
        <v>#VALUE!</v>
      </c>
      <c r="T75" s="69" t="e">
        <f t="shared" ca="1" si="6"/>
        <v>#VALUE!</v>
      </c>
      <c r="U75" s="69" t="e">
        <f t="shared" ca="1" si="24"/>
        <v>#VALUE!</v>
      </c>
      <c r="V75" s="69" t="e">
        <f t="shared" ca="1" si="25"/>
        <v>#VALUE!</v>
      </c>
      <c r="W75" s="70" t="str">
        <f t="shared" ca="1" si="9"/>
        <v/>
      </c>
      <c r="X75" s="70" t="e">
        <f t="shared" ca="1" si="10"/>
        <v>#VALUE!</v>
      </c>
      <c r="Y75" s="70" t="e">
        <f t="shared" ca="1" si="11"/>
        <v>#VALUE!</v>
      </c>
      <c r="Z75" s="71" t="e">
        <f t="shared" ca="1" si="12"/>
        <v>#VALUE!</v>
      </c>
      <c r="AA75" s="72" t="e">
        <f t="shared" ca="1" si="13"/>
        <v>#VALUE!</v>
      </c>
      <c r="AB75" s="72" t="e">
        <f t="shared" ca="1" si="14"/>
        <v>#VALUE!</v>
      </c>
      <c r="AC75" s="72" t="e">
        <f t="shared" ca="1" si="15"/>
        <v>#VALUE!</v>
      </c>
      <c r="AD75" s="73" t="e">
        <f t="shared" ca="1" si="16"/>
        <v>#VALUE!</v>
      </c>
      <c r="AE75" s="19" t="e">
        <f t="shared" ca="1" si="17"/>
        <v>#VALUE!</v>
      </c>
      <c r="AF75" s="74" t="str">
        <f t="shared" ca="1" si="18"/>
        <v>Below D1 Low</v>
      </c>
      <c r="AG75" s="17" t="str">
        <f t="shared" ca="1" si="19"/>
        <v>Sell</v>
      </c>
      <c r="AH75" s="17" t="str">
        <f t="shared" ca="1" si="20"/>
        <v>SELL</v>
      </c>
      <c r="AI75" s="75">
        <f ca="1">IFERROR(__xludf.DUMMYFUNCTION("AVERAGE.WEIGHTED((G75+H75+B75)/3, I75)"),711.049999999999)</f>
        <v>711.04999999999905</v>
      </c>
      <c r="AJ75" s="75" t="str">
        <f ca="1">IFERROR(__xludf.DUMMYFUNCTION("AVERAGE.WEIGHTED((K75+L75+J75)/3, N75)"),"#N/A")</f>
        <v>#N/A</v>
      </c>
      <c r="AK75" s="75" t="str">
        <f t="shared" ca="1" si="21"/>
        <v>SELL</v>
      </c>
      <c r="AL75" s="31"/>
      <c r="AM75" s="31"/>
      <c r="AN75" s="31"/>
      <c r="AO75" s="31"/>
      <c r="AP75" s="31"/>
      <c r="AQ75" s="31"/>
      <c r="AR75" s="31"/>
    </row>
    <row r="76" spans="1:44" ht="15.75" customHeight="1">
      <c r="A76" s="61" t="s">
        <v>141</v>
      </c>
      <c r="B76" s="62">
        <f ca="1">IFERROR(__xludf.DUMMYFUNCTION("googlefinance(""nse:""&amp;A76,""price"")"),84.15)</f>
        <v>84.15</v>
      </c>
      <c r="C76" s="63">
        <f t="shared" ca="1" si="0"/>
        <v>0</v>
      </c>
      <c r="D76" s="63">
        <f ca="1">IFERROR(__xludf.DUMMYFUNCTION("googlefinance(""nse:""&amp;A76,""changepct"")"),4.53)</f>
        <v>4.53</v>
      </c>
      <c r="E76" s="63">
        <f ca="1">IFERROR(__xludf.DUMMYFUNCTION("googlefinance(""nse:""&amp;A76,""change"")"),3.65)</f>
        <v>3.65</v>
      </c>
      <c r="F76" s="63">
        <f ca="1">IFERROR(__xludf.DUMMYFUNCTION("googlefinance(""nse:""&amp;A76,""priceopen"")"),81.55)</f>
        <v>81.55</v>
      </c>
      <c r="G76" s="63">
        <f ca="1">IFERROR(__xludf.DUMMYFUNCTION("googlefinance(""nse:""&amp;A76,""HIGH"")"),84.5)</f>
        <v>84.5</v>
      </c>
      <c r="H76" s="63">
        <f ca="1">IFERROR(__xludf.DUMMYFUNCTION("googlefinance(""nse:""&amp;A76,""LOW"")"),81.3)</f>
        <v>81.3</v>
      </c>
      <c r="I76" s="63">
        <f ca="1">IFERROR(__xludf.DUMMYFUNCTION("googlefinance(""nse:""&amp;A76,""VOLUME"")"),21193860)</f>
        <v>21193860</v>
      </c>
      <c r="J76" s="63">
        <f ca="1">IFERROR(__xludf.DUMMYFUNCTION("googlefinance(""nse:""&amp;A76,""closeyest"")"),80.5)</f>
        <v>80.5</v>
      </c>
      <c r="K76" s="65" t="str">
        <f ca="1">IFERROR(__xludf.DUMMYFUNCTION("INDEX( GoogleFinance( ""NSE:""&amp;A76 , ""all"" , TODAY()-4) , 2, 3)"),"#N/A")</f>
        <v>#N/A</v>
      </c>
      <c r="L76" s="66" t="str">
        <f ca="1">IFERROR(__xludf.DUMMYFUNCTION("INDEX( GoogleFinance(""NSE:""&amp;A76 , ""all"" , TODAY()-4 ) , 2, 4)"),"#N/A")</f>
        <v>#N/A</v>
      </c>
      <c r="M76" s="67" t="str">
        <f ca="1">IFERROR(__xludf.DUMMYFUNCTION("INDEX( GoogleFinance( ""NSE:""&amp;A76 , ""all"" , TODAY()-4) , 2, 2)"),"#N/A")</f>
        <v>#N/A</v>
      </c>
      <c r="N76" s="68" t="str">
        <f ca="1">IFERROR(__xludf.DUMMYFUNCTION("INDEX( GoogleFinance( ""NSE:""&amp;A76 , ""all"" , TODAY()-4) , 2, 6)"),"#N/A")</f>
        <v>#N/A</v>
      </c>
      <c r="O76" s="69" t="str">
        <f t="shared" ca="1" si="1"/>
        <v/>
      </c>
      <c r="P76" s="69" t="e">
        <f t="shared" ca="1" si="2"/>
        <v>#VALUE!</v>
      </c>
      <c r="Q76" s="69" t="e">
        <f t="shared" ca="1" si="3"/>
        <v>#VALUE!</v>
      </c>
      <c r="R76" s="69" t="e">
        <f t="shared" ca="1" si="23"/>
        <v>#VALUE!</v>
      </c>
      <c r="S76" s="69" t="e">
        <f t="shared" ca="1" si="5"/>
        <v>#VALUE!</v>
      </c>
      <c r="T76" s="69" t="e">
        <f t="shared" ca="1" si="6"/>
        <v>#VALUE!</v>
      </c>
      <c r="U76" s="69" t="e">
        <f t="shared" ca="1" si="24"/>
        <v>#VALUE!</v>
      </c>
      <c r="V76" s="69" t="e">
        <f t="shared" ca="1" si="25"/>
        <v>#VALUE!</v>
      </c>
      <c r="W76" s="70" t="str">
        <f t="shared" ca="1" si="9"/>
        <v/>
      </c>
      <c r="X76" s="70" t="e">
        <f t="shared" ca="1" si="10"/>
        <v>#VALUE!</v>
      </c>
      <c r="Y76" s="70" t="e">
        <f t="shared" ca="1" si="11"/>
        <v>#VALUE!</v>
      </c>
      <c r="Z76" s="71" t="e">
        <f t="shared" ca="1" si="12"/>
        <v>#VALUE!</v>
      </c>
      <c r="AA76" s="72" t="e">
        <f t="shared" ca="1" si="13"/>
        <v>#VALUE!</v>
      </c>
      <c r="AB76" s="72" t="e">
        <f t="shared" ca="1" si="14"/>
        <v>#VALUE!</v>
      </c>
      <c r="AC76" s="72" t="e">
        <f t="shared" ca="1" si="15"/>
        <v>#VALUE!</v>
      </c>
      <c r="AD76" s="73" t="e">
        <f t="shared" ca="1" si="16"/>
        <v>#VALUE!</v>
      </c>
      <c r="AE76" s="19" t="e">
        <f t="shared" ca="1" si="17"/>
        <v>#VALUE!</v>
      </c>
      <c r="AF76" s="74" t="str">
        <f t="shared" ca="1" si="18"/>
        <v>Below D1 Low</v>
      </c>
      <c r="AG76" s="17" t="str">
        <f t="shared" ca="1" si="19"/>
        <v>Sell</v>
      </c>
      <c r="AH76" s="17" t="str">
        <f t="shared" ca="1" si="20"/>
        <v>SELL</v>
      </c>
      <c r="AI76" s="75">
        <f ca="1">IFERROR(__xludf.DUMMYFUNCTION("AVERAGE.WEIGHTED((G76+H76+B76)/3, I76)"),83.3166666666666)</f>
        <v>83.316666666666606</v>
      </c>
      <c r="AJ76" s="75" t="str">
        <f ca="1">IFERROR(__xludf.DUMMYFUNCTION("AVERAGE.WEIGHTED((K76+L76+J76)/3, N76)"),"#N/A")</f>
        <v>#N/A</v>
      </c>
      <c r="AK76" s="75" t="str">
        <f t="shared" ca="1" si="21"/>
        <v>SELL</v>
      </c>
      <c r="AL76" s="31"/>
      <c r="AM76" s="31"/>
      <c r="AN76" s="31"/>
      <c r="AO76" s="31"/>
      <c r="AP76" s="31"/>
      <c r="AQ76" s="31"/>
      <c r="AR76" s="31"/>
    </row>
    <row r="77" spans="1:44" ht="15.75" customHeight="1">
      <c r="A77" s="61" t="s">
        <v>142</v>
      </c>
      <c r="B77" s="62">
        <f ca="1">IFERROR(__xludf.DUMMYFUNCTION("googlefinance(""nse:""&amp;A77,""price"")"),181.05)</f>
        <v>181.05</v>
      </c>
      <c r="C77" s="63" t="str">
        <f t="shared" ca="1" si="0"/>
        <v>SELL</v>
      </c>
      <c r="D77" s="63">
        <f ca="1">IFERROR(__xludf.DUMMYFUNCTION("googlefinance(""nse:""&amp;A77,""changepct"")"),-0.6)</f>
        <v>-0.6</v>
      </c>
      <c r="E77" s="63">
        <f ca="1">IFERROR(__xludf.DUMMYFUNCTION("googlefinance(""nse:""&amp;A77,""change"")"),-1.1)</f>
        <v>-1.1000000000000001</v>
      </c>
      <c r="F77" s="63">
        <f ca="1">IFERROR(__xludf.DUMMYFUNCTION("googlefinance(""nse:""&amp;A77,""priceopen"")"),184.9)</f>
        <v>184.9</v>
      </c>
      <c r="G77" s="63">
        <f ca="1">IFERROR(__xludf.DUMMYFUNCTION("googlefinance(""nse:""&amp;A77,""HIGH"")"),184.9)</f>
        <v>184.9</v>
      </c>
      <c r="H77" s="63">
        <f ca="1">IFERROR(__xludf.DUMMYFUNCTION("googlefinance(""nse:""&amp;A77,""LOW"")"),180.45)</f>
        <v>180.45</v>
      </c>
      <c r="I77" s="63">
        <f ca="1">IFERROR(__xludf.DUMMYFUNCTION("googlefinance(""nse:""&amp;A77,""VOLUME"")"),30169126)</f>
        <v>30169126</v>
      </c>
      <c r="J77" s="63">
        <f ca="1">IFERROR(__xludf.DUMMYFUNCTION("googlefinance(""nse:""&amp;A77,""closeyest"")"),182.15)</f>
        <v>182.15</v>
      </c>
      <c r="K77" s="65" t="str">
        <f ca="1">IFERROR(__xludf.DUMMYFUNCTION("INDEX( GoogleFinance( ""NSE:""&amp;A77 , ""all"" , TODAY()-4) , 2, 3)"),"#N/A")</f>
        <v>#N/A</v>
      </c>
      <c r="L77" s="66" t="str">
        <f ca="1">IFERROR(__xludf.DUMMYFUNCTION("INDEX( GoogleFinance(""NSE:""&amp;A77 , ""all"" , TODAY()-4 ) , 2, 4)"),"#N/A")</f>
        <v>#N/A</v>
      </c>
      <c r="M77" s="67" t="str">
        <f ca="1">IFERROR(__xludf.DUMMYFUNCTION("INDEX( GoogleFinance( ""NSE:""&amp;A77 , ""all"" , TODAY()-4) , 2, 2)"),"#N/A")</f>
        <v>#N/A</v>
      </c>
      <c r="N77" s="68" t="str">
        <f ca="1">IFERROR(__xludf.DUMMYFUNCTION("INDEX( GoogleFinance( ""NSE:""&amp;A77 , ""all"" , TODAY()-4) , 2, 6)"),"#N/A")</f>
        <v>#N/A</v>
      </c>
      <c r="O77" s="69" t="str">
        <f t="shared" ca="1" si="1"/>
        <v/>
      </c>
      <c r="P77" s="69" t="e">
        <f t="shared" ca="1" si="2"/>
        <v>#VALUE!</v>
      </c>
      <c r="Q77" s="69" t="e">
        <f t="shared" ca="1" si="3"/>
        <v>#VALUE!</v>
      </c>
      <c r="R77" s="69" t="e">
        <f t="shared" ca="1" si="23"/>
        <v>#VALUE!</v>
      </c>
      <c r="S77" s="69" t="e">
        <f t="shared" ca="1" si="5"/>
        <v>#VALUE!</v>
      </c>
      <c r="T77" s="69" t="e">
        <f t="shared" ca="1" si="6"/>
        <v>#VALUE!</v>
      </c>
      <c r="U77" s="69" t="e">
        <f t="shared" ca="1" si="24"/>
        <v>#VALUE!</v>
      </c>
      <c r="V77" s="69" t="e">
        <f t="shared" ca="1" si="25"/>
        <v>#VALUE!</v>
      </c>
      <c r="W77" s="70" t="str">
        <f t="shared" ca="1" si="9"/>
        <v/>
      </c>
      <c r="X77" s="70" t="e">
        <f t="shared" ca="1" si="10"/>
        <v>#VALUE!</v>
      </c>
      <c r="Y77" s="70" t="e">
        <f t="shared" ca="1" si="11"/>
        <v>#VALUE!</v>
      </c>
      <c r="Z77" s="71" t="e">
        <f t="shared" ca="1" si="12"/>
        <v>#VALUE!</v>
      </c>
      <c r="AA77" s="72" t="e">
        <f t="shared" ca="1" si="13"/>
        <v>#VALUE!</v>
      </c>
      <c r="AB77" s="72" t="e">
        <f t="shared" ca="1" si="14"/>
        <v>#VALUE!</v>
      </c>
      <c r="AC77" s="72" t="e">
        <f t="shared" ca="1" si="15"/>
        <v>#VALUE!</v>
      </c>
      <c r="AD77" s="73" t="e">
        <f t="shared" ca="1" si="16"/>
        <v>#VALUE!</v>
      </c>
      <c r="AE77" s="19" t="e">
        <f t="shared" ca="1" si="17"/>
        <v>#VALUE!</v>
      </c>
      <c r="AF77" s="74" t="str">
        <f t="shared" ca="1" si="18"/>
        <v>Below D1 Low</v>
      </c>
      <c r="AG77" s="17" t="str">
        <f t="shared" ca="1" si="19"/>
        <v>Sell</v>
      </c>
      <c r="AH77" s="17" t="str">
        <f t="shared" ca="1" si="20"/>
        <v>SELL</v>
      </c>
      <c r="AI77" s="75">
        <f ca="1">IFERROR(__xludf.DUMMYFUNCTION("AVERAGE.WEIGHTED((G77+H77+B77)/3, I77)"),182.133333333333)</f>
        <v>182.13333333333301</v>
      </c>
      <c r="AJ77" s="75" t="str">
        <f ca="1">IFERROR(__xludf.DUMMYFUNCTION("AVERAGE.WEIGHTED((K77+L77+J77)/3, N77)"),"#N/A")</f>
        <v>#N/A</v>
      </c>
      <c r="AK77" s="75" t="str">
        <f t="shared" ca="1" si="21"/>
        <v>SELL</v>
      </c>
      <c r="AL77" s="31"/>
      <c r="AM77" s="31"/>
      <c r="AN77" s="31"/>
      <c r="AO77" s="31"/>
      <c r="AP77" s="31"/>
      <c r="AQ77" s="31"/>
      <c r="AR77" s="31"/>
    </row>
    <row r="78" spans="1:44" ht="15.75" customHeight="1">
      <c r="A78" s="61" t="s">
        <v>143</v>
      </c>
      <c r="B78" s="62">
        <f ca="1">IFERROR(__xludf.DUMMYFUNCTION("googlefinance(""nse:""&amp;A78,""price"")"),94.45)</f>
        <v>94.45</v>
      </c>
      <c r="C78" s="63">
        <f t="shared" ca="1" si="0"/>
        <v>0</v>
      </c>
      <c r="D78" s="63">
        <f ca="1">IFERROR(__xludf.DUMMYFUNCTION("googlefinance(""nse:""&amp;A78,""changepct"")"),6.42)</f>
        <v>6.42</v>
      </c>
      <c r="E78" s="63">
        <f ca="1">IFERROR(__xludf.DUMMYFUNCTION("googlefinance(""nse:""&amp;A78,""change"")"),5.7)</f>
        <v>5.7</v>
      </c>
      <c r="F78" s="63">
        <f ca="1">IFERROR(__xludf.DUMMYFUNCTION("googlefinance(""nse:""&amp;A78,""priceopen"")"),91)</f>
        <v>91</v>
      </c>
      <c r="G78" s="63">
        <f ca="1">IFERROR(__xludf.DUMMYFUNCTION("googlefinance(""nse:""&amp;A78,""HIGH"")"),96.15)</f>
        <v>96.15</v>
      </c>
      <c r="H78" s="63">
        <f ca="1">IFERROR(__xludf.DUMMYFUNCTION("googlefinance(""nse:""&amp;A78,""LOW"")"),89.7)</f>
        <v>89.7</v>
      </c>
      <c r="I78" s="63">
        <f ca="1">IFERROR(__xludf.DUMMYFUNCTION("googlefinance(""nse:""&amp;A78,""VOLUME"")"),31628041)</f>
        <v>31628041</v>
      </c>
      <c r="J78" s="63">
        <f ca="1">IFERROR(__xludf.DUMMYFUNCTION("googlefinance(""nse:""&amp;A78,""closeyest"")"),88.75)</f>
        <v>88.75</v>
      </c>
      <c r="K78" s="65" t="str">
        <f ca="1">IFERROR(__xludf.DUMMYFUNCTION("INDEX( GoogleFinance( ""NSE:""&amp;A78 , ""all"" , TODAY()-4) , 2, 3)"),"#N/A")</f>
        <v>#N/A</v>
      </c>
      <c r="L78" s="66" t="str">
        <f ca="1">IFERROR(__xludf.DUMMYFUNCTION("INDEX( GoogleFinance(""NSE:""&amp;A78 , ""all"" , TODAY()-4 ) , 2, 4)"),"#N/A")</f>
        <v>#N/A</v>
      </c>
      <c r="M78" s="67" t="str">
        <f ca="1">IFERROR(__xludf.DUMMYFUNCTION("INDEX( GoogleFinance( ""NSE:""&amp;A78 , ""all"" , TODAY()-4) , 2, 2)"),"#N/A")</f>
        <v>#N/A</v>
      </c>
      <c r="N78" s="68" t="str">
        <f ca="1">IFERROR(__xludf.DUMMYFUNCTION("INDEX( GoogleFinance( ""NSE:""&amp;A78 , ""all"" , TODAY()-4) , 2, 6)"),"#N/A")</f>
        <v>#N/A</v>
      </c>
      <c r="O78" s="69" t="str">
        <f t="shared" ca="1" si="1"/>
        <v/>
      </c>
      <c r="P78" s="69" t="e">
        <f t="shared" ca="1" si="2"/>
        <v>#VALUE!</v>
      </c>
      <c r="Q78" s="69" t="e">
        <f t="shared" ca="1" si="3"/>
        <v>#VALUE!</v>
      </c>
      <c r="R78" s="69" t="e">
        <f t="shared" ca="1" si="23"/>
        <v>#VALUE!</v>
      </c>
      <c r="S78" s="69" t="e">
        <f t="shared" ca="1" si="5"/>
        <v>#VALUE!</v>
      </c>
      <c r="T78" s="69" t="e">
        <f t="shared" ca="1" si="6"/>
        <v>#VALUE!</v>
      </c>
      <c r="U78" s="69" t="e">
        <f t="shared" ca="1" si="24"/>
        <v>#VALUE!</v>
      </c>
      <c r="V78" s="69" t="e">
        <f t="shared" ca="1" si="25"/>
        <v>#VALUE!</v>
      </c>
      <c r="W78" s="70" t="str">
        <f t="shared" ca="1" si="9"/>
        <v/>
      </c>
      <c r="X78" s="70" t="e">
        <f t="shared" ca="1" si="10"/>
        <v>#VALUE!</v>
      </c>
      <c r="Y78" s="70" t="e">
        <f t="shared" ca="1" si="11"/>
        <v>#VALUE!</v>
      </c>
      <c r="Z78" s="71" t="e">
        <f t="shared" ca="1" si="12"/>
        <v>#VALUE!</v>
      </c>
      <c r="AA78" s="72" t="e">
        <f t="shared" ca="1" si="13"/>
        <v>#VALUE!</v>
      </c>
      <c r="AB78" s="72" t="e">
        <f t="shared" ca="1" si="14"/>
        <v>#VALUE!</v>
      </c>
      <c r="AC78" s="72" t="e">
        <f t="shared" ca="1" si="15"/>
        <v>#VALUE!</v>
      </c>
      <c r="AD78" s="73" t="e">
        <f t="shared" ca="1" si="16"/>
        <v>#VALUE!</v>
      </c>
      <c r="AE78" s="19" t="e">
        <f t="shared" ca="1" si="17"/>
        <v>#VALUE!</v>
      </c>
      <c r="AF78" s="74" t="str">
        <f t="shared" ca="1" si="18"/>
        <v>Below D1 Low</v>
      </c>
      <c r="AG78" s="17" t="str">
        <f t="shared" ca="1" si="19"/>
        <v>Sell</v>
      </c>
      <c r="AH78" s="17" t="str">
        <f t="shared" ca="1" si="20"/>
        <v>SELL</v>
      </c>
      <c r="AI78" s="75">
        <f ca="1">IFERROR(__xludf.DUMMYFUNCTION("AVERAGE.WEIGHTED((G78+H78+B78)/3, I78)"),93.4333333333333)</f>
        <v>93.433333333333294</v>
      </c>
      <c r="AJ78" s="75" t="str">
        <f ca="1">IFERROR(__xludf.DUMMYFUNCTION("AVERAGE.WEIGHTED((K78+L78+J78)/3, N78)"),"#N/A")</f>
        <v>#N/A</v>
      </c>
      <c r="AK78" s="75" t="str">
        <f t="shared" ca="1" si="21"/>
        <v>SELL</v>
      </c>
      <c r="AL78" s="31"/>
      <c r="AM78" s="31"/>
      <c r="AN78" s="31"/>
      <c r="AO78" s="31"/>
      <c r="AP78" s="31"/>
      <c r="AQ78" s="31"/>
      <c r="AR78" s="31"/>
    </row>
    <row r="79" spans="1:44" ht="15.75" customHeight="1">
      <c r="A79" s="61" t="s">
        <v>144</v>
      </c>
      <c r="B79" s="62">
        <f ca="1">IFERROR(__xludf.DUMMYFUNCTION("googlefinance(""nse:""&amp;A79,""price"")"),182)</f>
        <v>182</v>
      </c>
      <c r="C79" s="63">
        <f t="shared" ca="1" si="0"/>
        <v>0</v>
      </c>
      <c r="D79" s="63">
        <f ca="1">IFERROR(__xludf.DUMMYFUNCTION("googlefinance(""nse:""&amp;A79,""changepct"")"),10.91)</f>
        <v>10.91</v>
      </c>
      <c r="E79" s="63">
        <f ca="1">IFERROR(__xludf.DUMMYFUNCTION("googlefinance(""nse:""&amp;A79,""change"")"),17.9)</f>
        <v>17.899999999999999</v>
      </c>
      <c r="F79" s="63">
        <f ca="1">IFERROR(__xludf.DUMMYFUNCTION("googlefinance(""nse:""&amp;A79,""priceopen"")"),168.6)</f>
        <v>168.6</v>
      </c>
      <c r="G79" s="63">
        <f ca="1">IFERROR(__xludf.DUMMYFUNCTION("googlefinance(""nse:""&amp;A79,""HIGH"")"),188.7)</f>
        <v>188.7</v>
      </c>
      <c r="H79" s="63">
        <f ca="1">IFERROR(__xludf.DUMMYFUNCTION("googlefinance(""nse:""&amp;A79,""LOW"")"),167.5)</f>
        <v>167.5</v>
      </c>
      <c r="I79" s="63">
        <f ca="1">IFERROR(__xludf.DUMMYFUNCTION("googlefinance(""nse:""&amp;A79,""VOLUME"")"),16023589)</f>
        <v>16023589</v>
      </c>
      <c r="J79" s="63">
        <f ca="1">IFERROR(__xludf.DUMMYFUNCTION("googlefinance(""nse:""&amp;A79,""closeyest"")"),164.1)</f>
        <v>164.1</v>
      </c>
      <c r="K79" s="65" t="str">
        <f ca="1">IFERROR(__xludf.DUMMYFUNCTION("INDEX( GoogleFinance( ""NSE:""&amp;A79 , ""all"" , TODAY()-4) , 2, 3)"),"#N/A")</f>
        <v>#N/A</v>
      </c>
      <c r="L79" s="66" t="str">
        <f ca="1">IFERROR(__xludf.DUMMYFUNCTION("INDEX( GoogleFinance(""NSE:""&amp;A79 , ""all"" , TODAY()-4 ) , 2, 4)"),"#N/A")</f>
        <v>#N/A</v>
      </c>
      <c r="M79" s="67" t="str">
        <f ca="1">IFERROR(__xludf.DUMMYFUNCTION("INDEX( GoogleFinance( ""NSE:""&amp;A79 , ""all"" , TODAY()-4) , 2, 2)"),"#N/A")</f>
        <v>#N/A</v>
      </c>
      <c r="N79" s="68" t="str">
        <f ca="1">IFERROR(__xludf.DUMMYFUNCTION("INDEX( GoogleFinance( ""NSE:""&amp;A79 , ""all"" , TODAY()-4) , 2, 6)"),"#N/A")</f>
        <v>#N/A</v>
      </c>
      <c r="O79" s="69" t="str">
        <f t="shared" ca="1" si="1"/>
        <v/>
      </c>
      <c r="P79" s="69" t="e">
        <f t="shared" ca="1" si="2"/>
        <v>#VALUE!</v>
      </c>
      <c r="Q79" s="69" t="e">
        <f t="shared" ca="1" si="3"/>
        <v>#VALUE!</v>
      </c>
      <c r="R79" s="69" t="e">
        <f t="shared" ca="1" si="23"/>
        <v>#VALUE!</v>
      </c>
      <c r="S79" s="69" t="e">
        <f t="shared" ca="1" si="5"/>
        <v>#VALUE!</v>
      </c>
      <c r="T79" s="69" t="e">
        <f t="shared" ca="1" si="6"/>
        <v>#VALUE!</v>
      </c>
      <c r="U79" s="69" t="e">
        <f t="shared" ca="1" si="24"/>
        <v>#VALUE!</v>
      </c>
      <c r="V79" s="69" t="e">
        <f t="shared" ca="1" si="25"/>
        <v>#VALUE!</v>
      </c>
      <c r="W79" s="70" t="str">
        <f t="shared" ca="1" si="9"/>
        <v/>
      </c>
      <c r="X79" s="70" t="e">
        <f t="shared" ca="1" si="10"/>
        <v>#VALUE!</v>
      </c>
      <c r="Y79" s="70" t="e">
        <f t="shared" ca="1" si="11"/>
        <v>#VALUE!</v>
      </c>
      <c r="Z79" s="71" t="e">
        <f t="shared" ca="1" si="12"/>
        <v>#VALUE!</v>
      </c>
      <c r="AA79" s="72" t="e">
        <f t="shared" ca="1" si="13"/>
        <v>#VALUE!</v>
      </c>
      <c r="AB79" s="72" t="e">
        <f t="shared" ca="1" si="14"/>
        <v>#VALUE!</v>
      </c>
      <c r="AC79" s="72" t="e">
        <f t="shared" ca="1" si="15"/>
        <v>#VALUE!</v>
      </c>
      <c r="AD79" s="73" t="e">
        <f t="shared" ca="1" si="16"/>
        <v>#VALUE!</v>
      </c>
      <c r="AE79" s="19" t="e">
        <f t="shared" ca="1" si="17"/>
        <v>#VALUE!</v>
      </c>
      <c r="AF79" s="74" t="str">
        <f t="shared" ca="1" si="18"/>
        <v>Below D1 Low</v>
      </c>
      <c r="AG79" s="17" t="str">
        <f t="shared" ca="1" si="19"/>
        <v>Sell</v>
      </c>
      <c r="AH79" s="17" t="str">
        <f t="shared" ca="1" si="20"/>
        <v>SELL</v>
      </c>
      <c r="AI79" s="75">
        <f ca="1">IFERROR(__xludf.DUMMYFUNCTION("AVERAGE.WEIGHTED((G79+H79+B79)/3, I79)"),179.4)</f>
        <v>179.4</v>
      </c>
      <c r="AJ79" s="75" t="str">
        <f ca="1">IFERROR(__xludf.DUMMYFUNCTION("AVERAGE.WEIGHTED((K79+L79+J79)/3, N79)"),"#N/A")</f>
        <v>#N/A</v>
      </c>
      <c r="AK79" s="75" t="str">
        <f t="shared" ca="1" si="21"/>
        <v>SELL</v>
      </c>
      <c r="AL79" s="31"/>
      <c r="AM79" s="31"/>
      <c r="AN79" s="31"/>
      <c r="AO79" s="31"/>
      <c r="AP79" s="31"/>
      <c r="AQ79" s="31"/>
      <c r="AR79" s="31"/>
    </row>
    <row r="80" spans="1:44" ht="15.75" customHeight="1">
      <c r="A80" s="61" t="s">
        <v>145</v>
      </c>
      <c r="B80" s="62">
        <f ca="1">IFERROR(__xludf.DUMMYFUNCTION("googlefinance(""nse:""&amp;A80,""price"")"),1617.05)</f>
        <v>1617.05</v>
      </c>
      <c r="C80" s="63" t="str">
        <f t="shared" ca="1" si="0"/>
        <v>BUY</v>
      </c>
      <c r="D80" s="63">
        <f ca="1">IFERROR(__xludf.DUMMYFUNCTION("googlefinance(""nse:""&amp;A80,""changepct"")"),4.09)</f>
        <v>4.09</v>
      </c>
      <c r="E80" s="63">
        <f ca="1">IFERROR(__xludf.DUMMYFUNCTION("googlefinance(""nse:""&amp;A80,""change"")"),63.5)</f>
        <v>63.5</v>
      </c>
      <c r="F80" s="63">
        <f ca="1">IFERROR(__xludf.DUMMYFUNCTION("googlefinance(""nse:""&amp;A80,""priceopen"")"),1576)</f>
        <v>1576</v>
      </c>
      <c r="G80" s="63">
        <f ca="1">IFERROR(__xludf.DUMMYFUNCTION("googlefinance(""nse:""&amp;A80,""HIGH"")"),1647)</f>
        <v>1647</v>
      </c>
      <c r="H80" s="63">
        <f ca="1">IFERROR(__xludf.DUMMYFUNCTION("googlefinance(""nse:""&amp;A80,""LOW"")"),1576)</f>
        <v>1576</v>
      </c>
      <c r="I80" s="63">
        <f ca="1">IFERROR(__xludf.DUMMYFUNCTION("googlefinance(""nse:""&amp;A80,""VOLUME"")"),1705977)</f>
        <v>1705977</v>
      </c>
      <c r="J80" s="63">
        <f ca="1">IFERROR(__xludf.DUMMYFUNCTION("googlefinance(""nse:""&amp;A80,""closeyest"")"),1553.55)</f>
        <v>1553.55</v>
      </c>
      <c r="K80" s="65" t="str">
        <f ca="1">IFERROR(__xludf.DUMMYFUNCTION("INDEX( GoogleFinance( ""NSE:""&amp;A80 , ""all"" , TODAY()-4) , 2, 3)"),"#N/A")</f>
        <v>#N/A</v>
      </c>
      <c r="L80" s="66" t="str">
        <f ca="1">IFERROR(__xludf.DUMMYFUNCTION("INDEX( GoogleFinance(""NSE:""&amp;A80 , ""all"" , TODAY()-4 ) , 2, 4)"),"#N/A")</f>
        <v>#N/A</v>
      </c>
      <c r="M80" s="67" t="str">
        <f ca="1">IFERROR(__xludf.DUMMYFUNCTION("INDEX( GoogleFinance( ""NSE:""&amp;A80 , ""all"" , TODAY()-4) , 2, 2)"),"#N/A")</f>
        <v>#N/A</v>
      </c>
      <c r="N80" s="68" t="str">
        <f ca="1">IFERROR(__xludf.DUMMYFUNCTION("INDEX( GoogleFinance( ""NSE:""&amp;A80 , ""all"" , TODAY()-4) , 2, 6)"),"#N/A")</f>
        <v>#N/A</v>
      </c>
      <c r="O80" s="69" t="str">
        <f t="shared" ca="1" si="1"/>
        <v/>
      </c>
      <c r="P80" s="69" t="e">
        <f t="shared" ca="1" si="2"/>
        <v>#VALUE!</v>
      </c>
      <c r="Q80" s="69" t="e">
        <f t="shared" ca="1" si="3"/>
        <v>#VALUE!</v>
      </c>
      <c r="R80" s="69" t="e">
        <f t="shared" ca="1" si="23"/>
        <v>#VALUE!</v>
      </c>
      <c r="S80" s="69" t="e">
        <f t="shared" ca="1" si="5"/>
        <v>#VALUE!</v>
      </c>
      <c r="T80" s="69" t="e">
        <f t="shared" ca="1" si="6"/>
        <v>#VALUE!</v>
      </c>
      <c r="U80" s="69" t="e">
        <f t="shared" ca="1" si="24"/>
        <v>#VALUE!</v>
      </c>
      <c r="V80" s="69" t="e">
        <f t="shared" ca="1" si="25"/>
        <v>#VALUE!</v>
      </c>
      <c r="W80" s="70" t="str">
        <f t="shared" ca="1" si="9"/>
        <v/>
      </c>
      <c r="X80" s="70" t="e">
        <f t="shared" ca="1" si="10"/>
        <v>#VALUE!</v>
      </c>
      <c r="Y80" s="70" t="e">
        <f t="shared" ca="1" si="11"/>
        <v>#VALUE!</v>
      </c>
      <c r="Z80" s="71" t="e">
        <f t="shared" ca="1" si="12"/>
        <v>#VALUE!</v>
      </c>
      <c r="AA80" s="72" t="e">
        <f t="shared" ca="1" si="13"/>
        <v>#VALUE!</v>
      </c>
      <c r="AB80" s="72" t="e">
        <f t="shared" ca="1" si="14"/>
        <v>#VALUE!</v>
      </c>
      <c r="AC80" s="72" t="e">
        <f t="shared" ca="1" si="15"/>
        <v>#VALUE!</v>
      </c>
      <c r="AD80" s="73" t="e">
        <f t="shared" ca="1" si="16"/>
        <v>#VALUE!</v>
      </c>
      <c r="AE80" s="19" t="e">
        <f t="shared" ca="1" si="17"/>
        <v>#VALUE!</v>
      </c>
      <c r="AF80" s="74" t="str">
        <f t="shared" ca="1" si="18"/>
        <v>Below D1 Low</v>
      </c>
      <c r="AG80" s="17" t="str">
        <f t="shared" ca="1" si="19"/>
        <v>Sell</v>
      </c>
      <c r="AH80" s="17" t="str">
        <f t="shared" ca="1" si="20"/>
        <v>SELL</v>
      </c>
      <c r="AI80" s="75">
        <f ca="1">IFERROR(__xludf.DUMMYFUNCTION("AVERAGE.WEIGHTED((G80+H80+B80)/3, I80)"),1613.35)</f>
        <v>1613.35</v>
      </c>
      <c r="AJ80" s="75" t="str">
        <f ca="1">IFERROR(__xludf.DUMMYFUNCTION("AVERAGE.WEIGHTED((K80+L80+J80)/3, N80)"),"#N/A")</f>
        <v>#N/A</v>
      </c>
      <c r="AK80" s="75" t="str">
        <f t="shared" ca="1" si="21"/>
        <v>SELL</v>
      </c>
      <c r="AL80" s="31"/>
      <c r="AM80" s="31"/>
      <c r="AN80" s="31"/>
      <c r="AO80" s="31"/>
      <c r="AP80" s="31"/>
      <c r="AQ80" s="31"/>
      <c r="AR80" s="31"/>
    </row>
    <row r="81" spans="1:44" ht="15.75" customHeight="1">
      <c r="A81" s="61" t="s">
        <v>146</v>
      </c>
      <c r="B81" s="62">
        <f ca="1">IFERROR(__xludf.DUMMYFUNCTION("googlefinance(""nse:""&amp;A81,""price"")"),402.5)</f>
        <v>402.5</v>
      </c>
      <c r="C81" s="63">
        <f t="shared" ca="1" si="0"/>
        <v>0</v>
      </c>
      <c r="D81" s="63">
        <f ca="1">IFERROR(__xludf.DUMMYFUNCTION("googlefinance(""nse:""&amp;A81,""changepct"")"),3.21)</f>
        <v>3.21</v>
      </c>
      <c r="E81" s="63">
        <f ca="1">IFERROR(__xludf.DUMMYFUNCTION("googlefinance(""nse:""&amp;A81,""change"")"),12.5)</f>
        <v>12.5</v>
      </c>
      <c r="F81" s="63">
        <f ca="1">IFERROR(__xludf.DUMMYFUNCTION("googlefinance(""nse:""&amp;A81,""priceopen"")"),404)</f>
        <v>404</v>
      </c>
      <c r="G81" s="63">
        <f ca="1">IFERROR(__xludf.DUMMYFUNCTION("googlefinance(""nse:""&amp;A81,""HIGH"")"),425)</f>
        <v>425</v>
      </c>
      <c r="H81" s="63">
        <f ca="1">IFERROR(__xludf.DUMMYFUNCTION("googlefinance(""nse:""&amp;A81,""LOW"")"),388.9)</f>
        <v>388.9</v>
      </c>
      <c r="I81" s="63">
        <f ca="1">IFERROR(__xludf.DUMMYFUNCTION("googlefinance(""nse:""&amp;A81,""VOLUME"")"),8589800)</f>
        <v>8589800</v>
      </c>
      <c r="J81" s="63">
        <f ca="1">IFERROR(__xludf.DUMMYFUNCTION("googlefinance(""nse:""&amp;A81,""closeyest"")"),390)</f>
        <v>390</v>
      </c>
      <c r="K81" s="65" t="str">
        <f ca="1">IFERROR(__xludf.DUMMYFUNCTION("INDEX( GoogleFinance( ""NSE:""&amp;A81 , ""all"" , TODAY()-4) , 2, 3)"),"#N/A")</f>
        <v>#N/A</v>
      </c>
      <c r="L81" s="66" t="str">
        <f ca="1">IFERROR(__xludf.DUMMYFUNCTION("INDEX( GoogleFinance(""NSE:""&amp;A81 , ""all"" , TODAY()-4 ) , 2, 4)"),"#N/A")</f>
        <v>#N/A</v>
      </c>
      <c r="M81" s="67" t="str">
        <f ca="1">IFERROR(__xludf.DUMMYFUNCTION("INDEX( GoogleFinance( ""NSE:""&amp;A81 , ""all"" , TODAY()-4) , 2, 2)"),"#N/A")</f>
        <v>#N/A</v>
      </c>
      <c r="N81" s="68" t="str">
        <f ca="1">IFERROR(__xludf.DUMMYFUNCTION("INDEX( GoogleFinance( ""NSE:""&amp;A81 , ""all"" , TODAY()-4) , 2, 6)"),"#N/A")</f>
        <v>#N/A</v>
      </c>
      <c r="O81" s="69" t="str">
        <f t="shared" ca="1" si="1"/>
        <v/>
      </c>
      <c r="P81" s="69" t="e">
        <f t="shared" ca="1" si="2"/>
        <v>#VALUE!</v>
      </c>
      <c r="Q81" s="69" t="e">
        <f t="shared" ca="1" si="3"/>
        <v>#VALUE!</v>
      </c>
      <c r="R81" s="69" t="e">
        <f t="shared" ca="1" si="23"/>
        <v>#VALUE!</v>
      </c>
      <c r="S81" s="69" t="e">
        <f t="shared" ca="1" si="5"/>
        <v>#VALUE!</v>
      </c>
      <c r="T81" s="69" t="e">
        <f t="shared" ca="1" si="6"/>
        <v>#VALUE!</v>
      </c>
      <c r="U81" s="69" t="e">
        <f t="shared" ca="1" si="24"/>
        <v>#VALUE!</v>
      </c>
      <c r="V81" s="69" t="e">
        <f t="shared" ca="1" si="25"/>
        <v>#VALUE!</v>
      </c>
      <c r="W81" s="70" t="str">
        <f t="shared" ca="1" si="9"/>
        <v/>
      </c>
      <c r="X81" s="70" t="e">
        <f t="shared" ca="1" si="10"/>
        <v>#VALUE!</v>
      </c>
      <c r="Y81" s="70" t="e">
        <f t="shared" ca="1" si="11"/>
        <v>#VALUE!</v>
      </c>
      <c r="Z81" s="71" t="e">
        <f t="shared" ca="1" si="12"/>
        <v>#VALUE!</v>
      </c>
      <c r="AA81" s="72" t="e">
        <f t="shared" ca="1" si="13"/>
        <v>#VALUE!</v>
      </c>
      <c r="AB81" s="72" t="e">
        <f t="shared" ca="1" si="14"/>
        <v>#VALUE!</v>
      </c>
      <c r="AC81" s="72" t="e">
        <f t="shared" ca="1" si="15"/>
        <v>#VALUE!</v>
      </c>
      <c r="AD81" s="73" t="e">
        <f t="shared" ca="1" si="16"/>
        <v>#VALUE!</v>
      </c>
      <c r="AE81" s="19" t="e">
        <f t="shared" ca="1" si="17"/>
        <v>#VALUE!</v>
      </c>
      <c r="AF81" s="74" t="str">
        <f t="shared" ca="1" si="18"/>
        <v>Below D1 Low</v>
      </c>
      <c r="AG81" s="17" t="str">
        <f t="shared" ca="1" si="19"/>
        <v>Sell</v>
      </c>
      <c r="AH81" s="17" t="str">
        <f t="shared" ca="1" si="20"/>
        <v>SELL</v>
      </c>
      <c r="AI81" s="75">
        <f ca="1">IFERROR(__xludf.DUMMYFUNCTION("AVERAGE.WEIGHTED((G81+H81+B81)/3, I81)"),405.466666666666)</f>
        <v>405.46666666666601</v>
      </c>
      <c r="AJ81" s="75" t="str">
        <f ca="1">IFERROR(__xludf.DUMMYFUNCTION("AVERAGE.WEIGHTED((K81+L81+J81)/3, N81)"),"#N/A")</f>
        <v>#N/A</v>
      </c>
      <c r="AK81" s="75" t="str">
        <f t="shared" ca="1" si="21"/>
        <v>SELL</v>
      </c>
      <c r="AL81" s="31"/>
      <c r="AM81" s="31"/>
      <c r="AN81" s="31"/>
      <c r="AO81" s="31"/>
      <c r="AP81" s="31"/>
      <c r="AQ81" s="31"/>
      <c r="AR81" s="31"/>
    </row>
    <row r="82" spans="1:44" ht="15.75" customHeight="1">
      <c r="A82" s="61" t="s">
        <v>147</v>
      </c>
      <c r="B82" s="62">
        <f ca="1">IFERROR(__xludf.DUMMYFUNCTION("googlefinance(""nse:""&amp;A82,""price"")"),1355.5)</f>
        <v>1355.5</v>
      </c>
      <c r="C82" s="63">
        <f t="shared" ca="1" si="0"/>
        <v>0</v>
      </c>
      <c r="D82" s="63">
        <f ca="1">IFERROR(__xludf.DUMMYFUNCTION("googlefinance(""nse:""&amp;A82,""changepct"")"),2.08)</f>
        <v>2.08</v>
      </c>
      <c r="E82" s="63">
        <f ca="1">IFERROR(__xludf.DUMMYFUNCTION("googlefinance(""nse:""&amp;A82,""change"")"),27.65)</f>
        <v>27.65</v>
      </c>
      <c r="F82" s="63">
        <f ca="1">IFERROR(__xludf.DUMMYFUNCTION("googlefinance(""nse:""&amp;A82,""priceopen"")"),1340)</f>
        <v>1340</v>
      </c>
      <c r="G82" s="63">
        <f ca="1">IFERROR(__xludf.DUMMYFUNCTION("googlefinance(""nse:""&amp;A82,""HIGH"")"),1380)</f>
        <v>1380</v>
      </c>
      <c r="H82" s="63">
        <f ca="1">IFERROR(__xludf.DUMMYFUNCTION("googlefinance(""nse:""&amp;A82,""LOW"")"),1334.05)</f>
        <v>1334.05</v>
      </c>
      <c r="I82" s="63">
        <f ca="1">IFERROR(__xludf.DUMMYFUNCTION("googlefinance(""nse:""&amp;A82,""VOLUME"")"),6272569)</f>
        <v>6272569</v>
      </c>
      <c r="J82" s="63">
        <f ca="1">IFERROR(__xludf.DUMMYFUNCTION("googlefinance(""nse:""&amp;A82,""closeyest"")"),1327.85)</f>
        <v>1327.85</v>
      </c>
      <c r="K82" s="65" t="str">
        <f ca="1">IFERROR(__xludf.DUMMYFUNCTION("INDEX( GoogleFinance( ""NSE:""&amp;A82 , ""all"" , TODAY()-4) , 2, 3)"),"#N/A")</f>
        <v>#N/A</v>
      </c>
      <c r="L82" s="66" t="str">
        <f ca="1">IFERROR(__xludf.DUMMYFUNCTION("INDEX( GoogleFinance(""NSE:""&amp;A82 , ""all"" , TODAY()-4 ) , 2, 4)"),"#N/A")</f>
        <v>#N/A</v>
      </c>
      <c r="M82" s="67" t="str">
        <f ca="1">IFERROR(__xludf.DUMMYFUNCTION("INDEX( GoogleFinance( ""NSE:""&amp;A82 , ""all"" , TODAY()-4) , 2, 2)"),"#N/A")</f>
        <v>#N/A</v>
      </c>
      <c r="N82" s="68" t="str">
        <f ca="1">IFERROR(__xludf.DUMMYFUNCTION("INDEX( GoogleFinance( ""NSE:""&amp;A82 , ""all"" , TODAY()-4) , 2, 6)"),"#N/A")</f>
        <v>#N/A</v>
      </c>
      <c r="O82" s="69" t="str">
        <f t="shared" ca="1" si="1"/>
        <v/>
      </c>
      <c r="P82" s="69" t="e">
        <f t="shared" ca="1" si="2"/>
        <v>#VALUE!</v>
      </c>
      <c r="Q82" s="69" t="e">
        <f t="shared" ca="1" si="3"/>
        <v>#VALUE!</v>
      </c>
      <c r="R82" s="69" t="e">
        <f t="shared" ca="1" si="23"/>
        <v>#VALUE!</v>
      </c>
      <c r="S82" s="69" t="e">
        <f t="shared" ca="1" si="5"/>
        <v>#VALUE!</v>
      </c>
      <c r="T82" s="69" t="e">
        <f t="shared" ca="1" si="6"/>
        <v>#VALUE!</v>
      </c>
      <c r="U82" s="69" t="e">
        <f t="shared" ca="1" si="24"/>
        <v>#VALUE!</v>
      </c>
      <c r="V82" s="69" t="e">
        <f t="shared" ca="1" si="25"/>
        <v>#VALUE!</v>
      </c>
      <c r="W82" s="70" t="str">
        <f t="shared" ca="1" si="9"/>
        <v/>
      </c>
      <c r="X82" s="70" t="e">
        <f t="shared" ca="1" si="10"/>
        <v>#VALUE!</v>
      </c>
      <c r="Y82" s="70" t="e">
        <f t="shared" ca="1" si="11"/>
        <v>#VALUE!</v>
      </c>
      <c r="Z82" s="71" t="e">
        <f t="shared" ca="1" si="12"/>
        <v>#VALUE!</v>
      </c>
      <c r="AA82" s="72" t="e">
        <f t="shared" ca="1" si="13"/>
        <v>#VALUE!</v>
      </c>
      <c r="AB82" s="72" t="e">
        <f t="shared" ca="1" si="14"/>
        <v>#VALUE!</v>
      </c>
      <c r="AC82" s="72" t="e">
        <f t="shared" ca="1" si="15"/>
        <v>#VALUE!</v>
      </c>
      <c r="AD82" s="73" t="e">
        <f t="shared" ca="1" si="16"/>
        <v>#VALUE!</v>
      </c>
      <c r="AE82" s="19" t="e">
        <f t="shared" ca="1" si="17"/>
        <v>#VALUE!</v>
      </c>
      <c r="AF82" s="74" t="str">
        <f t="shared" ca="1" si="18"/>
        <v>Below D1 Low</v>
      </c>
      <c r="AG82" s="17" t="str">
        <f t="shared" ca="1" si="19"/>
        <v>Sell</v>
      </c>
      <c r="AH82" s="17" t="str">
        <f t="shared" ca="1" si="20"/>
        <v>SELL</v>
      </c>
      <c r="AI82" s="75">
        <f ca="1">IFERROR(__xludf.DUMMYFUNCTION("AVERAGE.WEIGHTED((G82+H82+B82)/3, I82)"),1356.51666666666)</f>
        <v>1356.5166666666601</v>
      </c>
      <c r="AJ82" s="75" t="str">
        <f ca="1">IFERROR(__xludf.DUMMYFUNCTION("AVERAGE.WEIGHTED((K82+L82+J82)/3, N82)"),"#N/A")</f>
        <v>#N/A</v>
      </c>
      <c r="AK82" s="75" t="str">
        <f t="shared" ca="1" si="21"/>
        <v>SELL</v>
      </c>
      <c r="AL82" s="31"/>
      <c r="AM82" s="31"/>
      <c r="AN82" s="31"/>
      <c r="AO82" s="31"/>
      <c r="AP82" s="31"/>
      <c r="AQ82" s="31"/>
      <c r="AR82" s="31"/>
    </row>
    <row r="83" spans="1:44" ht="15.75" customHeight="1">
      <c r="A83" s="61" t="s">
        <v>148</v>
      </c>
      <c r="B83" s="62">
        <f ca="1">IFERROR(__xludf.DUMMYFUNCTION("googlefinance(""nse:""&amp;A83,""price"")"),65.65)</f>
        <v>65.650000000000006</v>
      </c>
      <c r="C83" s="63">
        <f t="shared" ca="1" si="0"/>
        <v>0</v>
      </c>
      <c r="D83" s="63">
        <f ca="1">IFERROR(__xludf.DUMMYFUNCTION("googlefinance(""nse:""&amp;A83,""changepct"")"),1.63)</f>
        <v>1.63</v>
      </c>
      <c r="E83" s="63">
        <f ca="1">IFERROR(__xludf.DUMMYFUNCTION("googlefinance(""nse:""&amp;A83,""change"")"),1.05)</f>
        <v>1.05</v>
      </c>
      <c r="F83" s="63">
        <f ca="1">IFERROR(__xludf.DUMMYFUNCTION("googlefinance(""nse:""&amp;A83,""priceopen"")"),65.9)</f>
        <v>65.900000000000006</v>
      </c>
      <c r="G83" s="63">
        <f ca="1">IFERROR(__xludf.DUMMYFUNCTION("googlefinance(""nse:""&amp;A83,""HIGH"")"),67.5)</f>
        <v>67.5</v>
      </c>
      <c r="H83" s="63">
        <f ca="1">IFERROR(__xludf.DUMMYFUNCTION("googlefinance(""nse:""&amp;A83,""LOW"")"),65)</f>
        <v>65</v>
      </c>
      <c r="I83" s="63">
        <f ca="1">IFERROR(__xludf.DUMMYFUNCTION("googlefinance(""nse:""&amp;A83,""VOLUME"")"),14299685)</f>
        <v>14299685</v>
      </c>
      <c r="J83" s="63">
        <f ca="1">IFERROR(__xludf.DUMMYFUNCTION("googlefinance(""nse:""&amp;A83,""closeyest"")"),64.6)</f>
        <v>64.599999999999994</v>
      </c>
      <c r="K83" s="65" t="str">
        <f ca="1">IFERROR(__xludf.DUMMYFUNCTION("INDEX( GoogleFinance( ""NSE:""&amp;A83 , ""all"" , TODAY()-4) , 2, 3)"),"#N/A")</f>
        <v>#N/A</v>
      </c>
      <c r="L83" s="66" t="str">
        <f ca="1">IFERROR(__xludf.DUMMYFUNCTION("INDEX( GoogleFinance(""NSE:""&amp;A83 , ""all"" , TODAY()-4 ) , 2, 4)"),"#N/A")</f>
        <v>#N/A</v>
      </c>
      <c r="M83" s="67" t="str">
        <f ca="1">IFERROR(__xludf.DUMMYFUNCTION("INDEX( GoogleFinance( ""NSE:""&amp;A83 , ""all"" , TODAY()-4) , 2, 2)"),"#N/A")</f>
        <v>#N/A</v>
      </c>
      <c r="N83" s="68" t="str">
        <f ca="1">IFERROR(__xludf.DUMMYFUNCTION("INDEX( GoogleFinance( ""NSE:""&amp;A83 , ""all"" , TODAY()-4) , 2, 6)"),"#N/A")</f>
        <v>#N/A</v>
      </c>
      <c r="O83" s="69" t="str">
        <f t="shared" ca="1" si="1"/>
        <v/>
      </c>
      <c r="P83" s="69" t="e">
        <f t="shared" ca="1" si="2"/>
        <v>#VALUE!</v>
      </c>
      <c r="Q83" s="69" t="e">
        <f t="shared" ca="1" si="3"/>
        <v>#VALUE!</v>
      </c>
      <c r="R83" s="69" t="e">
        <f t="shared" ca="1" si="23"/>
        <v>#VALUE!</v>
      </c>
      <c r="S83" s="69" t="e">
        <f t="shared" ca="1" si="5"/>
        <v>#VALUE!</v>
      </c>
      <c r="T83" s="69" t="e">
        <f t="shared" ca="1" si="6"/>
        <v>#VALUE!</v>
      </c>
      <c r="U83" s="69" t="e">
        <f t="shared" ca="1" si="24"/>
        <v>#VALUE!</v>
      </c>
      <c r="V83" s="69" t="e">
        <f t="shared" ca="1" si="25"/>
        <v>#VALUE!</v>
      </c>
      <c r="W83" s="70" t="str">
        <f t="shared" ca="1" si="9"/>
        <v/>
      </c>
      <c r="X83" s="70" t="e">
        <f t="shared" ca="1" si="10"/>
        <v>#VALUE!</v>
      </c>
      <c r="Y83" s="70" t="e">
        <f t="shared" ca="1" si="11"/>
        <v>#VALUE!</v>
      </c>
      <c r="Z83" s="71" t="e">
        <f t="shared" ca="1" si="12"/>
        <v>#VALUE!</v>
      </c>
      <c r="AA83" s="72" t="e">
        <f t="shared" ca="1" si="13"/>
        <v>#VALUE!</v>
      </c>
      <c r="AB83" s="72" t="e">
        <f t="shared" ca="1" si="14"/>
        <v>#VALUE!</v>
      </c>
      <c r="AC83" s="72" t="e">
        <f t="shared" ca="1" si="15"/>
        <v>#VALUE!</v>
      </c>
      <c r="AD83" s="73" t="e">
        <f t="shared" ca="1" si="16"/>
        <v>#VALUE!</v>
      </c>
      <c r="AE83" s="19" t="e">
        <f t="shared" ca="1" si="17"/>
        <v>#VALUE!</v>
      </c>
      <c r="AF83" s="74" t="str">
        <f t="shared" ca="1" si="18"/>
        <v>Below D1 Low</v>
      </c>
      <c r="AG83" s="17" t="str">
        <f t="shared" ca="1" si="19"/>
        <v>Sell</v>
      </c>
      <c r="AH83" s="17" t="str">
        <f t="shared" ca="1" si="20"/>
        <v>SELL</v>
      </c>
      <c r="AI83" s="75">
        <f ca="1">IFERROR(__xludf.DUMMYFUNCTION("AVERAGE.WEIGHTED((G83+H83+B83)/3, I83)"),66.05)</f>
        <v>66.05</v>
      </c>
      <c r="AJ83" s="75" t="str">
        <f ca="1">IFERROR(__xludf.DUMMYFUNCTION("AVERAGE.WEIGHTED((K83+L83+J83)/3, N83)"),"#N/A")</f>
        <v>#N/A</v>
      </c>
      <c r="AK83" s="75" t="str">
        <f t="shared" ca="1" si="21"/>
        <v>SELL</v>
      </c>
      <c r="AL83" s="31"/>
      <c r="AM83" s="31"/>
      <c r="AN83" s="31"/>
      <c r="AO83" s="31"/>
      <c r="AP83" s="31"/>
      <c r="AQ83" s="31"/>
      <c r="AR83" s="31"/>
    </row>
    <row r="84" spans="1:44" ht="15.75" customHeight="1">
      <c r="A84" s="61" t="s">
        <v>149</v>
      </c>
      <c r="B84" s="62">
        <f ca="1">IFERROR(__xludf.DUMMYFUNCTION("googlefinance(""nse:""&amp;A84,""price"")"),283.25)</f>
        <v>283.25</v>
      </c>
      <c r="C84" s="63">
        <f t="shared" ca="1" si="0"/>
        <v>0</v>
      </c>
      <c r="D84" s="63">
        <f ca="1">IFERROR(__xludf.DUMMYFUNCTION("googlefinance(""nse:""&amp;A84,""changepct"")"),-0.47)</f>
        <v>-0.47</v>
      </c>
      <c r="E84" s="63">
        <f ca="1">IFERROR(__xludf.DUMMYFUNCTION("googlefinance(""nse:""&amp;A84,""change"")"),-1.35)</f>
        <v>-1.35</v>
      </c>
      <c r="F84" s="63">
        <f ca="1">IFERROR(__xludf.DUMMYFUNCTION("googlefinance(""nse:""&amp;A84,""priceopen"")"),287.45)</f>
        <v>287.45</v>
      </c>
      <c r="G84" s="63">
        <f ca="1">IFERROR(__xludf.DUMMYFUNCTION("googlefinance(""nse:""&amp;A84,""HIGH"")"),296.85)</f>
        <v>296.85000000000002</v>
      </c>
      <c r="H84" s="63">
        <f ca="1">IFERROR(__xludf.DUMMYFUNCTION("googlefinance(""nse:""&amp;A84,""LOW"")"),281.3)</f>
        <v>281.3</v>
      </c>
      <c r="I84" s="63">
        <f ca="1">IFERROR(__xludf.DUMMYFUNCTION("googlefinance(""nse:""&amp;A84,""VOLUME"")"),7040200)</f>
        <v>7040200</v>
      </c>
      <c r="J84" s="63">
        <f ca="1">IFERROR(__xludf.DUMMYFUNCTION("googlefinance(""nse:""&amp;A84,""closeyest"")"),284.6)</f>
        <v>284.60000000000002</v>
      </c>
      <c r="K84" s="65" t="str">
        <f ca="1">IFERROR(__xludf.DUMMYFUNCTION("INDEX( GoogleFinance( ""NSE:""&amp;A84 , ""all"" , TODAY()-4) , 2, 3)"),"#N/A")</f>
        <v>#N/A</v>
      </c>
      <c r="L84" s="66" t="str">
        <f ca="1">IFERROR(__xludf.DUMMYFUNCTION("INDEX( GoogleFinance(""NSE:""&amp;A84 , ""all"" , TODAY()-4 ) , 2, 4)"),"#N/A")</f>
        <v>#N/A</v>
      </c>
      <c r="M84" s="67" t="str">
        <f ca="1">IFERROR(__xludf.DUMMYFUNCTION("INDEX( GoogleFinance( ""NSE:""&amp;A84 , ""all"" , TODAY()-4) , 2, 2)"),"#N/A")</f>
        <v>#N/A</v>
      </c>
      <c r="N84" s="68" t="str">
        <f ca="1">IFERROR(__xludf.DUMMYFUNCTION("INDEX( GoogleFinance( ""NSE:""&amp;A84 , ""all"" , TODAY()-4) , 2, 6)"),"#N/A")</f>
        <v>#N/A</v>
      </c>
      <c r="O84" s="69" t="str">
        <f t="shared" ca="1" si="1"/>
        <v/>
      </c>
      <c r="P84" s="69" t="e">
        <f t="shared" ca="1" si="2"/>
        <v>#VALUE!</v>
      </c>
      <c r="Q84" s="69" t="e">
        <f t="shared" ca="1" si="3"/>
        <v>#VALUE!</v>
      </c>
      <c r="R84" s="69" t="e">
        <f t="shared" ca="1" si="23"/>
        <v>#VALUE!</v>
      </c>
      <c r="S84" s="69" t="e">
        <f t="shared" ca="1" si="5"/>
        <v>#VALUE!</v>
      </c>
      <c r="T84" s="69" t="e">
        <f t="shared" ca="1" si="6"/>
        <v>#VALUE!</v>
      </c>
      <c r="U84" s="69" t="e">
        <f t="shared" ca="1" si="24"/>
        <v>#VALUE!</v>
      </c>
      <c r="V84" s="69" t="e">
        <f t="shared" ca="1" si="25"/>
        <v>#VALUE!</v>
      </c>
      <c r="W84" s="70" t="str">
        <f t="shared" ca="1" si="9"/>
        <v/>
      </c>
      <c r="X84" s="70" t="e">
        <f t="shared" ca="1" si="10"/>
        <v>#VALUE!</v>
      </c>
      <c r="Y84" s="70" t="e">
        <f t="shared" ca="1" si="11"/>
        <v>#VALUE!</v>
      </c>
      <c r="Z84" s="71" t="e">
        <f t="shared" ca="1" si="12"/>
        <v>#VALUE!</v>
      </c>
      <c r="AA84" s="72" t="e">
        <f t="shared" ca="1" si="13"/>
        <v>#VALUE!</v>
      </c>
      <c r="AB84" s="72" t="e">
        <f t="shared" ca="1" si="14"/>
        <v>#VALUE!</v>
      </c>
      <c r="AC84" s="72" t="e">
        <f t="shared" ca="1" si="15"/>
        <v>#VALUE!</v>
      </c>
      <c r="AD84" s="73" t="e">
        <f t="shared" ca="1" si="16"/>
        <v>#VALUE!</v>
      </c>
      <c r="AE84" s="19" t="e">
        <f t="shared" ca="1" si="17"/>
        <v>#VALUE!</v>
      </c>
      <c r="AF84" s="74" t="str">
        <f t="shared" ca="1" si="18"/>
        <v>Below D1 Low</v>
      </c>
      <c r="AG84" s="17" t="str">
        <f t="shared" ca="1" si="19"/>
        <v>Sell</v>
      </c>
      <c r="AH84" s="17" t="str">
        <f t="shared" ca="1" si="20"/>
        <v>SELL</v>
      </c>
      <c r="AI84" s="75">
        <f ca="1">IFERROR(__xludf.DUMMYFUNCTION("AVERAGE.WEIGHTED((G84+H84+B84)/3, I84)"),287.133333333333)</f>
        <v>287.13333333333298</v>
      </c>
      <c r="AJ84" s="75" t="str">
        <f ca="1">IFERROR(__xludf.DUMMYFUNCTION("AVERAGE.WEIGHTED((K84+L84+J84)/3, N84)"),"#N/A")</f>
        <v>#N/A</v>
      </c>
      <c r="AK84" s="75" t="str">
        <f t="shared" ca="1" si="21"/>
        <v>SELL</v>
      </c>
      <c r="AL84" s="31"/>
      <c r="AM84" s="31"/>
      <c r="AN84" s="31"/>
      <c r="AO84" s="31"/>
      <c r="AP84" s="31"/>
      <c r="AQ84" s="31"/>
      <c r="AR84" s="31"/>
    </row>
    <row r="85" spans="1:44" ht="15.75" customHeight="1">
      <c r="A85" s="61" t="s">
        <v>150</v>
      </c>
      <c r="B85" s="62">
        <f ca="1">IFERROR(__xludf.DUMMYFUNCTION("googlefinance(""nse:""&amp;A85,""price"")"),897.95)</f>
        <v>897.95</v>
      </c>
      <c r="C85" s="63">
        <f t="shared" ca="1" si="0"/>
        <v>0</v>
      </c>
      <c r="D85" s="63">
        <f ca="1">IFERROR(__xludf.DUMMYFUNCTION("googlefinance(""nse:""&amp;A85,""changepct"")"),2.58)</f>
        <v>2.58</v>
      </c>
      <c r="E85" s="63">
        <f ca="1">IFERROR(__xludf.DUMMYFUNCTION("googlefinance(""nse:""&amp;A85,""change"")"),22.6)</f>
        <v>22.6</v>
      </c>
      <c r="F85" s="63">
        <f ca="1">IFERROR(__xludf.DUMMYFUNCTION("googlefinance(""nse:""&amp;A85,""priceopen"")"),890.2)</f>
        <v>890.2</v>
      </c>
      <c r="G85" s="63">
        <f ca="1">IFERROR(__xludf.DUMMYFUNCTION("googlefinance(""nse:""&amp;A85,""HIGH"")"),916.8)</f>
        <v>916.8</v>
      </c>
      <c r="H85" s="63">
        <f ca="1">IFERROR(__xludf.DUMMYFUNCTION("googlefinance(""nse:""&amp;A85,""LOW"")"),884.1)</f>
        <v>884.1</v>
      </c>
      <c r="I85" s="63">
        <f ca="1">IFERROR(__xludf.DUMMYFUNCTION("googlefinance(""nse:""&amp;A85,""VOLUME"")"),6333023)</f>
        <v>6333023</v>
      </c>
      <c r="J85" s="63">
        <f ca="1">IFERROR(__xludf.DUMMYFUNCTION("googlefinance(""nse:""&amp;A85,""closeyest"")"),875.35)</f>
        <v>875.35</v>
      </c>
      <c r="K85" s="65" t="str">
        <f ca="1">IFERROR(__xludf.DUMMYFUNCTION("INDEX( GoogleFinance( ""NSE:""&amp;A85 , ""all"" , TODAY()-4) , 2, 3)"),"#N/A")</f>
        <v>#N/A</v>
      </c>
      <c r="L85" s="66" t="str">
        <f ca="1">IFERROR(__xludf.DUMMYFUNCTION("INDEX( GoogleFinance(""NSE:""&amp;A85 , ""all"" , TODAY()-4 ) , 2, 4)"),"#N/A")</f>
        <v>#N/A</v>
      </c>
      <c r="M85" s="67" t="str">
        <f ca="1">IFERROR(__xludf.DUMMYFUNCTION("INDEX( GoogleFinance( ""NSE:""&amp;A85 , ""all"" , TODAY()-4) , 2, 2)"),"#N/A")</f>
        <v>#N/A</v>
      </c>
      <c r="N85" s="68" t="str">
        <f ca="1">IFERROR(__xludf.DUMMYFUNCTION("INDEX( GoogleFinance( ""NSE:""&amp;A85 , ""all"" , TODAY()-4) , 2, 6)"),"#N/A")</f>
        <v>#N/A</v>
      </c>
      <c r="O85" s="69" t="str">
        <f t="shared" ca="1" si="1"/>
        <v/>
      </c>
      <c r="P85" s="69" t="e">
        <f t="shared" ca="1" si="2"/>
        <v>#VALUE!</v>
      </c>
      <c r="Q85" s="69" t="e">
        <f t="shared" ca="1" si="3"/>
        <v>#VALUE!</v>
      </c>
      <c r="R85" s="69" t="e">
        <f t="shared" ca="1" si="23"/>
        <v>#VALUE!</v>
      </c>
      <c r="S85" s="69" t="e">
        <f t="shared" ca="1" si="5"/>
        <v>#VALUE!</v>
      </c>
      <c r="T85" s="69" t="e">
        <f t="shared" ca="1" si="6"/>
        <v>#VALUE!</v>
      </c>
      <c r="U85" s="69" t="e">
        <f t="shared" ca="1" si="24"/>
        <v>#VALUE!</v>
      </c>
      <c r="V85" s="69" t="e">
        <f t="shared" ca="1" si="25"/>
        <v>#VALUE!</v>
      </c>
      <c r="W85" s="70" t="str">
        <f t="shared" ca="1" si="9"/>
        <v/>
      </c>
      <c r="X85" s="70" t="e">
        <f t="shared" ca="1" si="10"/>
        <v>#VALUE!</v>
      </c>
      <c r="Y85" s="70" t="e">
        <f t="shared" ca="1" si="11"/>
        <v>#VALUE!</v>
      </c>
      <c r="Z85" s="71" t="e">
        <f t="shared" ca="1" si="12"/>
        <v>#VALUE!</v>
      </c>
      <c r="AA85" s="72" t="e">
        <f t="shared" ca="1" si="13"/>
        <v>#VALUE!</v>
      </c>
      <c r="AB85" s="72" t="e">
        <f t="shared" ca="1" si="14"/>
        <v>#VALUE!</v>
      </c>
      <c r="AC85" s="72" t="e">
        <f t="shared" ca="1" si="15"/>
        <v>#VALUE!</v>
      </c>
      <c r="AD85" s="73" t="e">
        <f t="shared" ca="1" si="16"/>
        <v>#VALUE!</v>
      </c>
      <c r="AE85" s="19" t="e">
        <f t="shared" ca="1" si="17"/>
        <v>#VALUE!</v>
      </c>
      <c r="AF85" s="74" t="str">
        <f t="shared" ca="1" si="18"/>
        <v>Below D1 Low</v>
      </c>
      <c r="AG85" s="17" t="str">
        <f t="shared" ca="1" si="19"/>
        <v>Sell</v>
      </c>
      <c r="AH85" s="17" t="str">
        <f t="shared" ca="1" si="20"/>
        <v>SELL</v>
      </c>
      <c r="AI85" s="75">
        <f ca="1">IFERROR(__xludf.DUMMYFUNCTION("AVERAGE.WEIGHTED((G85+H85+B85)/3, I85)"),899.616666666666)</f>
        <v>899.61666666666599</v>
      </c>
      <c r="AJ85" s="75" t="str">
        <f ca="1">IFERROR(__xludf.DUMMYFUNCTION("AVERAGE.WEIGHTED((K85+L85+J85)/3, N85)"),"#N/A")</f>
        <v>#N/A</v>
      </c>
      <c r="AK85" s="75" t="str">
        <f t="shared" ca="1" si="21"/>
        <v>SELL</v>
      </c>
      <c r="AL85" s="31"/>
      <c r="AM85" s="31"/>
      <c r="AN85" s="31"/>
      <c r="AO85" s="31"/>
      <c r="AP85" s="31"/>
      <c r="AQ85" s="31"/>
      <c r="AR85" s="31"/>
    </row>
    <row r="86" spans="1:44" ht="15.75" customHeight="1">
      <c r="A86" s="61" t="s">
        <v>151</v>
      </c>
      <c r="B86" s="62">
        <f ca="1">IFERROR(__xludf.DUMMYFUNCTION("googlefinance(""nse:""&amp;A86,""price"")"),833.8)</f>
        <v>833.8</v>
      </c>
      <c r="C86" s="63">
        <f t="shared" ca="1" si="0"/>
        <v>0</v>
      </c>
      <c r="D86" s="63">
        <f ca="1">IFERROR(__xludf.DUMMYFUNCTION("googlefinance(""nse:""&amp;A86,""changepct"")"),-2.41)</f>
        <v>-2.41</v>
      </c>
      <c r="E86" s="63">
        <f ca="1">IFERROR(__xludf.DUMMYFUNCTION("googlefinance(""nse:""&amp;A86,""change"")"),-20.6)</f>
        <v>-20.6</v>
      </c>
      <c r="F86" s="63">
        <f ca="1">IFERROR(__xludf.DUMMYFUNCTION("googlefinance(""nse:""&amp;A86,""priceopen"")"),874.9)</f>
        <v>874.9</v>
      </c>
      <c r="G86" s="63">
        <f ca="1">IFERROR(__xludf.DUMMYFUNCTION("googlefinance(""nse:""&amp;A86,""HIGH"")"),878.2)</f>
        <v>878.2</v>
      </c>
      <c r="H86" s="63">
        <f ca="1">IFERROR(__xludf.DUMMYFUNCTION("googlefinance(""nse:""&amp;A86,""LOW"")"),811.55)</f>
        <v>811.55</v>
      </c>
      <c r="I86" s="63">
        <f ca="1">IFERROR(__xludf.DUMMYFUNCTION("googlefinance(""nse:""&amp;A86,""VOLUME"")"),7643331)</f>
        <v>7643331</v>
      </c>
      <c r="J86" s="63">
        <f ca="1">IFERROR(__xludf.DUMMYFUNCTION("googlefinance(""nse:""&amp;A86,""closeyest"")"),854.4)</f>
        <v>854.4</v>
      </c>
      <c r="K86" s="65" t="str">
        <f ca="1">IFERROR(__xludf.DUMMYFUNCTION("INDEX( GoogleFinance( ""NSE:""&amp;A86 , ""all"" , TODAY()-4) , 2, 3)"),"#N/A")</f>
        <v>#N/A</v>
      </c>
      <c r="L86" s="66" t="str">
        <f ca="1">IFERROR(__xludf.DUMMYFUNCTION("INDEX( GoogleFinance(""NSE:""&amp;A86 , ""all"" , TODAY()-4 ) , 2, 4)"),"#N/A")</f>
        <v>#N/A</v>
      </c>
      <c r="M86" s="67" t="str">
        <f ca="1">IFERROR(__xludf.DUMMYFUNCTION("INDEX( GoogleFinance( ""NSE:""&amp;A86 , ""all"" , TODAY()-4) , 2, 2)"),"#N/A")</f>
        <v>#N/A</v>
      </c>
      <c r="N86" s="68" t="str">
        <f ca="1">IFERROR(__xludf.DUMMYFUNCTION("INDEX( GoogleFinance( ""NSE:""&amp;A86 , ""all"" , TODAY()-4) , 2, 6)"),"#N/A")</f>
        <v>#N/A</v>
      </c>
      <c r="O86" s="69" t="str">
        <f t="shared" ca="1" si="1"/>
        <v/>
      </c>
      <c r="P86" s="69" t="e">
        <f t="shared" ca="1" si="2"/>
        <v>#VALUE!</v>
      </c>
      <c r="Q86" s="69" t="e">
        <f t="shared" ca="1" si="3"/>
        <v>#VALUE!</v>
      </c>
      <c r="R86" s="69" t="e">
        <f t="shared" ca="1" si="23"/>
        <v>#VALUE!</v>
      </c>
      <c r="S86" s="69" t="e">
        <f t="shared" ca="1" si="5"/>
        <v>#VALUE!</v>
      </c>
      <c r="T86" s="69" t="e">
        <f t="shared" ca="1" si="6"/>
        <v>#VALUE!</v>
      </c>
      <c r="U86" s="69" t="e">
        <f t="shared" ca="1" si="24"/>
        <v>#VALUE!</v>
      </c>
      <c r="V86" s="69" t="e">
        <f t="shared" ca="1" si="25"/>
        <v>#VALUE!</v>
      </c>
      <c r="W86" s="70" t="str">
        <f t="shared" ca="1" si="9"/>
        <v/>
      </c>
      <c r="X86" s="70" t="e">
        <f t="shared" ca="1" si="10"/>
        <v>#VALUE!</v>
      </c>
      <c r="Y86" s="70" t="e">
        <f t="shared" ca="1" si="11"/>
        <v>#VALUE!</v>
      </c>
      <c r="Z86" s="71" t="e">
        <f t="shared" ca="1" si="12"/>
        <v>#VALUE!</v>
      </c>
      <c r="AA86" s="72" t="e">
        <f t="shared" ca="1" si="13"/>
        <v>#VALUE!</v>
      </c>
      <c r="AB86" s="72" t="e">
        <f t="shared" ca="1" si="14"/>
        <v>#VALUE!</v>
      </c>
      <c r="AC86" s="72" t="e">
        <f t="shared" ca="1" si="15"/>
        <v>#VALUE!</v>
      </c>
      <c r="AD86" s="73" t="e">
        <f t="shared" ca="1" si="16"/>
        <v>#VALUE!</v>
      </c>
      <c r="AE86" s="19" t="e">
        <f t="shared" ca="1" si="17"/>
        <v>#VALUE!</v>
      </c>
      <c r="AF86" s="74" t="str">
        <f t="shared" ca="1" si="18"/>
        <v>Below D1 Low</v>
      </c>
      <c r="AG86" s="17" t="str">
        <f t="shared" ca="1" si="19"/>
        <v>Sell</v>
      </c>
      <c r="AH86" s="17" t="str">
        <f t="shared" ca="1" si="20"/>
        <v>SELL</v>
      </c>
      <c r="AI86" s="75">
        <f ca="1">IFERROR(__xludf.DUMMYFUNCTION("AVERAGE.WEIGHTED((G86+H86+B86)/3, I86)"),841.183333333333)</f>
        <v>841.18333333333305</v>
      </c>
      <c r="AJ86" s="75" t="str">
        <f ca="1">IFERROR(__xludf.DUMMYFUNCTION("AVERAGE.WEIGHTED((K86+L86+J86)/3, N86)"),"#N/A")</f>
        <v>#N/A</v>
      </c>
      <c r="AK86" s="75" t="str">
        <f t="shared" ca="1" si="21"/>
        <v>SELL</v>
      </c>
      <c r="AL86" s="31"/>
      <c r="AM86" s="31"/>
      <c r="AN86" s="31"/>
      <c r="AO86" s="31"/>
      <c r="AP86" s="31"/>
      <c r="AQ86" s="31"/>
      <c r="AR86" s="31"/>
    </row>
    <row r="87" spans="1:44" ht="15.75" customHeight="1">
      <c r="A87" s="61" t="s">
        <v>152</v>
      </c>
      <c r="B87" s="62">
        <f ca="1">IFERROR(__xludf.DUMMYFUNCTION("googlefinance(""nse:""&amp;A87,""price"")"),367.55)</f>
        <v>367.55</v>
      </c>
      <c r="C87" s="63">
        <f t="shared" ca="1" si="0"/>
        <v>0</v>
      </c>
      <c r="D87" s="63">
        <f ca="1">IFERROR(__xludf.DUMMYFUNCTION("googlefinance(""nse:""&amp;A87,""changepct"")"),5.62)</f>
        <v>5.62</v>
      </c>
      <c r="E87" s="63">
        <f ca="1">IFERROR(__xludf.DUMMYFUNCTION("googlefinance(""nse:""&amp;A87,""change"")"),19.55)</f>
        <v>19.55</v>
      </c>
      <c r="F87" s="63">
        <f ca="1">IFERROR(__xludf.DUMMYFUNCTION("googlefinance(""nse:""&amp;A87,""priceopen"")"),355.65)</f>
        <v>355.65</v>
      </c>
      <c r="G87" s="63">
        <f ca="1">IFERROR(__xludf.DUMMYFUNCTION("googlefinance(""nse:""&amp;A87,""HIGH"")"),368)</f>
        <v>368</v>
      </c>
      <c r="H87" s="63">
        <f ca="1">IFERROR(__xludf.DUMMYFUNCTION("googlefinance(""nse:""&amp;A87,""LOW"")"),355)</f>
        <v>355</v>
      </c>
      <c r="I87" s="63">
        <f ca="1">IFERROR(__xludf.DUMMYFUNCTION("googlefinance(""nse:""&amp;A87,""VOLUME"")"),7422880)</f>
        <v>7422880</v>
      </c>
      <c r="J87" s="63">
        <f ca="1">IFERROR(__xludf.DUMMYFUNCTION("googlefinance(""nse:""&amp;A87,""closeyest"")"),348)</f>
        <v>348</v>
      </c>
      <c r="K87" s="65" t="str">
        <f ca="1">IFERROR(__xludf.DUMMYFUNCTION("INDEX( GoogleFinance( ""NSE:""&amp;A87 , ""all"" , TODAY()-4) , 2, 3)"),"#N/A")</f>
        <v>#N/A</v>
      </c>
      <c r="L87" s="66" t="str">
        <f ca="1">IFERROR(__xludf.DUMMYFUNCTION("INDEX( GoogleFinance(""NSE:""&amp;A87 , ""all"" , TODAY()-4 ) , 2, 4)"),"#N/A")</f>
        <v>#N/A</v>
      </c>
      <c r="M87" s="67" t="str">
        <f ca="1">IFERROR(__xludf.DUMMYFUNCTION("INDEX( GoogleFinance( ""NSE:""&amp;A87 , ""all"" , TODAY()-4) , 2, 2)"),"#N/A")</f>
        <v>#N/A</v>
      </c>
      <c r="N87" s="68" t="str">
        <f ca="1">IFERROR(__xludf.DUMMYFUNCTION("INDEX( GoogleFinance( ""NSE:""&amp;A87 , ""all"" , TODAY()-4) , 2, 6)"),"#N/A")</f>
        <v>#N/A</v>
      </c>
      <c r="O87" s="69" t="str">
        <f t="shared" ca="1" si="1"/>
        <v/>
      </c>
      <c r="P87" s="69" t="e">
        <f t="shared" ca="1" si="2"/>
        <v>#VALUE!</v>
      </c>
      <c r="Q87" s="69" t="e">
        <f t="shared" ca="1" si="3"/>
        <v>#VALUE!</v>
      </c>
      <c r="R87" s="69" t="e">
        <f t="shared" ca="1" si="23"/>
        <v>#VALUE!</v>
      </c>
      <c r="S87" s="69" t="e">
        <f t="shared" ca="1" si="5"/>
        <v>#VALUE!</v>
      </c>
      <c r="T87" s="69" t="e">
        <f t="shared" ca="1" si="6"/>
        <v>#VALUE!</v>
      </c>
      <c r="U87" s="69" t="e">
        <f t="shared" ca="1" si="24"/>
        <v>#VALUE!</v>
      </c>
      <c r="V87" s="69" t="e">
        <f t="shared" ca="1" si="25"/>
        <v>#VALUE!</v>
      </c>
      <c r="W87" s="70" t="str">
        <f t="shared" ca="1" si="9"/>
        <v/>
      </c>
      <c r="X87" s="70" t="e">
        <f t="shared" ca="1" si="10"/>
        <v>#VALUE!</v>
      </c>
      <c r="Y87" s="70" t="e">
        <f t="shared" ca="1" si="11"/>
        <v>#VALUE!</v>
      </c>
      <c r="Z87" s="71" t="e">
        <f t="shared" ca="1" si="12"/>
        <v>#VALUE!</v>
      </c>
      <c r="AA87" s="72" t="e">
        <f t="shared" ca="1" si="13"/>
        <v>#VALUE!</v>
      </c>
      <c r="AB87" s="72" t="e">
        <f t="shared" ca="1" si="14"/>
        <v>#VALUE!</v>
      </c>
      <c r="AC87" s="72" t="e">
        <f t="shared" ca="1" si="15"/>
        <v>#VALUE!</v>
      </c>
      <c r="AD87" s="73" t="e">
        <f t="shared" ca="1" si="16"/>
        <v>#VALUE!</v>
      </c>
      <c r="AE87" s="19" t="e">
        <f t="shared" ca="1" si="17"/>
        <v>#VALUE!</v>
      </c>
      <c r="AF87" s="74" t="str">
        <f t="shared" ca="1" si="18"/>
        <v>Below D1 Low</v>
      </c>
      <c r="AG87" s="17" t="str">
        <f t="shared" ca="1" si="19"/>
        <v>Sell</v>
      </c>
      <c r="AH87" s="17" t="str">
        <f t="shared" ca="1" si="20"/>
        <v>SELL</v>
      </c>
      <c r="AI87" s="75">
        <f ca="1">IFERROR(__xludf.DUMMYFUNCTION("AVERAGE.WEIGHTED((G87+H87+B87)/3, I87)"),363.516666666666)</f>
        <v>363.51666666666603</v>
      </c>
      <c r="AJ87" s="75" t="str">
        <f ca="1">IFERROR(__xludf.DUMMYFUNCTION("AVERAGE.WEIGHTED((K87+L87+J87)/3, N87)"),"#N/A")</f>
        <v>#N/A</v>
      </c>
      <c r="AK87" s="75" t="str">
        <f t="shared" ca="1" si="21"/>
        <v>SELL</v>
      </c>
      <c r="AL87" s="31"/>
      <c r="AM87" s="31"/>
      <c r="AN87" s="31"/>
      <c r="AO87" s="31"/>
      <c r="AP87" s="31"/>
      <c r="AQ87" s="31"/>
      <c r="AR87" s="31"/>
    </row>
    <row r="88" spans="1:44" ht="15.75" customHeight="1">
      <c r="A88" s="61" t="s">
        <v>153</v>
      </c>
      <c r="B88" s="62">
        <f ca="1">IFERROR(__xludf.DUMMYFUNCTION("googlefinance(""nse:""&amp;A88,""price"")"),166.45)</f>
        <v>166.45</v>
      </c>
      <c r="C88" s="63">
        <f t="shared" ca="1" si="0"/>
        <v>0</v>
      </c>
      <c r="D88" s="63">
        <f ca="1">IFERROR(__xludf.DUMMYFUNCTION("googlefinance(""nse:""&amp;A88,""changepct"")"),6.09)</f>
        <v>6.09</v>
      </c>
      <c r="E88" s="63">
        <f ca="1">IFERROR(__xludf.DUMMYFUNCTION("googlefinance(""nse:""&amp;A88,""change"")"),9.55)</f>
        <v>9.5500000000000007</v>
      </c>
      <c r="F88" s="63">
        <f ca="1">IFERROR(__xludf.DUMMYFUNCTION("googlefinance(""nse:""&amp;A88,""priceopen"")"),161.95)</f>
        <v>161.94999999999999</v>
      </c>
      <c r="G88" s="63">
        <f ca="1">IFERROR(__xludf.DUMMYFUNCTION("googlefinance(""nse:""&amp;A88,""HIGH"")"),167.95)</f>
        <v>167.95</v>
      </c>
      <c r="H88" s="63">
        <f ca="1">IFERROR(__xludf.DUMMYFUNCTION("googlefinance(""nse:""&amp;A88,""LOW"")"),160.1)</f>
        <v>160.1</v>
      </c>
      <c r="I88" s="63">
        <f ca="1">IFERROR(__xludf.DUMMYFUNCTION("googlefinance(""nse:""&amp;A88,""VOLUME"")"),12639407)</f>
        <v>12639407</v>
      </c>
      <c r="J88" s="63">
        <f ca="1">IFERROR(__xludf.DUMMYFUNCTION("googlefinance(""nse:""&amp;A88,""closeyest"")"),156.9)</f>
        <v>156.9</v>
      </c>
      <c r="K88" s="65" t="str">
        <f ca="1">IFERROR(__xludf.DUMMYFUNCTION("INDEX( GoogleFinance( ""NSE:""&amp;A88 , ""all"" , TODAY()-4) , 2, 3)"),"#N/A")</f>
        <v>#N/A</v>
      </c>
      <c r="L88" s="66" t="str">
        <f ca="1">IFERROR(__xludf.DUMMYFUNCTION("INDEX( GoogleFinance(""NSE:""&amp;A88 , ""all"" , TODAY()-4 ) , 2, 4)"),"#N/A")</f>
        <v>#N/A</v>
      </c>
      <c r="M88" s="67" t="str">
        <f ca="1">IFERROR(__xludf.DUMMYFUNCTION("INDEX( GoogleFinance( ""NSE:""&amp;A88 , ""all"" , TODAY()-4) , 2, 2)"),"#N/A")</f>
        <v>#N/A</v>
      </c>
      <c r="N88" s="68" t="str">
        <f ca="1">IFERROR(__xludf.DUMMYFUNCTION("INDEX( GoogleFinance( ""NSE:""&amp;A88 , ""all"" , TODAY()-4) , 2, 6)"),"#N/A")</f>
        <v>#N/A</v>
      </c>
      <c r="O88" s="69" t="str">
        <f t="shared" ca="1" si="1"/>
        <v/>
      </c>
      <c r="P88" s="69" t="e">
        <f t="shared" ca="1" si="2"/>
        <v>#VALUE!</v>
      </c>
      <c r="Q88" s="69" t="e">
        <f t="shared" ca="1" si="3"/>
        <v>#VALUE!</v>
      </c>
      <c r="R88" s="69" t="e">
        <f t="shared" ca="1" si="23"/>
        <v>#VALUE!</v>
      </c>
      <c r="S88" s="69" t="e">
        <f t="shared" ca="1" si="5"/>
        <v>#VALUE!</v>
      </c>
      <c r="T88" s="69" t="e">
        <f t="shared" ca="1" si="6"/>
        <v>#VALUE!</v>
      </c>
      <c r="U88" s="69" t="e">
        <f t="shared" ca="1" si="24"/>
        <v>#VALUE!</v>
      </c>
      <c r="V88" s="69" t="e">
        <f t="shared" ca="1" si="25"/>
        <v>#VALUE!</v>
      </c>
      <c r="W88" s="70" t="str">
        <f t="shared" ca="1" si="9"/>
        <v/>
      </c>
      <c r="X88" s="70" t="e">
        <f t="shared" ca="1" si="10"/>
        <v>#VALUE!</v>
      </c>
      <c r="Y88" s="70" t="e">
        <f t="shared" ca="1" si="11"/>
        <v>#VALUE!</v>
      </c>
      <c r="Z88" s="71" t="e">
        <f t="shared" ca="1" si="12"/>
        <v>#VALUE!</v>
      </c>
      <c r="AA88" s="72" t="e">
        <f t="shared" ca="1" si="13"/>
        <v>#VALUE!</v>
      </c>
      <c r="AB88" s="72" t="e">
        <f t="shared" ca="1" si="14"/>
        <v>#VALUE!</v>
      </c>
      <c r="AC88" s="72" t="e">
        <f t="shared" ca="1" si="15"/>
        <v>#VALUE!</v>
      </c>
      <c r="AD88" s="73" t="e">
        <f t="shared" ca="1" si="16"/>
        <v>#VALUE!</v>
      </c>
      <c r="AE88" s="19" t="e">
        <f t="shared" ca="1" si="17"/>
        <v>#VALUE!</v>
      </c>
      <c r="AF88" s="74" t="str">
        <f t="shared" ca="1" si="18"/>
        <v>Below D1 Low</v>
      </c>
      <c r="AG88" s="17" t="str">
        <f t="shared" ca="1" si="19"/>
        <v>Sell</v>
      </c>
      <c r="AH88" s="17" t="str">
        <f t="shared" ca="1" si="20"/>
        <v>SELL</v>
      </c>
      <c r="AI88" s="75">
        <f ca="1">IFERROR(__xludf.DUMMYFUNCTION("AVERAGE.WEIGHTED((G88+H88+B88)/3, I88)"),164.833333333333)</f>
        <v>164.833333333333</v>
      </c>
      <c r="AJ88" s="75" t="str">
        <f ca="1">IFERROR(__xludf.DUMMYFUNCTION("AVERAGE.WEIGHTED((K88+L88+J88)/3, N88)"),"#N/A")</f>
        <v>#N/A</v>
      </c>
      <c r="AK88" s="75" t="str">
        <f t="shared" ca="1" si="21"/>
        <v>SELL</v>
      </c>
      <c r="AL88" s="31"/>
      <c r="AM88" s="31"/>
      <c r="AN88" s="31"/>
      <c r="AO88" s="31"/>
      <c r="AP88" s="31"/>
      <c r="AQ88" s="31"/>
      <c r="AR88" s="31"/>
    </row>
    <row r="89" spans="1:44" ht="15.75" customHeight="1">
      <c r="A89" s="61" t="s">
        <v>154</v>
      </c>
      <c r="B89" s="62">
        <f ca="1">IFERROR(__xludf.DUMMYFUNCTION("googlefinance(""nse:""&amp;A89,""price"")"),133.9)</f>
        <v>133.9</v>
      </c>
      <c r="C89" s="63">
        <f t="shared" ca="1" si="0"/>
        <v>0</v>
      </c>
      <c r="D89" s="63">
        <f ca="1">IFERROR(__xludf.DUMMYFUNCTION("googlefinance(""nse:""&amp;A89,""changepct"")"),6.27)</f>
        <v>6.27</v>
      </c>
      <c r="E89" s="63">
        <f ca="1">IFERROR(__xludf.DUMMYFUNCTION("googlefinance(""nse:""&amp;A89,""change"")"),7.9)</f>
        <v>7.9</v>
      </c>
      <c r="F89" s="63">
        <f ca="1">IFERROR(__xludf.DUMMYFUNCTION("googlefinance(""nse:""&amp;A89,""priceopen"")"),126.7)</f>
        <v>126.7</v>
      </c>
      <c r="G89" s="63">
        <f ca="1">IFERROR(__xludf.DUMMYFUNCTION("googlefinance(""nse:""&amp;A89,""HIGH"")"),135.3)</f>
        <v>135.30000000000001</v>
      </c>
      <c r="H89" s="63">
        <f ca="1">IFERROR(__xludf.DUMMYFUNCTION("googlefinance(""nse:""&amp;A89,""LOW"")"),126.6)</f>
        <v>126.6</v>
      </c>
      <c r="I89" s="63">
        <f ca="1">IFERROR(__xludf.DUMMYFUNCTION("googlefinance(""nse:""&amp;A89,""VOLUME"")"),19668651)</f>
        <v>19668651</v>
      </c>
      <c r="J89" s="63">
        <f ca="1">IFERROR(__xludf.DUMMYFUNCTION("googlefinance(""nse:""&amp;A89,""closeyest"")"),126)</f>
        <v>126</v>
      </c>
      <c r="K89" s="65" t="str">
        <f ca="1">IFERROR(__xludf.DUMMYFUNCTION("INDEX( GoogleFinance( ""NSE:""&amp;A89 , ""all"" , TODAY()-4) , 2, 3)"),"#N/A")</f>
        <v>#N/A</v>
      </c>
      <c r="L89" s="66" t="str">
        <f ca="1">IFERROR(__xludf.DUMMYFUNCTION("INDEX( GoogleFinance(""NSE:""&amp;A89 , ""all"" , TODAY()-4 ) , 2, 4)"),"#N/A")</f>
        <v>#N/A</v>
      </c>
      <c r="M89" s="67" t="str">
        <f ca="1">IFERROR(__xludf.DUMMYFUNCTION("INDEX( GoogleFinance( ""NSE:""&amp;A89 , ""all"" , TODAY()-4) , 2, 2)"),"#N/A")</f>
        <v>#N/A</v>
      </c>
      <c r="N89" s="68" t="str">
        <f ca="1">IFERROR(__xludf.DUMMYFUNCTION("INDEX( GoogleFinance( ""NSE:""&amp;A89 , ""all"" , TODAY()-4) , 2, 6)"),"#N/A")</f>
        <v>#N/A</v>
      </c>
      <c r="O89" s="69" t="str">
        <f t="shared" ca="1" si="1"/>
        <v/>
      </c>
      <c r="P89" s="69" t="e">
        <f t="shared" ca="1" si="2"/>
        <v>#VALUE!</v>
      </c>
      <c r="Q89" s="69" t="e">
        <f t="shared" ca="1" si="3"/>
        <v>#VALUE!</v>
      </c>
      <c r="R89" s="69" t="e">
        <f t="shared" ca="1" si="23"/>
        <v>#VALUE!</v>
      </c>
      <c r="S89" s="69" t="e">
        <f t="shared" ca="1" si="5"/>
        <v>#VALUE!</v>
      </c>
      <c r="T89" s="69" t="e">
        <f t="shared" ca="1" si="6"/>
        <v>#VALUE!</v>
      </c>
      <c r="U89" s="69" t="e">
        <f t="shared" ca="1" si="24"/>
        <v>#VALUE!</v>
      </c>
      <c r="V89" s="69" t="e">
        <f t="shared" ca="1" si="25"/>
        <v>#VALUE!</v>
      </c>
      <c r="W89" s="70" t="str">
        <f t="shared" ca="1" si="9"/>
        <v/>
      </c>
      <c r="X89" s="70" t="e">
        <f t="shared" ca="1" si="10"/>
        <v>#VALUE!</v>
      </c>
      <c r="Y89" s="70" t="e">
        <f t="shared" ca="1" si="11"/>
        <v>#VALUE!</v>
      </c>
      <c r="Z89" s="71" t="e">
        <f t="shared" ca="1" si="12"/>
        <v>#VALUE!</v>
      </c>
      <c r="AA89" s="72" t="e">
        <f t="shared" ca="1" si="13"/>
        <v>#VALUE!</v>
      </c>
      <c r="AB89" s="72" t="e">
        <f t="shared" ca="1" si="14"/>
        <v>#VALUE!</v>
      </c>
      <c r="AC89" s="72" t="e">
        <f t="shared" ca="1" si="15"/>
        <v>#VALUE!</v>
      </c>
      <c r="AD89" s="73" t="e">
        <f t="shared" ca="1" si="16"/>
        <v>#VALUE!</v>
      </c>
      <c r="AE89" s="19" t="e">
        <f t="shared" ca="1" si="17"/>
        <v>#VALUE!</v>
      </c>
      <c r="AF89" s="74" t="str">
        <f t="shared" ca="1" si="18"/>
        <v>Below D1 Low</v>
      </c>
      <c r="AG89" s="17" t="str">
        <f t="shared" ca="1" si="19"/>
        <v>Sell</v>
      </c>
      <c r="AH89" s="17" t="str">
        <f t="shared" ca="1" si="20"/>
        <v>SELL</v>
      </c>
      <c r="AI89" s="75">
        <f ca="1">IFERROR(__xludf.DUMMYFUNCTION("AVERAGE.WEIGHTED((G89+H89+B89)/3, I89)"),131.933333333333)</f>
        <v>131.933333333333</v>
      </c>
      <c r="AJ89" s="75" t="str">
        <f ca="1">IFERROR(__xludf.DUMMYFUNCTION("AVERAGE.WEIGHTED((K89+L89+J89)/3, N89)"),"#N/A")</f>
        <v>#N/A</v>
      </c>
      <c r="AK89" s="75" t="str">
        <f t="shared" ca="1" si="21"/>
        <v>SELL</v>
      </c>
      <c r="AL89" s="31"/>
      <c r="AM89" s="31"/>
      <c r="AN89" s="31"/>
      <c r="AO89" s="31"/>
      <c r="AP89" s="31"/>
      <c r="AQ89" s="31"/>
      <c r="AR89" s="31"/>
    </row>
    <row r="90" spans="1:44" ht="15.75" customHeight="1">
      <c r="A90" s="61" t="s">
        <v>155</v>
      </c>
      <c r="B90" s="62">
        <f ca="1">IFERROR(__xludf.DUMMYFUNCTION("googlefinance(""nse:""&amp;A90,""price"")"),287.9)</f>
        <v>287.89999999999998</v>
      </c>
      <c r="C90" s="63" t="str">
        <f t="shared" ca="1" si="0"/>
        <v>SELL</v>
      </c>
      <c r="D90" s="63">
        <f ca="1">IFERROR(__xludf.DUMMYFUNCTION("googlefinance(""nse:""&amp;A90,""changepct"")"),-0.6)</f>
        <v>-0.6</v>
      </c>
      <c r="E90" s="63">
        <f ca="1">IFERROR(__xludf.DUMMYFUNCTION("googlefinance(""nse:""&amp;A90,""change"")"),-1.75)</f>
        <v>-1.75</v>
      </c>
      <c r="F90" s="63">
        <f ca="1">IFERROR(__xludf.DUMMYFUNCTION("googlefinance(""nse:""&amp;A90,""priceopen"")"),295)</f>
        <v>295</v>
      </c>
      <c r="G90" s="63">
        <f ca="1">IFERROR(__xludf.DUMMYFUNCTION("googlefinance(""nse:""&amp;A90,""HIGH"")"),295)</f>
        <v>295</v>
      </c>
      <c r="H90" s="63">
        <f ca="1">IFERROR(__xludf.DUMMYFUNCTION("googlefinance(""nse:""&amp;A90,""LOW"")"),283.15)</f>
        <v>283.14999999999998</v>
      </c>
      <c r="I90" s="63">
        <f ca="1">IFERROR(__xludf.DUMMYFUNCTION("googlefinance(""nse:""&amp;A90,""VOLUME"")"),4595484)</f>
        <v>4595484</v>
      </c>
      <c r="J90" s="63">
        <f ca="1">IFERROR(__xludf.DUMMYFUNCTION("googlefinance(""nse:""&amp;A90,""closeyest"")"),289.65)</f>
        <v>289.64999999999998</v>
      </c>
      <c r="K90" s="65" t="str">
        <f ca="1">IFERROR(__xludf.DUMMYFUNCTION("INDEX( GoogleFinance( ""NSE:""&amp;A90 , ""all"" , TODAY()-4) , 2, 3)"),"#N/A")</f>
        <v>#N/A</v>
      </c>
      <c r="L90" s="66" t="str">
        <f ca="1">IFERROR(__xludf.DUMMYFUNCTION("INDEX( GoogleFinance(""NSE:""&amp;A90 , ""all"" , TODAY()-4 ) , 2, 4)"),"#N/A")</f>
        <v>#N/A</v>
      </c>
      <c r="M90" s="67" t="str">
        <f ca="1">IFERROR(__xludf.DUMMYFUNCTION("INDEX( GoogleFinance( ""NSE:""&amp;A90 , ""all"" , TODAY()-4) , 2, 2)"),"#N/A")</f>
        <v>#N/A</v>
      </c>
      <c r="N90" s="68" t="str">
        <f ca="1">IFERROR(__xludf.DUMMYFUNCTION("INDEX( GoogleFinance( ""NSE:""&amp;A90 , ""all"" , TODAY()-4) , 2, 6)"),"#N/A")</f>
        <v>#N/A</v>
      </c>
      <c r="O90" s="69" t="str">
        <f t="shared" ca="1" si="1"/>
        <v/>
      </c>
      <c r="P90" s="69" t="e">
        <f t="shared" ca="1" si="2"/>
        <v>#VALUE!</v>
      </c>
      <c r="Q90" s="69" t="e">
        <f t="shared" ca="1" si="3"/>
        <v>#VALUE!</v>
      </c>
      <c r="R90" s="69" t="e">
        <f t="shared" ca="1" si="23"/>
        <v>#VALUE!</v>
      </c>
      <c r="S90" s="69" t="e">
        <f t="shared" ca="1" si="5"/>
        <v>#VALUE!</v>
      </c>
      <c r="T90" s="69" t="e">
        <f t="shared" ca="1" si="6"/>
        <v>#VALUE!</v>
      </c>
      <c r="U90" s="69" t="e">
        <f t="shared" ca="1" si="24"/>
        <v>#VALUE!</v>
      </c>
      <c r="V90" s="69" t="e">
        <f t="shared" ca="1" si="25"/>
        <v>#VALUE!</v>
      </c>
      <c r="W90" s="70" t="str">
        <f t="shared" ca="1" si="9"/>
        <v/>
      </c>
      <c r="X90" s="70" t="e">
        <f t="shared" ca="1" si="10"/>
        <v>#VALUE!</v>
      </c>
      <c r="Y90" s="70" t="e">
        <f t="shared" ca="1" si="11"/>
        <v>#VALUE!</v>
      </c>
      <c r="Z90" s="71" t="e">
        <f t="shared" ca="1" si="12"/>
        <v>#VALUE!</v>
      </c>
      <c r="AA90" s="72" t="e">
        <f t="shared" ca="1" si="13"/>
        <v>#VALUE!</v>
      </c>
      <c r="AB90" s="72" t="e">
        <f t="shared" ca="1" si="14"/>
        <v>#VALUE!</v>
      </c>
      <c r="AC90" s="72" t="e">
        <f t="shared" ca="1" si="15"/>
        <v>#VALUE!</v>
      </c>
      <c r="AD90" s="73" t="e">
        <f t="shared" ca="1" si="16"/>
        <v>#VALUE!</v>
      </c>
      <c r="AE90" s="19" t="e">
        <f t="shared" ca="1" si="17"/>
        <v>#VALUE!</v>
      </c>
      <c r="AF90" s="74" t="str">
        <f t="shared" ca="1" si="18"/>
        <v>Below D1 Low</v>
      </c>
      <c r="AG90" s="17" t="str">
        <f t="shared" ca="1" si="19"/>
        <v>Sell</v>
      </c>
      <c r="AH90" s="17" t="str">
        <f t="shared" ca="1" si="20"/>
        <v>SELL</v>
      </c>
      <c r="AI90" s="75">
        <f ca="1">IFERROR(__xludf.DUMMYFUNCTION("AVERAGE.WEIGHTED((G90+H90+B90)/3, I90)"),288.683333333333)</f>
        <v>288.683333333333</v>
      </c>
      <c r="AJ90" s="75" t="str">
        <f ca="1">IFERROR(__xludf.DUMMYFUNCTION("AVERAGE.WEIGHTED((K90+L90+J90)/3, N90)"),"#N/A")</f>
        <v>#N/A</v>
      </c>
      <c r="AK90" s="75" t="str">
        <f t="shared" ca="1" si="21"/>
        <v>SELL</v>
      </c>
      <c r="AL90" s="31"/>
      <c r="AM90" s="31"/>
      <c r="AN90" s="31"/>
      <c r="AO90" s="31"/>
      <c r="AP90" s="31"/>
      <c r="AQ90" s="31"/>
      <c r="AR90" s="31"/>
    </row>
    <row r="91" spans="1:44" ht="15.75" customHeight="1">
      <c r="A91" s="61" t="s">
        <v>156</v>
      </c>
      <c r="B91" s="62">
        <f ca="1">IFERROR(__xludf.DUMMYFUNCTION("googlefinance(""nse:""&amp;A91,""price"")"),5343)</f>
        <v>5343</v>
      </c>
      <c r="C91" s="63" t="str">
        <f t="shared" ca="1" si="0"/>
        <v>BUY</v>
      </c>
      <c r="D91" s="63">
        <f ca="1">IFERROR(__xludf.DUMMYFUNCTION("googlefinance(""nse:""&amp;A91,""changepct"")"),5.42)</f>
        <v>5.42</v>
      </c>
      <c r="E91" s="63">
        <f ca="1">IFERROR(__xludf.DUMMYFUNCTION("googlefinance(""nse:""&amp;A91,""change"")"),274.55)</f>
        <v>274.55</v>
      </c>
      <c r="F91" s="63">
        <f ca="1">IFERROR(__xludf.DUMMYFUNCTION("googlefinance(""nse:""&amp;A91,""priceopen"")"),5122)</f>
        <v>5122</v>
      </c>
      <c r="G91" s="63">
        <f ca="1">IFERROR(__xludf.DUMMYFUNCTION("googlefinance(""nse:""&amp;A91,""HIGH"")"),5425)</f>
        <v>5425</v>
      </c>
      <c r="H91" s="63">
        <f ca="1">IFERROR(__xludf.DUMMYFUNCTION("googlefinance(""nse:""&amp;A91,""LOW"")"),5122)</f>
        <v>5122</v>
      </c>
      <c r="I91" s="63">
        <f ca="1">IFERROR(__xludf.DUMMYFUNCTION("googlefinance(""nse:""&amp;A91,""VOLUME"")"),2341400)</f>
        <v>2341400</v>
      </c>
      <c r="J91" s="63">
        <f ca="1">IFERROR(__xludf.DUMMYFUNCTION("googlefinance(""nse:""&amp;A91,""closeyest"")"),5068.45)</f>
        <v>5068.45</v>
      </c>
      <c r="K91" s="65" t="str">
        <f ca="1">IFERROR(__xludf.DUMMYFUNCTION("INDEX( GoogleFinance( ""NSE:""&amp;A91 , ""all"" , TODAY()-4) , 2, 3)"),"#N/A")</f>
        <v>#N/A</v>
      </c>
      <c r="L91" s="66" t="str">
        <f ca="1">IFERROR(__xludf.DUMMYFUNCTION("INDEX( GoogleFinance(""NSE:""&amp;A91 , ""all"" , TODAY()-4 ) , 2, 4)"),"#N/A")</f>
        <v>#N/A</v>
      </c>
      <c r="M91" s="67" t="str">
        <f ca="1">IFERROR(__xludf.DUMMYFUNCTION("INDEX( GoogleFinance( ""NSE:""&amp;A91 , ""all"" , TODAY()-4) , 2, 2)"),"#N/A")</f>
        <v>#N/A</v>
      </c>
      <c r="N91" s="68" t="str">
        <f ca="1">IFERROR(__xludf.DUMMYFUNCTION("INDEX( GoogleFinance( ""NSE:""&amp;A91 , ""all"" , TODAY()-4) , 2, 6)"),"#N/A")</f>
        <v>#N/A</v>
      </c>
      <c r="O91" s="69" t="str">
        <f t="shared" ca="1" si="1"/>
        <v/>
      </c>
      <c r="P91" s="69" t="e">
        <f t="shared" ca="1" si="2"/>
        <v>#VALUE!</v>
      </c>
      <c r="Q91" s="69" t="e">
        <f t="shared" ca="1" si="3"/>
        <v>#VALUE!</v>
      </c>
      <c r="R91" s="69" t="e">
        <f t="shared" ca="1" si="23"/>
        <v>#VALUE!</v>
      </c>
      <c r="S91" s="69" t="e">
        <f t="shared" ca="1" si="5"/>
        <v>#VALUE!</v>
      </c>
      <c r="T91" s="69" t="e">
        <f t="shared" ca="1" si="6"/>
        <v>#VALUE!</v>
      </c>
      <c r="U91" s="69" t="e">
        <f t="shared" ca="1" si="24"/>
        <v>#VALUE!</v>
      </c>
      <c r="V91" s="69" t="e">
        <f t="shared" ca="1" si="25"/>
        <v>#VALUE!</v>
      </c>
      <c r="W91" s="70" t="str">
        <f t="shared" ca="1" si="9"/>
        <v/>
      </c>
      <c r="X91" s="70" t="e">
        <f t="shared" ca="1" si="10"/>
        <v>#VALUE!</v>
      </c>
      <c r="Y91" s="70" t="e">
        <f t="shared" ca="1" si="11"/>
        <v>#VALUE!</v>
      </c>
      <c r="Z91" s="71" t="e">
        <f t="shared" ca="1" si="12"/>
        <v>#VALUE!</v>
      </c>
      <c r="AA91" s="72" t="e">
        <f t="shared" ca="1" si="13"/>
        <v>#VALUE!</v>
      </c>
      <c r="AB91" s="72" t="e">
        <f t="shared" ca="1" si="14"/>
        <v>#VALUE!</v>
      </c>
      <c r="AC91" s="72" t="e">
        <f t="shared" ca="1" si="15"/>
        <v>#VALUE!</v>
      </c>
      <c r="AD91" s="73" t="e">
        <f t="shared" ca="1" si="16"/>
        <v>#VALUE!</v>
      </c>
      <c r="AE91" s="19" t="e">
        <f t="shared" ca="1" si="17"/>
        <v>#VALUE!</v>
      </c>
      <c r="AF91" s="74" t="str">
        <f t="shared" ca="1" si="18"/>
        <v>Below D1 Low</v>
      </c>
      <c r="AG91" s="17" t="str">
        <f t="shared" ca="1" si="19"/>
        <v>Sell</v>
      </c>
      <c r="AH91" s="17" t="str">
        <f t="shared" ca="1" si="20"/>
        <v>SELL</v>
      </c>
      <c r="AI91" s="75">
        <f ca="1">IFERROR(__xludf.DUMMYFUNCTION("AVERAGE.WEIGHTED((G91+H91+B91)/3, I91)"),5296.66666666666)</f>
        <v>5296.6666666666597</v>
      </c>
      <c r="AJ91" s="75" t="str">
        <f ca="1">IFERROR(__xludf.DUMMYFUNCTION("AVERAGE.WEIGHTED((K91+L91+J91)/3, N91)"),"#N/A")</f>
        <v>#N/A</v>
      </c>
      <c r="AK91" s="75" t="str">
        <f t="shared" ca="1" si="21"/>
        <v>SELL</v>
      </c>
      <c r="AL91" s="31"/>
      <c r="AM91" s="31"/>
      <c r="AN91" s="31"/>
      <c r="AO91" s="31"/>
      <c r="AP91" s="31"/>
      <c r="AQ91" s="31"/>
      <c r="AR91" s="31"/>
    </row>
    <row r="92" spans="1:44" ht="15.75" customHeight="1">
      <c r="A92" s="61" t="s">
        <v>157</v>
      </c>
      <c r="B92" s="62">
        <f ca="1">IFERROR(__xludf.DUMMYFUNCTION("googlefinance(""nse:""&amp;A92,""price"")"),535.9)</f>
        <v>535.9</v>
      </c>
      <c r="C92" s="63">
        <f t="shared" ca="1" si="0"/>
        <v>0</v>
      </c>
      <c r="D92" s="63">
        <f ca="1">IFERROR(__xludf.DUMMYFUNCTION("googlefinance(""nse:""&amp;A92,""changepct"")"),0.68)</f>
        <v>0.68</v>
      </c>
      <c r="E92" s="63">
        <f ca="1">IFERROR(__xludf.DUMMYFUNCTION("googlefinance(""nse:""&amp;A92,""change"")"),3.6)</f>
        <v>3.6</v>
      </c>
      <c r="F92" s="63">
        <f ca="1">IFERROR(__xludf.DUMMYFUNCTION("googlefinance(""nse:""&amp;A92,""priceopen"")"),536.15)</f>
        <v>536.15</v>
      </c>
      <c r="G92" s="63">
        <f ca="1">IFERROR(__xludf.DUMMYFUNCTION("googlefinance(""nse:""&amp;A92,""HIGH"")"),545.5)</f>
        <v>545.5</v>
      </c>
      <c r="H92" s="63">
        <f ca="1">IFERROR(__xludf.DUMMYFUNCTION("googlefinance(""nse:""&amp;A92,""LOW"")"),527.1)</f>
        <v>527.1</v>
      </c>
      <c r="I92" s="63">
        <f ca="1">IFERROR(__xludf.DUMMYFUNCTION("googlefinance(""nse:""&amp;A92,""VOLUME"")"),3049732)</f>
        <v>3049732</v>
      </c>
      <c r="J92" s="63">
        <f ca="1">IFERROR(__xludf.DUMMYFUNCTION("googlefinance(""nse:""&amp;A92,""closeyest"")"),532.3)</f>
        <v>532.29999999999995</v>
      </c>
      <c r="K92" s="65" t="str">
        <f ca="1">IFERROR(__xludf.DUMMYFUNCTION("INDEX( GoogleFinance( ""NSE:""&amp;A92 , ""all"" , TODAY()-4) , 2, 3)"),"#N/A")</f>
        <v>#N/A</v>
      </c>
      <c r="L92" s="66" t="str">
        <f ca="1">IFERROR(__xludf.DUMMYFUNCTION("INDEX( GoogleFinance(""NSE:""&amp;A92 , ""all"" , TODAY()-4 ) , 2, 4)"),"#N/A")</f>
        <v>#N/A</v>
      </c>
      <c r="M92" s="67" t="str">
        <f ca="1">IFERROR(__xludf.DUMMYFUNCTION("INDEX( GoogleFinance( ""NSE:""&amp;A92 , ""all"" , TODAY()-4) , 2, 2)"),"#N/A")</f>
        <v>#N/A</v>
      </c>
      <c r="N92" s="68" t="str">
        <f ca="1">IFERROR(__xludf.DUMMYFUNCTION("INDEX( GoogleFinance( ""NSE:""&amp;A92 , ""all"" , TODAY()-4) , 2, 6)"),"#N/A")</f>
        <v>#N/A</v>
      </c>
      <c r="O92" s="69" t="str">
        <f t="shared" ca="1" si="1"/>
        <v/>
      </c>
      <c r="P92" s="69" t="e">
        <f t="shared" ca="1" si="2"/>
        <v>#VALUE!</v>
      </c>
      <c r="Q92" s="69" t="e">
        <f t="shared" ca="1" si="3"/>
        <v>#VALUE!</v>
      </c>
      <c r="R92" s="69" t="e">
        <f t="shared" ca="1" si="23"/>
        <v>#VALUE!</v>
      </c>
      <c r="S92" s="69" t="e">
        <f t="shared" ca="1" si="5"/>
        <v>#VALUE!</v>
      </c>
      <c r="T92" s="69" t="e">
        <f t="shared" ca="1" si="6"/>
        <v>#VALUE!</v>
      </c>
      <c r="U92" s="69" t="e">
        <f t="shared" ca="1" si="24"/>
        <v>#VALUE!</v>
      </c>
      <c r="V92" s="69" t="e">
        <f t="shared" ca="1" si="25"/>
        <v>#VALUE!</v>
      </c>
      <c r="W92" s="70" t="str">
        <f t="shared" ca="1" si="9"/>
        <v/>
      </c>
      <c r="X92" s="70" t="e">
        <f t="shared" ca="1" si="10"/>
        <v>#VALUE!</v>
      </c>
      <c r="Y92" s="70" t="e">
        <f t="shared" ca="1" si="11"/>
        <v>#VALUE!</v>
      </c>
      <c r="Z92" s="71" t="e">
        <f t="shared" ca="1" si="12"/>
        <v>#VALUE!</v>
      </c>
      <c r="AA92" s="72" t="e">
        <f t="shared" ca="1" si="13"/>
        <v>#VALUE!</v>
      </c>
      <c r="AB92" s="72" t="e">
        <f t="shared" ca="1" si="14"/>
        <v>#VALUE!</v>
      </c>
      <c r="AC92" s="72" t="e">
        <f t="shared" ca="1" si="15"/>
        <v>#VALUE!</v>
      </c>
      <c r="AD92" s="73" t="e">
        <f t="shared" ca="1" si="16"/>
        <v>#VALUE!</v>
      </c>
      <c r="AE92" s="19" t="e">
        <f t="shared" ca="1" si="17"/>
        <v>#VALUE!</v>
      </c>
      <c r="AF92" s="74" t="str">
        <f t="shared" ca="1" si="18"/>
        <v>Below D1 Low</v>
      </c>
      <c r="AG92" s="17" t="str">
        <f t="shared" ca="1" si="19"/>
        <v>Sell</v>
      </c>
      <c r="AH92" s="17" t="str">
        <f t="shared" ca="1" si="20"/>
        <v>SELL</v>
      </c>
      <c r="AI92" s="75">
        <f ca="1">IFERROR(__xludf.DUMMYFUNCTION("AVERAGE.WEIGHTED((G92+H92+B92)/3, I92)"),536.166666666666)</f>
        <v>536.16666666666595</v>
      </c>
      <c r="AJ92" s="75" t="str">
        <f ca="1">IFERROR(__xludf.DUMMYFUNCTION("AVERAGE.WEIGHTED((K92+L92+J92)/3, N92)"),"#N/A")</f>
        <v>#N/A</v>
      </c>
      <c r="AK92" s="75" t="str">
        <f t="shared" ca="1" si="21"/>
        <v>SELL</v>
      </c>
      <c r="AL92" s="31"/>
      <c r="AM92" s="31"/>
      <c r="AN92" s="31"/>
      <c r="AO92" s="31"/>
      <c r="AP92" s="31"/>
      <c r="AQ92" s="31"/>
      <c r="AR92" s="31"/>
    </row>
    <row r="93" spans="1:44" ht="15.75" customHeight="1">
      <c r="A93" s="61" t="s">
        <v>158</v>
      </c>
      <c r="B93" s="62">
        <f ca="1">IFERROR(__xludf.DUMMYFUNCTION("googlefinance(""nse:""&amp;A93,""price"")"),466.3)</f>
        <v>466.3</v>
      </c>
      <c r="C93" s="63">
        <f t="shared" ca="1" si="0"/>
        <v>0</v>
      </c>
      <c r="D93" s="63">
        <f ca="1">IFERROR(__xludf.DUMMYFUNCTION("googlefinance(""nse:""&amp;A93,""changepct"")"),-1.42)</f>
        <v>-1.42</v>
      </c>
      <c r="E93" s="63">
        <f ca="1">IFERROR(__xludf.DUMMYFUNCTION("googlefinance(""nse:""&amp;A93,""change"")"),-6.7)</f>
        <v>-6.7</v>
      </c>
      <c r="F93" s="63">
        <f ca="1">IFERROR(__xludf.DUMMYFUNCTION("googlefinance(""nse:""&amp;A93,""priceopen"")"),477.9)</f>
        <v>477.9</v>
      </c>
      <c r="G93" s="63">
        <f ca="1">IFERROR(__xludf.DUMMYFUNCTION("googlefinance(""nse:""&amp;A93,""HIGH"")"),489.85)</f>
        <v>489.85</v>
      </c>
      <c r="H93" s="63">
        <f ca="1">IFERROR(__xludf.DUMMYFUNCTION("googlefinance(""nse:""&amp;A93,""LOW"")"),460.25)</f>
        <v>460.25</v>
      </c>
      <c r="I93" s="63">
        <f ca="1">IFERROR(__xludf.DUMMYFUNCTION("googlefinance(""nse:""&amp;A93,""VOLUME"")"),2081814)</f>
        <v>2081814</v>
      </c>
      <c r="J93" s="63">
        <f ca="1">IFERROR(__xludf.DUMMYFUNCTION("googlefinance(""nse:""&amp;A93,""closeyest"")"),473)</f>
        <v>473</v>
      </c>
      <c r="K93" s="65" t="str">
        <f ca="1">IFERROR(__xludf.DUMMYFUNCTION("INDEX( GoogleFinance( ""NSE:""&amp;A93 , ""all"" , TODAY()-4) , 2, 3)"),"#N/A")</f>
        <v>#N/A</v>
      </c>
      <c r="L93" s="66" t="str">
        <f ca="1">IFERROR(__xludf.DUMMYFUNCTION("INDEX( GoogleFinance(""NSE:""&amp;A93 , ""all"" , TODAY()-4 ) , 2, 4)"),"#N/A")</f>
        <v>#N/A</v>
      </c>
      <c r="M93" s="67" t="str">
        <f ca="1">IFERROR(__xludf.DUMMYFUNCTION("INDEX( GoogleFinance( ""NSE:""&amp;A93 , ""all"" , TODAY()-4) , 2, 2)"),"#N/A")</f>
        <v>#N/A</v>
      </c>
      <c r="N93" s="68" t="str">
        <f ca="1">IFERROR(__xludf.DUMMYFUNCTION("INDEX( GoogleFinance( ""NSE:""&amp;A93 , ""all"" , TODAY()-4) , 2, 6)"),"#N/A")</f>
        <v>#N/A</v>
      </c>
      <c r="O93" s="69" t="str">
        <f t="shared" ca="1" si="1"/>
        <v/>
      </c>
      <c r="P93" s="69" t="e">
        <f t="shared" ca="1" si="2"/>
        <v>#VALUE!</v>
      </c>
      <c r="Q93" s="69" t="e">
        <f t="shared" ca="1" si="3"/>
        <v>#VALUE!</v>
      </c>
      <c r="R93" s="69" t="e">
        <f t="shared" ca="1" si="23"/>
        <v>#VALUE!</v>
      </c>
      <c r="S93" s="69" t="e">
        <f t="shared" ca="1" si="5"/>
        <v>#VALUE!</v>
      </c>
      <c r="T93" s="69" t="e">
        <f t="shared" ca="1" si="6"/>
        <v>#VALUE!</v>
      </c>
      <c r="U93" s="69" t="e">
        <f t="shared" ca="1" si="24"/>
        <v>#VALUE!</v>
      </c>
      <c r="V93" s="69" t="e">
        <f t="shared" ca="1" si="25"/>
        <v>#VALUE!</v>
      </c>
      <c r="W93" s="70" t="str">
        <f t="shared" ca="1" si="9"/>
        <v/>
      </c>
      <c r="X93" s="70" t="e">
        <f t="shared" ca="1" si="10"/>
        <v>#VALUE!</v>
      </c>
      <c r="Y93" s="70" t="e">
        <f t="shared" ca="1" si="11"/>
        <v>#VALUE!</v>
      </c>
      <c r="Z93" s="71" t="e">
        <f t="shared" ca="1" si="12"/>
        <v>#VALUE!</v>
      </c>
      <c r="AA93" s="72" t="e">
        <f t="shared" ca="1" si="13"/>
        <v>#VALUE!</v>
      </c>
      <c r="AB93" s="72" t="e">
        <f t="shared" ca="1" si="14"/>
        <v>#VALUE!</v>
      </c>
      <c r="AC93" s="72" t="e">
        <f t="shared" ca="1" si="15"/>
        <v>#VALUE!</v>
      </c>
      <c r="AD93" s="73" t="e">
        <f t="shared" ca="1" si="16"/>
        <v>#VALUE!</v>
      </c>
      <c r="AE93" s="19" t="e">
        <f t="shared" ca="1" si="17"/>
        <v>#VALUE!</v>
      </c>
      <c r="AF93" s="74" t="str">
        <f t="shared" ca="1" si="18"/>
        <v>Below D1 Low</v>
      </c>
      <c r="AG93" s="17" t="str">
        <f t="shared" ca="1" si="19"/>
        <v>Sell</v>
      </c>
      <c r="AH93" s="17" t="str">
        <f t="shared" ca="1" si="20"/>
        <v>SELL</v>
      </c>
      <c r="AI93" s="75">
        <f ca="1">IFERROR(__xludf.DUMMYFUNCTION("AVERAGE.WEIGHTED((G93+H93+B93)/3, I93)"),472.133333333333)</f>
        <v>472.13333333333298</v>
      </c>
      <c r="AJ93" s="75" t="str">
        <f ca="1">IFERROR(__xludf.DUMMYFUNCTION("AVERAGE.WEIGHTED((K93+L93+J93)/3, N93)"),"#N/A")</f>
        <v>#N/A</v>
      </c>
      <c r="AK93" s="75" t="str">
        <f t="shared" ca="1" si="21"/>
        <v>SELL</v>
      </c>
      <c r="AL93" s="31"/>
      <c r="AM93" s="31"/>
      <c r="AN93" s="31"/>
      <c r="AO93" s="31"/>
      <c r="AP93" s="31"/>
      <c r="AQ93" s="31"/>
      <c r="AR93" s="31"/>
    </row>
    <row r="94" spans="1:44" ht="15.75" customHeight="1">
      <c r="A94" s="61" t="s">
        <v>159</v>
      </c>
      <c r="B94" s="62">
        <f ca="1">IFERROR(__xludf.DUMMYFUNCTION("googlefinance(""nse:""&amp;A94,""price"")"),965.5)</f>
        <v>965.5</v>
      </c>
      <c r="C94" s="63" t="str">
        <f t="shared" ca="1" si="0"/>
        <v>BUY</v>
      </c>
      <c r="D94" s="63">
        <f ca="1">IFERROR(__xludf.DUMMYFUNCTION("googlefinance(""nse:""&amp;A94,""changepct"")"),2.04)</f>
        <v>2.04</v>
      </c>
      <c r="E94" s="63">
        <f ca="1">IFERROR(__xludf.DUMMYFUNCTION("googlefinance(""nse:""&amp;A94,""change"")"),19.3)</f>
        <v>19.3</v>
      </c>
      <c r="F94" s="63">
        <f ca="1">IFERROR(__xludf.DUMMYFUNCTION("googlefinance(""nse:""&amp;A94,""priceopen"")"),955)</f>
        <v>955</v>
      </c>
      <c r="G94" s="63">
        <f ca="1">IFERROR(__xludf.DUMMYFUNCTION("googlefinance(""nse:""&amp;A94,""HIGH"")"),978.1)</f>
        <v>978.1</v>
      </c>
      <c r="H94" s="63">
        <f ca="1">IFERROR(__xludf.DUMMYFUNCTION("googlefinance(""nse:""&amp;A94,""LOW"")"),955)</f>
        <v>955</v>
      </c>
      <c r="I94" s="63">
        <f ca="1">IFERROR(__xludf.DUMMYFUNCTION("googlefinance(""nse:""&amp;A94,""VOLUME"")"),747780)</f>
        <v>747780</v>
      </c>
      <c r="J94" s="63">
        <f ca="1">IFERROR(__xludf.DUMMYFUNCTION("googlefinance(""nse:""&amp;A94,""closeyest"")"),946.2)</f>
        <v>946.2</v>
      </c>
      <c r="K94" s="65" t="str">
        <f ca="1">IFERROR(__xludf.DUMMYFUNCTION("INDEX( GoogleFinance( ""NSE:""&amp;A94 , ""all"" , TODAY()-4) , 2, 3)"),"#N/A")</f>
        <v>#N/A</v>
      </c>
      <c r="L94" s="66" t="str">
        <f ca="1">IFERROR(__xludf.DUMMYFUNCTION("INDEX( GoogleFinance(""NSE:""&amp;A94 , ""all"" , TODAY()-4 ) , 2, 4)"),"#N/A")</f>
        <v>#N/A</v>
      </c>
      <c r="M94" s="67" t="str">
        <f ca="1">IFERROR(__xludf.DUMMYFUNCTION("INDEX( GoogleFinance( ""NSE:""&amp;A94 , ""all"" , TODAY()-4) , 2, 2)"),"#N/A")</f>
        <v>#N/A</v>
      </c>
      <c r="N94" s="68" t="str">
        <f ca="1">IFERROR(__xludf.DUMMYFUNCTION("INDEX( GoogleFinance( ""NSE:""&amp;A94 , ""all"" , TODAY()-4) , 2, 6)"),"#N/A")</f>
        <v>#N/A</v>
      </c>
      <c r="O94" s="69" t="str">
        <f t="shared" ca="1" si="1"/>
        <v/>
      </c>
      <c r="P94" s="69" t="e">
        <f t="shared" ca="1" si="2"/>
        <v>#VALUE!</v>
      </c>
      <c r="Q94" s="69" t="e">
        <f t="shared" ca="1" si="3"/>
        <v>#VALUE!</v>
      </c>
      <c r="R94" s="69" t="e">
        <f t="shared" ca="1" si="23"/>
        <v>#VALUE!</v>
      </c>
      <c r="S94" s="69" t="e">
        <f t="shared" ca="1" si="5"/>
        <v>#VALUE!</v>
      </c>
      <c r="T94" s="69" t="e">
        <f t="shared" ca="1" si="6"/>
        <v>#VALUE!</v>
      </c>
      <c r="U94" s="69" t="e">
        <f t="shared" ca="1" si="24"/>
        <v>#VALUE!</v>
      </c>
      <c r="V94" s="69" t="e">
        <f t="shared" ca="1" si="25"/>
        <v>#VALUE!</v>
      </c>
      <c r="W94" s="70" t="str">
        <f t="shared" ca="1" si="9"/>
        <v/>
      </c>
      <c r="X94" s="70" t="e">
        <f t="shared" ca="1" si="10"/>
        <v>#VALUE!</v>
      </c>
      <c r="Y94" s="70" t="e">
        <f t="shared" ca="1" si="11"/>
        <v>#VALUE!</v>
      </c>
      <c r="Z94" s="71" t="e">
        <f t="shared" ca="1" si="12"/>
        <v>#VALUE!</v>
      </c>
      <c r="AA94" s="72" t="e">
        <f t="shared" ca="1" si="13"/>
        <v>#VALUE!</v>
      </c>
      <c r="AB94" s="72" t="e">
        <f t="shared" ca="1" si="14"/>
        <v>#VALUE!</v>
      </c>
      <c r="AC94" s="72" t="e">
        <f t="shared" ca="1" si="15"/>
        <v>#VALUE!</v>
      </c>
      <c r="AD94" s="73" t="e">
        <f t="shared" ca="1" si="16"/>
        <v>#VALUE!</v>
      </c>
      <c r="AE94" s="19" t="e">
        <f t="shared" ca="1" si="17"/>
        <v>#VALUE!</v>
      </c>
      <c r="AF94" s="74" t="str">
        <f t="shared" ca="1" si="18"/>
        <v>Below D1 Low</v>
      </c>
      <c r="AG94" s="17" t="str">
        <f t="shared" ca="1" si="19"/>
        <v>Sell</v>
      </c>
      <c r="AH94" s="17" t="str">
        <f t="shared" ca="1" si="20"/>
        <v>SELL</v>
      </c>
      <c r="AI94" s="75">
        <f ca="1">IFERROR(__xludf.DUMMYFUNCTION("AVERAGE.WEIGHTED((G94+H94+B94)/3, I94)"),966.199999999999)</f>
        <v>966.19999999999902</v>
      </c>
      <c r="AJ94" s="75" t="str">
        <f ca="1">IFERROR(__xludf.DUMMYFUNCTION("AVERAGE.WEIGHTED((K94+L94+J94)/3, N94)"),"#N/A")</f>
        <v>#N/A</v>
      </c>
      <c r="AK94" s="75" t="str">
        <f t="shared" ca="1" si="21"/>
        <v>SELL</v>
      </c>
      <c r="AL94" s="31"/>
      <c r="AM94" s="31"/>
      <c r="AN94" s="31"/>
      <c r="AO94" s="31"/>
      <c r="AP94" s="31"/>
      <c r="AQ94" s="31"/>
      <c r="AR94" s="31"/>
    </row>
    <row r="95" spans="1:44" ht="15.75" customHeight="1">
      <c r="A95" s="61" t="s">
        <v>160</v>
      </c>
      <c r="B95" s="62">
        <f ca="1">IFERROR(__xludf.DUMMYFUNCTION("googlefinance(""nse:""&amp;A95,""price"")"),914.95)</f>
        <v>914.95</v>
      </c>
      <c r="C95" s="63">
        <f t="shared" ca="1" si="0"/>
        <v>0</v>
      </c>
      <c r="D95" s="63">
        <f ca="1">IFERROR(__xludf.DUMMYFUNCTION("googlefinance(""nse:""&amp;A95,""changepct"")"),3.78)</f>
        <v>3.78</v>
      </c>
      <c r="E95" s="63">
        <f ca="1">IFERROR(__xludf.DUMMYFUNCTION("googlefinance(""nse:""&amp;A95,""change"")"),33.35)</f>
        <v>33.35</v>
      </c>
      <c r="F95" s="63">
        <f ca="1">IFERROR(__xludf.DUMMYFUNCTION("googlefinance(""nse:""&amp;A95,""priceopen"")"),891)</f>
        <v>891</v>
      </c>
      <c r="G95" s="63">
        <f ca="1">IFERROR(__xludf.DUMMYFUNCTION("googlefinance(""nse:""&amp;A95,""HIGH"")"),921.8)</f>
        <v>921.8</v>
      </c>
      <c r="H95" s="63">
        <f ca="1">IFERROR(__xludf.DUMMYFUNCTION("googlefinance(""nse:""&amp;A95,""LOW"")"),883)</f>
        <v>883</v>
      </c>
      <c r="I95" s="63">
        <f ca="1">IFERROR(__xludf.DUMMYFUNCTION("googlefinance(""nse:""&amp;A95,""VOLUME"")"),1642403)</f>
        <v>1642403</v>
      </c>
      <c r="J95" s="63">
        <f ca="1">IFERROR(__xludf.DUMMYFUNCTION("googlefinance(""nse:""&amp;A95,""closeyest"")"),881.6)</f>
        <v>881.6</v>
      </c>
      <c r="K95" s="65" t="str">
        <f ca="1">IFERROR(__xludf.DUMMYFUNCTION("INDEX( GoogleFinance( ""NSE:""&amp;A95 , ""all"" , TODAY()-4) , 2, 3)"),"#N/A")</f>
        <v>#N/A</v>
      </c>
      <c r="L95" s="66" t="str">
        <f ca="1">IFERROR(__xludf.DUMMYFUNCTION("INDEX( GoogleFinance(""NSE:""&amp;A95 , ""all"" , TODAY()-4 ) , 2, 4)"),"#N/A")</f>
        <v>#N/A</v>
      </c>
      <c r="M95" s="67" t="str">
        <f ca="1">IFERROR(__xludf.DUMMYFUNCTION("INDEX( GoogleFinance( ""NSE:""&amp;A95 , ""all"" , TODAY()-4) , 2, 2)"),"#N/A")</f>
        <v>#N/A</v>
      </c>
      <c r="N95" s="68" t="str">
        <f ca="1">IFERROR(__xludf.DUMMYFUNCTION("INDEX( GoogleFinance( ""NSE:""&amp;A95 , ""all"" , TODAY()-4) , 2, 6)"),"#N/A")</f>
        <v>#N/A</v>
      </c>
      <c r="O95" s="69" t="str">
        <f t="shared" ca="1" si="1"/>
        <v/>
      </c>
      <c r="P95" s="69" t="e">
        <f t="shared" ca="1" si="2"/>
        <v>#VALUE!</v>
      </c>
      <c r="Q95" s="69" t="e">
        <f t="shared" ca="1" si="3"/>
        <v>#VALUE!</v>
      </c>
      <c r="R95" s="69" t="e">
        <f t="shared" ca="1" si="23"/>
        <v>#VALUE!</v>
      </c>
      <c r="S95" s="69" t="e">
        <f t="shared" ca="1" si="5"/>
        <v>#VALUE!</v>
      </c>
      <c r="T95" s="69" t="e">
        <f t="shared" ca="1" si="6"/>
        <v>#VALUE!</v>
      </c>
      <c r="U95" s="69" t="e">
        <f t="shared" ca="1" si="24"/>
        <v>#VALUE!</v>
      </c>
      <c r="V95" s="69" t="e">
        <f t="shared" ca="1" si="25"/>
        <v>#VALUE!</v>
      </c>
      <c r="W95" s="70" t="str">
        <f t="shared" ca="1" si="9"/>
        <v/>
      </c>
      <c r="X95" s="70" t="e">
        <f t="shared" ca="1" si="10"/>
        <v>#VALUE!</v>
      </c>
      <c r="Y95" s="70" t="e">
        <f t="shared" ca="1" si="11"/>
        <v>#VALUE!</v>
      </c>
      <c r="Z95" s="71" t="e">
        <f t="shared" ca="1" si="12"/>
        <v>#VALUE!</v>
      </c>
      <c r="AA95" s="72" t="e">
        <f t="shared" ca="1" si="13"/>
        <v>#VALUE!</v>
      </c>
      <c r="AB95" s="72" t="e">
        <f t="shared" ca="1" si="14"/>
        <v>#VALUE!</v>
      </c>
      <c r="AC95" s="72" t="e">
        <f t="shared" ca="1" si="15"/>
        <v>#VALUE!</v>
      </c>
      <c r="AD95" s="73" t="e">
        <f t="shared" ca="1" si="16"/>
        <v>#VALUE!</v>
      </c>
      <c r="AE95" s="19" t="e">
        <f t="shared" ca="1" si="17"/>
        <v>#VALUE!</v>
      </c>
      <c r="AF95" s="74" t="str">
        <f t="shared" ca="1" si="18"/>
        <v>Below D1 Low</v>
      </c>
      <c r="AG95" s="17" t="str">
        <f t="shared" ca="1" si="19"/>
        <v>Sell</v>
      </c>
      <c r="AH95" s="17" t="str">
        <f t="shared" ca="1" si="20"/>
        <v>SELL</v>
      </c>
      <c r="AI95" s="75">
        <f ca="1">IFERROR(__xludf.DUMMYFUNCTION("AVERAGE.WEIGHTED((G95+H95+B95)/3, I95)"),906.583333333333)</f>
        <v>906.58333333333303</v>
      </c>
      <c r="AJ95" s="75" t="str">
        <f ca="1">IFERROR(__xludf.DUMMYFUNCTION("AVERAGE.WEIGHTED((K95+L95+J95)/3, N95)"),"#N/A")</f>
        <v>#N/A</v>
      </c>
      <c r="AK95" s="75" t="str">
        <f t="shared" ca="1" si="21"/>
        <v>SELL</v>
      </c>
      <c r="AL95" s="31"/>
      <c r="AM95" s="31"/>
      <c r="AN95" s="31"/>
      <c r="AO95" s="31"/>
      <c r="AP95" s="31"/>
      <c r="AQ95" s="31"/>
      <c r="AR95" s="31"/>
    </row>
    <row r="96" spans="1:44" ht="15.75" customHeight="1">
      <c r="A96" s="61" t="s">
        <v>161</v>
      </c>
      <c r="B96" s="62">
        <f ca="1">IFERROR(__xludf.DUMMYFUNCTION("googlefinance(""nse:""&amp;A96,""price"")"),88.5)</f>
        <v>88.5</v>
      </c>
      <c r="C96" s="63">
        <f t="shared" ca="1" si="0"/>
        <v>0</v>
      </c>
      <c r="D96" s="63">
        <f ca="1">IFERROR(__xludf.DUMMYFUNCTION("googlefinance(""nse:""&amp;A96,""changepct"")"),8.72)</f>
        <v>8.7200000000000006</v>
      </c>
      <c r="E96" s="63">
        <f ca="1">IFERROR(__xludf.DUMMYFUNCTION("googlefinance(""nse:""&amp;A96,""change"")"),7.1)</f>
        <v>7.1</v>
      </c>
      <c r="F96" s="63">
        <f ca="1">IFERROR(__xludf.DUMMYFUNCTION("googlefinance(""nse:""&amp;A96,""priceopen"")"),85.5)</f>
        <v>85.5</v>
      </c>
      <c r="G96" s="63">
        <f ca="1">IFERROR(__xludf.DUMMYFUNCTION("googlefinance(""nse:""&amp;A96,""HIGH"")"),92)</f>
        <v>92</v>
      </c>
      <c r="H96" s="63">
        <f ca="1">IFERROR(__xludf.DUMMYFUNCTION("googlefinance(""nse:""&amp;A96,""LOW"")"),85.3)</f>
        <v>85.3</v>
      </c>
      <c r="I96" s="63">
        <f ca="1">IFERROR(__xludf.DUMMYFUNCTION("googlefinance(""nse:""&amp;A96,""VOLUME"")"),54841389)</f>
        <v>54841389</v>
      </c>
      <c r="J96" s="63">
        <f ca="1">IFERROR(__xludf.DUMMYFUNCTION("googlefinance(""nse:""&amp;A96,""closeyest"")"),81.4)</f>
        <v>81.400000000000006</v>
      </c>
      <c r="K96" s="65" t="str">
        <f ca="1">IFERROR(__xludf.DUMMYFUNCTION("INDEX( GoogleFinance( ""NSE:""&amp;A96 , ""all"" , TODAY()-4) , 2, 3)"),"#N/A")</f>
        <v>#N/A</v>
      </c>
      <c r="L96" s="66" t="str">
        <f ca="1">IFERROR(__xludf.DUMMYFUNCTION("INDEX( GoogleFinance(""NSE:""&amp;A96 , ""all"" , TODAY()-4 ) , 2, 4)"),"#N/A")</f>
        <v>#N/A</v>
      </c>
      <c r="M96" s="67" t="str">
        <f ca="1">IFERROR(__xludf.DUMMYFUNCTION("INDEX( GoogleFinance( ""NSE:""&amp;A96 , ""all"" , TODAY()-4) , 2, 2)"),"#N/A")</f>
        <v>#N/A</v>
      </c>
      <c r="N96" s="68" t="str">
        <f ca="1">IFERROR(__xludf.DUMMYFUNCTION("INDEX( GoogleFinance( ""NSE:""&amp;A96 , ""all"" , TODAY()-4) , 2, 6)"),"#N/A")</f>
        <v>#N/A</v>
      </c>
      <c r="O96" s="69" t="str">
        <f t="shared" ca="1" si="1"/>
        <v/>
      </c>
      <c r="P96" s="69" t="e">
        <f t="shared" ca="1" si="2"/>
        <v>#VALUE!</v>
      </c>
      <c r="Q96" s="69" t="e">
        <f t="shared" ca="1" si="3"/>
        <v>#VALUE!</v>
      </c>
      <c r="R96" s="69" t="e">
        <f t="shared" ca="1" si="23"/>
        <v>#VALUE!</v>
      </c>
      <c r="S96" s="69" t="e">
        <f t="shared" ca="1" si="5"/>
        <v>#VALUE!</v>
      </c>
      <c r="T96" s="69" t="e">
        <f t="shared" ca="1" si="6"/>
        <v>#VALUE!</v>
      </c>
      <c r="U96" s="69" t="e">
        <f t="shared" ca="1" si="24"/>
        <v>#VALUE!</v>
      </c>
      <c r="V96" s="69" t="e">
        <f t="shared" ca="1" si="25"/>
        <v>#VALUE!</v>
      </c>
      <c r="W96" s="70" t="str">
        <f t="shared" ca="1" si="9"/>
        <v/>
      </c>
      <c r="X96" s="70" t="e">
        <f t="shared" ca="1" si="10"/>
        <v>#VALUE!</v>
      </c>
      <c r="Y96" s="70" t="e">
        <f t="shared" ca="1" si="11"/>
        <v>#VALUE!</v>
      </c>
      <c r="Z96" s="71" t="e">
        <f t="shared" ca="1" si="12"/>
        <v>#VALUE!</v>
      </c>
      <c r="AA96" s="72" t="e">
        <f t="shared" ca="1" si="13"/>
        <v>#VALUE!</v>
      </c>
      <c r="AB96" s="72" t="e">
        <f t="shared" ca="1" si="14"/>
        <v>#VALUE!</v>
      </c>
      <c r="AC96" s="72" t="e">
        <f t="shared" ca="1" si="15"/>
        <v>#VALUE!</v>
      </c>
      <c r="AD96" s="73" t="e">
        <f t="shared" ca="1" si="16"/>
        <v>#VALUE!</v>
      </c>
      <c r="AE96" s="19" t="e">
        <f t="shared" ca="1" si="17"/>
        <v>#VALUE!</v>
      </c>
      <c r="AF96" s="74" t="str">
        <f t="shared" ca="1" si="18"/>
        <v>Below D1 Low</v>
      </c>
      <c r="AG96" s="17" t="str">
        <f t="shared" ca="1" si="19"/>
        <v>Sell</v>
      </c>
      <c r="AH96" s="17" t="str">
        <f t="shared" ca="1" si="20"/>
        <v>SELL</v>
      </c>
      <c r="AI96" s="75">
        <f ca="1">IFERROR(__xludf.DUMMYFUNCTION("AVERAGE.WEIGHTED((G96+H96+B96)/3, I96)"),88.6)</f>
        <v>88.6</v>
      </c>
      <c r="AJ96" s="75" t="str">
        <f ca="1">IFERROR(__xludf.DUMMYFUNCTION("AVERAGE.WEIGHTED((K96+L96+J96)/3, N96)"),"#N/A")</f>
        <v>#N/A</v>
      </c>
      <c r="AK96" s="75" t="str">
        <f t="shared" ca="1" si="21"/>
        <v>SELL</v>
      </c>
      <c r="AL96" s="31"/>
      <c r="AM96" s="31"/>
      <c r="AN96" s="31"/>
      <c r="AO96" s="31"/>
      <c r="AP96" s="31"/>
      <c r="AQ96" s="31"/>
      <c r="AR96" s="31"/>
    </row>
    <row r="97" spans="1:44" ht="15.75" customHeight="1">
      <c r="A97" s="61" t="s">
        <v>162</v>
      </c>
      <c r="B97" s="62">
        <f ca="1">IFERROR(__xludf.DUMMYFUNCTION("googlefinance(""nse:""&amp;A97,""price"")"),59910)</f>
        <v>59910</v>
      </c>
      <c r="C97" s="63">
        <f t="shared" ca="1" si="0"/>
        <v>0</v>
      </c>
      <c r="D97" s="63">
        <f ca="1">IFERROR(__xludf.DUMMYFUNCTION("googlefinance(""nse:""&amp;A97,""changepct"")"),1.19)</f>
        <v>1.19</v>
      </c>
      <c r="E97" s="63">
        <f ca="1">IFERROR(__xludf.DUMMYFUNCTION("googlefinance(""nse:""&amp;A97,""change"")"),706.3)</f>
        <v>706.3</v>
      </c>
      <c r="F97" s="63">
        <f ca="1">IFERROR(__xludf.DUMMYFUNCTION("googlefinance(""nse:""&amp;A97,""priceopen"")"),59800)</f>
        <v>59800</v>
      </c>
      <c r="G97" s="63">
        <f ca="1">IFERROR(__xludf.DUMMYFUNCTION("googlefinance(""nse:""&amp;A97,""HIGH"")"),61800)</f>
        <v>61800</v>
      </c>
      <c r="H97" s="63">
        <f ca="1">IFERROR(__xludf.DUMMYFUNCTION("googlefinance(""nse:""&amp;A97,""LOW"")"),59499.95)</f>
        <v>59499.95</v>
      </c>
      <c r="I97" s="63">
        <f ca="1">IFERROR(__xludf.DUMMYFUNCTION("googlefinance(""nse:""&amp;A97,""VOLUME"")"),18800)</f>
        <v>18800</v>
      </c>
      <c r="J97" s="63">
        <f ca="1">IFERROR(__xludf.DUMMYFUNCTION("googlefinance(""nse:""&amp;A97,""closeyest"")"),59203.7)</f>
        <v>59203.7</v>
      </c>
      <c r="K97" s="65" t="str">
        <f ca="1">IFERROR(__xludf.DUMMYFUNCTION("INDEX( GoogleFinance( ""NSE:""&amp;A97 , ""all"" , TODAY()-4) , 2, 3)"),"#N/A")</f>
        <v>#N/A</v>
      </c>
      <c r="L97" s="66" t="str">
        <f ca="1">IFERROR(__xludf.DUMMYFUNCTION("INDEX( GoogleFinance(""NSE:""&amp;A97 , ""all"" , TODAY()-4 ) , 2, 4)"),"#N/A")</f>
        <v>#N/A</v>
      </c>
      <c r="M97" s="67" t="str">
        <f ca="1">IFERROR(__xludf.DUMMYFUNCTION("INDEX( GoogleFinance( ""NSE:""&amp;A97 , ""all"" , TODAY()-4) , 2, 2)"),"#N/A")</f>
        <v>#N/A</v>
      </c>
      <c r="N97" s="68" t="str">
        <f ca="1">IFERROR(__xludf.DUMMYFUNCTION("INDEX( GoogleFinance( ""NSE:""&amp;A97 , ""all"" , TODAY()-4) , 2, 6)"),"#N/A")</f>
        <v>#N/A</v>
      </c>
      <c r="O97" s="69" t="str">
        <f t="shared" ca="1" si="1"/>
        <v/>
      </c>
      <c r="P97" s="69" t="e">
        <f t="shared" ca="1" si="2"/>
        <v>#VALUE!</v>
      </c>
      <c r="Q97" s="69" t="e">
        <f t="shared" ca="1" si="3"/>
        <v>#VALUE!</v>
      </c>
      <c r="R97" s="69" t="e">
        <f t="shared" ca="1" si="23"/>
        <v>#VALUE!</v>
      </c>
      <c r="S97" s="69" t="e">
        <f t="shared" ca="1" si="5"/>
        <v>#VALUE!</v>
      </c>
      <c r="T97" s="69" t="e">
        <f t="shared" ca="1" si="6"/>
        <v>#VALUE!</v>
      </c>
      <c r="U97" s="69" t="e">
        <f t="shared" ca="1" si="24"/>
        <v>#VALUE!</v>
      </c>
      <c r="V97" s="69" t="e">
        <f t="shared" ca="1" si="25"/>
        <v>#VALUE!</v>
      </c>
      <c r="W97" s="70" t="str">
        <f t="shared" ca="1" si="9"/>
        <v/>
      </c>
      <c r="X97" s="70" t="e">
        <f t="shared" ca="1" si="10"/>
        <v>#VALUE!</v>
      </c>
      <c r="Y97" s="70" t="e">
        <f t="shared" ca="1" si="11"/>
        <v>#VALUE!</v>
      </c>
      <c r="Z97" s="71" t="e">
        <f t="shared" ca="1" si="12"/>
        <v>#VALUE!</v>
      </c>
      <c r="AA97" s="72" t="e">
        <f t="shared" ca="1" si="13"/>
        <v>#VALUE!</v>
      </c>
      <c r="AB97" s="72" t="e">
        <f t="shared" ca="1" si="14"/>
        <v>#VALUE!</v>
      </c>
      <c r="AC97" s="72" t="e">
        <f t="shared" ca="1" si="15"/>
        <v>#VALUE!</v>
      </c>
      <c r="AD97" s="73" t="e">
        <f t="shared" ca="1" si="16"/>
        <v>#VALUE!</v>
      </c>
      <c r="AE97" s="19" t="e">
        <f t="shared" ca="1" si="17"/>
        <v>#VALUE!</v>
      </c>
      <c r="AF97" s="74" t="str">
        <f t="shared" ca="1" si="18"/>
        <v>Below D1 Low</v>
      </c>
      <c r="AG97" s="17" t="str">
        <f t="shared" ca="1" si="19"/>
        <v>Sell</v>
      </c>
      <c r="AH97" s="17" t="str">
        <f t="shared" ca="1" si="20"/>
        <v>SELL</v>
      </c>
      <c r="AI97" s="75">
        <f ca="1">IFERROR(__xludf.DUMMYFUNCTION("AVERAGE.WEIGHTED((G97+H97+B97)/3, I97)"),60403.3166666666)</f>
        <v>60403.3166666666</v>
      </c>
      <c r="AJ97" s="75" t="str">
        <f ca="1">IFERROR(__xludf.DUMMYFUNCTION("AVERAGE.WEIGHTED((K97+L97+J97)/3, N97)"),"#N/A")</f>
        <v>#N/A</v>
      </c>
      <c r="AK97" s="75" t="str">
        <f t="shared" ca="1" si="21"/>
        <v>SELL</v>
      </c>
      <c r="AL97" s="31"/>
      <c r="AM97" s="31"/>
      <c r="AN97" s="31"/>
      <c r="AO97" s="31"/>
      <c r="AP97" s="31"/>
      <c r="AQ97" s="31"/>
      <c r="AR97" s="31"/>
    </row>
    <row r="98" spans="1:44" ht="15.75" customHeight="1">
      <c r="A98" s="61" t="s">
        <v>163</v>
      </c>
      <c r="B98" s="62">
        <f ca="1">IFERROR(__xludf.DUMMYFUNCTION("googlefinance(""nse:""&amp;A98,""price"")"),867.2)</f>
        <v>867.2</v>
      </c>
      <c r="C98" s="63">
        <f t="shared" ca="1" si="0"/>
        <v>0</v>
      </c>
      <c r="D98" s="63">
        <f ca="1">IFERROR(__xludf.DUMMYFUNCTION("googlefinance(""nse:""&amp;A98,""changepct"")"),5.22)</f>
        <v>5.22</v>
      </c>
      <c r="E98" s="63">
        <f ca="1">IFERROR(__xludf.DUMMYFUNCTION("googlefinance(""nse:""&amp;A98,""change"")"),43)</f>
        <v>43</v>
      </c>
      <c r="F98" s="63">
        <f ca="1">IFERROR(__xludf.DUMMYFUNCTION("googlefinance(""nse:""&amp;A98,""priceopen"")"),829)</f>
        <v>829</v>
      </c>
      <c r="G98" s="63">
        <f ca="1">IFERROR(__xludf.DUMMYFUNCTION("googlefinance(""nse:""&amp;A98,""HIGH"")"),875)</f>
        <v>875</v>
      </c>
      <c r="H98" s="63">
        <f ca="1">IFERROR(__xludf.DUMMYFUNCTION("googlefinance(""nse:""&amp;A98,""LOW"")"),823.25)</f>
        <v>823.25</v>
      </c>
      <c r="I98" s="63">
        <f ca="1">IFERROR(__xludf.DUMMYFUNCTION("googlefinance(""nse:""&amp;A98,""VOLUME"")"),3162393)</f>
        <v>3162393</v>
      </c>
      <c r="J98" s="63">
        <f ca="1">IFERROR(__xludf.DUMMYFUNCTION("googlefinance(""nse:""&amp;A98,""closeyest"")"),824.2)</f>
        <v>824.2</v>
      </c>
      <c r="K98" s="65" t="str">
        <f ca="1">IFERROR(__xludf.DUMMYFUNCTION("INDEX( GoogleFinance( ""NSE:""&amp;A98 , ""all"" , TODAY()-4) , 2, 3)"),"#N/A")</f>
        <v>#N/A</v>
      </c>
      <c r="L98" s="66" t="str">
        <f ca="1">IFERROR(__xludf.DUMMYFUNCTION("INDEX( GoogleFinance(""NSE:""&amp;A98 , ""all"" , TODAY()-4 ) , 2, 4)"),"#N/A")</f>
        <v>#N/A</v>
      </c>
      <c r="M98" s="67" t="str">
        <f ca="1">IFERROR(__xludf.DUMMYFUNCTION("INDEX( GoogleFinance( ""NSE:""&amp;A98 , ""all"" , TODAY()-4) , 2, 2)"),"#N/A")</f>
        <v>#N/A</v>
      </c>
      <c r="N98" s="68" t="str">
        <f ca="1">IFERROR(__xludf.DUMMYFUNCTION("INDEX( GoogleFinance( ""NSE:""&amp;A98 , ""all"" , TODAY()-4) , 2, 6)"),"#N/A")</f>
        <v>#N/A</v>
      </c>
      <c r="O98" s="69" t="str">
        <f t="shared" ca="1" si="1"/>
        <v/>
      </c>
      <c r="P98" s="69" t="e">
        <f t="shared" ca="1" si="2"/>
        <v>#VALUE!</v>
      </c>
      <c r="Q98" s="69" t="e">
        <f t="shared" ca="1" si="3"/>
        <v>#VALUE!</v>
      </c>
      <c r="R98" s="69" t="e">
        <f t="shared" ca="1" si="23"/>
        <v>#VALUE!</v>
      </c>
      <c r="S98" s="69" t="e">
        <f t="shared" ca="1" si="5"/>
        <v>#VALUE!</v>
      </c>
      <c r="T98" s="69" t="e">
        <f t="shared" ca="1" si="6"/>
        <v>#VALUE!</v>
      </c>
      <c r="U98" s="69" t="e">
        <f t="shared" ca="1" si="24"/>
        <v>#VALUE!</v>
      </c>
      <c r="V98" s="69" t="e">
        <f t="shared" ca="1" si="25"/>
        <v>#VALUE!</v>
      </c>
      <c r="W98" s="70" t="str">
        <f t="shared" ca="1" si="9"/>
        <v/>
      </c>
      <c r="X98" s="70" t="e">
        <f t="shared" ca="1" si="10"/>
        <v>#VALUE!</v>
      </c>
      <c r="Y98" s="70" t="e">
        <f t="shared" ca="1" si="11"/>
        <v>#VALUE!</v>
      </c>
      <c r="Z98" s="71" t="e">
        <f t="shared" ca="1" si="12"/>
        <v>#VALUE!</v>
      </c>
      <c r="AA98" s="72" t="e">
        <f t="shared" ca="1" si="13"/>
        <v>#VALUE!</v>
      </c>
      <c r="AB98" s="72" t="e">
        <f t="shared" ca="1" si="14"/>
        <v>#VALUE!</v>
      </c>
      <c r="AC98" s="72" t="e">
        <f t="shared" ca="1" si="15"/>
        <v>#VALUE!</v>
      </c>
      <c r="AD98" s="73" t="e">
        <f t="shared" ca="1" si="16"/>
        <v>#VALUE!</v>
      </c>
      <c r="AE98" s="19" t="e">
        <f t="shared" ca="1" si="17"/>
        <v>#VALUE!</v>
      </c>
      <c r="AF98" s="74" t="str">
        <f t="shared" ca="1" si="18"/>
        <v>Below D1 Low</v>
      </c>
      <c r="AG98" s="17" t="str">
        <f t="shared" ca="1" si="19"/>
        <v>Sell</v>
      </c>
      <c r="AH98" s="17" t="str">
        <f t="shared" ca="1" si="20"/>
        <v>SELL</v>
      </c>
      <c r="AI98" s="75">
        <f ca="1">IFERROR(__xludf.DUMMYFUNCTION("AVERAGE.WEIGHTED((G98+H98+B98)/3, I98)"),855.15)</f>
        <v>855.15</v>
      </c>
      <c r="AJ98" s="75" t="str">
        <f ca="1">IFERROR(__xludf.DUMMYFUNCTION("AVERAGE.WEIGHTED((K98+L98+J98)/3, N98)"),"#N/A")</f>
        <v>#N/A</v>
      </c>
      <c r="AK98" s="75" t="str">
        <f t="shared" ca="1" si="21"/>
        <v>SELL</v>
      </c>
      <c r="AL98" s="31"/>
      <c r="AM98" s="31"/>
      <c r="AN98" s="31"/>
      <c r="AO98" s="31"/>
      <c r="AP98" s="31"/>
      <c r="AQ98" s="31"/>
      <c r="AR98" s="31"/>
    </row>
    <row r="99" spans="1:44" ht="15.75" customHeight="1">
      <c r="A99" s="61" t="s">
        <v>164</v>
      </c>
      <c r="B99" s="62">
        <f ca="1">IFERROR(__xludf.DUMMYFUNCTION("googlefinance(""nse:""&amp;A99,""price"")"),31.75)</f>
        <v>31.75</v>
      </c>
      <c r="C99" s="63">
        <f t="shared" ca="1" si="0"/>
        <v>0</v>
      </c>
      <c r="D99" s="63">
        <f ca="1">IFERROR(__xludf.DUMMYFUNCTION("googlefinance(""nse:""&amp;A99,""changepct"")"),2.75)</f>
        <v>2.75</v>
      </c>
      <c r="E99" s="63">
        <f ca="1">IFERROR(__xludf.DUMMYFUNCTION("googlefinance(""nse:""&amp;A99,""change"")"),0.85)</f>
        <v>0.85</v>
      </c>
      <c r="F99" s="63">
        <f ca="1">IFERROR(__xludf.DUMMYFUNCTION("googlefinance(""nse:""&amp;A99,""priceopen"")"),31.5)</f>
        <v>31.5</v>
      </c>
      <c r="G99" s="63">
        <f ca="1">IFERROR(__xludf.DUMMYFUNCTION("googlefinance(""nse:""&amp;A99,""HIGH"")"),32.2)</f>
        <v>32.200000000000003</v>
      </c>
      <c r="H99" s="63">
        <f ca="1">IFERROR(__xludf.DUMMYFUNCTION("googlefinance(""nse:""&amp;A99,""LOW"")"),31.2)</f>
        <v>31.2</v>
      </c>
      <c r="I99" s="63">
        <f ca="1">IFERROR(__xludf.DUMMYFUNCTION("googlefinance(""nse:""&amp;A99,""VOLUME"")"),14646461)</f>
        <v>14646461</v>
      </c>
      <c r="J99" s="63">
        <f ca="1">IFERROR(__xludf.DUMMYFUNCTION("googlefinance(""nse:""&amp;A99,""closeyest"")"),30.9)</f>
        <v>30.9</v>
      </c>
      <c r="K99" s="65" t="str">
        <f ca="1">IFERROR(__xludf.DUMMYFUNCTION("INDEX( GoogleFinance( ""NSE:""&amp;A99 , ""all"" , TODAY()-4) , 2, 3)"),"#N/A")</f>
        <v>#N/A</v>
      </c>
      <c r="L99" s="66" t="str">
        <f ca="1">IFERROR(__xludf.DUMMYFUNCTION("INDEX( GoogleFinance(""NSE:""&amp;A99 , ""all"" , TODAY()-4 ) , 2, 4)"),"#N/A")</f>
        <v>#N/A</v>
      </c>
      <c r="M99" s="67" t="str">
        <f ca="1">IFERROR(__xludf.DUMMYFUNCTION("INDEX( GoogleFinance( ""NSE:""&amp;A99 , ""all"" , TODAY()-4) , 2, 2)"),"#N/A")</f>
        <v>#N/A</v>
      </c>
      <c r="N99" s="68" t="str">
        <f ca="1">IFERROR(__xludf.DUMMYFUNCTION("INDEX( GoogleFinance( ""NSE:""&amp;A99 , ""all"" , TODAY()-4) , 2, 6)"),"#N/A")</f>
        <v>#N/A</v>
      </c>
      <c r="O99" s="69" t="str">
        <f t="shared" ca="1" si="1"/>
        <v/>
      </c>
      <c r="P99" s="69" t="e">
        <f t="shared" ca="1" si="2"/>
        <v>#VALUE!</v>
      </c>
      <c r="Q99" s="69" t="e">
        <f t="shared" ca="1" si="3"/>
        <v>#VALUE!</v>
      </c>
      <c r="R99" s="69" t="e">
        <f t="shared" ca="1" si="23"/>
        <v>#VALUE!</v>
      </c>
      <c r="S99" s="69" t="e">
        <f t="shared" ca="1" si="5"/>
        <v>#VALUE!</v>
      </c>
      <c r="T99" s="69" t="e">
        <f t="shared" ca="1" si="6"/>
        <v>#VALUE!</v>
      </c>
      <c r="U99" s="69" t="e">
        <f t="shared" ca="1" si="24"/>
        <v>#VALUE!</v>
      </c>
      <c r="V99" s="69" t="e">
        <f t="shared" ca="1" si="25"/>
        <v>#VALUE!</v>
      </c>
      <c r="W99" s="70" t="str">
        <f t="shared" ca="1" si="9"/>
        <v/>
      </c>
      <c r="X99" s="70" t="e">
        <f t="shared" ca="1" si="10"/>
        <v>#VALUE!</v>
      </c>
      <c r="Y99" s="70" t="e">
        <f t="shared" ca="1" si="11"/>
        <v>#VALUE!</v>
      </c>
      <c r="Z99" s="71" t="e">
        <f t="shared" ca="1" si="12"/>
        <v>#VALUE!</v>
      </c>
      <c r="AA99" s="72" t="e">
        <f t="shared" ca="1" si="13"/>
        <v>#VALUE!</v>
      </c>
      <c r="AB99" s="72" t="e">
        <f t="shared" ca="1" si="14"/>
        <v>#VALUE!</v>
      </c>
      <c r="AC99" s="72" t="e">
        <f t="shared" ca="1" si="15"/>
        <v>#VALUE!</v>
      </c>
      <c r="AD99" s="73" t="e">
        <f t="shared" ca="1" si="16"/>
        <v>#VALUE!</v>
      </c>
      <c r="AE99" s="19" t="e">
        <f t="shared" ca="1" si="17"/>
        <v>#VALUE!</v>
      </c>
      <c r="AF99" s="74" t="str">
        <f t="shared" ca="1" si="18"/>
        <v>Below D1 Low</v>
      </c>
      <c r="AG99" s="17" t="str">
        <f t="shared" ca="1" si="19"/>
        <v>Sell</v>
      </c>
      <c r="AH99" s="17" t="str">
        <f t="shared" ca="1" si="20"/>
        <v>SELL</v>
      </c>
      <c r="AI99" s="75">
        <f ca="1">IFERROR(__xludf.DUMMYFUNCTION("AVERAGE.WEIGHTED((G99+H99+B99)/3, I99)"),31.7166666666666)</f>
        <v>31.716666666666601</v>
      </c>
      <c r="AJ99" s="75" t="str">
        <f ca="1">IFERROR(__xludf.DUMMYFUNCTION("AVERAGE.WEIGHTED((K99+L99+J99)/3, N99)"),"#N/A")</f>
        <v>#N/A</v>
      </c>
      <c r="AK99" s="75" t="str">
        <f t="shared" ca="1" si="21"/>
        <v>SELL</v>
      </c>
      <c r="AL99" s="31"/>
      <c r="AM99" s="31"/>
      <c r="AN99" s="31"/>
      <c r="AO99" s="31"/>
      <c r="AP99" s="31"/>
      <c r="AQ99" s="31"/>
      <c r="AR99" s="31"/>
    </row>
    <row r="100" spans="1:44" ht="15.75" customHeight="1">
      <c r="A100" s="61" t="s">
        <v>165</v>
      </c>
      <c r="B100" s="62">
        <f ca="1">IFERROR(__xludf.DUMMYFUNCTION("googlefinance(""nse:""&amp;A100,""price"")"),2575.95)</f>
        <v>2575.9499999999998</v>
      </c>
      <c r="C100" s="63">
        <f t="shared" ca="1" si="0"/>
        <v>0</v>
      </c>
      <c r="D100" s="63">
        <f ca="1">IFERROR(__xludf.DUMMYFUNCTION("googlefinance(""nse:""&amp;A100,""changepct"")"),5.8)</f>
        <v>5.8</v>
      </c>
      <c r="E100" s="63">
        <f ca="1">IFERROR(__xludf.DUMMYFUNCTION("googlefinance(""nse:""&amp;A100,""change"")"),141.2)</f>
        <v>141.19999999999999</v>
      </c>
      <c r="F100" s="63">
        <f ca="1">IFERROR(__xludf.DUMMYFUNCTION("googlefinance(""nse:""&amp;A100,""priceopen"")"),2472.45)</f>
        <v>2472.4499999999998</v>
      </c>
      <c r="G100" s="63">
        <f ca="1">IFERROR(__xludf.DUMMYFUNCTION("googlefinance(""nse:""&amp;A100,""HIGH"")"),2577.5)</f>
        <v>2577.5</v>
      </c>
      <c r="H100" s="63">
        <f ca="1">IFERROR(__xludf.DUMMYFUNCTION("googlefinance(""nse:""&amp;A100,""LOW"")"),2419)</f>
        <v>2419</v>
      </c>
      <c r="I100" s="63">
        <f ca="1">IFERROR(__xludf.DUMMYFUNCTION("googlefinance(""nse:""&amp;A100,""VOLUME"")"),334287)</f>
        <v>334287</v>
      </c>
      <c r="J100" s="63">
        <f ca="1">IFERROR(__xludf.DUMMYFUNCTION("googlefinance(""nse:""&amp;A100,""closeyest"")"),2434.75)</f>
        <v>2434.75</v>
      </c>
      <c r="K100" s="65" t="str">
        <f ca="1">IFERROR(__xludf.DUMMYFUNCTION("INDEX( GoogleFinance( ""NSE:""&amp;A100 , ""all"" , TODAY()-4) , 2, 3)"),"#N/A")</f>
        <v>#N/A</v>
      </c>
      <c r="L100" s="66" t="str">
        <f ca="1">IFERROR(__xludf.DUMMYFUNCTION("INDEX( GoogleFinance(""NSE:""&amp;A100 , ""all"" , TODAY()-4 ) , 2, 4)"),"#N/A")</f>
        <v>#N/A</v>
      </c>
      <c r="M100" s="67" t="str">
        <f ca="1">IFERROR(__xludf.DUMMYFUNCTION("INDEX( GoogleFinance( ""NSE:""&amp;A100 , ""all"" , TODAY()-4) , 2, 2)"),"#N/A")</f>
        <v>#N/A</v>
      </c>
      <c r="N100" s="68" t="str">
        <f ca="1">IFERROR(__xludf.DUMMYFUNCTION("INDEX( GoogleFinance( ""NSE:""&amp;A100 , ""all"" , TODAY()-4) , 2, 6)"),"#N/A")</f>
        <v>#N/A</v>
      </c>
      <c r="O100" s="69" t="str">
        <f t="shared" ca="1" si="1"/>
        <v/>
      </c>
      <c r="P100" s="69" t="e">
        <f t="shared" ca="1" si="2"/>
        <v>#VALUE!</v>
      </c>
      <c r="Q100" s="69" t="e">
        <f t="shared" ca="1" si="3"/>
        <v>#VALUE!</v>
      </c>
      <c r="R100" s="69" t="e">
        <f t="shared" ca="1" si="23"/>
        <v>#VALUE!</v>
      </c>
      <c r="S100" s="69" t="e">
        <f t="shared" ca="1" si="5"/>
        <v>#VALUE!</v>
      </c>
      <c r="T100" s="69" t="e">
        <f t="shared" ca="1" si="6"/>
        <v>#VALUE!</v>
      </c>
      <c r="U100" s="69" t="e">
        <f t="shared" ca="1" si="24"/>
        <v>#VALUE!</v>
      </c>
      <c r="V100" s="69" t="e">
        <f t="shared" ca="1" si="25"/>
        <v>#VALUE!</v>
      </c>
      <c r="W100" s="70" t="str">
        <f t="shared" ca="1" si="9"/>
        <v/>
      </c>
      <c r="X100" s="70" t="e">
        <f t="shared" ca="1" si="10"/>
        <v>#VALUE!</v>
      </c>
      <c r="Y100" s="70" t="e">
        <f t="shared" ca="1" si="11"/>
        <v>#VALUE!</v>
      </c>
      <c r="Z100" s="71" t="e">
        <f t="shared" ca="1" si="12"/>
        <v>#VALUE!</v>
      </c>
      <c r="AA100" s="72" t="e">
        <f t="shared" ca="1" si="13"/>
        <v>#VALUE!</v>
      </c>
      <c r="AB100" s="72" t="e">
        <f t="shared" ca="1" si="14"/>
        <v>#VALUE!</v>
      </c>
      <c r="AC100" s="72" t="e">
        <f t="shared" ca="1" si="15"/>
        <v>#VALUE!</v>
      </c>
      <c r="AD100" s="73" t="e">
        <f t="shared" ca="1" si="16"/>
        <v>#VALUE!</v>
      </c>
      <c r="AE100" s="19" t="e">
        <f t="shared" ca="1" si="17"/>
        <v>#VALUE!</v>
      </c>
      <c r="AF100" s="74" t="str">
        <f t="shared" ca="1" si="18"/>
        <v>Below D1 Low</v>
      </c>
      <c r="AG100" s="17" t="str">
        <f t="shared" ca="1" si="19"/>
        <v>Sell</v>
      </c>
      <c r="AH100" s="17" t="str">
        <f t="shared" ca="1" si="20"/>
        <v>SELL</v>
      </c>
      <c r="AI100" s="75">
        <f ca="1">IFERROR(__xludf.DUMMYFUNCTION("AVERAGE.WEIGHTED((G100+H100+B100)/3, I100)"),2524.15)</f>
        <v>2524.15</v>
      </c>
      <c r="AJ100" s="75" t="str">
        <f ca="1">IFERROR(__xludf.DUMMYFUNCTION("AVERAGE.WEIGHTED((K100+L100+J100)/3, N100)"),"#N/A")</f>
        <v>#N/A</v>
      </c>
      <c r="AK100" s="75" t="str">
        <f t="shared" ca="1" si="21"/>
        <v>SELL</v>
      </c>
      <c r="AL100" s="31"/>
      <c r="AM100" s="31"/>
      <c r="AN100" s="31"/>
      <c r="AO100" s="31"/>
      <c r="AP100" s="31"/>
      <c r="AQ100" s="31"/>
      <c r="AR100" s="31"/>
    </row>
    <row r="101" spans="1:44" ht="15.75" customHeight="1">
      <c r="A101" s="61" t="s">
        <v>166</v>
      </c>
      <c r="B101" s="62">
        <f ca="1">IFERROR(__xludf.DUMMYFUNCTION("googlefinance(""nse:""&amp;A101,""price"")"),25.95)</f>
        <v>25.95</v>
      </c>
      <c r="C101" s="63">
        <f t="shared" ca="1" si="0"/>
        <v>0</v>
      </c>
      <c r="D101" s="63">
        <f ca="1">IFERROR(__xludf.DUMMYFUNCTION("googlefinance(""nse:""&amp;A101,""changepct"")"),0.97)</f>
        <v>0.97</v>
      </c>
      <c r="E101" s="63">
        <f ca="1">IFERROR(__xludf.DUMMYFUNCTION("googlefinance(""nse:""&amp;A101,""change"")"),0.25)</f>
        <v>0.25</v>
      </c>
      <c r="F101" s="63">
        <f ca="1">IFERROR(__xludf.DUMMYFUNCTION("googlefinance(""nse:""&amp;A101,""priceopen"")"),26.45)</f>
        <v>26.45</v>
      </c>
      <c r="G101" s="63">
        <f ca="1">IFERROR(__xludf.DUMMYFUNCTION("googlefinance(""nse:""&amp;A101,""HIGH"")"),27.3)</f>
        <v>27.3</v>
      </c>
      <c r="H101" s="63">
        <f ca="1">IFERROR(__xludf.DUMMYFUNCTION("googlefinance(""nse:""&amp;A101,""LOW"")"),25.8)</f>
        <v>25.8</v>
      </c>
      <c r="I101" s="63">
        <f ca="1">IFERROR(__xludf.DUMMYFUNCTION("googlefinance(""nse:""&amp;A101,""VOLUME"")"),30185603)</f>
        <v>30185603</v>
      </c>
      <c r="J101" s="63">
        <f ca="1">IFERROR(__xludf.DUMMYFUNCTION("googlefinance(""nse:""&amp;A101,""closeyest"")"),25.7)</f>
        <v>25.7</v>
      </c>
      <c r="K101" s="65" t="str">
        <f ca="1">IFERROR(__xludf.DUMMYFUNCTION("INDEX( GoogleFinance( ""NSE:""&amp;A101 , ""all"" , TODAY()-4) , 2, 3)"),"#N/A")</f>
        <v>#N/A</v>
      </c>
      <c r="L101" s="66" t="str">
        <f ca="1">IFERROR(__xludf.DUMMYFUNCTION("INDEX( GoogleFinance(""NSE:""&amp;A101 , ""all"" , TODAY()-4 ) , 2, 4)"),"#N/A")</f>
        <v>#N/A</v>
      </c>
      <c r="M101" s="67" t="str">
        <f ca="1">IFERROR(__xludf.DUMMYFUNCTION("INDEX( GoogleFinance( ""NSE:""&amp;A101 , ""all"" , TODAY()-4) , 2, 2)"),"#N/A")</f>
        <v>#N/A</v>
      </c>
      <c r="N101" s="68" t="str">
        <f ca="1">IFERROR(__xludf.DUMMYFUNCTION("INDEX( GoogleFinance( ""NSE:""&amp;A101 , ""all"" , TODAY()-4) , 2, 6)"),"#N/A")</f>
        <v>#N/A</v>
      </c>
      <c r="O101" s="69" t="str">
        <f t="shared" ca="1" si="1"/>
        <v/>
      </c>
      <c r="P101" s="69" t="e">
        <f t="shared" ca="1" si="2"/>
        <v>#VALUE!</v>
      </c>
      <c r="Q101" s="69" t="e">
        <f t="shared" ca="1" si="3"/>
        <v>#VALUE!</v>
      </c>
      <c r="R101" s="69" t="e">
        <f t="shared" ca="1" si="23"/>
        <v>#VALUE!</v>
      </c>
      <c r="S101" s="69" t="e">
        <f t="shared" ca="1" si="5"/>
        <v>#VALUE!</v>
      </c>
      <c r="T101" s="69" t="e">
        <f t="shared" ca="1" si="6"/>
        <v>#VALUE!</v>
      </c>
      <c r="U101" s="69" t="e">
        <f t="shared" ca="1" si="24"/>
        <v>#VALUE!</v>
      </c>
      <c r="V101" s="69" t="e">
        <f t="shared" ca="1" si="25"/>
        <v>#VALUE!</v>
      </c>
      <c r="W101" s="70" t="str">
        <f t="shared" ca="1" si="9"/>
        <v/>
      </c>
      <c r="X101" s="70" t="e">
        <f t="shared" ca="1" si="10"/>
        <v>#VALUE!</v>
      </c>
      <c r="Y101" s="70" t="e">
        <f t="shared" ca="1" si="11"/>
        <v>#VALUE!</v>
      </c>
      <c r="Z101" s="71" t="e">
        <f t="shared" ca="1" si="12"/>
        <v>#VALUE!</v>
      </c>
      <c r="AA101" s="72" t="e">
        <f t="shared" ca="1" si="13"/>
        <v>#VALUE!</v>
      </c>
      <c r="AB101" s="72" t="e">
        <f t="shared" ca="1" si="14"/>
        <v>#VALUE!</v>
      </c>
      <c r="AC101" s="72" t="e">
        <f t="shared" ca="1" si="15"/>
        <v>#VALUE!</v>
      </c>
      <c r="AD101" s="73" t="e">
        <f t="shared" ca="1" si="16"/>
        <v>#VALUE!</v>
      </c>
      <c r="AE101" s="19" t="e">
        <f t="shared" ca="1" si="17"/>
        <v>#VALUE!</v>
      </c>
      <c r="AF101" s="74" t="str">
        <f t="shared" ca="1" si="18"/>
        <v>Below D1 Low</v>
      </c>
      <c r="AG101" s="17" t="str">
        <f t="shared" ca="1" si="19"/>
        <v>Sell</v>
      </c>
      <c r="AH101" s="17" t="str">
        <f t="shared" ca="1" si="20"/>
        <v>SELL</v>
      </c>
      <c r="AI101" s="75">
        <f ca="1">IFERROR(__xludf.DUMMYFUNCTION("AVERAGE.WEIGHTED((G101+H101+B101)/3, I101)"),26.3499999999999)</f>
        <v>26.349999999999898</v>
      </c>
      <c r="AJ101" s="75" t="str">
        <f ca="1">IFERROR(__xludf.DUMMYFUNCTION("AVERAGE.WEIGHTED((K101+L101+J101)/3, N101)"),"#N/A")</f>
        <v>#N/A</v>
      </c>
      <c r="AK101" s="75" t="str">
        <f t="shared" ca="1" si="21"/>
        <v>SELL</v>
      </c>
      <c r="AL101" s="31"/>
      <c r="AM101" s="31"/>
      <c r="AN101" s="31"/>
      <c r="AO101" s="31"/>
      <c r="AP101" s="31"/>
      <c r="AQ101" s="31"/>
      <c r="AR101" s="31"/>
    </row>
    <row r="102" spans="1:44" ht="15.75" customHeight="1">
      <c r="A102" s="61" t="s">
        <v>167</v>
      </c>
      <c r="B102" s="62">
        <f ca="1">IFERROR(__xludf.DUMMYFUNCTION("googlefinance(""nse:""&amp;A102,""price"")"),17899)</f>
        <v>17899</v>
      </c>
      <c r="C102" s="63">
        <f t="shared" ca="1" si="0"/>
        <v>0</v>
      </c>
      <c r="D102" s="63">
        <f ca="1">IFERROR(__xludf.DUMMYFUNCTION("googlefinance(""nse:""&amp;A102,""changepct"")"),2.34)</f>
        <v>2.34</v>
      </c>
      <c r="E102" s="63">
        <f ca="1">IFERROR(__xludf.DUMMYFUNCTION("googlefinance(""nse:""&amp;A102,""change"")"),409.3)</f>
        <v>409.3</v>
      </c>
      <c r="F102" s="63">
        <f ca="1">IFERROR(__xludf.DUMMYFUNCTION("googlefinance(""nse:""&amp;A102,""priceopen"")"),17700)</f>
        <v>17700</v>
      </c>
      <c r="G102" s="63">
        <f ca="1">IFERROR(__xludf.DUMMYFUNCTION("googlefinance(""nse:""&amp;A102,""HIGH"")"),18000)</f>
        <v>18000</v>
      </c>
      <c r="H102" s="63">
        <f ca="1">IFERROR(__xludf.DUMMYFUNCTION("googlefinance(""nse:""&amp;A102,""LOW"")"),17512)</f>
        <v>17512</v>
      </c>
      <c r="I102" s="63">
        <f ca="1">IFERROR(__xludf.DUMMYFUNCTION("googlefinance(""nse:""&amp;A102,""VOLUME"")"),158370)</f>
        <v>158370</v>
      </c>
      <c r="J102" s="63">
        <f ca="1">IFERROR(__xludf.DUMMYFUNCTION("googlefinance(""nse:""&amp;A102,""closeyest"")"),17489.7)</f>
        <v>17489.7</v>
      </c>
      <c r="K102" s="65" t="str">
        <f ca="1">IFERROR(__xludf.DUMMYFUNCTION("INDEX( GoogleFinance( ""NSE:""&amp;A102 , ""all"" , TODAY()-4) , 2, 3)"),"#N/A")</f>
        <v>#N/A</v>
      </c>
      <c r="L102" s="66" t="str">
        <f ca="1">IFERROR(__xludf.DUMMYFUNCTION("INDEX( GoogleFinance(""NSE:""&amp;A102 , ""all"" , TODAY()-4 ) , 2, 4)"),"#N/A")</f>
        <v>#N/A</v>
      </c>
      <c r="M102" s="67" t="str">
        <f ca="1">IFERROR(__xludf.DUMMYFUNCTION("INDEX( GoogleFinance( ""NSE:""&amp;A102 , ""all"" , TODAY()-4) , 2, 2)"),"#N/A")</f>
        <v>#N/A</v>
      </c>
      <c r="N102" s="68" t="str">
        <f ca="1">IFERROR(__xludf.DUMMYFUNCTION("INDEX( GoogleFinance( ""NSE:""&amp;A102 , ""all"" , TODAY()-4) , 2, 6)"),"#N/A")</f>
        <v>#N/A</v>
      </c>
      <c r="O102" s="69" t="str">
        <f t="shared" ca="1" si="1"/>
        <v/>
      </c>
      <c r="P102" s="69" t="e">
        <f t="shared" ca="1" si="2"/>
        <v>#VALUE!</v>
      </c>
      <c r="Q102" s="69" t="e">
        <f t="shared" ca="1" si="3"/>
        <v>#VALUE!</v>
      </c>
      <c r="R102" s="69" t="e">
        <f t="shared" ca="1" si="23"/>
        <v>#VALUE!</v>
      </c>
      <c r="S102" s="69" t="e">
        <f t="shared" ca="1" si="5"/>
        <v>#VALUE!</v>
      </c>
      <c r="T102" s="69" t="e">
        <f t="shared" ca="1" si="6"/>
        <v>#VALUE!</v>
      </c>
      <c r="U102" s="69" t="e">
        <f t="shared" ca="1" si="24"/>
        <v>#VALUE!</v>
      </c>
      <c r="V102" s="69" t="e">
        <f t="shared" ca="1" si="25"/>
        <v>#VALUE!</v>
      </c>
      <c r="W102" s="70" t="str">
        <f t="shared" ca="1" si="9"/>
        <v/>
      </c>
      <c r="X102" s="70" t="e">
        <f t="shared" ca="1" si="10"/>
        <v>#VALUE!</v>
      </c>
      <c r="Y102" s="70" t="e">
        <f t="shared" ca="1" si="11"/>
        <v>#VALUE!</v>
      </c>
      <c r="Z102" s="71" t="e">
        <f t="shared" ca="1" si="12"/>
        <v>#VALUE!</v>
      </c>
      <c r="AA102" s="72" t="e">
        <f t="shared" ca="1" si="13"/>
        <v>#VALUE!</v>
      </c>
      <c r="AB102" s="72" t="e">
        <f t="shared" ca="1" si="14"/>
        <v>#VALUE!</v>
      </c>
      <c r="AC102" s="72" t="e">
        <f t="shared" ca="1" si="15"/>
        <v>#VALUE!</v>
      </c>
      <c r="AD102" s="73" t="e">
        <f t="shared" ca="1" si="16"/>
        <v>#VALUE!</v>
      </c>
      <c r="AE102" s="19" t="e">
        <f t="shared" ca="1" si="17"/>
        <v>#VALUE!</v>
      </c>
      <c r="AF102" s="74" t="str">
        <f t="shared" ca="1" si="18"/>
        <v>Below D1 Low</v>
      </c>
      <c r="AG102" s="17" t="str">
        <f t="shared" ca="1" si="19"/>
        <v>Sell</v>
      </c>
      <c r="AH102" s="17" t="str">
        <f t="shared" ca="1" si="20"/>
        <v>SELL</v>
      </c>
      <c r="AI102" s="75">
        <f ca="1">IFERROR(__xludf.DUMMYFUNCTION("AVERAGE.WEIGHTED((G102+H102+B102)/3, I102)"),17803.6666666666)</f>
        <v>17803.666666666599</v>
      </c>
      <c r="AJ102" s="75" t="str">
        <f ca="1">IFERROR(__xludf.DUMMYFUNCTION("AVERAGE.WEIGHTED((K102+L102+J102)/3, N102)"),"#N/A")</f>
        <v>#N/A</v>
      </c>
      <c r="AK102" s="75" t="str">
        <f t="shared" ca="1" si="21"/>
        <v>SELL</v>
      </c>
      <c r="AL102" s="31"/>
      <c r="AM102" s="31"/>
      <c r="AN102" s="31"/>
      <c r="AO102" s="31"/>
      <c r="AP102" s="31"/>
      <c r="AQ102" s="31"/>
      <c r="AR102" s="31"/>
    </row>
    <row r="103" spans="1:44" ht="15.75" customHeight="1">
      <c r="A103" s="61" t="s">
        <v>168</v>
      </c>
      <c r="B103" s="62">
        <f ca="1">IFERROR(__xludf.DUMMYFUNCTION("googlefinance(""nse:""&amp;A103,""price"")"),1205)</f>
        <v>1205</v>
      </c>
      <c r="C103" s="63">
        <f t="shared" ca="1" si="0"/>
        <v>0</v>
      </c>
      <c r="D103" s="63">
        <f ca="1">IFERROR(__xludf.DUMMYFUNCTION("googlefinance(""nse:""&amp;A103,""changepct"")"),1.96)</f>
        <v>1.96</v>
      </c>
      <c r="E103" s="63">
        <f ca="1">IFERROR(__xludf.DUMMYFUNCTION("googlefinance(""nse:""&amp;A103,""change"")"),23.15)</f>
        <v>23.15</v>
      </c>
      <c r="F103" s="63">
        <f ca="1">IFERROR(__xludf.DUMMYFUNCTION("googlefinance(""nse:""&amp;A103,""priceopen"")"),1205)</f>
        <v>1205</v>
      </c>
      <c r="G103" s="63">
        <f ca="1">IFERROR(__xludf.DUMMYFUNCTION("googlefinance(""nse:""&amp;A103,""HIGH"")"),1245.45)</f>
        <v>1245.45</v>
      </c>
      <c r="H103" s="63">
        <f ca="1">IFERROR(__xludf.DUMMYFUNCTION("googlefinance(""nse:""&amp;A103,""LOW"")"),1192.9)</f>
        <v>1192.9000000000001</v>
      </c>
      <c r="I103" s="63">
        <f ca="1">IFERROR(__xludf.DUMMYFUNCTION("googlefinance(""nse:""&amp;A103,""VOLUME"")"),657726)</f>
        <v>657726</v>
      </c>
      <c r="J103" s="63">
        <f ca="1">IFERROR(__xludf.DUMMYFUNCTION("googlefinance(""nse:""&amp;A103,""closeyest"")"),1181.85)</f>
        <v>1181.8499999999999</v>
      </c>
      <c r="K103" s="65" t="str">
        <f ca="1">IFERROR(__xludf.DUMMYFUNCTION("INDEX( GoogleFinance( ""NSE:""&amp;A103 , ""all"" , TODAY()-4) , 2, 3)"),"#N/A")</f>
        <v>#N/A</v>
      </c>
      <c r="L103" s="66" t="str">
        <f ca="1">IFERROR(__xludf.DUMMYFUNCTION("INDEX( GoogleFinance(""NSE:""&amp;A103 , ""all"" , TODAY()-4 ) , 2, 4)"),"#N/A")</f>
        <v>#N/A</v>
      </c>
      <c r="M103" s="67" t="str">
        <f ca="1">IFERROR(__xludf.DUMMYFUNCTION("INDEX( GoogleFinance( ""NSE:""&amp;A103 , ""all"" , TODAY()-4) , 2, 2)"),"#N/A")</f>
        <v>#N/A</v>
      </c>
      <c r="N103" s="68" t="str">
        <f ca="1">IFERROR(__xludf.DUMMYFUNCTION("INDEX( GoogleFinance( ""NSE:""&amp;A103 , ""all"" , TODAY()-4) , 2, 6)"),"#N/A")</f>
        <v>#N/A</v>
      </c>
      <c r="O103" s="69" t="str">
        <f t="shared" ca="1" si="1"/>
        <v/>
      </c>
      <c r="P103" s="69" t="e">
        <f t="shared" ca="1" si="2"/>
        <v>#VALUE!</v>
      </c>
      <c r="Q103" s="69" t="e">
        <f t="shared" ca="1" si="3"/>
        <v>#VALUE!</v>
      </c>
      <c r="R103" s="69" t="e">
        <f t="shared" ca="1" si="23"/>
        <v>#VALUE!</v>
      </c>
      <c r="S103" s="69" t="e">
        <f t="shared" ca="1" si="5"/>
        <v>#VALUE!</v>
      </c>
      <c r="T103" s="69" t="e">
        <f t="shared" ca="1" si="6"/>
        <v>#VALUE!</v>
      </c>
      <c r="U103" s="69" t="e">
        <f t="shared" ca="1" si="24"/>
        <v>#VALUE!</v>
      </c>
      <c r="V103" s="69" t="e">
        <f t="shared" ca="1" si="25"/>
        <v>#VALUE!</v>
      </c>
      <c r="W103" s="70" t="str">
        <f t="shared" ca="1" si="9"/>
        <v/>
      </c>
      <c r="X103" s="70" t="e">
        <f t="shared" ca="1" si="10"/>
        <v>#VALUE!</v>
      </c>
      <c r="Y103" s="70" t="e">
        <f t="shared" ca="1" si="11"/>
        <v>#VALUE!</v>
      </c>
      <c r="Z103" s="71" t="e">
        <f t="shared" ca="1" si="12"/>
        <v>#VALUE!</v>
      </c>
      <c r="AA103" s="72" t="e">
        <f t="shared" ca="1" si="13"/>
        <v>#VALUE!</v>
      </c>
      <c r="AB103" s="72" t="e">
        <f t="shared" ca="1" si="14"/>
        <v>#VALUE!</v>
      </c>
      <c r="AC103" s="72" t="e">
        <f t="shared" ca="1" si="15"/>
        <v>#VALUE!</v>
      </c>
      <c r="AD103" s="73" t="e">
        <f t="shared" ca="1" si="16"/>
        <v>#VALUE!</v>
      </c>
      <c r="AE103" s="19" t="e">
        <f t="shared" ca="1" si="17"/>
        <v>#VALUE!</v>
      </c>
      <c r="AF103" s="74" t="str">
        <f t="shared" ca="1" si="18"/>
        <v>Below D1 Low</v>
      </c>
      <c r="AG103" s="17" t="str">
        <f t="shared" ca="1" si="19"/>
        <v>Sell</v>
      </c>
      <c r="AH103" s="17" t="str">
        <f t="shared" ca="1" si="20"/>
        <v>SELL</v>
      </c>
      <c r="AI103" s="75">
        <f ca="1">IFERROR(__xludf.DUMMYFUNCTION("AVERAGE.WEIGHTED((G103+H103+B103)/3, I103)"),1214.45)</f>
        <v>1214.45</v>
      </c>
      <c r="AJ103" s="75" t="str">
        <f ca="1">IFERROR(__xludf.DUMMYFUNCTION("AVERAGE.WEIGHTED((K103+L103+J103)/3, N103)"),"#N/A")</f>
        <v>#N/A</v>
      </c>
      <c r="AK103" s="75" t="str">
        <f t="shared" ca="1" si="21"/>
        <v>SELL</v>
      </c>
      <c r="AL103" s="31"/>
      <c r="AM103" s="31"/>
      <c r="AN103" s="31"/>
      <c r="AO103" s="31"/>
      <c r="AP103" s="31"/>
      <c r="AQ103" s="31"/>
      <c r="AR103" s="31"/>
    </row>
    <row r="104" spans="1:44" ht="15.75" customHeight="1">
      <c r="A104" s="61" t="s">
        <v>169</v>
      </c>
      <c r="B104" s="62">
        <f ca="1">IFERROR(__xludf.DUMMYFUNCTION("googlefinance(""nse:""&amp;A104,""price"")"),80.6)</f>
        <v>80.599999999999994</v>
      </c>
      <c r="C104" s="63">
        <f t="shared" ca="1" si="0"/>
        <v>0</v>
      </c>
      <c r="D104" s="63">
        <f ca="1">IFERROR(__xludf.DUMMYFUNCTION("googlefinance(""nse:""&amp;A104,""changepct"")"),6.9)</f>
        <v>6.9</v>
      </c>
      <c r="E104" s="63">
        <f ca="1">IFERROR(__xludf.DUMMYFUNCTION("googlefinance(""nse:""&amp;A104,""change"")"),5.2)</f>
        <v>5.2</v>
      </c>
      <c r="F104" s="63">
        <f ca="1">IFERROR(__xludf.DUMMYFUNCTION("googlefinance(""nse:""&amp;A104,""priceopen"")"),76.8)</f>
        <v>76.8</v>
      </c>
      <c r="G104" s="63">
        <f ca="1">IFERROR(__xludf.DUMMYFUNCTION("googlefinance(""nse:""&amp;A104,""HIGH"")"),81.55)</f>
        <v>81.55</v>
      </c>
      <c r="H104" s="63">
        <f ca="1">IFERROR(__xludf.DUMMYFUNCTION("googlefinance(""nse:""&amp;A104,""LOW"")"),75.95)</f>
        <v>75.95</v>
      </c>
      <c r="I104" s="63">
        <f ca="1">IFERROR(__xludf.DUMMYFUNCTION("googlefinance(""nse:""&amp;A104,""VOLUME"")"),6511716)</f>
        <v>6511716</v>
      </c>
      <c r="J104" s="63">
        <f ca="1">IFERROR(__xludf.DUMMYFUNCTION("googlefinance(""nse:""&amp;A104,""closeyest"")"),75.4)</f>
        <v>75.400000000000006</v>
      </c>
      <c r="K104" s="65" t="str">
        <f ca="1">IFERROR(__xludf.DUMMYFUNCTION("INDEX( GoogleFinance( ""NSE:""&amp;A104 , ""all"" , TODAY()-4) , 2, 3)"),"#N/A")</f>
        <v>#N/A</v>
      </c>
      <c r="L104" s="66" t="str">
        <f ca="1">IFERROR(__xludf.DUMMYFUNCTION("INDEX( GoogleFinance(""NSE:""&amp;A104 , ""all"" , TODAY()-4 ) , 2, 4)"),"#N/A")</f>
        <v>#N/A</v>
      </c>
      <c r="M104" s="67" t="str">
        <f ca="1">IFERROR(__xludf.DUMMYFUNCTION("INDEX( GoogleFinance( ""NSE:""&amp;A104 , ""all"" , TODAY()-4) , 2, 2)"),"#N/A")</f>
        <v>#N/A</v>
      </c>
      <c r="N104" s="68" t="str">
        <f ca="1">IFERROR(__xludf.DUMMYFUNCTION("INDEX( GoogleFinance( ""NSE:""&amp;A104 , ""all"" , TODAY()-4) , 2, 6)"),"#N/A")</f>
        <v>#N/A</v>
      </c>
      <c r="O104" s="69" t="str">
        <f t="shared" ca="1" si="1"/>
        <v/>
      </c>
      <c r="P104" s="69" t="e">
        <f t="shared" ca="1" si="2"/>
        <v>#VALUE!</v>
      </c>
      <c r="Q104" s="69" t="e">
        <f t="shared" ca="1" si="3"/>
        <v>#VALUE!</v>
      </c>
      <c r="R104" s="69" t="e">
        <f t="shared" ca="1" si="23"/>
        <v>#VALUE!</v>
      </c>
      <c r="S104" s="69" t="e">
        <f t="shared" ca="1" si="5"/>
        <v>#VALUE!</v>
      </c>
      <c r="T104" s="69" t="e">
        <f t="shared" ca="1" si="6"/>
        <v>#VALUE!</v>
      </c>
      <c r="U104" s="69" t="e">
        <f t="shared" ca="1" si="24"/>
        <v>#VALUE!</v>
      </c>
      <c r="V104" s="69" t="e">
        <f t="shared" ca="1" si="25"/>
        <v>#VALUE!</v>
      </c>
      <c r="W104" s="70" t="str">
        <f t="shared" ca="1" si="9"/>
        <v/>
      </c>
      <c r="X104" s="70" t="e">
        <f t="shared" ca="1" si="10"/>
        <v>#VALUE!</v>
      </c>
      <c r="Y104" s="70" t="e">
        <f t="shared" ca="1" si="11"/>
        <v>#VALUE!</v>
      </c>
      <c r="Z104" s="71" t="e">
        <f t="shared" ca="1" si="12"/>
        <v>#VALUE!</v>
      </c>
      <c r="AA104" s="72" t="e">
        <f t="shared" ca="1" si="13"/>
        <v>#VALUE!</v>
      </c>
      <c r="AB104" s="72" t="e">
        <f t="shared" ca="1" si="14"/>
        <v>#VALUE!</v>
      </c>
      <c r="AC104" s="72" t="e">
        <f t="shared" ca="1" si="15"/>
        <v>#VALUE!</v>
      </c>
      <c r="AD104" s="73" t="e">
        <f t="shared" ca="1" si="16"/>
        <v>#VALUE!</v>
      </c>
      <c r="AE104" s="19" t="e">
        <f t="shared" ca="1" si="17"/>
        <v>#VALUE!</v>
      </c>
      <c r="AF104" s="74" t="str">
        <f t="shared" ca="1" si="18"/>
        <v>Below D1 Low</v>
      </c>
      <c r="AG104" s="17" t="str">
        <f t="shared" ca="1" si="19"/>
        <v>Sell</v>
      </c>
      <c r="AH104" s="17" t="str">
        <f t="shared" ca="1" si="20"/>
        <v>SELL</v>
      </c>
      <c r="AI104" s="75">
        <f ca="1">IFERROR(__xludf.DUMMYFUNCTION("AVERAGE.WEIGHTED((G104+H104+B104)/3, I104)"),79.3666666666666)</f>
        <v>79.366666666666603</v>
      </c>
      <c r="AJ104" s="75" t="str">
        <f ca="1">IFERROR(__xludf.DUMMYFUNCTION("AVERAGE.WEIGHTED((K104+L104+J104)/3, N104)"),"#N/A")</f>
        <v>#N/A</v>
      </c>
      <c r="AK104" s="75" t="str">
        <f t="shared" ca="1" si="21"/>
        <v>SELL</v>
      </c>
      <c r="AL104" s="31"/>
      <c r="AM104" s="31"/>
      <c r="AN104" s="31"/>
      <c r="AO104" s="31"/>
      <c r="AP104" s="31"/>
      <c r="AQ104" s="31"/>
      <c r="AR104" s="31"/>
    </row>
    <row r="105" spans="1:44" ht="15.75" customHeight="1">
      <c r="A105" s="61" t="s">
        <v>170</v>
      </c>
      <c r="B105" s="62">
        <f ca="1">IFERROR(__xludf.DUMMYFUNCTION("googlefinance(""nse:""&amp;A105,""price"")"),95.95)</f>
        <v>95.95</v>
      </c>
      <c r="C105" s="63">
        <f t="shared" ca="1" si="0"/>
        <v>0</v>
      </c>
      <c r="D105" s="63">
        <f ca="1">IFERROR(__xludf.DUMMYFUNCTION("googlefinance(""nse:""&amp;A105,""changepct"")"),6.37)</f>
        <v>6.37</v>
      </c>
      <c r="E105" s="63">
        <f ca="1">IFERROR(__xludf.DUMMYFUNCTION("googlefinance(""nse:""&amp;A105,""change"")"),5.75)</f>
        <v>5.75</v>
      </c>
      <c r="F105" s="63">
        <f ca="1">IFERROR(__xludf.DUMMYFUNCTION("googlefinance(""nse:""&amp;A105,""priceopen"")"),91.35)</f>
        <v>91.35</v>
      </c>
      <c r="G105" s="63">
        <f ca="1">IFERROR(__xludf.DUMMYFUNCTION("googlefinance(""nse:""&amp;A105,""HIGH"")"),97)</f>
        <v>97</v>
      </c>
      <c r="H105" s="63">
        <f ca="1">IFERROR(__xludf.DUMMYFUNCTION("googlefinance(""nse:""&amp;A105,""LOW"")"),90.4)</f>
        <v>90.4</v>
      </c>
      <c r="I105" s="63">
        <f ca="1">IFERROR(__xludf.DUMMYFUNCTION("googlefinance(""nse:""&amp;A105,""VOLUME"")"),15151440)</f>
        <v>15151440</v>
      </c>
      <c r="J105" s="63">
        <f ca="1">IFERROR(__xludf.DUMMYFUNCTION("googlefinance(""nse:""&amp;A105,""closeyest"")"),90.2)</f>
        <v>90.2</v>
      </c>
      <c r="K105" s="65" t="str">
        <f ca="1">IFERROR(__xludf.DUMMYFUNCTION("INDEX( GoogleFinance( ""NSE:""&amp;A105 , ""all"" , TODAY()-4) , 2, 3)"),"#N/A")</f>
        <v>#N/A</v>
      </c>
      <c r="L105" s="66" t="str">
        <f ca="1">IFERROR(__xludf.DUMMYFUNCTION("INDEX( GoogleFinance(""NSE:""&amp;A105 , ""all"" , TODAY()-4 ) , 2, 4)"),"#N/A")</f>
        <v>#N/A</v>
      </c>
      <c r="M105" s="67" t="str">
        <f ca="1">IFERROR(__xludf.DUMMYFUNCTION("INDEX( GoogleFinance( ""NSE:""&amp;A105 , ""all"" , TODAY()-4) , 2, 2)"),"#N/A")</f>
        <v>#N/A</v>
      </c>
      <c r="N105" s="68" t="str">
        <f ca="1">IFERROR(__xludf.DUMMYFUNCTION("INDEX( GoogleFinance( ""NSE:""&amp;A105 , ""all"" , TODAY()-4) , 2, 6)"),"#N/A")</f>
        <v>#N/A</v>
      </c>
      <c r="O105" s="69" t="str">
        <f t="shared" ca="1" si="1"/>
        <v/>
      </c>
      <c r="P105" s="69" t="e">
        <f t="shared" ca="1" si="2"/>
        <v>#VALUE!</v>
      </c>
      <c r="Q105" s="69" t="e">
        <f t="shared" ca="1" si="3"/>
        <v>#VALUE!</v>
      </c>
      <c r="R105" s="69" t="e">
        <f t="shared" ca="1" si="23"/>
        <v>#VALUE!</v>
      </c>
      <c r="S105" s="69" t="e">
        <f t="shared" ca="1" si="5"/>
        <v>#VALUE!</v>
      </c>
      <c r="T105" s="69" t="e">
        <f t="shared" ca="1" si="6"/>
        <v>#VALUE!</v>
      </c>
      <c r="U105" s="69" t="e">
        <f t="shared" ca="1" si="24"/>
        <v>#VALUE!</v>
      </c>
      <c r="V105" s="69" t="e">
        <f t="shared" ca="1" si="25"/>
        <v>#VALUE!</v>
      </c>
      <c r="W105" s="70" t="str">
        <f t="shared" ca="1" si="9"/>
        <v/>
      </c>
      <c r="X105" s="70" t="e">
        <f t="shared" ca="1" si="10"/>
        <v>#VALUE!</v>
      </c>
      <c r="Y105" s="70" t="e">
        <f t="shared" ca="1" si="11"/>
        <v>#VALUE!</v>
      </c>
      <c r="Z105" s="71" t="e">
        <f t="shared" ca="1" si="12"/>
        <v>#VALUE!</v>
      </c>
      <c r="AA105" s="72" t="e">
        <f t="shared" ca="1" si="13"/>
        <v>#VALUE!</v>
      </c>
      <c r="AB105" s="72" t="e">
        <f t="shared" ca="1" si="14"/>
        <v>#VALUE!</v>
      </c>
      <c r="AC105" s="72" t="e">
        <f t="shared" ca="1" si="15"/>
        <v>#VALUE!</v>
      </c>
      <c r="AD105" s="73" t="e">
        <f t="shared" ca="1" si="16"/>
        <v>#VALUE!</v>
      </c>
      <c r="AE105" s="19" t="e">
        <f t="shared" ca="1" si="17"/>
        <v>#VALUE!</v>
      </c>
      <c r="AF105" s="74" t="str">
        <f t="shared" ca="1" si="18"/>
        <v>Below D1 Low</v>
      </c>
      <c r="AG105" s="17" t="str">
        <f t="shared" ca="1" si="19"/>
        <v>Sell</v>
      </c>
      <c r="AH105" s="17" t="str">
        <f t="shared" ca="1" si="20"/>
        <v>SELL</v>
      </c>
      <c r="AI105" s="75">
        <f ca="1">IFERROR(__xludf.DUMMYFUNCTION("AVERAGE.WEIGHTED((G105+H105+B105)/3, I105)"),94.45)</f>
        <v>94.45</v>
      </c>
      <c r="AJ105" s="75" t="str">
        <f ca="1">IFERROR(__xludf.DUMMYFUNCTION("AVERAGE.WEIGHTED((K105+L105+J105)/3, N105)"),"#N/A")</f>
        <v>#N/A</v>
      </c>
      <c r="AK105" s="75" t="str">
        <f t="shared" ca="1" si="21"/>
        <v>SELL</v>
      </c>
      <c r="AL105" s="31"/>
      <c r="AM105" s="31"/>
      <c r="AN105" s="31"/>
      <c r="AO105" s="31"/>
      <c r="AP105" s="31"/>
      <c r="AQ105" s="31"/>
      <c r="AR105" s="31"/>
    </row>
    <row r="106" spans="1:44" ht="15.75" customHeight="1">
      <c r="A106" s="61" t="s">
        <v>171</v>
      </c>
      <c r="B106" s="62">
        <f ca="1">IFERROR(__xludf.DUMMYFUNCTION("googlefinance(""nse:""&amp;A106,""price"")"),79.75)</f>
        <v>79.75</v>
      </c>
      <c r="C106" s="63">
        <f t="shared" ca="1" si="0"/>
        <v>0</v>
      </c>
      <c r="D106" s="63">
        <f ca="1">IFERROR(__xludf.DUMMYFUNCTION("googlefinance(""nse:""&amp;A106,""changepct"")"),13.12)</f>
        <v>13.12</v>
      </c>
      <c r="E106" s="63">
        <f ca="1">IFERROR(__xludf.DUMMYFUNCTION("googlefinance(""nse:""&amp;A106,""change"")"),9.25)</f>
        <v>9.25</v>
      </c>
      <c r="F106" s="63">
        <f ca="1">IFERROR(__xludf.DUMMYFUNCTION("googlefinance(""nse:""&amp;A106,""priceopen"")"),72.6)</f>
        <v>72.599999999999994</v>
      </c>
      <c r="G106" s="63">
        <f ca="1">IFERROR(__xludf.DUMMYFUNCTION("googlefinance(""nse:""&amp;A106,""HIGH"")"),81.05)</f>
        <v>81.05</v>
      </c>
      <c r="H106" s="63">
        <f ca="1">IFERROR(__xludf.DUMMYFUNCTION("googlefinance(""nse:""&amp;A106,""LOW"")"),71.5)</f>
        <v>71.5</v>
      </c>
      <c r="I106" s="63">
        <f ca="1">IFERROR(__xludf.DUMMYFUNCTION("googlefinance(""nse:""&amp;A106,""VOLUME"")"),54295139)</f>
        <v>54295139</v>
      </c>
      <c r="J106" s="63">
        <f ca="1">IFERROR(__xludf.DUMMYFUNCTION("googlefinance(""nse:""&amp;A106,""closeyest"")"),70.5)</f>
        <v>70.5</v>
      </c>
      <c r="K106" s="65" t="str">
        <f ca="1">IFERROR(__xludf.DUMMYFUNCTION("INDEX( GoogleFinance( ""NSE:""&amp;A106 , ""all"" , TODAY()-4) , 2, 3)"),"#N/A")</f>
        <v>#N/A</v>
      </c>
      <c r="L106" s="66" t="str">
        <f ca="1">IFERROR(__xludf.DUMMYFUNCTION("INDEX( GoogleFinance(""NSE:""&amp;A106 , ""all"" , TODAY()-4 ) , 2, 4)"),"#N/A")</f>
        <v>#N/A</v>
      </c>
      <c r="M106" s="67" t="str">
        <f ca="1">IFERROR(__xludf.DUMMYFUNCTION("INDEX( GoogleFinance( ""NSE:""&amp;A106 , ""all"" , TODAY()-4) , 2, 2)"),"#N/A")</f>
        <v>#N/A</v>
      </c>
      <c r="N106" s="68" t="str">
        <f ca="1">IFERROR(__xludf.DUMMYFUNCTION("INDEX( GoogleFinance( ""NSE:""&amp;A106 , ""all"" , TODAY()-4) , 2, 6)"),"#N/A")</f>
        <v>#N/A</v>
      </c>
      <c r="O106" s="69" t="str">
        <f t="shared" ca="1" si="1"/>
        <v/>
      </c>
      <c r="P106" s="69" t="e">
        <f t="shared" ca="1" si="2"/>
        <v>#VALUE!</v>
      </c>
      <c r="Q106" s="69" t="e">
        <f t="shared" ca="1" si="3"/>
        <v>#VALUE!</v>
      </c>
      <c r="R106" s="69" t="e">
        <f t="shared" ca="1" si="23"/>
        <v>#VALUE!</v>
      </c>
      <c r="S106" s="69" t="e">
        <f t="shared" ca="1" si="5"/>
        <v>#VALUE!</v>
      </c>
      <c r="T106" s="69" t="e">
        <f t="shared" ca="1" si="6"/>
        <v>#VALUE!</v>
      </c>
      <c r="U106" s="69" t="e">
        <f t="shared" ca="1" si="24"/>
        <v>#VALUE!</v>
      </c>
      <c r="V106" s="69" t="e">
        <f t="shared" ca="1" si="25"/>
        <v>#VALUE!</v>
      </c>
      <c r="W106" s="70" t="str">
        <f t="shared" ca="1" si="9"/>
        <v/>
      </c>
      <c r="X106" s="70" t="e">
        <f t="shared" ca="1" si="10"/>
        <v>#VALUE!</v>
      </c>
      <c r="Y106" s="70" t="e">
        <f t="shared" ca="1" si="11"/>
        <v>#VALUE!</v>
      </c>
      <c r="Z106" s="71" t="e">
        <f t="shared" ca="1" si="12"/>
        <v>#VALUE!</v>
      </c>
      <c r="AA106" s="72" t="e">
        <f t="shared" ca="1" si="13"/>
        <v>#VALUE!</v>
      </c>
      <c r="AB106" s="72" t="e">
        <f t="shared" ca="1" si="14"/>
        <v>#VALUE!</v>
      </c>
      <c r="AC106" s="72" t="e">
        <f t="shared" ca="1" si="15"/>
        <v>#VALUE!</v>
      </c>
      <c r="AD106" s="73" t="e">
        <f t="shared" ca="1" si="16"/>
        <v>#VALUE!</v>
      </c>
      <c r="AE106" s="19" t="e">
        <f t="shared" ca="1" si="17"/>
        <v>#VALUE!</v>
      </c>
      <c r="AF106" s="74" t="str">
        <f t="shared" ca="1" si="18"/>
        <v>Below D1 Low</v>
      </c>
      <c r="AG106" s="17" t="str">
        <f t="shared" ca="1" si="19"/>
        <v>Sell</v>
      </c>
      <c r="AH106" s="17" t="str">
        <f t="shared" ca="1" si="20"/>
        <v>SELL</v>
      </c>
      <c r="AI106" s="75">
        <f ca="1">IFERROR(__xludf.DUMMYFUNCTION("AVERAGE.WEIGHTED((G106+H106+B106)/3, I106)"),77.4333333333333)</f>
        <v>77.433333333333294</v>
      </c>
      <c r="AJ106" s="75" t="str">
        <f ca="1">IFERROR(__xludf.DUMMYFUNCTION("AVERAGE.WEIGHTED((K106+L106+J106)/3, N106)"),"#N/A")</f>
        <v>#N/A</v>
      </c>
      <c r="AK106" s="75" t="str">
        <f t="shared" ca="1" si="21"/>
        <v>SELL</v>
      </c>
      <c r="AL106" s="31"/>
      <c r="AM106" s="31"/>
      <c r="AN106" s="31"/>
      <c r="AO106" s="31"/>
      <c r="AP106" s="31"/>
      <c r="AQ106" s="31"/>
      <c r="AR106" s="31"/>
    </row>
    <row r="107" spans="1:44" ht="15.75" customHeight="1">
      <c r="A107" s="61" t="s">
        <v>172</v>
      </c>
      <c r="B107" s="62">
        <f ca="1">IFERROR(__xludf.DUMMYFUNCTION("googlefinance(""nse:""&amp;A107,""price"")"),18244)</f>
        <v>18244</v>
      </c>
      <c r="C107" s="63">
        <f t="shared" ca="1" si="0"/>
        <v>0</v>
      </c>
      <c r="D107" s="63">
        <f ca="1">IFERROR(__xludf.DUMMYFUNCTION("googlefinance(""nse:""&amp;A107,""changepct"")"),1.39)</f>
        <v>1.39</v>
      </c>
      <c r="E107" s="63">
        <f ca="1">IFERROR(__xludf.DUMMYFUNCTION("googlefinance(""nse:""&amp;A107,""change"")"),250.15)</f>
        <v>250.15</v>
      </c>
      <c r="F107" s="63">
        <f ca="1">IFERROR(__xludf.DUMMYFUNCTION("googlefinance(""nse:""&amp;A107,""priceopen"")"),18300)</f>
        <v>18300</v>
      </c>
      <c r="G107" s="63">
        <f ca="1">IFERROR(__xludf.DUMMYFUNCTION("googlefinance(""nse:""&amp;A107,""HIGH"")"),18632.6)</f>
        <v>18632.599999999999</v>
      </c>
      <c r="H107" s="63">
        <f ca="1">IFERROR(__xludf.DUMMYFUNCTION("googlefinance(""nse:""&amp;A107,""LOW"")"),17965.1)</f>
        <v>17965.099999999999</v>
      </c>
      <c r="I107" s="63">
        <f ca="1">IFERROR(__xludf.DUMMYFUNCTION("googlefinance(""nse:""&amp;A107,""VOLUME"")"),49883)</f>
        <v>49883</v>
      </c>
      <c r="J107" s="63">
        <f ca="1">IFERROR(__xludf.DUMMYFUNCTION("googlefinance(""nse:""&amp;A107,""closeyest"")"),17993.85)</f>
        <v>17993.849999999999</v>
      </c>
      <c r="K107" s="65" t="str">
        <f ca="1">IFERROR(__xludf.DUMMYFUNCTION("INDEX( GoogleFinance( ""NSE:""&amp;A107 , ""all"" , TODAY()-4) , 2, 3)"),"#N/A")</f>
        <v>#N/A</v>
      </c>
      <c r="L107" s="66" t="str">
        <f ca="1">IFERROR(__xludf.DUMMYFUNCTION("INDEX( GoogleFinance(""NSE:""&amp;A107 , ""all"" , TODAY()-4 ) , 2, 4)"),"#N/A")</f>
        <v>#N/A</v>
      </c>
      <c r="M107" s="67" t="str">
        <f ca="1">IFERROR(__xludf.DUMMYFUNCTION("INDEX( GoogleFinance( ""NSE:""&amp;A107 , ""all"" , TODAY()-4) , 2, 2)"),"#N/A")</f>
        <v>#N/A</v>
      </c>
      <c r="N107" s="68" t="str">
        <f ca="1">IFERROR(__xludf.DUMMYFUNCTION("INDEX( GoogleFinance( ""NSE:""&amp;A107 , ""all"" , TODAY()-4) , 2, 6)"),"#N/A")</f>
        <v>#N/A</v>
      </c>
      <c r="O107" s="69" t="str">
        <f t="shared" ca="1" si="1"/>
        <v/>
      </c>
      <c r="P107" s="69" t="e">
        <f t="shared" ca="1" si="2"/>
        <v>#VALUE!</v>
      </c>
      <c r="Q107" s="69" t="e">
        <f t="shared" ca="1" si="3"/>
        <v>#VALUE!</v>
      </c>
      <c r="R107" s="69" t="e">
        <f t="shared" ca="1" si="23"/>
        <v>#VALUE!</v>
      </c>
      <c r="S107" s="69" t="e">
        <f t="shared" ca="1" si="5"/>
        <v>#VALUE!</v>
      </c>
      <c r="T107" s="69" t="e">
        <f t="shared" ca="1" si="6"/>
        <v>#VALUE!</v>
      </c>
      <c r="U107" s="69" t="e">
        <f t="shared" ca="1" si="24"/>
        <v>#VALUE!</v>
      </c>
      <c r="V107" s="69" t="e">
        <f t="shared" ca="1" si="25"/>
        <v>#VALUE!</v>
      </c>
      <c r="W107" s="70" t="str">
        <f t="shared" ca="1" si="9"/>
        <v/>
      </c>
      <c r="X107" s="70" t="e">
        <f t="shared" ca="1" si="10"/>
        <v>#VALUE!</v>
      </c>
      <c r="Y107" s="70" t="e">
        <f t="shared" ca="1" si="11"/>
        <v>#VALUE!</v>
      </c>
      <c r="Z107" s="71" t="e">
        <f t="shared" ca="1" si="12"/>
        <v>#VALUE!</v>
      </c>
      <c r="AA107" s="72" t="e">
        <f t="shared" ca="1" si="13"/>
        <v>#VALUE!</v>
      </c>
      <c r="AB107" s="72" t="e">
        <f t="shared" ca="1" si="14"/>
        <v>#VALUE!</v>
      </c>
      <c r="AC107" s="72" t="e">
        <f t="shared" ca="1" si="15"/>
        <v>#VALUE!</v>
      </c>
      <c r="AD107" s="73" t="e">
        <f t="shared" ca="1" si="16"/>
        <v>#VALUE!</v>
      </c>
      <c r="AE107" s="19" t="e">
        <f t="shared" ca="1" si="17"/>
        <v>#VALUE!</v>
      </c>
      <c r="AF107" s="74" t="str">
        <f t="shared" ca="1" si="18"/>
        <v>Below D1 Low</v>
      </c>
      <c r="AG107" s="17" t="str">
        <f t="shared" ca="1" si="19"/>
        <v>Sell</v>
      </c>
      <c r="AH107" s="17" t="str">
        <f t="shared" ca="1" si="20"/>
        <v>SELL</v>
      </c>
      <c r="AI107" s="75">
        <f ca="1">IFERROR(__xludf.DUMMYFUNCTION("AVERAGE.WEIGHTED((G107+H107+B107)/3, I107)"),18280.5666666666)</f>
        <v>18280.5666666666</v>
      </c>
      <c r="AJ107" s="75" t="str">
        <f ca="1">IFERROR(__xludf.DUMMYFUNCTION("AVERAGE.WEIGHTED((K107+L107+J107)/3, N107)"),"#N/A")</f>
        <v>#N/A</v>
      </c>
      <c r="AK107" s="75" t="str">
        <f t="shared" ca="1" si="21"/>
        <v>SELL</v>
      </c>
      <c r="AL107" s="31"/>
      <c r="AM107" s="31"/>
      <c r="AN107" s="31"/>
      <c r="AO107" s="31"/>
      <c r="AP107" s="31"/>
      <c r="AQ107" s="31"/>
      <c r="AR107" s="31"/>
    </row>
    <row r="108" spans="1:44" ht="15.75" customHeight="1">
      <c r="A108" s="61" t="s">
        <v>173</v>
      </c>
      <c r="B108" s="62">
        <f ca="1">IFERROR(__xludf.DUMMYFUNCTION("googlefinance(""nse:""&amp;A108,""price"")"),982.15)</f>
        <v>982.15</v>
      </c>
      <c r="C108" s="63">
        <f t="shared" ca="1" si="0"/>
        <v>0</v>
      </c>
      <c r="D108" s="63">
        <f ca="1">IFERROR(__xludf.DUMMYFUNCTION("googlefinance(""nse:""&amp;A108,""changepct"")"),2.89)</f>
        <v>2.89</v>
      </c>
      <c r="E108" s="63">
        <f ca="1">IFERROR(__xludf.DUMMYFUNCTION("googlefinance(""nse:""&amp;A108,""change"")"),27.55)</f>
        <v>27.55</v>
      </c>
      <c r="F108" s="63">
        <f ca="1">IFERROR(__xludf.DUMMYFUNCTION("googlefinance(""nse:""&amp;A108,""priceopen"")"),963.1)</f>
        <v>963.1</v>
      </c>
      <c r="G108" s="63">
        <f ca="1">IFERROR(__xludf.DUMMYFUNCTION("googlefinance(""nse:""&amp;A108,""HIGH"")"),997.5)</f>
        <v>997.5</v>
      </c>
      <c r="H108" s="63">
        <f ca="1">IFERROR(__xludf.DUMMYFUNCTION("googlefinance(""nse:""&amp;A108,""LOW"")"),960.6)</f>
        <v>960.6</v>
      </c>
      <c r="I108" s="63">
        <f ca="1">IFERROR(__xludf.DUMMYFUNCTION("googlefinance(""nse:""&amp;A108,""VOLUME"")"),1938021)</f>
        <v>1938021</v>
      </c>
      <c r="J108" s="63">
        <f ca="1">IFERROR(__xludf.DUMMYFUNCTION("googlefinance(""nse:""&amp;A108,""closeyest"")"),954.6)</f>
        <v>954.6</v>
      </c>
      <c r="K108" s="65" t="str">
        <f ca="1">IFERROR(__xludf.DUMMYFUNCTION("INDEX( GoogleFinance( ""NSE:""&amp;A108 , ""all"" , TODAY()-4) , 2, 3)"),"#N/A")</f>
        <v>#N/A</v>
      </c>
      <c r="L108" s="66" t="str">
        <f ca="1">IFERROR(__xludf.DUMMYFUNCTION("INDEX( GoogleFinance(""NSE:""&amp;A108 , ""all"" , TODAY()-4 ) , 2, 4)"),"#N/A")</f>
        <v>#N/A</v>
      </c>
      <c r="M108" s="67" t="str">
        <f ca="1">IFERROR(__xludf.DUMMYFUNCTION("INDEX( GoogleFinance( ""NSE:""&amp;A108 , ""all"" , TODAY()-4) , 2, 2)"),"#N/A")</f>
        <v>#N/A</v>
      </c>
      <c r="N108" s="68" t="str">
        <f ca="1">IFERROR(__xludf.DUMMYFUNCTION("INDEX( GoogleFinance( ""NSE:""&amp;A108 , ""all"" , TODAY()-4) , 2, 6)"),"#N/A")</f>
        <v>#N/A</v>
      </c>
      <c r="O108" s="69" t="str">
        <f t="shared" ca="1" si="1"/>
        <v/>
      </c>
      <c r="P108" s="69" t="e">
        <f t="shared" ca="1" si="2"/>
        <v>#VALUE!</v>
      </c>
      <c r="Q108" s="69" t="e">
        <f t="shared" ca="1" si="3"/>
        <v>#VALUE!</v>
      </c>
      <c r="R108" s="69" t="e">
        <f t="shared" ca="1" si="23"/>
        <v>#VALUE!</v>
      </c>
      <c r="S108" s="69" t="e">
        <f t="shared" ca="1" si="5"/>
        <v>#VALUE!</v>
      </c>
      <c r="T108" s="69" t="e">
        <f t="shared" ca="1" si="6"/>
        <v>#VALUE!</v>
      </c>
      <c r="U108" s="69" t="e">
        <f t="shared" ca="1" si="24"/>
        <v>#VALUE!</v>
      </c>
      <c r="V108" s="69" t="e">
        <f t="shared" ca="1" si="25"/>
        <v>#VALUE!</v>
      </c>
      <c r="W108" s="70" t="str">
        <f t="shared" ca="1" si="9"/>
        <v/>
      </c>
      <c r="X108" s="70" t="e">
        <f t="shared" ca="1" si="10"/>
        <v>#VALUE!</v>
      </c>
      <c r="Y108" s="70" t="e">
        <f t="shared" ca="1" si="11"/>
        <v>#VALUE!</v>
      </c>
      <c r="Z108" s="71" t="e">
        <f t="shared" ca="1" si="12"/>
        <v>#VALUE!</v>
      </c>
      <c r="AA108" s="72" t="e">
        <f t="shared" ca="1" si="13"/>
        <v>#VALUE!</v>
      </c>
      <c r="AB108" s="72" t="e">
        <f t="shared" ca="1" si="14"/>
        <v>#VALUE!</v>
      </c>
      <c r="AC108" s="72" t="e">
        <f t="shared" ca="1" si="15"/>
        <v>#VALUE!</v>
      </c>
      <c r="AD108" s="73" t="e">
        <f t="shared" ca="1" si="16"/>
        <v>#VALUE!</v>
      </c>
      <c r="AE108" s="19" t="e">
        <f t="shared" ca="1" si="17"/>
        <v>#VALUE!</v>
      </c>
      <c r="AF108" s="74" t="str">
        <f t="shared" ca="1" si="18"/>
        <v>Below D1 Low</v>
      </c>
      <c r="AG108" s="17" t="str">
        <f t="shared" ca="1" si="19"/>
        <v>Sell</v>
      </c>
      <c r="AH108" s="17" t="str">
        <f t="shared" ca="1" si="20"/>
        <v>SELL</v>
      </c>
      <c r="AI108" s="75">
        <f ca="1">IFERROR(__xludf.DUMMYFUNCTION("AVERAGE.WEIGHTED((G108+H108+B108)/3, I108)"),980.083333333333)</f>
        <v>980.08333333333303</v>
      </c>
      <c r="AJ108" s="75" t="str">
        <f ca="1">IFERROR(__xludf.DUMMYFUNCTION("AVERAGE.WEIGHTED((K108+L108+J108)/3, N108)"),"#N/A")</f>
        <v>#N/A</v>
      </c>
      <c r="AK108" s="75" t="str">
        <f t="shared" ca="1" si="21"/>
        <v>SELL</v>
      </c>
      <c r="AL108" s="31"/>
      <c r="AM108" s="31"/>
      <c r="AN108" s="31"/>
      <c r="AO108" s="31"/>
      <c r="AP108" s="31"/>
      <c r="AQ108" s="31"/>
      <c r="AR108" s="31"/>
    </row>
    <row r="109" spans="1:44" ht="15.75" customHeight="1">
      <c r="A109" s="61" t="s">
        <v>174</v>
      </c>
      <c r="B109" s="62">
        <f ca="1">IFERROR(__xludf.DUMMYFUNCTION("googlefinance(""nse:""&amp;A109,""price"")"),242.3)</f>
        <v>242.3</v>
      </c>
      <c r="C109" s="63">
        <f t="shared" ca="1" si="0"/>
        <v>0</v>
      </c>
      <c r="D109" s="63">
        <f ca="1">IFERROR(__xludf.DUMMYFUNCTION("googlefinance(""nse:""&amp;A109,""changepct"")"),2.89)</f>
        <v>2.89</v>
      </c>
      <c r="E109" s="63">
        <f ca="1">IFERROR(__xludf.DUMMYFUNCTION("googlefinance(""nse:""&amp;A109,""change"")"),6.8)</f>
        <v>6.8</v>
      </c>
      <c r="F109" s="63">
        <f ca="1">IFERROR(__xludf.DUMMYFUNCTION("googlefinance(""nse:""&amp;A109,""priceopen"")"),237.9)</f>
        <v>237.9</v>
      </c>
      <c r="G109" s="63">
        <f ca="1">IFERROR(__xludf.DUMMYFUNCTION("googlefinance(""nse:""&amp;A109,""HIGH"")"),245)</f>
        <v>245</v>
      </c>
      <c r="H109" s="63">
        <f ca="1">IFERROR(__xludf.DUMMYFUNCTION("googlefinance(""nse:""&amp;A109,""LOW"")"),236)</f>
        <v>236</v>
      </c>
      <c r="I109" s="63">
        <f ca="1">IFERROR(__xludf.DUMMYFUNCTION("googlefinance(""nse:""&amp;A109,""VOLUME"")"),3475780)</f>
        <v>3475780</v>
      </c>
      <c r="J109" s="63">
        <f ca="1">IFERROR(__xludf.DUMMYFUNCTION("googlefinance(""nse:""&amp;A109,""closeyest"")"),235.5)</f>
        <v>235.5</v>
      </c>
      <c r="K109" s="65" t="str">
        <f ca="1">IFERROR(__xludf.DUMMYFUNCTION("INDEX( GoogleFinance( ""NSE:""&amp;A109 , ""all"" , TODAY()-4) , 2, 3)"),"#N/A")</f>
        <v>#N/A</v>
      </c>
      <c r="L109" s="66" t="str">
        <f ca="1">IFERROR(__xludf.DUMMYFUNCTION("INDEX( GoogleFinance(""NSE:""&amp;A109 , ""all"" , TODAY()-4 ) , 2, 4)"),"#N/A")</f>
        <v>#N/A</v>
      </c>
      <c r="M109" s="67" t="str">
        <f ca="1">IFERROR(__xludf.DUMMYFUNCTION("INDEX( GoogleFinance( ""NSE:""&amp;A109 , ""all"" , TODAY()-4) , 2, 2)"),"#N/A")</f>
        <v>#N/A</v>
      </c>
      <c r="N109" s="68" t="str">
        <f ca="1">IFERROR(__xludf.DUMMYFUNCTION("INDEX( GoogleFinance( ""NSE:""&amp;A109 , ""all"" , TODAY()-4) , 2, 6)"),"#N/A")</f>
        <v>#N/A</v>
      </c>
      <c r="O109" s="69" t="str">
        <f t="shared" ca="1" si="1"/>
        <v/>
      </c>
      <c r="P109" s="69" t="e">
        <f t="shared" ca="1" si="2"/>
        <v>#VALUE!</v>
      </c>
      <c r="Q109" s="69" t="e">
        <f t="shared" ca="1" si="3"/>
        <v>#VALUE!</v>
      </c>
      <c r="R109" s="69" t="e">
        <f t="shared" ca="1" si="23"/>
        <v>#VALUE!</v>
      </c>
      <c r="S109" s="69" t="e">
        <f t="shared" ca="1" si="5"/>
        <v>#VALUE!</v>
      </c>
      <c r="T109" s="69" t="e">
        <f t="shared" ca="1" si="6"/>
        <v>#VALUE!</v>
      </c>
      <c r="U109" s="69" t="e">
        <f t="shared" ca="1" si="24"/>
        <v>#VALUE!</v>
      </c>
      <c r="V109" s="69" t="e">
        <f t="shared" ca="1" si="25"/>
        <v>#VALUE!</v>
      </c>
      <c r="W109" s="70" t="str">
        <f t="shared" ca="1" si="9"/>
        <v/>
      </c>
      <c r="X109" s="70" t="e">
        <f t="shared" ca="1" si="10"/>
        <v>#VALUE!</v>
      </c>
      <c r="Y109" s="70" t="e">
        <f t="shared" ca="1" si="11"/>
        <v>#VALUE!</v>
      </c>
      <c r="Z109" s="71" t="e">
        <f t="shared" ca="1" si="12"/>
        <v>#VALUE!</v>
      </c>
      <c r="AA109" s="72" t="e">
        <f t="shared" ca="1" si="13"/>
        <v>#VALUE!</v>
      </c>
      <c r="AB109" s="72" t="e">
        <f t="shared" ca="1" si="14"/>
        <v>#VALUE!</v>
      </c>
      <c r="AC109" s="72" t="e">
        <f t="shared" ca="1" si="15"/>
        <v>#VALUE!</v>
      </c>
      <c r="AD109" s="73" t="e">
        <f t="shared" ca="1" si="16"/>
        <v>#VALUE!</v>
      </c>
      <c r="AE109" s="19" t="e">
        <f t="shared" ca="1" si="17"/>
        <v>#VALUE!</v>
      </c>
      <c r="AF109" s="74" t="str">
        <f t="shared" ca="1" si="18"/>
        <v>Below D1 Low</v>
      </c>
      <c r="AG109" s="17" t="str">
        <f t="shared" ca="1" si="19"/>
        <v>Sell</v>
      </c>
      <c r="AH109" s="17" t="str">
        <f t="shared" ca="1" si="20"/>
        <v>SELL</v>
      </c>
      <c r="AI109" s="75">
        <f ca="1">IFERROR(__xludf.DUMMYFUNCTION("AVERAGE.WEIGHTED((G109+H109+B109)/3, I109)"),241.1)</f>
        <v>241.1</v>
      </c>
      <c r="AJ109" s="75" t="str">
        <f ca="1">IFERROR(__xludf.DUMMYFUNCTION("AVERAGE.WEIGHTED((K109+L109+J109)/3, N109)"),"#N/A")</f>
        <v>#N/A</v>
      </c>
      <c r="AK109" s="75" t="str">
        <f t="shared" ca="1" si="21"/>
        <v>SELL</v>
      </c>
      <c r="AL109" s="31"/>
      <c r="AM109" s="31"/>
      <c r="AN109" s="31"/>
      <c r="AO109" s="31"/>
      <c r="AP109" s="31"/>
      <c r="AQ109" s="31"/>
      <c r="AR109" s="31"/>
    </row>
    <row r="110" spans="1:44" ht="15.75" customHeight="1">
      <c r="A110" s="61" t="s">
        <v>175</v>
      </c>
      <c r="B110" s="62">
        <f ca="1">IFERROR(__xludf.DUMMYFUNCTION("googlefinance(""nse:""&amp;A110,""price"")"),95.5)</f>
        <v>95.5</v>
      </c>
      <c r="C110" s="63">
        <f t="shared" ca="1" si="0"/>
        <v>0</v>
      </c>
      <c r="D110" s="63">
        <f ca="1">IFERROR(__xludf.DUMMYFUNCTION("googlefinance(""nse:""&amp;A110,""changepct"")"),0.69)</f>
        <v>0.69</v>
      </c>
      <c r="E110" s="63">
        <f ca="1">IFERROR(__xludf.DUMMYFUNCTION("googlefinance(""nse:""&amp;A110,""change"")"),0.65)</f>
        <v>0.65</v>
      </c>
      <c r="F110" s="63">
        <f ca="1">IFERROR(__xludf.DUMMYFUNCTION("googlefinance(""nse:""&amp;A110,""priceopen"")"),95.85)</f>
        <v>95.85</v>
      </c>
      <c r="G110" s="63">
        <f ca="1">IFERROR(__xludf.DUMMYFUNCTION("googlefinance(""nse:""&amp;A110,""HIGH"")"),96.6)</f>
        <v>96.6</v>
      </c>
      <c r="H110" s="63">
        <f ca="1">IFERROR(__xludf.DUMMYFUNCTION("googlefinance(""nse:""&amp;A110,""LOW"")"),93.1)</f>
        <v>93.1</v>
      </c>
      <c r="I110" s="63">
        <f ca="1">IFERROR(__xludf.DUMMYFUNCTION("googlefinance(""nse:""&amp;A110,""VOLUME"")"),7003472)</f>
        <v>7003472</v>
      </c>
      <c r="J110" s="63">
        <f ca="1">IFERROR(__xludf.DUMMYFUNCTION("googlefinance(""nse:""&amp;A110,""closeyest"")"),94.85)</f>
        <v>94.85</v>
      </c>
      <c r="K110" s="65" t="str">
        <f ca="1">IFERROR(__xludf.DUMMYFUNCTION("INDEX( GoogleFinance( ""NSE:""&amp;A110 , ""all"" , TODAY()-4) , 2, 3)"),"#N/A")</f>
        <v>#N/A</v>
      </c>
      <c r="L110" s="66" t="str">
        <f ca="1">IFERROR(__xludf.DUMMYFUNCTION("INDEX( GoogleFinance(""NSE:""&amp;A110 , ""all"" , TODAY()-4 ) , 2, 4)"),"#N/A")</f>
        <v>#N/A</v>
      </c>
      <c r="M110" s="67" t="str">
        <f ca="1">IFERROR(__xludf.DUMMYFUNCTION("INDEX( GoogleFinance( ""NSE:""&amp;A110 , ""all"" , TODAY()-4) , 2, 2)"),"#N/A")</f>
        <v>#N/A</v>
      </c>
      <c r="N110" s="68" t="str">
        <f ca="1">IFERROR(__xludf.DUMMYFUNCTION("INDEX( GoogleFinance( ""NSE:""&amp;A110 , ""all"" , TODAY()-4) , 2, 6)"),"#N/A")</f>
        <v>#N/A</v>
      </c>
      <c r="O110" s="69" t="str">
        <f t="shared" ca="1" si="1"/>
        <v/>
      </c>
      <c r="P110" s="69" t="e">
        <f t="shared" ca="1" si="2"/>
        <v>#VALUE!</v>
      </c>
      <c r="Q110" s="69" t="e">
        <f t="shared" ca="1" si="3"/>
        <v>#VALUE!</v>
      </c>
      <c r="R110" s="69" t="e">
        <f t="shared" ca="1" si="23"/>
        <v>#VALUE!</v>
      </c>
      <c r="S110" s="69" t="e">
        <f t="shared" ca="1" si="5"/>
        <v>#VALUE!</v>
      </c>
      <c r="T110" s="69" t="e">
        <f t="shared" ca="1" si="6"/>
        <v>#VALUE!</v>
      </c>
      <c r="U110" s="69" t="e">
        <f t="shared" ca="1" si="24"/>
        <v>#VALUE!</v>
      </c>
      <c r="V110" s="69" t="e">
        <f t="shared" ca="1" si="25"/>
        <v>#VALUE!</v>
      </c>
      <c r="W110" s="70" t="str">
        <f t="shared" ca="1" si="9"/>
        <v/>
      </c>
      <c r="X110" s="70" t="e">
        <f t="shared" ca="1" si="10"/>
        <v>#VALUE!</v>
      </c>
      <c r="Y110" s="70" t="e">
        <f t="shared" ca="1" si="11"/>
        <v>#VALUE!</v>
      </c>
      <c r="Z110" s="71" t="e">
        <f t="shared" ca="1" si="12"/>
        <v>#VALUE!</v>
      </c>
      <c r="AA110" s="72" t="e">
        <f t="shared" ca="1" si="13"/>
        <v>#VALUE!</v>
      </c>
      <c r="AB110" s="72" t="e">
        <f t="shared" ca="1" si="14"/>
        <v>#VALUE!</v>
      </c>
      <c r="AC110" s="72" t="e">
        <f t="shared" ca="1" si="15"/>
        <v>#VALUE!</v>
      </c>
      <c r="AD110" s="73" t="e">
        <f t="shared" ca="1" si="16"/>
        <v>#VALUE!</v>
      </c>
      <c r="AE110" s="19" t="e">
        <f t="shared" ca="1" si="17"/>
        <v>#VALUE!</v>
      </c>
      <c r="AF110" s="74" t="str">
        <f t="shared" ca="1" si="18"/>
        <v>Below D1 Low</v>
      </c>
      <c r="AG110" s="17" t="str">
        <f t="shared" ca="1" si="19"/>
        <v>Sell</v>
      </c>
      <c r="AH110" s="17" t="str">
        <f t="shared" ca="1" si="20"/>
        <v>SELL</v>
      </c>
      <c r="AI110" s="75">
        <f ca="1">IFERROR(__xludf.DUMMYFUNCTION("AVERAGE.WEIGHTED((G110+H110+B110)/3, I110)"),95.0666666666666)</f>
        <v>95.066666666666606</v>
      </c>
      <c r="AJ110" s="75" t="str">
        <f ca="1">IFERROR(__xludf.DUMMYFUNCTION("AVERAGE.WEIGHTED((K110+L110+J110)/3, N110)"),"#N/A")</f>
        <v>#N/A</v>
      </c>
      <c r="AK110" s="75" t="str">
        <f t="shared" ca="1" si="21"/>
        <v>SELL</v>
      </c>
      <c r="AL110" s="31"/>
      <c r="AM110" s="31"/>
      <c r="AN110" s="31"/>
      <c r="AO110" s="31"/>
      <c r="AP110" s="31"/>
      <c r="AQ110" s="31"/>
      <c r="AR110" s="31"/>
    </row>
    <row r="111" spans="1:44" ht="15.75" customHeight="1">
      <c r="A111" s="61" t="s">
        <v>176</v>
      </c>
      <c r="B111" s="62">
        <f ca="1">IFERROR(__xludf.DUMMYFUNCTION("googlefinance(""nse:""&amp;A111,""price"")"),1523)</f>
        <v>1523</v>
      </c>
      <c r="C111" s="63">
        <f t="shared" ca="1" si="0"/>
        <v>0</v>
      </c>
      <c r="D111" s="63">
        <f ca="1">IFERROR(__xludf.DUMMYFUNCTION("googlefinance(""nse:""&amp;A111,""changepct"")"),0.34)</f>
        <v>0.34</v>
      </c>
      <c r="E111" s="63">
        <f ca="1">IFERROR(__xludf.DUMMYFUNCTION("googlefinance(""nse:""&amp;A111,""change"")"),5.2)</f>
        <v>5.2</v>
      </c>
      <c r="F111" s="63">
        <f ca="1">IFERROR(__xludf.DUMMYFUNCTION("googlefinance(""nse:""&amp;A111,""priceopen"")"),1540)</f>
        <v>1540</v>
      </c>
      <c r="G111" s="63">
        <f ca="1">IFERROR(__xludf.DUMMYFUNCTION("googlefinance(""nse:""&amp;A111,""HIGH"")"),1542.65)</f>
        <v>1542.65</v>
      </c>
      <c r="H111" s="63">
        <f ca="1">IFERROR(__xludf.DUMMYFUNCTION("googlefinance(""nse:""&amp;A111,""LOW"")"),1506.45)</f>
        <v>1506.45</v>
      </c>
      <c r="I111" s="63">
        <f ca="1">IFERROR(__xludf.DUMMYFUNCTION("googlefinance(""nse:""&amp;A111,""VOLUME"")"),814819)</f>
        <v>814819</v>
      </c>
      <c r="J111" s="63">
        <f ca="1">IFERROR(__xludf.DUMMYFUNCTION("googlefinance(""nse:""&amp;A111,""closeyest"")"),1517.8)</f>
        <v>1517.8</v>
      </c>
      <c r="K111" s="65" t="str">
        <f ca="1">IFERROR(__xludf.DUMMYFUNCTION("INDEX( GoogleFinance( ""NSE:""&amp;A111 , ""all"" , TODAY()-4) , 2, 3)"),"#N/A")</f>
        <v>#N/A</v>
      </c>
      <c r="L111" s="66" t="str">
        <f ca="1">IFERROR(__xludf.DUMMYFUNCTION("INDEX( GoogleFinance(""NSE:""&amp;A111 , ""all"" , TODAY()-4 ) , 2, 4)"),"#N/A")</f>
        <v>#N/A</v>
      </c>
      <c r="M111" s="67" t="str">
        <f ca="1">IFERROR(__xludf.DUMMYFUNCTION("INDEX( GoogleFinance( ""NSE:""&amp;A111 , ""all"" , TODAY()-4) , 2, 2)"),"#N/A")</f>
        <v>#N/A</v>
      </c>
      <c r="N111" s="68" t="str">
        <f ca="1">IFERROR(__xludf.DUMMYFUNCTION("INDEX( GoogleFinance( ""NSE:""&amp;A111 , ""all"" , TODAY()-4) , 2, 6)"),"#N/A")</f>
        <v>#N/A</v>
      </c>
      <c r="O111" s="69" t="str">
        <f t="shared" ca="1" si="1"/>
        <v/>
      </c>
      <c r="P111" s="69" t="e">
        <f t="shared" ca="1" si="2"/>
        <v>#VALUE!</v>
      </c>
      <c r="Q111" s="69" t="e">
        <f t="shared" ca="1" si="3"/>
        <v>#VALUE!</v>
      </c>
      <c r="R111" s="69" t="e">
        <f t="shared" ca="1" si="23"/>
        <v>#VALUE!</v>
      </c>
      <c r="S111" s="69" t="e">
        <f t="shared" ca="1" si="5"/>
        <v>#VALUE!</v>
      </c>
      <c r="T111" s="69" t="e">
        <f t="shared" ca="1" si="6"/>
        <v>#VALUE!</v>
      </c>
      <c r="U111" s="69" t="e">
        <f t="shared" ca="1" si="24"/>
        <v>#VALUE!</v>
      </c>
      <c r="V111" s="69" t="e">
        <f t="shared" ca="1" si="25"/>
        <v>#VALUE!</v>
      </c>
      <c r="W111" s="70" t="str">
        <f t="shared" ca="1" si="9"/>
        <v/>
      </c>
      <c r="X111" s="70" t="e">
        <f t="shared" ca="1" si="10"/>
        <v>#VALUE!</v>
      </c>
      <c r="Y111" s="70" t="e">
        <f t="shared" ca="1" si="11"/>
        <v>#VALUE!</v>
      </c>
      <c r="Z111" s="71" t="e">
        <f t="shared" ca="1" si="12"/>
        <v>#VALUE!</v>
      </c>
      <c r="AA111" s="72" t="e">
        <f t="shared" ca="1" si="13"/>
        <v>#VALUE!</v>
      </c>
      <c r="AB111" s="72" t="e">
        <f t="shared" ca="1" si="14"/>
        <v>#VALUE!</v>
      </c>
      <c r="AC111" s="72" t="e">
        <f t="shared" ca="1" si="15"/>
        <v>#VALUE!</v>
      </c>
      <c r="AD111" s="73" t="e">
        <f t="shared" ca="1" si="16"/>
        <v>#VALUE!</v>
      </c>
      <c r="AE111" s="19" t="e">
        <f t="shared" ca="1" si="17"/>
        <v>#VALUE!</v>
      </c>
      <c r="AF111" s="74" t="str">
        <f t="shared" ca="1" si="18"/>
        <v>Below D1 Low</v>
      </c>
      <c r="AG111" s="17" t="str">
        <f t="shared" ca="1" si="19"/>
        <v>Sell</v>
      </c>
      <c r="AH111" s="17" t="str">
        <f t="shared" ca="1" si="20"/>
        <v>SELL</v>
      </c>
      <c r="AI111" s="75">
        <f ca="1">IFERROR(__xludf.DUMMYFUNCTION("AVERAGE.WEIGHTED((G111+H111+B111)/3, I111)"),1524.03333333333)</f>
        <v>1524.0333333333299</v>
      </c>
      <c r="AJ111" s="75" t="str">
        <f ca="1">IFERROR(__xludf.DUMMYFUNCTION("AVERAGE.WEIGHTED((K111+L111+J111)/3, N111)"),"#N/A")</f>
        <v>#N/A</v>
      </c>
      <c r="AK111" s="75" t="str">
        <f t="shared" ca="1" si="21"/>
        <v>SELL</v>
      </c>
      <c r="AL111" s="31"/>
      <c r="AM111" s="31"/>
      <c r="AN111" s="31"/>
      <c r="AO111" s="31"/>
      <c r="AP111" s="31"/>
      <c r="AQ111" s="31"/>
      <c r="AR111" s="31"/>
    </row>
    <row r="112" spans="1:44" ht="15.75" customHeight="1">
      <c r="A112" s="61" t="s">
        <v>177</v>
      </c>
      <c r="B112" s="62">
        <f ca="1">IFERROR(__xludf.DUMMYFUNCTION("googlefinance(""nse:""&amp;A112,""price"")"),32.4)</f>
        <v>32.4</v>
      </c>
      <c r="C112" s="63">
        <f t="shared" ca="1" si="0"/>
        <v>0</v>
      </c>
      <c r="D112" s="63">
        <f ca="1">IFERROR(__xludf.DUMMYFUNCTION("googlefinance(""nse:""&amp;A112,""changepct"")"),0.31)</f>
        <v>0.31</v>
      </c>
      <c r="E112" s="63">
        <f ca="1">IFERROR(__xludf.DUMMYFUNCTION("googlefinance(""nse:""&amp;A112,""change"")"),0.1)</f>
        <v>0.1</v>
      </c>
      <c r="F112" s="63">
        <f ca="1">IFERROR(__xludf.DUMMYFUNCTION("googlefinance(""nse:""&amp;A112,""priceopen"")"),32.7)</f>
        <v>32.700000000000003</v>
      </c>
      <c r="G112" s="63">
        <f ca="1">IFERROR(__xludf.DUMMYFUNCTION("googlefinance(""nse:""&amp;A112,""HIGH"")"),33.7)</f>
        <v>33.700000000000003</v>
      </c>
      <c r="H112" s="63">
        <f ca="1">IFERROR(__xludf.DUMMYFUNCTION("googlefinance(""nse:""&amp;A112,""LOW"")"),32.1)</f>
        <v>32.1</v>
      </c>
      <c r="I112" s="63">
        <f ca="1">IFERROR(__xludf.DUMMYFUNCTION("googlefinance(""nse:""&amp;A112,""VOLUME"")"),31467001)</f>
        <v>31467001</v>
      </c>
      <c r="J112" s="63">
        <f ca="1">IFERROR(__xludf.DUMMYFUNCTION("googlefinance(""nse:""&amp;A112,""closeyest"")"),32.3)</f>
        <v>32.299999999999997</v>
      </c>
      <c r="K112" s="65" t="str">
        <f ca="1">IFERROR(__xludf.DUMMYFUNCTION("INDEX( GoogleFinance( ""NSE:""&amp;A112 , ""all"" , TODAY()-4) , 2, 3)"),"#N/A")</f>
        <v>#N/A</v>
      </c>
      <c r="L112" s="66" t="str">
        <f ca="1">IFERROR(__xludf.DUMMYFUNCTION("INDEX( GoogleFinance(""NSE:""&amp;A112 , ""all"" , TODAY()-4 ) , 2, 4)"),"#N/A")</f>
        <v>#N/A</v>
      </c>
      <c r="M112" s="67" t="str">
        <f ca="1">IFERROR(__xludf.DUMMYFUNCTION("INDEX( GoogleFinance( ""NSE:""&amp;A112 , ""all"" , TODAY()-4) , 2, 2)"),"#N/A")</f>
        <v>#N/A</v>
      </c>
      <c r="N112" s="68" t="str">
        <f ca="1">IFERROR(__xludf.DUMMYFUNCTION("INDEX( GoogleFinance( ""NSE:""&amp;A112 , ""all"" , TODAY()-4) , 2, 6)"),"#N/A")</f>
        <v>#N/A</v>
      </c>
      <c r="O112" s="69" t="str">
        <f t="shared" ca="1" si="1"/>
        <v/>
      </c>
      <c r="P112" s="69" t="e">
        <f t="shared" ca="1" si="2"/>
        <v>#VALUE!</v>
      </c>
      <c r="Q112" s="69" t="e">
        <f t="shared" ca="1" si="3"/>
        <v>#VALUE!</v>
      </c>
      <c r="R112" s="69" t="e">
        <f t="shared" ca="1" si="23"/>
        <v>#VALUE!</v>
      </c>
      <c r="S112" s="69" t="e">
        <f t="shared" ca="1" si="5"/>
        <v>#VALUE!</v>
      </c>
      <c r="T112" s="69" t="e">
        <f t="shared" ca="1" si="6"/>
        <v>#VALUE!</v>
      </c>
      <c r="U112" s="69" t="e">
        <f t="shared" ca="1" si="24"/>
        <v>#VALUE!</v>
      </c>
      <c r="V112" s="69" t="e">
        <f t="shared" ca="1" si="25"/>
        <v>#VALUE!</v>
      </c>
      <c r="W112" s="70" t="str">
        <f t="shared" ca="1" si="9"/>
        <v/>
      </c>
      <c r="X112" s="70" t="e">
        <f t="shared" ca="1" si="10"/>
        <v>#VALUE!</v>
      </c>
      <c r="Y112" s="70" t="e">
        <f t="shared" ca="1" si="11"/>
        <v>#VALUE!</v>
      </c>
      <c r="Z112" s="71" t="e">
        <f t="shared" ca="1" si="12"/>
        <v>#VALUE!</v>
      </c>
      <c r="AA112" s="72" t="e">
        <f t="shared" ca="1" si="13"/>
        <v>#VALUE!</v>
      </c>
      <c r="AB112" s="72" t="e">
        <f t="shared" ca="1" si="14"/>
        <v>#VALUE!</v>
      </c>
      <c r="AC112" s="72" t="e">
        <f t="shared" ca="1" si="15"/>
        <v>#VALUE!</v>
      </c>
      <c r="AD112" s="73" t="e">
        <f t="shared" ca="1" si="16"/>
        <v>#VALUE!</v>
      </c>
      <c r="AE112" s="19" t="e">
        <f t="shared" ca="1" si="17"/>
        <v>#VALUE!</v>
      </c>
      <c r="AF112" s="74" t="str">
        <f t="shared" ca="1" si="18"/>
        <v>Below D1 Low</v>
      </c>
      <c r="AG112" s="17" t="str">
        <f t="shared" ca="1" si="19"/>
        <v>Sell</v>
      </c>
      <c r="AH112" s="17" t="str">
        <f t="shared" ca="1" si="20"/>
        <v>SELL</v>
      </c>
      <c r="AI112" s="75">
        <f ca="1">IFERROR(__xludf.DUMMYFUNCTION("AVERAGE.WEIGHTED((G112+H112+B112)/3, I112)"),32.7333333333333)</f>
        <v>32.733333333333299</v>
      </c>
      <c r="AJ112" s="75" t="str">
        <f ca="1">IFERROR(__xludf.DUMMYFUNCTION("AVERAGE.WEIGHTED((K112+L112+J112)/3, N112)"),"#N/A")</f>
        <v>#N/A</v>
      </c>
      <c r="AK112" s="75" t="str">
        <f t="shared" ca="1" si="21"/>
        <v>SELL</v>
      </c>
      <c r="AL112" s="31"/>
      <c r="AM112" s="31"/>
      <c r="AN112" s="31"/>
      <c r="AO112" s="31"/>
      <c r="AP112" s="31"/>
      <c r="AQ112" s="31"/>
      <c r="AR112" s="31"/>
    </row>
    <row r="113" spans="1:44" ht="15.75" customHeight="1">
      <c r="A113" s="61" t="s">
        <v>178</v>
      </c>
      <c r="B113" s="62">
        <f ca="1">IFERROR(__xludf.DUMMYFUNCTION("googlefinance(""nse:""&amp;A113,""price"")"),162.9)</f>
        <v>162.9</v>
      </c>
      <c r="C113" s="63">
        <f t="shared" ca="1" si="0"/>
        <v>0</v>
      </c>
      <c r="D113" s="63">
        <f ca="1">IFERROR(__xludf.DUMMYFUNCTION("googlefinance(""nse:""&amp;A113,""changepct"")"),3.07)</f>
        <v>3.07</v>
      </c>
      <c r="E113" s="63">
        <f ca="1">IFERROR(__xludf.DUMMYFUNCTION("googlefinance(""nse:""&amp;A113,""change"")"),4.85)</f>
        <v>4.8499999999999996</v>
      </c>
      <c r="F113" s="63">
        <f ca="1">IFERROR(__xludf.DUMMYFUNCTION("googlefinance(""nse:""&amp;A113,""priceopen"")"),159.6)</f>
        <v>159.6</v>
      </c>
      <c r="G113" s="63">
        <f ca="1">IFERROR(__xludf.DUMMYFUNCTION("googlefinance(""nse:""&amp;A113,""HIGH"")"),163.45)</f>
        <v>163.44999999999999</v>
      </c>
      <c r="H113" s="63">
        <f ca="1">IFERROR(__xludf.DUMMYFUNCTION("googlefinance(""nse:""&amp;A113,""LOW"")"),157.2)</f>
        <v>157.19999999999999</v>
      </c>
      <c r="I113" s="63">
        <f ca="1">IFERROR(__xludf.DUMMYFUNCTION("googlefinance(""nse:""&amp;A113,""VOLUME"")"),10520617)</f>
        <v>10520617</v>
      </c>
      <c r="J113" s="63">
        <f ca="1">IFERROR(__xludf.DUMMYFUNCTION("googlefinance(""nse:""&amp;A113,""closeyest"")"),158.05)</f>
        <v>158.05000000000001</v>
      </c>
      <c r="K113" s="65" t="str">
        <f ca="1">IFERROR(__xludf.DUMMYFUNCTION("INDEX( GoogleFinance( ""NSE:""&amp;A113 , ""all"" , TODAY()-4) , 2, 3)"),"#N/A")</f>
        <v>#N/A</v>
      </c>
      <c r="L113" s="66" t="str">
        <f ca="1">IFERROR(__xludf.DUMMYFUNCTION("INDEX( GoogleFinance(""NSE:""&amp;A113 , ""all"" , TODAY()-4 ) , 2, 4)"),"#N/A")</f>
        <v>#N/A</v>
      </c>
      <c r="M113" s="67" t="str">
        <f ca="1">IFERROR(__xludf.DUMMYFUNCTION("INDEX( GoogleFinance( ""NSE:""&amp;A113 , ""all"" , TODAY()-4) , 2, 2)"),"#N/A")</f>
        <v>#N/A</v>
      </c>
      <c r="N113" s="68" t="str">
        <f ca="1">IFERROR(__xludf.DUMMYFUNCTION("INDEX( GoogleFinance( ""NSE:""&amp;A113 , ""all"" , TODAY()-4) , 2, 6)"),"#N/A")</f>
        <v>#N/A</v>
      </c>
      <c r="O113" s="69" t="str">
        <f t="shared" ca="1" si="1"/>
        <v/>
      </c>
      <c r="P113" s="69" t="e">
        <f t="shared" ca="1" si="2"/>
        <v>#VALUE!</v>
      </c>
      <c r="Q113" s="69" t="e">
        <f t="shared" ca="1" si="3"/>
        <v>#VALUE!</v>
      </c>
      <c r="R113" s="69" t="e">
        <f t="shared" ca="1" si="23"/>
        <v>#VALUE!</v>
      </c>
      <c r="S113" s="69" t="e">
        <f t="shared" ca="1" si="5"/>
        <v>#VALUE!</v>
      </c>
      <c r="T113" s="69" t="e">
        <f t="shared" ca="1" si="6"/>
        <v>#VALUE!</v>
      </c>
      <c r="U113" s="69" t="e">
        <f t="shared" ca="1" si="24"/>
        <v>#VALUE!</v>
      </c>
      <c r="V113" s="69" t="e">
        <f t="shared" ca="1" si="25"/>
        <v>#VALUE!</v>
      </c>
      <c r="W113" s="70" t="str">
        <f t="shared" ca="1" si="9"/>
        <v/>
      </c>
      <c r="X113" s="70" t="e">
        <f t="shared" ca="1" si="10"/>
        <v>#VALUE!</v>
      </c>
      <c r="Y113" s="70" t="e">
        <f t="shared" ca="1" si="11"/>
        <v>#VALUE!</v>
      </c>
      <c r="Z113" s="71" t="e">
        <f t="shared" ca="1" si="12"/>
        <v>#VALUE!</v>
      </c>
      <c r="AA113" s="72" t="e">
        <f t="shared" ca="1" si="13"/>
        <v>#VALUE!</v>
      </c>
      <c r="AB113" s="72" t="e">
        <f t="shared" ca="1" si="14"/>
        <v>#VALUE!</v>
      </c>
      <c r="AC113" s="72" t="e">
        <f t="shared" ca="1" si="15"/>
        <v>#VALUE!</v>
      </c>
      <c r="AD113" s="73" t="e">
        <f t="shared" ca="1" si="16"/>
        <v>#VALUE!</v>
      </c>
      <c r="AE113" s="19" t="e">
        <f t="shared" ca="1" si="17"/>
        <v>#VALUE!</v>
      </c>
      <c r="AF113" s="74" t="str">
        <f t="shared" ca="1" si="18"/>
        <v>Below D1 Low</v>
      </c>
      <c r="AG113" s="17" t="str">
        <f t="shared" ca="1" si="19"/>
        <v>Sell</v>
      </c>
      <c r="AH113" s="17" t="str">
        <f t="shared" ca="1" si="20"/>
        <v>SELL</v>
      </c>
      <c r="AI113" s="75">
        <f ca="1">IFERROR(__xludf.DUMMYFUNCTION("AVERAGE.WEIGHTED((G113+H113+B113)/3, I113)"),161.183333333333)</f>
        <v>161.183333333333</v>
      </c>
      <c r="AJ113" s="75" t="str">
        <f ca="1">IFERROR(__xludf.DUMMYFUNCTION("AVERAGE.WEIGHTED((K113+L113+J113)/3, N113)"),"#N/A")</f>
        <v>#N/A</v>
      </c>
      <c r="AK113" s="75" t="str">
        <f t="shared" ca="1" si="21"/>
        <v>SELL</v>
      </c>
      <c r="AL113" s="31"/>
      <c r="AM113" s="31"/>
      <c r="AN113" s="31"/>
      <c r="AO113" s="31"/>
      <c r="AP113" s="31"/>
      <c r="AQ113" s="31"/>
      <c r="AR113" s="31"/>
    </row>
    <row r="114" spans="1:44" ht="15.75" customHeight="1">
      <c r="A114" s="61" t="s">
        <v>179</v>
      </c>
      <c r="B114" s="62">
        <f ca="1">IFERROR(__xludf.DUMMYFUNCTION("googlefinance(""nse:""&amp;A114,""price"")"),1005.05)</f>
        <v>1005.05</v>
      </c>
      <c r="C114" s="63">
        <f t="shared" ca="1" si="0"/>
        <v>0</v>
      </c>
      <c r="D114" s="63">
        <f ca="1">IFERROR(__xludf.DUMMYFUNCTION("googlefinance(""nse:""&amp;A114,""changepct"")"),-0.42)</f>
        <v>-0.42</v>
      </c>
      <c r="E114" s="63">
        <f ca="1">IFERROR(__xludf.DUMMYFUNCTION("googlefinance(""nse:""&amp;A114,""change"")"),-4.25)</f>
        <v>-4.25</v>
      </c>
      <c r="F114" s="63">
        <f ca="1">IFERROR(__xludf.DUMMYFUNCTION("googlefinance(""nse:""&amp;A114,""priceopen"")"),1030)</f>
        <v>1030</v>
      </c>
      <c r="G114" s="63">
        <f ca="1">IFERROR(__xludf.DUMMYFUNCTION("googlefinance(""nse:""&amp;A114,""HIGH"")"),1059.95)</f>
        <v>1059.95</v>
      </c>
      <c r="H114" s="63">
        <f ca="1">IFERROR(__xludf.DUMMYFUNCTION("googlefinance(""nse:""&amp;A114,""LOW"")"),1000.55)</f>
        <v>1000.55</v>
      </c>
      <c r="I114" s="63">
        <f ca="1">IFERROR(__xludf.DUMMYFUNCTION("googlefinance(""nse:""&amp;A114,""VOLUME"")"),1644235)</f>
        <v>1644235</v>
      </c>
      <c r="J114" s="63">
        <f ca="1">IFERROR(__xludf.DUMMYFUNCTION("googlefinance(""nse:""&amp;A114,""closeyest"")"),1009.3)</f>
        <v>1009.3</v>
      </c>
      <c r="K114" s="65" t="str">
        <f ca="1">IFERROR(__xludf.DUMMYFUNCTION("INDEX( GoogleFinance( ""NSE:""&amp;A114 , ""all"" , TODAY()-4) , 2, 3)"),"#N/A")</f>
        <v>#N/A</v>
      </c>
      <c r="L114" s="66" t="str">
        <f ca="1">IFERROR(__xludf.DUMMYFUNCTION("INDEX( GoogleFinance(""NSE:""&amp;A114 , ""all"" , TODAY()-4 ) , 2, 4)"),"#N/A")</f>
        <v>#N/A</v>
      </c>
      <c r="M114" s="67" t="str">
        <f ca="1">IFERROR(__xludf.DUMMYFUNCTION("INDEX( GoogleFinance( ""NSE:""&amp;A114 , ""all"" , TODAY()-4) , 2, 2)"),"#N/A")</f>
        <v>#N/A</v>
      </c>
      <c r="N114" s="68" t="str">
        <f ca="1">IFERROR(__xludf.DUMMYFUNCTION("INDEX( GoogleFinance( ""NSE:""&amp;A114 , ""all"" , TODAY()-4) , 2, 6)"),"#N/A")</f>
        <v>#N/A</v>
      </c>
      <c r="O114" s="69" t="str">
        <f t="shared" ca="1" si="1"/>
        <v/>
      </c>
      <c r="P114" s="69" t="e">
        <f t="shared" ca="1" si="2"/>
        <v>#VALUE!</v>
      </c>
      <c r="Q114" s="69" t="e">
        <f t="shared" ca="1" si="3"/>
        <v>#VALUE!</v>
      </c>
      <c r="R114" s="69" t="e">
        <f t="shared" ca="1" si="23"/>
        <v>#VALUE!</v>
      </c>
      <c r="S114" s="69" t="e">
        <f t="shared" ca="1" si="5"/>
        <v>#VALUE!</v>
      </c>
      <c r="T114" s="69" t="e">
        <f t="shared" ca="1" si="6"/>
        <v>#VALUE!</v>
      </c>
      <c r="U114" s="69" t="e">
        <f t="shared" ca="1" si="24"/>
        <v>#VALUE!</v>
      </c>
      <c r="V114" s="69" t="e">
        <f t="shared" ca="1" si="25"/>
        <v>#VALUE!</v>
      </c>
      <c r="W114" s="70" t="str">
        <f t="shared" ca="1" si="9"/>
        <v/>
      </c>
      <c r="X114" s="70" t="e">
        <f t="shared" ca="1" si="10"/>
        <v>#VALUE!</v>
      </c>
      <c r="Y114" s="70" t="e">
        <f t="shared" ca="1" si="11"/>
        <v>#VALUE!</v>
      </c>
      <c r="Z114" s="71" t="e">
        <f t="shared" ca="1" si="12"/>
        <v>#VALUE!</v>
      </c>
      <c r="AA114" s="72" t="e">
        <f t="shared" ca="1" si="13"/>
        <v>#VALUE!</v>
      </c>
      <c r="AB114" s="72" t="e">
        <f t="shared" ca="1" si="14"/>
        <v>#VALUE!</v>
      </c>
      <c r="AC114" s="72" t="e">
        <f t="shared" ca="1" si="15"/>
        <v>#VALUE!</v>
      </c>
      <c r="AD114" s="73" t="e">
        <f t="shared" ca="1" si="16"/>
        <v>#VALUE!</v>
      </c>
      <c r="AE114" s="19" t="e">
        <f t="shared" ca="1" si="17"/>
        <v>#VALUE!</v>
      </c>
      <c r="AF114" s="74" t="str">
        <f t="shared" ca="1" si="18"/>
        <v>Below D1 Low</v>
      </c>
      <c r="AG114" s="17" t="str">
        <f t="shared" ca="1" si="19"/>
        <v>Sell</v>
      </c>
      <c r="AH114" s="17" t="str">
        <f t="shared" ca="1" si="20"/>
        <v>SELL</v>
      </c>
      <c r="AI114" s="75">
        <f ca="1">IFERROR(__xludf.DUMMYFUNCTION("AVERAGE.WEIGHTED((G114+H114+B114)/3, I114)"),1021.85)</f>
        <v>1021.85</v>
      </c>
      <c r="AJ114" s="75" t="str">
        <f ca="1">IFERROR(__xludf.DUMMYFUNCTION("AVERAGE.WEIGHTED((K114+L114+J114)/3, N114)"),"#N/A")</f>
        <v>#N/A</v>
      </c>
      <c r="AK114" s="75" t="str">
        <f t="shared" ca="1" si="21"/>
        <v>SELL</v>
      </c>
      <c r="AL114" s="31"/>
      <c r="AM114" s="31"/>
      <c r="AN114" s="31"/>
      <c r="AO114" s="31"/>
      <c r="AP114" s="31"/>
      <c r="AQ114" s="31"/>
      <c r="AR114" s="31"/>
    </row>
    <row r="115" spans="1:44" ht="15.75" customHeight="1">
      <c r="A115" s="61" t="s">
        <v>180</v>
      </c>
      <c r="B115" s="62">
        <f ca="1">IFERROR(__xludf.DUMMYFUNCTION("googlefinance(""nse:""&amp;A115,""price"")"),554.85)</f>
        <v>554.85</v>
      </c>
      <c r="C115" s="63">
        <f t="shared" ca="1" si="0"/>
        <v>0</v>
      </c>
      <c r="D115" s="63">
        <f ca="1">IFERROR(__xludf.DUMMYFUNCTION("googlefinance(""nse:""&amp;A115,""changepct"")"),1.28)</f>
        <v>1.28</v>
      </c>
      <c r="E115" s="63">
        <f ca="1">IFERROR(__xludf.DUMMYFUNCTION("googlefinance(""nse:""&amp;A115,""change"")"),7)</f>
        <v>7</v>
      </c>
      <c r="F115" s="63">
        <f ca="1">IFERROR(__xludf.DUMMYFUNCTION("googlefinance(""nse:""&amp;A115,""priceopen"")"),555)</f>
        <v>555</v>
      </c>
      <c r="G115" s="63">
        <f ca="1">IFERROR(__xludf.DUMMYFUNCTION("googlefinance(""nse:""&amp;A115,""HIGH"")"),577.3)</f>
        <v>577.29999999999995</v>
      </c>
      <c r="H115" s="63">
        <f ca="1">IFERROR(__xludf.DUMMYFUNCTION("googlefinance(""nse:""&amp;A115,""LOW"")"),546.75)</f>
        <v>546.75</v>
      </c>
      <c r="I115" s="63">
        <f ca="1">IFERROR(__xludf.DUMMYFUNCTION("googlefinance(""nse:""&amp;A115,""VOLUME"")"),604372)</f>
        <v>604372</v>
      </c>
      <c r="J115" s="63">
        <f ca="1">IFERROR(__xludf.DUMMYFUNCTION("googlefinance(""nse:""&amp;A115,""closeyest"")"),547.85)</f>
        <v>547.85</v>
      </c>
      <c r="K115" s="65" t="str">
        <f ca="1">IFERROR(__xludf.DUMMYFUNCTION("INDEX( GoogleFinance( ""NSE:""&amp;A115 , ""all"" , TODAY()-4) , 2, 3)"),"#N/A")</f>
        <v>#N/A</v>
      </c>
      <c r="L115" s="66" t="str">
        <f ca="1">IFERROR(__xludf.DUMMYFUNCTION("INDEX( GoogleFinance(""NSE:""&amp;A115 , ""all"" , TODAY()-4 ) , 2, 4)"),"#N/A")</f>
        <v>#N/A</v>
      </c>
      <c r="M115" s="67" t="str">
        <f ca="1">IFERROR(__xludf.DUMMYFUNCTION("INDEX( GoogleFinance( ""NSE:""&amp;A115 , ""all"" , TODAY()-4) , 2, 2)"),"#N/A")</f>
        <v>#N/A</v>
      </c>
      <c r="N115" s="68" t="str">
        <f ca="1">IFERROR(__xludf.DUMMYFUNCTION("INDEX( GoogleFinance( ""NSE:""&amp;A115 , ""all"" , TODAY()-4) , 2, 6)"),"#N/A")</f>
        <v>#N/A</v>
      </c>
      <c r="O115" s="69" t="str">
        <f t="shared" ca="1" si="1"/>
        <v/>
      </c>
      <c r="P115" s="69" t="e">
        <f t="shared" ca="1" si="2"/>
        <v>#VALUE!</v>
      </c>
      <c r="Q115" s="69" t="e">
        <f t="shared" ca="1" si="3"/>
        <v>#VALUE!</v>
      </c>
      <c r="R115" s="69" t="e">
        <f t="shared" ca="1" si="23"/>
        <v>#VALUE!</v>
      </c>
      <c r="S115" s="69" t="e">
        <f t="shared" ca="1" si="5"/>
        <v>#VALUE!</v>
      </c>
      <c r="T115" s="69" t="e">
        <f t="shared" ca="1" si="6"/>
        <v>#VALUE!</v>
      </c>
      <c r="U115" s="69" t="e">
        <f t="shared" ca="1" si="24"/>
        <v>#VALUE!</v>
      </c>
      <c r="V115" s="69" t="e">
        <f t="shared" ca="1" si="25"/>
        <v>#VALUE!</v>
      </c>
      <c r="W115" s="70" t="str">
        <f t="shared" ca="1" si="9"/>
        <v/>
      </c>
      <c r="X115" s="70" t="e">
        <f t="shared" ca="1" si="10"/>
        <v>#VALUE!</v>
      </c>
      <c r="Y115" s="70" t="e">
        <f t="shared" ca="1" si="11"/>
        <v>#VALUE!</v>
      </c>
      <c r="Z115" s="71" t="e">
        <f t="shared" ca="1" si="12"/>
        <v>#VALUE!</v>
      </c>
      <c r="AA115" s="72" t="e">
        <f t="shared" ca="1" si="13"/>
        <v>#VALUE!</v>
      </c>
      <c r="AB115" s="72" t="e">
        <f t="shared" ca="1" si="14"/>
        <v>#VALUE!</v>
      </c>
      <c r="AC115" s="72" t="e">
        <f t="shared" ca="1" si="15"/>
        <v>#VALUE!</v>
      </c>
      <c r="AD115" s="73" t="e">
        <f t="shared" ca="1" si="16"/>
        <v>#VALUE!</v>
      </c>
      <c r="AE115" s="19" t="e">
        <f t="shared" ca="1" si="17"/>
        <v>#VALUE!</v>
      </c>
      <c r="AF115" s="74" t="str">
        <f t="shared" ca="1" si="18"/>
        <v>Below D1 Low</v>
      </c>
      <c r="AG115" s="17" t="str">
        <f t="shared" ca="1" si="19"/>
        <v>Sell</v>
      </c>
      <c r="AH115" s="17" t="str">
        <f t="shared" ca="1" si="20"/>
        <v>SELL</v>
      </c>
      <c r="AI115" s="75">
        <f ca="1">IFERROR(__xludf.DUMMYFUNCTION("AVERAGE.WEIGHTED((G115+H115+B115)/3, I115)"),559.633333333333)</f>
        <v>559.63333333333298</v>
      </c>
      <c r="AJ115" s="75" t="str">
        <f ca="1">IFERROR(__xludf.DUMMYFUNCTION("AVERAGE.WEIGHTED((K115+L115+J115)/3, N115)"),"#N/A")</f>
        <v>#N/A</v>
      </c>
      <c r="AK115" s="75" t="str">
        <f t="shared" ca="1" si="21"/>
        <v>SELL</v>
      </c>
      <c r="AL115" s="31"/>
      <c r="AM115" s="31"/>
      <c r="AN115" s="31"/>
      <c r="AO115" s="31"/>
      <c r="AP115" s="31"/>
      <c r="AQ115" s="31"/>
      <c r="AR115" s="31"/>
    </row>
    <row r="116" spans="1:44" ht="15.75" customHeight="1">
      <c r="A116" s="61" t="s">
        <v>181</v>
      </c>
      <c r="B116" s="62">
        <f ca="1">IFERROR(__xludf.DUMMYFUNCTION("googlefinance(""nse:""&amp;A116,""price"")"),131.7)</f>
        <v>131.69999999999999</v>
      </c>
      <c r="C116" s="63" t="str">
        <f t="shared" ca="1" si="0"/>
        <v>BUY</v>
      </c>
      <c r="D116" s="63">
        <f ca="1">IFERROR(__xludf.DUMMYFUNCTION("googlefinance(""nse:""&amp;A116,""changepct"")"),4.65)</f>
        <v>4.6500000000000004</v>
      </c>
      <c r="E116" s="63">
        <f ca="1">IFERROR(__xludf.DUMMYFUNCTION("googlefinance(""nse:""&amp;A116,""change"")"),5.85)</f>
        <v>5.85</v>
      </c>
      <c r="F116" s="63">
        <f ca="1">IFERROR(__xludf.DUMMYFUNCTION("googlefinance(""nse:""&amp;A116,""priceopen"")"),130)</f>
        <v>130</v>
      </c>
      <c r="G116" s="63">
        <f ca="1">IFERROR(__xludf.DUMMYFUNCTION("googlefinance(""nse:""&amp;A116,""HIGH"")"),136.5)</f>
        <v>136.5</v>
      </c>
      <c r="H116" s="63">
        <f ca="1">IFERROR(__xludf.DUMMYFUNCTION("googlefinance(""nse:""&amp;A116,""LOW"")"),130)</f>
        <v>130</v>
      </c>
      <c r="I116" s="63">
        <f ca="1">IFERROR(__xludf.DUMMYFUNCTION("googlefinance(""nse:""&amp;A116,""VOLUME"")"),40809290)</f>
        <v>40809290</v>
      </c>
      <c r="J116" s="63">
        <f ca="1">IFERROR(__xludf.DUMMYFUNCTION("googlefinance(""nse:""&amp;A116,""closeyest"")"),125.85)</f>
        <v>125.85</v>
      </c>
      <c r="K116" s="65" t="str">
        <f ca="1">IFERROR(__xludf.DUMMYFUNCTION("INDEX( GoogleFinance( ""NSE:""&amp;A116 , ""all"" , TODAY()-4) , 2, 3)"),"#N/A")</f>
        <v>#N/A</v>
      </c>
      <c r="L116" s="66" t="str">
        <f ca="1">IFERROR(__xludf.DUMMYFUNCTION("INDEX( GoogleFinance(""NSE:""&amp;A116 , ""all"" , TODAY()-4 ) , 2, 4)"),"#N/A")</f>
        <v>#N/A</v>
      </c>
      <c r="M116" s="67" t="str">
        <f ca="1">IFERROR(__xludf.DUMMYFUNCTION("INDEX( GoogleFinance( ""NSE:""&amp;A116 , ""all"" , TODAY()-4) , 2, 2)"),"#N/A")</f>
        <v>#N/A</v>
      </c>
      <c r="N116" s="68" t="str">
        <f ca="1">IFERROR(__xludf.DUMMYFUNCTION("INDEX( GoogleFinance( ""NSE:""&amp;A116 , ""all"" , TODAY()-4) , 2, 6)"),"#N/A")</f>
        <v>#N/A</v>
      </c>
      <c r="O116" s="69" t="str">
        <f t="shared" ca="1" si="1"/>
        <v/>
      </c>
      <c r="P116" s="69" t="e">
        <f t="shared" ca="1" si="2"/>
        <v>#VALUE!</v>
      </c>
      <c r="Q116" s="69" t="e">
        <f t="shared" ca="1" si="3"/>
        <v>#VALUE!</v>
      </c>
      <c r="R116" s="69" t="e">
        <f ca="1">IF(P116="BUY",L116-1.5,"")</f>
        <v>#VALUE!</v>
      </c>
      <c r="S116" s="69" t="e">
        <f t="shared" ca="1" si="5"/>
        <v>#VALUE!</v>
      </c>
      <c r="T116" s="69" t="e">
        <f t="shared" ca="1" si="6"/>
        <v>#VALUE!</v>
      </c>
      <c r="U116" s="69" t="e">
        <f t="shared" ca="1" si="24"/>
        <v>#VALUE!</v>
      </c>
      <c r="V116" s="69" t="e">
        <f t="shared" ca="1" si="25"/>
        <v>#VALUE!</v>
      </c>
      <c r="W116" s="70" t="str">
        <f t="shared" ca="1" si="9"/>
        <v/>
      </c>
      <c r="X116" s="70" t="e">
        <f t="shared" ca="1" si="10"/>
        <v>#VALUE!</v>
      </c>
      <c r="Y116" s="70" t="e">
        <f t="shared" ca="1" si="11"/>
        <v>#VALUE!</v>
      </c>
      <c r="Z116" s="71" t="e">
        <f t="shared" ca="1" si="12"/>
        <v>#VALUE!</v>
      </c>
      <c r="AA116" s="72" t="e">
        <f t="shared" ca="1" si="13"/>
        <v>#VALUE!</v>
      </c>
      <c r="AB116" s="72" t="e">
        <f t="shared" ca="1" si="14"/>
        <v>#VALUE!</v>
      </c>
      <c r="AC116" s="72" t="e">
        <f t="shared" ca="1" si="15"/>
        <v>#VALUE!</v>
      </c>
      <c r="AD116" s="73" t="e">
        <f t="shared" ca="1" si="16"/>
        <v>#VALUE!</v>
      </c>
      <c r="AE116" s="19" t="e">
        <f t="shared" ca="1" si="17"/>
        <v>#VALUE!</v>
      </c>
      <c r="AF116" s="74" t="str">
        <f t="shared" ca="1" si="18"/>
        <v>Below D1 Low</v>
      </c>
      <c r="AG116" s="17" t="str">
        <f t="shared" ca="1" si="19"/>
        <v>Sell</v>
      </c>
      <c r="AH116" s="17" t="str">
        <f t="shared" ca="1" si="20"/>
        <v>SELL</v>
      </c>
      <c r="AI116" s="75">
        <f ca="1">IFERROR(__xludf.DUMMYFUNCTION("AVERAGE.WEIGHTED((G116+H116+B116)/3, I116)"),132.733333333333)</f>
        <v>132.73333333333301</v>
      </c>
      <c r="AJ116" s="75" t="str">
        <f ca="1">IFERROR(__xludf.DUMMYFUNCTION("AVERAGE.WEIGHTED((K116+L116+J116)/3, N116)"),"#N/A")</f>
        <v>#N/A</v>
      </c>
      <c r="AK116" s="75" t="str">
        <f t="shared" ca="1" si="21"/>
        <v>SELL</v>
      </c>
      <c r="AL116" s="31"/>
      <c r="AM116" s="31"/>
      <c r="AN116" s="31"/>
      <c r="AO116" s="31"/>
      <c r="AP116" s="31"/>
      <c r="AQ116" s="31"/>
      <c r="AR116" s="31"/>
    </row>
    <row r="117" spans="1:44" ht="15.75" customHeight="1">
      <c r="A117" s="61" t="s">
        <v>182</v>
      </c>
      <c r="B117" s="62">
        <f ca="1">IFERROR(__xludf.DUMMYFUNCTION("googlefinance(""nse:""&amp;A117,""price"")"),95.5)</f>
        <v>95.5</v>
      </c>
      <c r="C117" s="63">
        <f t="shared" ca="1" si="0"/>
        <v>0</v>
      </c>
      <c r="D117" s="63">
        <f ca="1">IFERROR(__xludf.DUMMYFUNCTION("googlefinance(""nse:""&amp;A117,""changepct"")"),2.41)</f>
        <v>2.41</v>
      </c>
      <c r="E117" s="63">
        <f ca="1">IFERROR(__xludf.DUMMYFUNCTION("googlefinance(""nse:""&amp;A117,""change"")"),2.25)</f>
        <v>2.25</v>
      </c>
      <c r="F117" s="63">
        <f ca="1">IFERROR(__xludf.DUMMYFUNCTION("googlefinance(""nse:""&amp;A117,""priceopen"")"),94.65)</f>
        <v>94.65</v>
      </c>
      <c r="G117" s="63">
        <f ca="1">IFERROR(__xludf.DUMMYFUNCTION("googlefinance(""nse:""&amp;A117,""HIGH"")"),96.25)</f>
        <v>96.25</v>
      </c>
      <c r="H117" s="63">
        <f ca="1">IFERROR(__xludf.DUMMYFUNCTION("googlefinance(""nse:""&amp;A117,""LOW"")"),93.25)</f>
        <v>93.25</v>
      </c>
      <c r="I117" s="63">
        <f ca="1">IFERROR(__xludf.DUMMYFUNCTION("googlefinance(""nse:""&amp;A117,""VOLUME"")"),8638236)</f>
        <v>8638236</v>
      </c>
      <c r="J117" s="63">
        <f ca="1">IFERROR(__xludf.DUMMYFUNCTION("googlefinance(""nse:""&amp;A117,""closeyest"")"),93.25)</f>
        <v>93.25</v>
      </c>
      <c r="K117" s="65" t="str">
        <f ca="1">IFERROR(__xludf.DUMMYFUNCTION("INDEX( GoogleFinance( ""NSE:""&amp;A117 , ""all"" , TODAY()-4) , 2, 3)"),"#N/A")</f>
        <v>#N/A</v>
      </c>
      <c r="L117" s="66" t="str">
        <f ca="1">IFERROR(__xludf.DUMMYFUNCTION("INDEX( GoogleFinance(""NSE:""&amp;A117 , ""all"" , TODAY()-4 ) , 2, 4)"),"#N/A")</f>
        <v>#N/A</v>
      </c>
      <c r="M117" s="67" t="str">
        <f ca="1">IFERROR(__xludf.DUMMYFUNCTION("INDEX( GoogleFinance( ""NSE:""&amp;A117 , ""all"" , TODAY()-4) , 2, 2)"),"#N/A")</f>
        <v>#N/A</v>
      </c>
      <c r="N117" s="68" t="str">
        <f ca="1">IFERROR(__xludf.DUMMYFUNCTION("INDEX( GoogleFinance( ""NSE:""&amp;A117 , ""all"" , TODAY()-4) , 2, 6)"),"#N/A")</f>
        <v>#N/A</v>
      </c>
      <c r="O117" s="69" t="str">
        <f t="shared" ca="1" si="1"/>
        <v/>
      </c>
      <c r="P117" s="69" t="e">
        <f t="shared" ca="1" si="2"/>
        <v>#VALUE!</v>
      </c>
      <c r="Q117" s="69" t="e">
        <f t="shared" ca="1" si="3"/>
        <v>#VALUE!</v>
      </c>
      <c r="R117" s="69" t="e">
        <f t="shared" ref="R117:R147" ca="1" si="26">IF(P117="BUY",L117,"")</f>
        <v>#VALUE!</v>
      </c>
      <c r="S117" s="69" t="e">
        <f t="shared" ca="1" si="5"/>
        <v>#VALUE!</v>
      </c>
      <c r="T117" s="69" t="e">
        <f t="shared" ca="1" si="6"/>
        <v>#VALUE!</v>
      </c>
      <c r="U117" s="69" t="e">
        <f t="shared" ca="1" si="24"/>
        <v>#VALUE!</v>
      </c>
      <c r="V117" s="69" t="e">
        <f t="shared" ca="1" si="25"/>
        <v>#VALUE!</v>
      </c>
      <c r="W117" s="70" t="str">
        <f t="shared" ca="1" si="9"/>
        <v/>
      </c>
      <c r="X117" s="70" t="e">
        <f t="shared" ca="1" si="10"/>
        <v>#VALUE!</v>
      </c>
      <c r="Y117" s="70" t="e">
        <f t="shared" ca="1" si="11"/>
        <v>#VALUE!</v>
      </c>
      <c r="Z117" s="71" t="e">
        <f t="shared" ca="1" si="12"/>
        <v>#VALUE!</v>
      </c>
      <c r="AA117" s="72" t="e">
        <f t="shared" ca="1" si="13"/>
        <v>#VALUE!</v>
      </c>
      <c r="AB117" s="72" t="e">
        <f t="shared" ca="1" si="14"/>
        <v>#VALUE!</v>
      </c>
      <c r="AC117" s="72" t="e">
        <f t="shared" ca="1" si="15"/>
        <v>#VALUE!</v>
      </c>
      <c r="AD117" s="73" t="e">
        <f t="shared" ca="1" si="16"/>
        <v>#VALUE!</v>
      </c>
      <c r="AE117" s="19" t="e">
        <f t="shared" ca="1" si="17"/>
        <v>#VALUE!</v>
      </c>
      <c r="AF117" s="74" t="str">
        <f t="shared" ca="1" si="18"/>
        <v>Below D1 Low</v>
      </c>
      <c r="AG117" s="17" t="str">
        <f t="shared" ca="1" si="19"/>
        <v>Sell</v>
      </c>
      <c r="AH117" s="17" t="str">
        <f t="shared" ca="1" si="20"/>
        <v>SELL</v>
      </c>
      <c r="AI117" s="75">
        <f ca="1">IFERROR(__xludf.DUMMYFUNCTION("AVERAGE.WEIGHTED((G117+H117+B117)/3, I117)"),95)</f>
        <v>95</v>
      </c>
      <c r="AJ117" s="75" t="str">
        <f ca="1">IFERROR(__xludf.DUMMYFUNCTION("AVERAGE.WEIGHTED((K117+L117+J117)/3, N117)"),"#N/A")</f>
        <v>#N/A</v>
      </c>
      <c r="AK117" s="75" t="str">
        <f t="shared" ca="1" si="21"/>
        <v>SELL</v>
      </c>
      <c r="AL117" s="31"/>
      <c r="AM117" s="31"/>
      <c r="AN117" s="31"/>
      <c r="AO117" s="31"/>
      <c r="AP117" s="31"/>
      <c r="AQ117" s="31"/>
      <c r="AR117" s="31"/>
    </row>
    <row r="118" spans="1:44" ht="15.75" customHeight="1">
      <c r="A118" s="61" t="s">
        <v>183</v>
      </c>
      <c r="B118" s="62">
        <f ca="1">IFERROR(__xludf.DUMMYFUNCTION("googlefinance(""nse:""&amp;A118,""price"")"),1464)</f>
        <v>1464</v>
      </c>
      <c r="C118" s="63">
        <f t="shared" ca="1" si="0"/>
        <v>0</v>
      </c>
      <c r="D118" s="63">
        <f ca="1">IFERROR(__xludf.DUMMYFUNCTION("googlefinance(""nse:""&amp;A118,""changepct"")"),2.6)</f>
        <v>2.6</v>
      </c>
      <c r="E118" s="63">
        <f ca="1">IFERROR(__xludf.DUMMYFUNCTION("googlefinance(""nse:""&amp;A118,""change"")"),37.05)</f>
        <v>37.049999999999997</v>
      </c>
      <c r="F118" s="63">
        <f ca="1">IFERROR(__xludf.DUMMYFUNCTION("googlefinance(""nse:""&amp;A118,""priceopen"")"),1453.95)</f>
        <v>1453.95</v>
      </c>
      <c r="G118" s="63">
        <f ca="1">IFERROR(__xludf.DUMMYFUNCTION("googlefinance(""nse:""&amp;A118,""HIGH"")"),1494.95)</f>
        <v>1494.95</v>
      </c>
      <c r="H118" s="63">
        <f ca="1">IFERROR(__xludf.DUMMYFUNCTION("googlefinance(""nse:""&amp;A118,""LOW"")"),1438.05)</f>
        <v>1438.05</v>
      </c>
      <c r="I118" s="63">
        <f ca="1">IFERROR(__xludf.DUMMYFUNCTION("googlefinance(""nse:""&amp;A118,""VOLUME"")"),32617901)</f>
        <v>32617901</v>
      </c>
      <c r="J118" s="63">
        <f ca="1">IFERROR(__xludf.DUMMYFUNCTION("googlefinance(""nse:""&amp;A118,""closeyest"")"),1426.95)</f>
        <v>1426.95</v>
      </c>
      <c r="K118" s="65" t="str">
        <f ca="1">IFERROR(__xludf.DUMMYFUNCTION("INDEX( GoogleFinance( ""NSE:""&amp;A118 , ""all"" , TODAY()-4) , 2, 3)"),"#N/A")</f>
        <v>#N/A</v>
      </c>
      <c r="L118" s="66" t="str">
        <f ca="1">IFERROR(__xludf.DUMMYFUNCTION("INDEX( GoogleFinance(""NSE:""&amp;A118 , ""all"" , TODAY()-4 ) , 2, 4)"),"#N/A")</f>
        <v>#N/A</v>
      </c>
      <c r="M118" s="67" t="str">
        <f ca="1">IFERROR(__xludf.DUMMYFUNCTION("INDEX( GoogleFinance( ""NSE:""&amp;A118 , ""all"" , TODAY()-4) , 2, 2)"),"#N/A")</f>
        <v>#N/A</v>
      </c>
      <c r="N118" s="68" t="str">
        <f ca="1">IFERROR(__xludf.DUMMYFUNCTION("INDEX( GoogleFinance( ""NSE:""&amp;A118 , ""all"" , TODAY()-4) , 2, 6)"),"#N/A")</f>
        <v>#N/A</v>
      </c>
      <c r="O118" s="69" t="str">
        <f t="shared" ca="1" si="1"/>
        <v/>
      </c>
      <c r="P118" s="69" t="e">
        <f t="shared" ca="1" si="2"/>
        <v>#VALUE!</v>
      </c>
      <c r="Q118" s="69" t="e">
        <f t="shared" ca="1" si="3"/>
        <v>#VALUE!</v>
      </c>
      <c r="R118" s="69" t="e">
        <f t="shared" ca="1" si="26"/>
        <v>#VALUE!</v>
      </c>
      <c r="S118" s="69" t="e">
        <f t="shared" ca="1" si="5"/>
        <v>#VALUE!</v>
      </c>
      <c r="T118" s="69" t="e">
        <f t="shared" ca="1" si="6"/>
        <v>#VALUE!</v>
      </c>
      <c r="U118" s="69" t="e">
        <f t="shared" ca="1" si="24"/>
        <v>#VALUE!</v>
      </c>
      <c r="V118" s="69" t="e">
        <f t="shared" ca="1" si="25"/>
        <v>#VALUE!</v>
      </c>
      <c r="W118" s="70" t="str">
        <f t="shared" ca="1" si="9"/>
        <v/>
      </c>
      <c r="X118" s="70" t="e">
        <f t="shared" ca="1" si="10"/>
        <v>#VALUE!</v>
      </c>
      <c r="Y118" s="70" t="e">
        <f t="shared" ca="1" si="11"/>
        <v>#VALUE!</v>
      </c>
      <c r="Z118" s="71" t="e">
        <f t="shared" ca="1" si="12"/>
        <v>#VALUE!</v>
      </c>
      <c r="AA118" s="72" t="e">
        <f t="shared" ca="1" si="13"/>
        <v>#VALUE!</v>
      </c>
      <c r="AB118" s="72" t="e">
        <f t="shared" ca="1" si="14"/>
        <v>#VALUE!</v>
      </c>
      <c r="AC118" s="72" t="e">
        <f t="shared" ca="1" si="15"/>
        <v>#VALUE!</v>
      </c>
      <c r="AD118" s="73" t="e">
        <f t="shared" ca="1" si="16"/>
        <v>#VALUE!</v>
      </c>
      <c r="AE118" s="19" t="e">
        <f t="shared" ca="1" si="17"/>
        <v>#VALUE!</v>
      </c>
      <c r="AF118" s="74" t="str">
        <f t="shared" ca="1" si="18"/>
        <v>Below D1 Low</v>
      </c>
      <c r="AG118" s="17" t="str">
        <f t="shared" ca="1" si="19"/>
        <v>Sell</v>
      </c>
      <c r="AH118" s="17" t="str">
        <f t="shared" ca="1" si="20"/>
        <v>SELL</v>
      </c>
      <c r="AI118" s="75">
        <f ca="1">IFERROR(__xludf.DUMMYFUNCTION("AVERAGE.WEIGHTED((G118+H118+B118)/3, I118)"),1465.66666666666)</f>
        <v>1465.6666666666599</v>
      </c>
      <c r="AJ118" s="75" t="str">
        <f ca="1">IFERROR(__xludf.DUMMYFUNCTION("AVERAGE.WEIGHTED((K118+L118+J118)/3, N118)"),"#N/A")</f>
        <v>#N/A</v>
      </c>
      <c r="AK118" s="75" t="str">
        <f t="shared" ca="1" si="21"/>
        <v>SELL</v>
      </c>
      <c r="AL118" s="31"/>
      <c r="AM118" s="31"/>
      <c r="AN118" s="31"/>
      <c r="AO118" s="31"/>
      <c r="AP118" s="31"/>
      <c r="AQ118" s="31"/>
      <c r="AR118" s="31"/>
    </row>
    <row r="119" spans="1:44" ht="15.75" customHeight="1">
      <c r="A119" s="61" t="s">
        <v>184</v>
      </c>
      <c r="B119" s="62">
        <f ca="1">IFERROR(__xludf.DUMMYFUNCTION("googlefinance(""nse:""&amp;A119,""price"")"),31.9)</f>
        <v>31.9</v>
      </c>
      <c r="C119" s="63" t="str">
        <f t="shared" ca="1" si="0"/>
        <v>BUY</v>
      </c>
      <c r="D119" s="63">
        <f ca="1">IFERROR(__xludf.DUMMYFUNCTION("googlefinance(""nse:""&amp;A119,""changepct"")"),5.63)</f>
        <v>5.63</v>
      </c>
      <c r="E119" s="63">
        <f ca="1">IFERROR(__xludf.DUMMYFUNCTION("googlefinance(""nse:""&amp;A119,""change"")"),1.7)</f>
        <v>1.7</v>
      </c>
      <c r="F119" s="63">
        <f ca="1">IFERROR(__xludf.DUMMYFUNCTION("googlefinance(""nse:""&amp;A119,""priceopen"")"),30.6)</f>
        <v>30.6</v>
      </c>
      <c r="G119" s="63">
        <f ca="1">IFERROR(__xludf.DUMMYFUNCTION("googlefinance(""nse:""&amp;A119,""HIGH"")"),32.25)</f>
        <v>32.25</v>
      </c>
      <c r="H119" s="63">
        <f ca="1">IFERROR(__xludf.DUMMYFUNCTION("googlefinance(""nse:""&amp;A119,""LOW"")"),30.6)</f>
        <v>30.6</v>
      </c>
      <c r="I119" s="63">
        <f ca="1">IFERROR(__xludf.DUMMYFUNCTION("googlefinance(""nse:""&amp;A119,""VOLUME"")"),35723601)</f>
        <v>35723601</v>
      </c>
      <c r="J119" s="63">
        <f ca="1">IFERROR(__xludf.DUMMYFUNCTION("googlefinance(""nse:""&amp;A119,""closeyest"")"),30.2)</f>
        <v>30.2</v>
      </c>
      <c r="K119" s="65" t="str">
        <f ca="1">IFERROR(__xludf.DUMMYFUNCTION("INDEX( GoogleFinance( ""NSE:""&amp;A119 , ""all"" , TODAY()-4) , 2, 3)"),"#N/A")</f>
        <v>#N/A</v>
      </c>
      <c r="L119" s="66" t="str">
        <f ca="1">IFERROR(__xludf.DUMMYFUNCTION("INDEX( GoogleFinance(""NSE:""&amp;A119 , ""all"" , TODAY()-4 ) , 2, 4)"),"#N/A")</f>
        <v>#N/A</v>
      </c>
      <c r="M119" s="67" t="str">
        <f ca="1">IFERROR(__xludf.DUMMYFUNCTION("INDEX( GoogleFinance( ""NSE:""&amp;A119 , ""all"" , TODAY()-4) , 2, 2)"),"#N/A")</f>
        <v>#N/A</v>
      </c>
      <c r="N119" s="68" t="str">
        <f ca="1">IFERROR(__xludf.DUMMYFUNCTION("INDEX( GoogleFinance( ""NSE:""&amp;A119 , ""all"" , TODAY()-4) , 2, 6)"),"#N/A")</f>
        <v>#N/A</v>
      </c>
      <c r="O119" s="69" t="str">
        <f t="shared" ca="1" si="1"/>
        <v/>
      </c>
      <c r="P119" s="69" t="e">
        <f t="shared" ca="1" si="2"/>
        <v>#VALUE!</v>
      </c>
      <c r="Q119" s="69" t="e">
        <f t="shared" ca="1" si="3"/>
        <v>#VALUE!</v>
      </c>
      <c r="R119" s="69" t="e">
        <f t="shared" ca="1" si="26"/>
        <v>#VALUE!</v>
      </c>
      <c r="S119" s="69" t="e">
        <f t="shared" ca="1" si="5"/>
        <v>#VALUE!</v>
      </c>
      <c r="T119" s="69" t="e">
        <f t="shared" ca="1" si="6"/>
        <v>#VALUE!</v>
      </c>
      <c r="U119" s="69" t="e">
        <f t="shared" ca="1" si="24"/>
        <v>#VALUE!</v>
      </c>
      <c r="V119" s="69" t="e">
        <f t="shared" ca="1" si="25"/>
        <v>#VALUE!</v>
      </c>
      <c r="W119" s="70" t="str">
        <f t="shared" ca="1" si="9"/>
        <v/>
      </c>
      <c r="X119" s="70" t="e">
        <f t="shared" ca="1" si="10"/>
        <v>#VALUE!</v>
      </c>
      <c r="Y119" s="70" t="e">
        <f t="shared" ca="1" si="11"/>
        <v>#VALUE!</v>
      </c>
      <c r="Z119" s="71" t="e">
        <f t="shared" ca="1" si="12"/>
        <v>#VALUE!</v>
      </c>
      <c r="AA119" s="72" t="e">
        <f t="shared" ca="1" si="13"/>
        <v>#VALUE!</v>
      </c>
      <c r="AB119" s="72" t="e">
        <f t="shared" ca="1" si="14"/>
        <v>#VALUE!</v>
      </c>
      <c r="AC119" s="72" t="e">
        <f t="shared" ca="1" si="15"/>
        <v>#VALUE!</v>
      </c>
      <c r="AD119" s="73" t="e">
        <f t="shared" ca="1" si="16"/>
        <v>#VALUE!</v>
      </c>
      <c r="AE119" s="19" t="e">
        <f t="shared" ca="1" si="17"/>
        <v>#VALUE!</v>
      </c>
      <c r="AF119" s="74" t="str">
        <f t="shared" ca="1" si="18"/>
        <v>Below D1 Low</v>
      </c>
      <c r="AG119" s="17" t="str">
        <f t="shared" ca="1" si="19"/>
        <v>Sell</v>
      </c>
      <c r="AH119" s="17" t="str">
        <f t="shared" ca="1" si="20"/>
        <v>SELL</v>
      </c>
      <c r="AI119" s="75">
        <f ca="1">IFERROR(__xludf.DUMMYFUNCTION("AVERAGE.WEIGHTED((G119+H119+B119)/3, I119)"),31.5833333333333)</f>
        <v>31.5833333333333</v>
      </c>
      <c r="AJ119" s="75" t="str">
        <f ca="1">IFERROR(__xludf.DUMMYFUNCTION("AVERAGE.WEIGHTED((K119+L119+J119)/3, N119)"),"#N/A")</f>
        <v>#N/A</v>
      </c>
      <c r="AK119" s="75" t="str">
        <f t="shared" ca="1" si="21"/>
        <v>SELL</v>
      </c>
      <c r="AL119" s="31"/>
      <c r="AM119" s="31"/>
      <c r="AN119" s="31"/>
      <c r="AO119" s="31"/>
      <c r="AP119" s="31"/>
      <c r="AQ119" s="31"/>
      <c r="AR119" s="31"/>
    </row>
    <row r="120" spans="1:44" ht="15.75" customHeight="1">
      <c r="A120" s="61" t="s">
        <v>185</v>
      </c>
      <c r="B120" s="62">
        <f ca="1">IFERROR(__xludf.DUMMYFUNCTION("googlefinance(""nse:""&amp;A120,""price"")"),190.2)</f>
        <v>190.2</v>
      </c>
      <c r="C120" s="63">
        <f t="shared" ca="1" si="0"/>
        <v>0</v>
      </c>
      <c r="D120" s="63">
        <f ca="1">IFERROR(__xludf.DUMMYFUNCTION("googlefinance(""nse:""&amp;A120,""changepct"")"),0.05)</f>
        <v>0.05</v>
      </c>
      <c r="E120" s="63">
        <f ca="1">IFERROR(__xludf.DUMMYFUNCTION("googlefinance(""nse:""&amp;A120,""change"")"),0.1)</f>
        <v>0.1</v>
      </c>
      <c r="F120" s="63">
        <f ca="1">IFERROR(__xludf.DUMMYFUNCTION("googlefinance(""nse:""&amp;A120,""priceopen"")"),193.5)</f>
        <v>193.5</v>
      </c>
      <c r="G120" s="63">
        <f ca="1">IFERROR(__xludf.DUMMYFUNCTION("googlefinance(""nse:""&amp;A120,""HIGH"")"),195.9)</f>
        <v>195.9</v>
      </c>
      <c r="H120" s="63">
        <f ca="1">IFERROR(__xludf.DUMMYFUNCTION("googlefinance(""nse:""&amp;A120,""LOW"")"),189.7)</f>
        <v>189.7</v>
      </c>
      <c r="I120" s="63">
        <f ca="1">IFERROR(__xludf.DUMMYFUNCTION("googlefinance(""nse:""&amp;A120,""VOLUME"")"),63069460)</f>
        <v>63069460</v>
      </c>
      <c r="J120" s="63">
        <f ca="1">IFERROR(__xludf.DUMMYFUNCTION("googlefinance(""nse:""&amp;A120,""closeyest"")"),190.1)</f>
        <v>190.1</v>
      </c>
      <c r="K120" s="65" t="str">
        <f ca="1">IFERROR(__xludf.DUMMYFUNCTION("INDEX( GoogleFinance( ""NSE:""&amp;A120 , ""all"" , TODAY()-4) , 2, 3)"),"#N/A")</f>
        <v>#N/A</v>
      </c>
      <c r="L120" s="66" t="str">
        <f ca="1">IFERROR(__xludf.DUMMYFUNCTION("INDEX( GoogleFinance(""NSE:""&amp;A120 , ""all"" , TODAY()-4 ) , 2, 4)"),"#N/A")</f>
        <v>#N/A</v>
      </c>
      <c r="M120" s="67" t="str">
        <f ca="1">IFERROR(__xludf.DUMMYFUNCTION("INDEX( GoogleFinance( ""NSE:""&amp;A120 , ""all"" , TODAY()-4) , 2, 2)"),"#N/A")</f>
        <v>#N/A</v>
      </c>
      <c r="N120" s="68" t="str">
        <f ca="1">IFERROR(__xludf.DUMMYFUNCTION("INDEX( GoogleFinance( ""NSE:""&amp;A120 , ""all"" , TODAY()-4) , 2, 6)"),"#N/A")</f>
        <v>#N/A</v>
      </c>
      <c r="O120" s="69" t="str">
        <f t="shared" ca="1" si="1"/>
        <v/>
      </c>
      <c r="P120" s="69" t="e">
        <f t="shared" ca="1" si="2"/>
        <v>#VALUE!</v>
      </c>
      <c r="Q120" s="69" t="e">
        <f t="shared" ca="1" si="3"/>
        <v>#VALUE!</v>
      </c>
      <c r="R120" s="69" t="e">
        <f t="shared" ca="1" si="26"/>
        <v>#VALUE!</v>
      </c>
      <c r="S120" s="69" t="e">
        <f t="shared" ca="1" si="5"/>
        <v>#VALUE!</v>
      </c>
      <c r="T120" s="69" t="e">
        <f t="shared" ca="1" si="6"/>
        <v>#VALUE!</v>
      </c>
      <c r="U120" s="69" t="e">
        <f t="shared" ca="1" si="24"/>
        <v>#VALUE!</v>
      </c>
      <c r="V120" s="69" t="e">
        <f t="shared" ca="1" si="25"/>
        <v>#VALUE!</v>
      </c>
      <c r="W120" s="70" t="str">
        <f t="shared" ca="1" si="9"/>
        <v/>
      </c>
      <c r="X120" s="70" t="e">
        <f t="shared" ca="1" si="10"/>
        <v>#VALUE!</v>
      </c>
      <c r="Y120" s="70" t="e">
        <f t="shared" ca="1" si="11"/>
        <v>#VALUE!</v>
      </c>
      <c r="Z120" s="71" t="e">
        <f t="shared" ca="1" si="12"/>
        <v>#VALUE!</v>
      </c>
      <c r="AA120" s="72" t="e">
        <f t="shared" ca="1" si="13"/>
        <v>#VALUE!</v>
      </c>
      <c r="AB120" s="72" t="e">
        <f t="shared" ca="1" si="14"/>
        <v>#VALUE!</v>
      </c>
      <c r="AC120" s="72" t="e">
        <f t="shared" ca="1" si="15"/>
        <v>#VALUE!</v>
      </c>
      <c r="AD120" s="73" t="e">
        <f t="shared" ca="1" si="16"/>
        <v>#VALUE!</v>
      </c>
      <c r="AE120" s="19" t="e">
        <f t="shared" ca="1" si="17"/>
        <v>#VALUE!</v>
      </c>
      <c r="AF120" s="74" t="str">
        <f t="shared" ca="1" si="18"/>
        <v>Below D1 Low</v>
      </c>
      <c r="AG120" s="17" t="str">
        <f t="shared" ca="1" si="19"/>
        <v>Sell</v>
      </c>
      <c r="AH120" s="17" t="str">
        <f t="shared" ca="1" si="20"/>
        <v>SELL</v>
      </c>
      <c r="AI120" s="75">
        <f ca="1">IFERROR(__xludf.DUMMYFUNCTION("AVERAGE.WEIGHTED((G120+H120+B120)/3, I120)"),191.933333333333)</f>
        <v>191.933333333333</v>
      </c>
      <c r="AJ120" s="75" t="str">
        <f ca="1">IFERROR(__xludf.DUMMYFUNCTION("AVERAGE.WEIGHTED((K120+L120+J120)/3, N120)"),"#N/A")</f>
        <v>#N/A</v>
      </c>
      <c r="AK120" s="75" t="str">
        <f t="shared" ca="1" si="21"/>
        <v>SELL</v>
      </c>
      <c r="AL120" s="31"/>
      <c r="AM120" s="31"/>
      <c r="AN120" s="31"/>
      <c r="AO120" s="31"/>
      <c r="AP120" s="31"/>
      <c r="AQ120" s="31"/>
      <c r="AR120" s="31"/>
    </row>
    <row r="121" spans="1:44" ht="15.75" customHeight="1">
      <c r="A121" s="61" t="s">
        <v>186</v>
      </c>
      <c r="B121" s="62">
        <f ca="1">IFERROR(__xludf.DUMMYFUNCTION("googlefinance(""nse:""&amp;A121,""price"")"),19610)</f>
        <v>19610</v>
      </c>
      <c r="C121" s="63">
        <f t="shared" ca="1" si="0"/>
        <v>0</v>
      </c>
      <c r="D121" s="63">
        <f ca="1">IFERROR(__xludf.DUMMYFUNCTION("googlefinance(""nse:""&amp;A121,""changepct"")"),2.29)</f>
        <v>2.29</v>
      </c>
      <c r="E121" s="63">
        <f ca="1">IFERROR(__xludf.DUMMYFUNCTION("googlefinance(""nse:""&amp;A121,""change"")"),438.55)</f>
        <v>438.55</v>
      </c>
      <c r="F121" s="63">
        <f ca="1">IFERROR(__xludf.DUMMYFUNCTION("googlefinance(""nse:""&amp;A121,""priceopen"")"),19300)</f>
        <v>19300</v>
      </c>
      <c r="G121" s="63">
        <f ca="1">IFERROR(__xludf.DUMMYFUNCTION("googlefinance(""nse:""&amp;A121,""HIGH"")"),19890)</f>
        <v>19890</v>
      </c>
      <c r="H121" s="63">
        <f ca="1">IFERROR(__xludf.DUMMYFUNCTION("googlefinance(""nse:""&amp;A121,""LOW"")"),19118.45)</f>
        <v>19118.45</v>
      </c>
      <c r="I121" s="63">
        <f ca="1">IFERROR(__xludf.DUMMYFUNCTION("googlefinance(""nse:""&amp;A121,""VOLUME"")"),53649)</f>
        <v>53649</v>
      </c>
      <c r="J121" s="63">
        <f ca="1">IFERROR(__xludf.DUMMYFUNCTION("googlefinance(""nse:""&amp;A121,""closeyest"")"),19171.45)</f>
        <v>19171.45</v>
      </c>
      <c r="K121" s="65" t="str">
        <f ca="1">IFERROR(__xludf.DUMMYFUNCTION("INDEX( GoogleFinance( ""NSE:""&amp;A121 , ""all"" , TODAY()-4) , 2, 3)"),"#N/A")</f>
        <v>#N/A</v>
      </c>
      <c r="L121" s="66" t="str">
        <f ca="1">IFERROR(__xludf.DUMMYFUNCTION("INDEX( GoogleFinance(""NSE:""&amp;A121 , ""all"" , TODAY()-4 ) , 2, 4)"),"#N/A")</f>
        <v>#N/A</v>
      </c>
      <c r="M121" s="67" t="str">
        <f ca="1">IFERROR(__xludf.DUMMYFUNCTION("INDEX( GoogleFinance( ""NSE:""&amp;A121 , ""all"" , TODAY()-4) , 2, 2)"),"#N/A")</f>
        <v>#N/A</v>
      </c>
      <c r="N121" s="68" t="str">
        <f ca="1">IFERROR(__xludf.DUMMYFUNCTION("INDEX( GoogleFinance( ""NSE:""&amp;A121 , ""all"" , TODAY()-4) , 2, 6)"),"#N/A")</f>
        <v>#N/A</v>
      </c>
      <c r="O121" s="69" t="str">
        <f t="shared" ca="1" si="1"/>
        <v/>
      </c>
      <c r="P121" s="69" t="e">
        <f t="shared" ca="1" si="2"/>
        <v>#VALUE!</v>
      </c>
      <c r="Q121" s="69" t="e">
        <f t="shared" ca="1" si="3"/>
        <v>#VALUE!</v>
      </c>
      <c r="R121" s="69" t="e">
        <f t="shared" ca="1" si="26"/>
        <v>#VALUE!</v>
      </c>
      <c r="S121" s="69" t="e">
        <f t="shared" ca="1" si="5"/>
        <v>#VALUE!</v>
      </c>
      <c r="T121" s="69" t="e">
        <f t="shared" ca="1" si="6"/>
        <v>#VALUE!</v>
      </c>
      <c r="U121" s="69" t="e">
        <f t="shared" ca="1" si="24"/>
        <v>#VALUE!</v>
      </c>
      <c r="V121" s="69" t="e">
        <f t="shared" ca="1" si="25"/>
        <v>#VALUE!</v>
      </c>
      <c r="W121" s="70" t="str">
        <f t="shared" ca="1" si="9"/>
        <v/>
      </c>
      <c r="X121" s="70" t="e">
        <f t="shared" ca="1" si="10"/>
        <v>#VALUE!</v>
      </c>
      <c r="Y121" s="70" t="e">
        <f t="shared" ca="1" si="11"/>
        <v>#VALUE!</v>
      </c>
      <c r="Z121" s="71" t="e">
        <f t="shared" ca="1" si="12"/>
        <v>#VALUE!</v>
      </c>
      <c r="AA121" s="72" t="e">
        <f t="shared" ca="1" si="13"/>
        <v>#VALUE!</v>
      </c>
      <c r="AB121" s="72" t="e">
        <f t="shared" ca="1" si="14"/>
        <v>#VALUE!</v>
      </c>
      <c r="AC121" s="72" t="e">
        <f t="shared" ca="1" si="15"/>
        <v>#VALUE!</v>
      </c>
      <c r="AD121" s="73" t="e">
        <f t="shared" ca="1" si="16"/>
        <v>#VALUE!</v>
      </c>
      <c r="AE121" s="19" t="e">
        <f t="shared" ca="1" si="17"/>
        <v>#VALUE!</v>
      </c>
      <c r="AF121" s="74" t="str">
        <f t="shared" ca="1" si="18"/>
        <v>Below D1 Low</v>
      </c>
      <c r="AG121" s="17" t="str">
        <f t="shared" ca="1" si="19"/>
        <v>Sell</v>
      </c>
      <c r="AH121" s="17" t="str">
        <f t="shared" ca="1" si="20"/>
        <v>SELL</v>
      </c>
      <c r="AI121" s="75">
        <f ca="1">IFERROR(__xludf.DUMMYFUNCTION("AVERAGE.WEIGHTED((G121+H121+B121)/3, I121)"),19539.4833333333)</f>
        <v>19539.483333333301</v>
      </c>
      <c r="AJ121" s="75" t="str">
        <f ca="1">IFERROR(__xludf.DUMMYFUNCTION("AVERAGE.WEIGHTED((K121+L121+J121)/3, N121)"),"#N/A")</f>
        <v>#N/A</v>
      </c>
      <c r="AK121" s="75" t="str">
        <f t="shared" ca="1" si="21"/>
        <v>SELL</v>
      </c>
      <c r="AL121" s="31"/>
      <c r="AM121" s="31"/>
      <c r="AN121" s="31"/>
      <c r="AO121" s="31"/>
      <c r="AP121" s="31"/>
      <c r="AQ121" s="31"/>
      <c r="AR121" s="31"/>
    </row>
    <row r="122" spans="1:44" ht="15.75" customHeight="1">
      <c r="A122" s="61" t="s">
        <v>187</v>
      </c>
      <c r="B122" s="62">
        <f ca="1">IFERROR(__xludf.DUMMYFUNCTION("googlefinance(""nse:""&amp;A122,""price"")"),1137)</f>
        <v>1137</v>
      </c>
      <c r="C122" s="63">
        <f t="shared" ca="1" si="0"/>
        <v>0</v>
      </c>
      <c r="D122" s="63">
        <f ca="1">IFERROR(__xludf.DUMMYFUNCTION("googlefinance(""nse:""&amp;A122,""changepct"")"),0.87)</f>
        <v>0.87</v>
      </c>
      <c r="E122" s="63">
        <f ca="1">IFERROR(__xludf.DUMMYFUNCTION("googlefinance(""nse:""&amp;A122,""change"")"),9.85)</f>
        <v>9.85</v>
      </c>
      <c r="F122" s="63">
        <f ca="1">IFERROR(__xludf.DUMMYFUNCTION("googlefinance(""nse:""&amp;A122,""priceopen"")"),1148)</f>
        <v>1148</v>
      </c>
      <c r="G122" s="63">
        <f ca="1">IFERROR(__xludf.DUMMYFUNCTION("googlefinance(""nse:""&amp;A122,""HIGH"")"),1179)</f>
        <v>1179</v>
      </c>
      <c r="H122" s="63">
        <f ca="1">IFERROR(__xludf.DUMMYFUNCTION("googlefinance(""nse:""&amp;A122,""LOW"")"),1132.95)</f>
        <v>1132.95</v>
      </c>
      <c r="I122" s="63">
        <f ca="1">IFERROR(__xludf.DUMMYFUNCTION("googlefinance(""nse:""&amp;A122,""VOLUME"")"),609933)</f>
        <v>609933</v>
      </c>
      <c r="J122" s="63">
        <f ca="1">IFERROR(__xludf.DUMMYFUNCTION("googlefinance(""nse:""&amp;A122,""closeyest"")"),1127.15)</f>
        <v>1127.1500000000001</v>
      </c>
      <c r="K122" s="65" t="str">
        <f ca="1">IFERROR(__xludf.DUMMYFUNCTION("INDEX( GoogleFinance( ""NSE:""&amp;A122 , ""all"" , TODAY()-4) , 2, 3)"),"#N/A")</f>
        <v>#N/A</v>
      </c>
      <c r="L122" s="66" t="str">
        <f ca="1">IFERROR(__xludf.DUMMYFUNCTION("INDEX( GoogleFinance(""NSE:""&amp;A122 , ""all"" , TODAY()-4 ) , 2, 4)"),"#N/A")</f>
        <v>#N/A</v>
      </c>
      <c r="M122" s="67" t="str">
        <f ca="1">IFERROR(__xludf.DUMMYFUNCTION("INDEX( GoogleFinance( ""NSE:""&amp;A122 , ""all"" , TODAY()-4) , 2, 2)"),"#N/A")</f>
        <v>#N/A</v>
      </c>
      <c r="N122" s="68" t="str">
        <f ca="1">IFERROR(__xludf.DUMMYFUNCTION("INDEX( GoogleFinance( ""NSE:""&amp;A122 , ""all"" , TODAY()-4) , 2, 6)"),"#N/A")</f>
        <v>#N/A</v>
      </c>
      <c r="O122" s="69" t="str">
        <f t="shared" ca="1" si="1"/>
        <v/>
      </c>
      <c r="P122" s="69" t="e">
        <f t="shared" ca="1" si="2"/>
        <v>#VALUE!</v>
      </c>
      <c r="Q122" s="69" t="e">
        <f t="shared" ca="1" si="3"/>
        <v>#VALUE!</v>
      </c>
      <c r="R122" s="69" t="e">
        <f t="shared" ca="1" si="26"/>
        <v>#VALUE!</v>
      </c>
      <c r="S122" s="69" t="e">
        <f t="shared" ca="1" si="5"/>
        <v>#VALUE!</v>
      </c>
      <c r="T122" s="69" t="e">
        <f t="shared" ca="1" si="6"/>
        <v>#VALUE!</v>
      </c>
      <c r="U122" s="69" t="e">
        <f t="shared" ca="1" si="24"/>
        <v>#VALUE!</v>
      </c>
      <c r="V122" s="69" t="e">
        <f t="shared" ca="1" si="25"/>
        <v>#VALUE!</v>
      </c>
      <c r="W122" s="70" t="str">
        <f t="shared" ca="1" si="9"/>
        <v/>
      </c>
      <c r="X122" s="70" t="e">
        <f t="shared" ca="1" si="10"/>
        <v>#VALUE!</v>
      </c>
      <c r="Y122" s="70" t="e">
        <f t="shared" ca="1" si="11"/>
        <v>#VALUE!</v>
      </c>
      <c r="Z122" s="71" t="e">
        <f t="shared" ca="1" si="12"/>
        <v>#VALUE!</v>
      </c>
      <c r="AA122" s="72" t="e">
        <f t="shared" ca="1" si="13"/>
        <v>#VALUE!</v>
      </c>
      <c r="AB122" s="72" t="e">
        <f t="shared" ca="1" si="14"/>
        <v>#VALUE!</v>
      </c>
      <c r="AC122" s="72" t="e">
        <f t="shared" ca="1" si="15"/>
        <v>#VALUE!</v>
      </c>
      <c r="AD122" s="73" t="e">
        <f t="shared" ca="1" si="16"/>
        <v>#VALUE!</v>
      </c>
      <c r="AE122" s="19" t="e">
        <f t="shared" ca="1" si="17"/>
        <v>#VALUE!</v>
      </c>
      <c r="AF122" s="74" t="str">
        <f t="shared" ca="1" si="18"/>
        <v>Below D1 Low</v>
      </c>
      <c r="AG122" s="17" t="str">
        <f t="shared" ca="1" si="19"/>
        <v>Sell</v>
      </c>
      <c r="AH122" s="17" t="str">
        <f t="shared" ca="1" si="20"/>
        <v>SELL</v>
      </c>
      <c r="AI122" s="75">
        <f ca="1">IFERROR(__xludf.DUMMYFUNCTION("AVERAGE.WEIGHTED((G122+H122+B122)/3, I122)"),1149.64999999999)</f>
        <v>1149.6499999999901</v>
      </c>
      <c r="AJ122" s="75" t="str">
        <f ca="1">IFERROR(__xludf.DUMMYFUNCTION("AVERAGE.WEIGHTED((K122+L122+J122)/3, N122)"),"#N/A")</f>
        <v>#N/A</v>
      </c>
      <c r="AK122" s="75" t="str">
        <f t="shared" ca="1" si="21"/>
        <v>SELL</v>
      </c>
      <c r="AL122" s="31"/>
      <c r="AM122" s="31"/>
      <c r="AN122" s="31"/>
      <c r="AO122" s="31"/>
      <c r="AP122" s="31"/>
      <c r="AQ122" s="31"/>
      <c r="AR122" s="31"/>
    </row>
    <row r="123" spans="1:44" ht="15.75" customHeight="1">
      <c r="A123" s="61" t="s">
        <v>188</v>
      </c>
      <c r="B123" s="62">
        <f ca="1">IFERROR(__xludf.DUMMYFUNCTION("googlefinance(""nse:""&amp;A123,""price"")"),3709.8)</f>
        <v>3709.8</v>
      </c>
      <c r="C123" s="63" t="str">
        <f t="shared" ca="1" si="0"/>
        <v>BUY</v>
      </c>
      <c r="D123" s="63">
        <f ca="1">IFERROR(__xludf.DUMMYFUNCTION("googlefinance(""nse:""&amp;A123,""changepct"")"),1.21)</f>
        <v>1.21</v>
      </c>
      <c r="E123" s="63">
        <f ca="1">IFERROR(__xludf.DUMMYFUNCTION("googlefinance(""nse:""&amp;A123,""change"")"),44.2)</f>
        <v>44.2</v>
      </c>
      <c r="F123" s="63">
        <f ca="1">IFERROR(__xludf.DUMMYFUNCTION("googlefinance(""nse:""&amp;A123,""priceopen"")"),3686.75)</f>
        <v>3686.75</v>
      </c>
      <c r="G123" s="63">
        <f ca="1">IFERROR(__xludf.DUMMYFUNCTION("googlefinance(""nse:""&amp;A123,""HIGH"")"),3772)</f>
        <v>3772</v>
      </c>
      <c r="H123" s="63">
        <f ca="1">IFERROR(__xludf.DUMMYFUNCTION("googlefinance(""nse:""&amp;A123,""LOW"")"),3686.75)</f>
        <v>3686.75</v>
      </c>
      <c r="I123" s="63">
        <f ca="1">IFERROR(__xludf.DUMMYFUNCTION("googlefinance(""nse:""&amp;A123,""VOLUME"")"),207392)</f>
        <v>207392</v>
      </c>
      <c r="J123" s="63">
        <f ca="1">IFERROR(__xludf.DUMMYFUNCTION("googlefinance(""nse:""&amp;A123,""closeyest"")"),3665.6)</f>
        <v>3665.6</v>
      </c>
      <c r="K123" s="65" t="str">
        <f ca="1">IFERROR(__xludf.DUMMYFUNCTION("INDEX( GoogleFinance( ""NSE:""&amp;A123 , ""all"" , TODAY()-4) , 2, 3)"),"#N/A")</f>
        <v>#N/A</v>
      </c>
      <c r="L123" s="66" t="str">
        <f ca="1">IFERROR(__xludf.DUMMYFUNCTION("INDEX( GoogleFinance(""NSE:""&amp;A123 , ""all"" , TODAY()-4 ) , 2, 4)"),"#N/A")</f>
        <v>#N/A</v>
      </c>
      <c r="M123" s="67" t="str">
        <f ca="1">IFERROR(__xludf.DUMMYFUNCTION("INDEX( GoogleFinance( ""NSE:""&amp;A123 , ""all"" , TODAY()-4) , 2, 2)"),"#N/A")</f>
        <v>#N/A</v>
      </c>
      <c r="N123" s="68" t="str">
        <f ca="1">IFERROR(__xludf.DUMMYFUNCTION("INDEX( GoogleFinance( ""NSE:""&amp;A123 , ""all"" , TODAY()-4) , 2, 6)"),"#N/A")</f>
        <v>#N/A</v>
      </c>
      <c r="O123" s="69" t="str">
        <f t="shared" ca="1" si="1"/>
        <v/>
      </c>
      <c r="P123" s="69" t="e">
        <f t="shared" ca="1" si="2"/>
        <v>#VALUE!</v>
      </c>
      <c r="Q123" s="69" t="e">
        <f t="shared" ca="1" si="3"/>
        <v>#VALUE!</v>
      </c>
      <c r="R123" s="69" t="e">
        <f t="shared" ca="1" si="26"/>
        <v>#VALUE!</v>
      </c>
      <c r="S123" s="69" t="e">
        <f t="shared" ca="1" si="5"/>
        <v>#VALUE!</v>
      </c>
      <c r="T123" s="69" t="e">
        <f t="shared" ca="1" si="6"/>
        <v>#VALUE!</v>
      </c>
      <c r="U123" s="69" t="e">
        <f t="shared" ca="1" si="24"/>
        <v>#VALUE!</v>
      </c>
      <c r="V123" s="69" t="e">
        <f t="shared" ca="1" si="25"/>
        <v>#VALUE!</v>
      </c>
      <c r="W123" s="70" t="str">
        <f t="shared" ca="1" si="9"/>
        <v/>
      </c>
      <c r="X123" s="70" t="e">
        <f t="shared" ca="1" si="10"/>
        <v>#VALUE!</v>
      </c>
      <c r="Y123" s="70" t="e">
        <f t="shared" ca="1" si="11"/>
        <v>#VALUE!</v>
      </c>
      <c r="Z123" s="71" t="e">
        <f t="shared" ca="1" si="12"/>
        <v>#VALUE!</v>
      </c>
      <c r="AA123" s="72" t="e">
        <f t="shared" ca="1" si="13"/>
        <v>#VALUE!</v>
      </c>
      <c r="AB123" s="72" t="e">
        <f t="shared" ca="1" si="14"/>
        <v>#VALUE!</v>
      </c>
      <c r="AC123" s="72" t="e">
        <f t="shared" ca="1" si="15"/>
        <v>#VALUE!</v>
      </c>
      <c r="AD123" s="73" t="e">
        <f t="shared" ca="1" si="16"/>
        <v>#VALUE!</v>
      </c>
      <c r="AE123" s="19" t="e">
        <f t="shared" ca="1" si="17"/>
        <v>#VALUE!</v>
      </c>
      <c r="AF123" s="74" t="str">
        <f t="shared" ca="1" si="18"/>
        <v>Below D1 Low</v>
      </c>
      <c r="AG123" s="17" t="str">
        <f t="shared" ca="1" si="19"/>
        <v>Sell</v>
      </c>
      <c r="AH123" s="17" t="str">
        <f t="shared" ca="1" si="20"/>
        <v>SELL</v>
      </c>
      <c r="AI123" s="75">
        <f ca="1">IFERROR(__xludf.DUMMYFUNCTION("AVERAGE.WEIGHTED((G123+H123+B123)/3, I123)"),3722.85)</f>
        <v>3722.85</v>
      </c>
      <c r="AJ123" s="75" t="str">
        <f ca="1">IFERROR(__xludf.DUMMYFUNCTION("AVERAGE.WEIGHTED((K123+L123+J123)/3, N123)"),"#N/A")</f>
        <v>#N/A</v>
      </c>
      <c r="AK123" s="75" t="str">
        <f t="shared" ca="1" si="21"/>
        <v>SELL</v>
      </c>
      <c r="AL123" s="31"/>
      <c r="AM123" s="31"/>
      <c r="AN123" s="31"/>
      <c r="AO123" s="31"/>
      <c r="AP123" s="31"/>
      <c r="AQ123" s="31"/>
      <c r="AR123" s="31"/>
    </row>
    <row r="124" spans="1:44" ht="15.75" customHeight="1">
      <c r="A124" s="61" t="s">
        <v>189</v>
      </c>
      <c r="B124" s="62">
        <f ca="1">IFERROR(__xludf.DUMMYFUNCTION("googlefinance(""nse:""&amp;A124,""price"")"),790)</f>
        <v>790</v>
      </c>
      <c r="C124" s="63">
        <f t="shared" ca="1" si="0"/>
        <v>0</v>
      </c>
      <c r="D124" s="63">
        <f ca="1">IFERROR(__xludf.DUMMYFUNCTION("googlefinance(""nse:""&amp;A124,""changepct"")"),13.32)</f>
        <v>13.32</v>
      </c>
      <c r="E124" s="63">
        <f ca="1">IFERROR(__xludf.DUMMYFUNCTION("googlefinance(""nse:""&amp;A124,""change"")"),92.85)</f>
        <v>92.85</v>
      </c>
      <c r="F124" s="63">
        <f ca="1">IFERROR(__xludf.DUMMYFUNCTION("googlefinance(""nse:""&amp;A124,""priceopen"")"),715.1)</f>
        <v>715.1</v>
      </c>
      <c r="G124" s="63">
        <f ca="1">IFERROR(__xludf.DUMMYFUNCTION("googlefinance(""nse:""&amp;A124,""HIGH"")"),799.55)</f>
        <v>799.55</v>
      </c>
      <c r="H124" s="63">
        <f ca="1">IFERROR(__xludf.DUMMYFUNCTION("googlefinance(""nse:""&amp;A124,""LOW"")"),710)</f>
        <v>710</v>
      </c>
      <c r="I124" s="63">
        <f ca="1">IFERROR(__xludf.DUMMYFUNCTION("googlefinance(""nse:""&amp;A124,""VOLUME"")"),6777000)</f>
        <v>6777000</v>
      </c>
      <c r="J124" s="63">
        <f ca="1">IFERROR(__xludf.DUMMYFUNCTION("googlefinance(""nse:""&amp;A124,""closeyest"")"),697.15)</f>
        <v>697.15</v>
      </c>
      <c r="K124" s="65" t="str">
        <f ca="1">IFERROR(__xludf.DUMMYFUNCTION("INDEX( GoogleFinance( ""NSE:""&amp;A124 , ""all"" , TODAY()-4) , 2, 3)"),"#N/A")</f>
        <v>#N/A</v>
      </c>
      <c r="L124" s="66" t="str">
        <f ca="1">IFERROR(__xludf.DUMMYFUNCTION("INDEX( GoogleFinance(""NSE:""&amp;A124 , ""all"" , TODAY()-4 ) , 2, 4)"),"#N/A")</f>
        <v>#N/A</v>
      </c>
      <c r="M124" s="67" t="str">
        <f ca="1">IFERROR(__xludf.DUMMYFUNCTION("INDEX( GoogleFinance( ""NSE:""&amp;A124 , ""all"" , TODAY()-4) , 2, 2)"),"#N/A")</f>
        <v>#N/A</v>
      </c>
      <c r="N124" s="68" t="str">
        <f ca="1">IFERROR(__xludf.DUMMYFUNCTION("INDEX( GoogleFinance( ""NSE:""&amp;A124 , ""all"" , TODAY()-4) , 2, 6)"),"#N/A")</f>
        <v>#N/A</v>
      </c>
      <c r="O124" s="69" t="str">
        <f t="shared" ca="1" si="1"/>
        <v/>
      </c>
      <c r="P124" s="69" t="e">
        <f t="shared" ca="1" si="2"/>
        <v>#VALUE!</v>
      </c>
      <c r="Q124" s="69" t="e">
        <f t="shared" ca="1" si="3"/>
        <v>#VALUE!</v>
      </c>
      <c r="R124" s="69" t="e">
        <f t="shared" ca="1" si="26"/>
        <v>#VALUE!</v>
      </c>
      <c r="S124" s="69" t="e">
        <f t="shared" ca="1" si="5"/>
        <v>#VALUE!</v>
      </c>
      <c r="T124" s="69" t="e">
        <f t="shared" ca="1" si="6"/>
        <v>#VALUE!</v>
      </c>
      <c r="U124" s="69" t="e">
        <f t="shared" ca="1" si="24"/>
        <v>#VALUE!</v>
      </c>
      <c r="V124" s="69" t="e">
        <f t="shared" ca="1" si="25"/>
        <v>#VALUE!</v>
      </c>
      <c r="W124" s="70" t="str">
        <f t="shared" ca="1" si="9"/>
        <v/>
      </c>
      <c r="X124" s="70" t="e">
        <f t="shared" ca="1" si="10"/>
        <v>#VALUE!</v>
      </c>
      <c r="Y124" s="70" t="e">
        <f t="shared" ca="1" si="11"/>
        <v>#VALUE!</v>
      </c>
      <c r="Z124" s="71" t="e">
        <f t="shared" ca="1" si="12"/>
        <v>#VALUE!</v>
      </c>
      <c r="AA124" s="72" t="e">
        <f t="shared" ca="1" si="13"/>
        <v>#VALUE!</v>
      </c>
      <c r="AB124" s="72" t="e">
        <f t="shared" ca="1" si="14"/>
        <v>#VALUE!</v>
      </c>
      <c r="AC124" s="72" t="e">
        <f t="shared" ca="1" si="15"/>
        <v>#VALUE!</v>
      </c>
      <c r="AD124" s="73" t="e">
        <f t="shared" ca="1" si="16"/>
        <v>#VALUE!</v>
      </c>
      <c r="AE124" s="19" t="e">
        <f t="shared" ca="1" si="17"/>
        <v>#VALUE!</v>
      </c>
      <c r="AF124" s="74" t="str">
        <f t="shared" ca="1" si="18"/>
        <v>Below D1 Low</v>
      </c>
      <c r="AG124" s="17" t="str">
        <f t="shared" ca="1" si="19"/>
        <v>Sell</v>
      </c>
      <c r="AH124" s="17" t="str">
        <f t="shared" ca="1" si="20"/>
        <v>SELL</v>
      </c>
      <c r="AI124" s="75">
        <f ca="1">IFERROR(__xludf.DUMMYFUNCTION("AVERAGE.WEIGHTED((G124+H124+B124)/3, I124)"),766.516666666666)</f>
        <v>766.51666666666597</v>
      </c>
      <c r="AJ124" s="75" t="str">
        <f ca="1">IFERROR(__xludf.DUMMYFUNCTION("AVERAGE.WEIGHTED((K124+L124+J124)/3, N124)"),"#N/A")</f>
        <v>#N/A</v>
      </c>
      <c r="AK124" s="75" t="str">
        <f t="shared" ca="1" si="21"/>
        <v>SELL</v>
      </c>
      <c r="AL124" s="31"/>
      <c r="AM124" s="31"/>
      <c r="AN124" s="31"/>
      <c r="AO124" s="31"/>
      <c r="AP124" s="31"/>
      <c r="AQ124" s="31"/>
      <c r="AR124" s="31"/>
    </row>
    <row r="125" spans="1:44" ht="15.75" customHeight="1">
      <c r="A125" s="61" t="s">
        <v>190</v>
      </c>
      <c r="B125" s="62">
        <f ca="1">IFERROR(__xludf.DUMMYFUNCTION("googlefinance(""nse:""&amp;A125,""price"")"),466)</f>
        <v>466</v>
      </c>
      <c r="C125" s="63">
        <f t="shared" ca="1" si="0"/>
        <v>0</v>
      </c>
      <c r="D125" s="63">
        <f ca="1">IFERROR(__xludf.DUMMYFUNCTION("googlefinance(""nse:""&amp;A125,""changepct"")"),-2.44)</f>
        <v>-2.44</v>
      </c>
      <c r="E125" s="63">
        <f ca="1">IFERROR(__xludf.DUMMYFUNCTION("googlefinance(""nse:""&amp;A125,""change"")"),-11.65)</f>
        <v>-11.65</v>
      </c>
      <c r="F125" s="63">
        <f ca="1">IFERROR(__xludf.DUMMYFUNCTION("googlefinance(""nse:""&amp;A125,""priceopen"")"),484)</f>
        <v>484</v>
      </c>
      <c r="G125" s="63">
        <f ca="1">IFERROR(__xludf.DUMMYFUNCTION("googlefinance(""nse:""&amp;A125,""HIGH"")"),485)</f>
        <v>485</v>
      </c>
      <c r="H125" s="63">
        <f ca="1">IFERROR(__xludf.DUMMYFUNCTION("googlefinance(""nse:""&amp;A125,""LOW"")"),458.4)</f>
        <v>458.4</v>
      </c>
      <c r="I125" s="63">
        <f ca="1">IFERROR(__xludf.DUMMYFUNCTION("googlefinance(""nse:""&amp;A125,""VOLUME"")"),18471937)</f>
        <v>18471937</v>
      </c>
      <c r="J125" s="63">
        <f ca="1">IFERROR(__xludf.DUMMYFUNCTION("googlefinance(""nse:""&amp;A125,""closeyest"")"),477.65)</f>
        <v>477.65</v>
      </c>
      <c r="K125" s="65" t="str">
        <f ca="1">IFERROR(__xludf.DUMMYFUNCTION("INDEX( GoogleFinance( ""NSE:""&amp;A125 , ""all"" , TODAY()-4) , 2, 3)"),"#N/A")</f>
        <v>#N/A</v>
      </c>
      <c r="L125" s="66" t="str">
        <f ca="1">IFERROR(__xludf.DUMMYFUNCTION("INDEX( GoogleFinance(""NSE:""&amp;A125 , ""all"" , TODAY()-4 ) , 2, 4)"),"#N/A")</f>
        <v>#N/A</v>
      </c>
      <c r="M125" s="67" t="str">
        <f ca="1">IFERROR(__xludf.DUMMYFUNCTION("INDEX( GoogleFinance( ""NSE:""&amp;A125 , ""all"" , TODAY()-4) , 2, 2)"),"#N/A")</f>
        <v>#N/A</v>
      </c>
      <c r="N125" s="68" t="str">
        <f ca="1">IFERROR(__xludf.DUMMYFUNCTION("INDEX( GoogleFinance( ""NSE:""&amp;A125 , ""all"" , TODAY()-4) , 2, 6)"),"#N/A")</f>
        <v>#N/A</v>
      </c>
      <c r="O125" s="69" t="str">
        <f t="shared" ca="1" si="1"/>
        <v/>
      </c>
      <c r="P125" s="69" t="e">
        <f t="shared" ca="1" si="2"/>
        <v>#VALUE!</v>
      </c>
      <c r="Q125" s="69" t="e">
        <f t="shared" ca="1" si="3"/>
        <v>#VALUE!</v>
      </c>
      <c r="R125" s="69" t="e">
        <f t="shared" ca="1" si="26"/>
        <v>#VALUE!</v>
      </c>
      <c r="S125" s="69" t="e">
        <f t="shared" ca="1" si="5"/>
        <v>#VALUE!</v>
      </c>
      <c r="T125" s="69" t="e">
        <f t="shared" ca="1" si="6"/>
        <v>#VALUE!</v>
      </c>
      <c r="U125" s="69" t="e">
        <f t="shared" ca="1" si="24"/>
        <v>#VALUE!</v>
      </c>
      <c r="V125" s="69" t="e">
        <f t="shared" ca="1" si="25"/>
        <v>#VALUE!</v>
      </c>
      <c r="W125" s="70" t="str">
        <f t="shared" ca="1" si="9"/>
        <v/>
      </c>
      <c r="X125" s="70" t="e">
        <f t="shared" ca="1" si="10"/>
        <v>#VALUE!</v>
      </c>
      <c r="Y125" s="70" t="e">
        <f t="shared" ca="1" si="11"/>
        <v>#VALUE!</v>
      </c>
      <c r="Z125" s="71" t="e">
        <f t="shared" ca="1" si="12"/>
        <v>#VALUE!</v>
      </c>
      <c r="AA125" s="72" t="e">
        <f t="shared" ca="1" si="13"/>
        <v>#VALUE!</v>
      </c>
      <c r="AB125" s="72" t="e">
        <f t="shared" ca="1" si="14"/>
        <v>#VALUE!</v>
      </c>
      <c r="AC125" s="72" t="e">
        <f t="shared" ca="1" si="15"/>
        <v>#VALUE!</v>
      </c>
      <c r="AD125" s="73" t="e">
        <f t="shared" ca="1" si="16"/>
        <v>#VALUE!</v>
      </c>
      <c r="AE125" s="19" t="e">
        <f t="shared" ca="1" si="17"/>
        <v>#VALUE!</v>
      </c>
      <c r="AF125" s="74" t="str">
        <f t="shared" ca="1" si="18"/>
        <v>Below D1 Low</v>
      </c>
      <c r="AG125" s="17" t="str">
        <f t="shared" ca="1" si="19"/>
        <v>Sell</v>
      </c>
      <c r="AH125" s="17" t="str">
        <f t="shared" ca="1" si="20"/>
        <v>SELL</v>
      </c>
      <c r="AI125" s="75">
        <f ca="1">IFERROR(__xludf.DUMMYFUNCTION("AVERAGE.WEIGHTED((G125+H125+B125)/3, I125)"),469.8)</f>
        <v>469.8</v>
      </c>
      <c r="AJ125" s="75" t="str">
        <f ca="1">IFERROR(__xludf.DUMMYFUNCTION("AVERAGE.WEIGHTED((K125+L125+J125)/3, N125)"),"#N/A")</f>
        <v>#N/A</v>
      </c>
      <c r="AK125" s="75" t="str">
        <f t="shared" ca="1" si="21"/>
        <v>SELL</v>
      </c>
      <c r="AL125" s="31"/>
      <c r="AM125" s="31"/>
      <c r="AN125" s="31"/>
      <c r="AO125" s="31"/>
      <c r="AP125" s="31"/>
      <c r="AQ125" s="31"/>
      <c r="AR125" s="31"/>
    </row>
    <row r="126" spans="1:44" ht="15.75" customHeight="1">
      <c r="A126" s="61" t="s">
        <v>191</v>
      </c>
      <c r="B126" s="62">
        <f ca="1">IFERROR(__xludf.DUMMYFUNCTION("googlefinance(""nse:""&amp;A126,""price"")"),384.95)</f>
        <v>384.95</v>
      </c>
      <c r="C126" s="63">
        <f t="shared" ca="1" si="0"/>
        <v>0</v>
      </c>
      <c r="D126" s="63">
        <f ca="1">IFERROR(__xludf.DUMMYFUNCTION("googlefinance(""nse:""&amp;A126,""changepct"")"),-2.12)</f>
        <v>-2.12</v>
      </c>
      <c r="E126" s="63">
        <f ca="1">IFERROR(__xludf.DUMMYFUNCTION("googlefinance(""nse:""&amp;A126,""change"")"),-8.35)</f>
        <v>-8.35</v>
      </c>
      <c r="F126" s="63">
        <f ca="1">IFERROR(__xludf.DUMMYFUNCTION("googlefinance(""nse:""&amp;A126,""priceopen"")"),399)</f>
        <v>399</v>
      </c>
      <c r="G126" s="63">
        <f ca="1">IFERROR(__xludf.DUMMYFUNCTION("googlefinance(""nse:""&amp;A126,""HIGH"")"),401.85)</f>
        <v>401.85</v>
      </c>
      <c r="H126" s="63">
        <f ca="1">IFERROR(__xludf.DUMMYFUNCTION("googlefinance(""nse:""&amp;A126,""LOW"")"),382)</f>
        <v>382</v>
      </c>
      <c r="I126" s="63">
        <f ca="1">IFERROR(__xludf.DUMMYFUNCTION("googlefinance(""nse:""&amp;A126,""VOLUME"")"),2417645)</f>
        <v>2417645</v>
      </c>
      <c r="J126" s="63">
        <f ca="1">IFERROR(__xludf.DUMMYFUNCTION("googlefinance(""nse:""&amp;A126,""closeyest"")"),393.3)</f>
        <v>393.3</v>
      </c>
      <c r="K126" s="65" t="str">
        <f ca="1">IFERROR(__xludf.DUMMYFUNCTION("INDEX( GoogleFinance( ""NSE:""&amp;A126 , ""all"" , TODAY()-4) , 2, 3)"),"#N/A")</f>
        <v>#N/A</v>
      </c>
      <c r="L126" s="66" t="str">
        <f ca="1">IFERROR(__xludf.DUMMYFUNCTION("INDEX( GoogleFinance(""NSE:""&amp;A126 , ""all"" , TODAY()-4 ) , 2, 4)"),"#N/A")</f>
        <v>#N/A</v>
      </c>
      <c r="M126" s="67" t="str">
        <f ca="1">IFERROR(__xludf.DUMMYFUNCTION("INDEX( GoogleFinance( ""NSE:""&amp;A126 , ""all"" , TODAY()-4) , 2, 2)"),"#N/A")</f>
        <v>#N/A</v>
      </c>
      <c r="N126" s="68" t="str">
        <f ca="1">IFERROR(__xludf.DUMMYFUNCTION("INDEX( GoogleFinance( ""NSE:""&amp;A126 , ""all"" , TODAY()-4) , 2, 6)"),"#N/A")</f>
        <v>#N/A</v>
      </c>
      <c r="O126" s="69" t="str">
        <f t="shared" ca="1" si="1"/>
        <v/>
      </c>
      <c r="P126" s="69" t="e">
        <f t="shared" ca="1" si="2"/>
        <v>#VALUE!</v>
      </c>
      <c r="Q126" s="69" t="e">
        <f t="shared" ca="1" si="3"/>
        <v>#VALUE!</v>
      </c>
      <c r="R126" s="69" t="e">
        <f t="shared" ca="1" si="26"/>
        <v>#VALUE!</v>
      </c>
      <c r="S126" s="69" t="e">
        <f t="shared" ca="1" si="5"/>
        <v>#VALUE!</v>
      </c>
      <c r="T126" s="69" t="e">
        <f t="shared" ca="1" si="6"/>
        <v>#VALUE!</v>
      </c>
      <c r="U126" s="69" t="e">
        <f t="shared" ca="1" si="24"/>
        <v>#VALUE!</v>
      </c>
      <c r="V126" s="69" t="e">
        <f t="shared" ca="1" si="25"/>
        <v>#VALUE!</v>
      </c>
      <c r="W126" s="70" t="str">
        <f t="shared" ca="1" si="9"/>
        <v/>
      </c>
      <c r="X126" s="70" t="e">
        <f t="shared" ca="1" si="10"/>
        <v>#VALUE!</v>
      </c>
      <c r="Y126" s="70" t="e">
        <f t="shared" ca="1" si="11"/>
        <v>#VALUE!</v>
      </c>
      <c r="Z126" s="71" t="e">
        <f t="shared" ca="1" si="12"/>
        <v>#VALUE!</v>
      </c>
      <c r="AA126" s="72" t="e">
        <f t="shared" ca="1" si="13"/>
        <v>#VALUE!</v>
      </c>
      <c r="AB126" s="72" t="e">
        <f t="shared" ca="1" si="14"/>
        <v>#VALUE!</v>
      </c>
      <c r="AC126" s="72" t="e">
        <f t="shared" ca="1" si="15"/>
        <v>#VALUE!</v>
      </c>
      <c r="AD126" s="73" t="e">
        <f t="shared" ca="1" si="16"/>
        <v>#VALUE!</v>
      </c>
      <c r="AE126" s="19" t="e">
        <f t="shared" ca="1" si="17"/>
        <v>#VALUE!</v>
      </c>
      <c r="AF126" s="74" t="str">
        <f t="shared" ca="1" si="18"/>
        <v>Below D1 Low</v>
      </c>
      <c r="AG126" s="17" t="str">
        <f t="shared" ca="1" si="19"/>
        <v>Sell</v>
      </c>
      <c r="AH126" s="17" t="str">
        <f t="shared" ca="1" si="20"/>
        <v>SELL</v>
      </c>
      <c r="AI126" s="75">
        <f ca="1">IFERROR(__xludf.DUMMYFUNCTION("AVERAGE.WEIGHTED((G126+H126+B126)/3, I126)"),389.599999999999)</f>
        <v>389.599999999999</v>
      </c>
      <c r="AJ126" s="75" t="str">
        <f ca="1">IFERROR(__xludf.DUMMYFUNCTION("AVERAGE.WEIGHTED((K126+L126+J126)/3, N126)"),"#N/A")</f>
        <v>#N/A</v>
      </c>
      <c r="AK126" s="75" t="str">
        <f t="shared" ca="1" si="21"/>
        <v>SELL</v>
      </c>
      <c r="AL126" s="31"/>
      <c r="AM126" s="31"/>
      <c r="AN126" s="31"/>
      <c r="AO126" s="31"/>
      <c r="AP126" s="31"/>
      <c r="AQ126" s="31"/>
      <c r="AR126" s="31"/>
    </row>
    <row r="127" spans="1:44" ht="15.75" customHeight="1">
      <c r="A127" s="61" t="s">
        <v>192</v>
      </c>
      <c r="B127" s="62">
        <f ca="1">IFERROR(__xludf.DUMMYFUNCTION("googlefinance(""nse:""&amp;A127,""price"")"),282.75)</f>
        <v>282.75</v>
      </c>
      <c r="C127" s="63" t="str">
        <f t="shared" ca="1" si="0"/>
        <v>SELL</v>
      </c>
      <c r="D127" s="63">
        <f ca="1">IFERROR(__xludf.DUMMYFUNCTION("googlefinance(""nse:""&amp;A127,""changepct"")"),-0.81)</f>
        <v>-0.81</v>
      </c>
      <c r="E127" s="63">
        <f ca="1">IFERROR(__xludf.DUMMYFUNCTION("googlefinance(""nse:""&amp;A127,""change"")"),-2.3)</f>
        <v>-2.2999999999999998</v>
      </c>
      <c r="F127" s="63">
        <f ca="1">IFERROR(__xludf.DUMMYFUNCTION("googlefinance(""nse:""&amp;A127,""priceopen"")"),290)</f>
        <v>290</v>
      </c>
      <c r="G127" s="63">
        <f ca="1">IFERROR(__xludf.DUMMYFUNCTION("googlefinance(""nse:""&amp;A127,""HIGH"")"),290)</f>
        <v>290</v>
      </c>
      <c r="H127" s="63">
        <f ca="1">IFERROR(__xludf.DUMMYFUNCTION("googlefinance(""nse:""&amp;A127,""LOW"")"),281)</f>
        <v>281</v>
      </c>
      <c r="I127" s="63">
        <f ca="1">IFERROR(__xludf.DUMMYFUNCTION("googlefinance(""nse:""&amp;A127,""VOLUME"")"),1981296)</f>
        <v>1981296</v>
      </c>
      <c r="J127" s="63">
        <f ca="1">IFERROR(__xludf.DUMMYFUNCTION("googlefinance(""nse:""&amp;A127,""closeyest"")"),285.05)</f>
        <v>285.05</v>
      </c>
      <c r="K127" s="65" t="str">
        <f ca="1">IFERROR(__xludf.DUMMYFUNCTION("INDEX( GoogleFinance( ""NSE:""&amp;A127 , ""all"" , TODAY()-4) , 2, 3)"),"#N/A")</f>
        <v>#N/A</v>
      </c>
      <c r="L127" s="66" t="str">
        <f ca="1">IFERROR(__xludf.DUMMYFUNCTION("INDEX( GoogleFinance(""NSE:""&amp;A127 , ""all"" , TODAY()-4 ) , 2, 4)"),"#N/A")</f>
        <v>#N/A</v>
      </c>
      <c r="M127" s="67" t="str">
        <f ca="1">IFERROR(__xludf.DUMMYFUNCTION("INDEX( GoogleFinance( ""NSE:""&amp;A127 , ""all"" , TODAY()-4) , 2, 2)"),"#N/A")</f>
        <v>#N/A</v>
      </c>
      <c r="N127" s="68" t="str">
        <f ca="1">IFERROR(__xludf.DUMMYFUNCTION("INDEX( GoogleFinance( ""NSE:""&amp;A127 , ""all"" , TODAY()-4) , 2, 6)"),"#N/A")</f>
        <v>#N/A</v>
      </c>
      <c r="O127" s="69" t="str">
        <f t="shared" ca="1" si="1"/>
        <v/>
      </c>
      <c r="P127" s="69" t="e">
        <f t="shared" ca="1" si="2"/>
        <v>#VALUE!</v>
      </c>
      <c r="Q127" s="69" t="e">
        <f t="shared" ca="1" si="3"/>
        <v>#VALUE!</v>
      </c>
      <c r="R127" s="69" t="e">
        <f t="shared" ca="1" si="26"/>
        <v>#VALUE!</v>
      </c>
      <c r="S127" s="69" t="e">
        <f t="shared" ca="1" si="5"/>
        <v>#VALUE!</v>
      </c>
      <c r="T127" s="69" t="e">
        <f t="shared" ca="1" si="6"/>
        <v>#VALUE!</v>
      </c>
      <c r="U127" s="69" t="e">
        <f t="shared" ca="1" si="24"/>
        <v>#VALUE!</v>
      </c>
      <c r="V127" s="69" t="e">
        <f t="shared" ca="1" si="25"/>
        <v>#VALUE!</v>
      </c>
      <c r="W127" s="70" t="str">
        <f t="shared" ca="1" si="9"/>
        <v/>
      </c>
      <c r="X127" s="70" t="e">
        <f t="shared" ca="1" si="10"/>
        <v>#VALUE!</v>
      </c>
      <c r="Y127" s="70" t="e">
        <f t="shared" ca="1" si="11"/>
        <v>#VALUE!</v>
      </c>
      <c r="Z127" s="71" t="e">
        <f t="shared" ca="1" si="12"/>
        <v>#VALUE!</v>
      </c>
      <c r="AA127" s="72" t="e">
        <f t="shared" ca="1" si="13"/>
        <v>#VALUE!</v>
      </c>
      <c r="AB127" s="72" t="e">
        <f t="shared" ca="1" si="14"/>
        <v>#VALUE!</v>
      </c>
      <c r="AC127" s="72" t="e">
        <f t="shared" ca="1" si="15"/>
        <v>#VALUE!</v>
      </c>
      <c r="AD127" s="73" t="e">
        <f t="shared" ca="1" si="16"/>
        <v>#VALUE!</v>
      </c>
      <c r="AE127" s="19" t="e">
        <f t="shared" ca="1" si="17"/>
        <v>#VALUE!</v>
      </c>
      <c r="AF127" s="74" t="str">
        <f t="shared" ca="1" si="18"/>
        <v>Below D1 Low</v>
      </c>
      <c r="AG127" s="17" t="str">
        <f t="shared" ca="1" si="19"/>
        <v>Sell</v>
      </c>
      <c r="AH127" s="17" t="str">
        <f t="shared" ca="1" si="20"/>
        <v>SELL</v>
      </c>
      <c r="AI127" s="75">
        <f ca="1">IFERROR(__xludf.DUMMYFUNCTION("AVERAGE.WEIGHTED((G127+H127+B127)/3, I127)"),284.583333333333)</f>
        <v>284.58333333333297</v>
      </c>
      <c r="AJ127" s="75" t="str">
        <f ca="1">IFERROR(__xludf.DUMMYFUNCTION("AVERAGE.WEIGHTED((K127+L127+J127)/3, N127)"),"#N/A")</f>
        <v>#N/A</v>
      </c>
      <c r="AK127" s="75" t="str">
        <f t="shared" ca="1" si="21"/>
        <v>SELL</v>
      </c>
      <c r="AL127" s="31"/>
      <c r="AM127" s="31"/>
      <c r="AN127" s="31"/>
      <c r="AO127" s="31"/>
      <c r="AP127" s="31"/>
      <c r="AQ127" s="31"/>
      <c r="AR127" s="31"/>
    </row>
    <row r="128" spans="1:44" ht="15.75" customHeight="1">
      <c r="A128" s="61" t="s">
        <v>193</v>
      </c>
      <c r="B128" s="62">
        <f ca="1">IFERROR(__xludf.DUMMYFUNCTION("googlefinance(""nse:""&amp;A128,""price"")"),350.75)</f>
        <v>350.75</v>
      </c>
      <c r="C128" s="63">
        <f t="shared" ca="1" si="0"/>
        <v>0</v>
      </c>
      <c r="D128" s="63">
        <f ca="1">IFERROR(__xludf.DUMMYFUNCTION("googlefinance(""nse:""&amp;A128,""changepct"")"),-0.92)</f>
        <v>-0.92</v>
      </c>
      <c r="E128" s="63">
        <f ca="1">IFERROR(__xludf.DUMMYFUNCTION("googlefinance(""nse:""&amp;A128,""change"")"),-3.25)</f>
        <v>-3.25</v>
      </c>
      <c r="F128" s="63">
        <f ca="1">IFERROR(__xludf.DUMMYFUNCTION("googlefinance(""nse:""&amp;A128,""priceopen"")"),359.95)</f>
        <v>359.95</v>
      </c>
      <c r="G128" s="63">
        <f ca="1">IFERROR(__xludf.DUMMYFUNCTION("googlefinance(""nse:""&amp;A128,""HIGH"")"),361.4)</f>
        <v>361.4</v>
      </c>
      <c r="H128" s="63">
        <f ca="1">IFERROR(__xludf.DUMMYFUNCTION("googlefinance(""nse:""&amp;A128,""LOW"")"),349.85)</f>
        <v>349.85</v>
      </c>
      <c r="I128" s="63">
        <f ca="1">IFERROR(__xludf.DUMMYFUNCTION("googlefinance(""nse:""&amp;A128,""VOLUME"")"),4760235)</f>
        <v>4760235</v>
      </c>
      <c r="J128" s="63">
        <f ca="1">IFERROR(__xludf.DUMMYFUNCTION("googlefinance(""nse:""&amp;A128,""closeyest"")"),354)</f>
        <v>354</v>
      </c>
      <c r="K128" s="65" t="str">
        <f ca="1">IFERROR(__xludf.DUMMYFUNCTION("INDEX( GoogleFinance( ""NSE:""&amp;A128 , ""all"" , TODAY()-4) , 2, 3)"),"#N/A")</f>
        <v>#N/A</v>
      </c>
      <c r="L128" s="66" t="str">
        <f ca="1">IFERROR(__xludf.DUMMYFUNCTION("INDEX( GoogleFinance(""NSE:""&amp;A128 , ""all"" , TODAY()-4 ) , 2, 4)"),"#N/A")</f>
        <v>#N/A</v>
      </c>
      <c r="M128" s="67" t="str">
        <f ca="1">IFERROR(__xludf.DUMMYFUNCTION("INDEX( GoogleFinance( ""NSE:""&amp;A128 , ""all"" , TODAY()-4) , 2, 2)"),"#N/A")</f>
        <v>#N/A</v>
      </c>
      <c r="N128" s="68" t="str">
        <f ca="1">IFERROR(__xludf.DUMMYFUNCTION("INDEX( GoogleFinance( ""NSE:""&amp;A128 , ""all"" , TODAY()-4) , 2, 6)"),"#N/A")</f>
        <v>#N/A</v>
      </c>
      <c r="O128" s="69" t="str">
        <f t="shared" ca="1" si="1"/>
        <v/>
      </c>
      <c r="P128" s="69" t="e">
        <f t="shared" ca="1" si="2"/>
        <v>#VALUE!</v>
      </c>
      <c r="Q128" s="69" t="e">
        <f t="shared" ca="1" si="3"/>
        <v>#VALUE!</v>
      </c>
      <c r="R128" s="69" t="e">
        <f t="shared" ca="1" si="26"/>
        <v>#VALUE!</v>
      </c>
      <c r="S128" s="69" t="e">
        <f t="shared" ca="1" si="5"/>
        <v>#VALUE!</v>
      </c>
      <c r="T128" s="69" t="e">
        <f t="shared" ca="1" si="6"/>
        <v>#VALUE!</v>
      </c>
      <c r="U128" s="69" t="e">
        <f t="shared" ca="1" si="24"/>
        <v>#VALUE!</v>
      </c>
      <c r="V128" s="69" t="e">
        <f t="shared" ca="1" si="25"/>
        <v>#VALUE!</v>
      </c>
      <c r="W128" s="70" t="str">
        <f t="shared" ca="1" si="9"/>
        <v/>
      </c>
      <c r="X128" s="70" t="e">
        <f t="shared" ca="1" si="10"/>
        <v>#VALUE!</v>
      </c>
      <c r="Y128" s="70" t="e">
        <f t="shared" ca="1" si="11"/>
        <v>#VALUE!</v>
      </c>
      <c r="Z128" s="71" t="e">
        <f t="shared" ca="1" si="12"/>
        <v>#VALUE!</v>
      </c>
      <c r="AA128" s="72" t="e">
        <f t="shared" ca="1" si="13"/>
        <v>#VALUE!</v>
      </c>
      <c r="AB128" s="72" t="e">
        <f t="shared" ca="1" si="14"/>
        <v>#VALUE!</v>
      </c>
      <c r="AC128" s="72" t="e">
        <f t="shared" ca="1" si="15"/>
        <v>#VALUE!</v>
      </c>
      <c r="AD128" s="73" t="e">
        <f t="shared" ca="1" si="16"/>
        <v>#VALUE!</v>
      </c>
      <c r="AE128" s="19" t="e">
        <f t="shared" ca="1" si="17"/>
        <v>#VALUE!</v>
      </c>
      <c r="AF128" s="74" t="str">
        <f t="shared" ca="1" si="18"/>
        <v>Below D1 Low</v>
      </c>
      <c r="AG128" s="17" t="str">
        <f t="shared" ca="1" si="19"/>
        <v>Sell</v>
      </c>
      <c r="AH128" s="17" t="str">
        <f t="shared" ca="1" si="20"/>
        <v>SELL</v>
      </c>
      <c r="AI128" s="75">
        <f ca="1">IFERROR(__xludf.DUMMYFUNCTION("AVERAGE.WEIGHTED((G128+H128+B128)/3, I128)"),354)</f>
        <v>354</v>
      </c>
      <c r="AJ128" s="75" t="str">
        <f ca="1">IFERROR(__xludf.DUMMYFUNCTION("AVERAGE.WEIGHTED((K128+L128+J128)/3, N128)"),"#N/A")</f>
        <v>#N/A</v>
      </c>
      <c r="AK128" s="75" t="str">
        <f t="shared" ca="1" si="21"/>
        <v>SELL</v>
      </c>
      <c r="AL128" s="31"/>
      <c r="AM128" s="31"/>
      <c r="AN128" s="31"/>
      <c r="AO128" s="31"/>
      <c r="AP128" s="31"/>
      <c r="AQ128" s="31"/>
      <c r="AR128" s="31"/>
    </row>
    <row r="129" spans="1:44" ht="15.75" customHeight="1">
      <c r="A129" s="61" t="s">
        <v>194</v>
      </c>
      <c r="B129" s="62">
        <f ca="1">IFERROR(__xludf.DUMMYFUNCTION("googlefinance(""nse:""&amp;A129,""price"")"),93.75)</f>
        <v>93.75</v>
      </c>
      <c r="C129" s="63" t="str">
        <f t="shared" ca="1" si="0"/>
        <v>BUY</v>
      </c>
      <c r="D129" s="63">
        <f ca="1">IFERROR(__xludf.DUMMYFUNCTION("googlefinance(""nse:""&amp;A129,""changepct"")"),19.96)</f>
        <v>19.96</v>
      </c>
      <c r="E129" s="63">
        <f ca="1">IFERROR(__xludf.DUMMYFUNCTION("googlefinance(""nse:""&amp;A129,""change"")"),15.6)</f>
        <v>15.6</v>
      </c>
      <c r="F129" s="63">
        <f ca="1">IFERROR(__xludf.DUMMYFUNCTION("googlefinance(""nse:""&amp;A129,""priceopen"")"),85.95)</f>
        <v>85.95</v>
      </c>
      <c r="G129" s="63">
        <f ca="1">IFERROR(__xludf.DUMMYFUNCTION("googlefinance(""nse:""&amp;A129,""HIGH"")"),93.75)</f>
        <v>93.75</v>
      </c>
      <c r="H129" s="63">
        <f ca="1">IFERROR(__xludf.DUMMYFUNCTION("googlefinance(""nse:""&amp;A129,""LOW"")"),85.95)</f>
        <v>85.95</v>
      </c>
      <c r="I129" s="63">
        <f ca="1">IFERROR(__xludf.DUMMYFUNCTION("googlefinance(""nse:""&amp;A129,""VOLUME"")"),170645234)</f>
        <v>170645234</v>
      </c>
      <c r="J129" s="63">
        <f ca="1">IFERROR(__xludf.DUMMYFUNCTION("googlefinance(""nse:""&amp;A129,""closeyest"")"),78.15)</f>
        <v>78.150000000000006</v>
      </c>
      <c r="K129" s="65" t="str">
        <f ca="1">IFERROR(__xludf.DUMMYFUNCTION("INDEX( GoogleFinance( ""NSE:""&amp;A129 , ""all"" , TODAY()-4) , 2, 3)"),"#N/A")</f>
        <v>#N/A</v>
      </c>
      <c r="L129" s="66" t="str">
        <f ca="1">IFERROR(__xludf.DUMMYFUNCTION("INDEX( GoogleFinance(""NSE:""&amp;A129 , ""all"" , TODAY()-4 ) , 2, 4)"),"#N/A")</f>
        <v>#N/A</v>
      </c>
      <c r="M129" s="67" t="str">
        <f ca="1">IFERROR(__xludf.DUMMYFUNCTION("INDEX( GoogleFinance( ""NSE:""&amp;A129 , ""all"" , TODAY()-4) , 2, 2)"),"#N/A")</f>
        <v>#N/A</v>
      </c>
      <c r="N129" s="68" t="str">
        <f ca="1">IFERROR(__xludf.DUMMYFUNCTION("INDEX( GoogleFinance( ""NSE:""&amp;A129 , ""all"" , TODAY()-4) , 2, 6)"),"#N/A")</f>
        <v>#N/A</v>
      </c>
      <c r="O129" s="69" t="str">
        <f t="shared" ca="1" si="1"/>
        <v/>
      </c>
      <c r="P129" s="69" t="e">
        <f t="shared" ca="1" si="2"/>
        <v>#VALUE!</v>
      </c>
      <c r="Q129" s="69" t="e">
        <f t="shared" ca="1" si="3"/>
        <v>#VALUE!</v>
      </c>
      <c r="R129" s="69" t="e">
        <f t="shared" ca="1" si="26"/>
        <v>#VALUE!</v>
      </c>
      <c r="S129" s="69" t="e">
        <f t="shared" ca="1" si="5"/>
        <v>#VALUE!</v>
      </c>
      <c r="T129" s="69" t="e">
        <f t="shared" ca="1" si="6"/>
        <v>#VALUE!</v>
      </c>
      <c r="U129" s="69" t="e">
        <f t="shared" ca="1" si="24"/>
        <v>#VALUE!</v>
      </c>
      <c r="V129" s="69" t="e">
        <f t="shared" ca="1" si="25"/>
        <v>#VALUE!</v>
      </c>
      <c r="W129" s="70" t="str">
        <f t="shared" ca="1" si="9"/>
        <v/>
      </c>
      <c r="X129" s="70" t="e">
        <f t="shared" ca="1" si="10"/>
        <v>#VALUE!</v>
      </c>
      <c r="Y129" s="70" t="e">
        <f t="shared" ca="1" si="11"/>
        <v>#VALUE!</v>
      </c>
      <c r="Z129" s="71" t="e">
        <f t="shared" ca="1" si="12"/>
        <v>#VALUE!</v>
      </c>
      <c r="AA129" s="72" t="e">
        <f t="shared" ca="1" si="13"/>
        <v>#VALUE!</v>
      </c>
      <c r="AB129" s="72" t="e">
        <f t="shared" ca="1" si="14"/>
        <v>#VALUE!</v>
      </c>
      <c r="AC129" s="72" t="e">
        <f t="shared" ca="1" si="15"/>
        <v>#VALUE!</v>
      </c>
      <c r="AD129" s="73" t="e">
        <f t="shared" ca="1" si="16"/>
        <v>#VALUE!</v>
      </c>
      <c r="AE129" s="19" t="e">
        <f t="shared" ca="1" si="17"/>
        <v>#VALUE!</v>
      </c>
      <c r="AF129" s="74" t="str">
        <f t="shared" ca="1" si="18"/>
        <v>Below D1 Low</v>
      </c>
      <c r="AG129" s="17" t="str">
        <f t="shared" ca="1" si="19"/>
        <v>Sell</v>
      </c>
      <c r="AH129" s="17" t="str">
        <f t="shared" ca="1" si="20"/>
        <v>SELL</v>
      </c>
      <c r="AI129" s="75">
        <f ca="1">IFERROR(__xludf.DUMMYFUNCTION("AVERAGE.WEIGHTED((G129+H129+B129)/3, I129)"),91.1499999999999)</f>
        <v>91.149999999999906</v>
      </c>
      <c r="AJ129" s="75" t="str">
        <f ca="1">IFERROR(__xludf.DUMMYFUNCTION("AVERAGE.WEIGHTED((K129+L129+J129)/3, N129)"),"#N/A")</f>
        <v>#N/A</v>
      </c>
      <c r="AK129" s="75" t="str">
        <f t="shared" ca="1" si="21"/>
        <v>SELL</v>
      </c>
      <c r="AL129" s="31"/>
      <c r="AM129" s="31"/>
      <c r="AN129" s="31"/>
      <c r="AO129" s="31"/>
      <c r="AP129" s="31"/>
      <c r="AQ129" s="31"/>
      <c r="AR129" s="31"/>
    </row>
    <row r="130" spans="1:44" ht="15.75" customHeight="1">
      <c r="A130" s="61" t="s">
        <v>195</v>
      </c>
      <c r="B130" s="62">
        <f ca="1">IFERROR(__xludf.DUMMYFUNCTION("googlefinance(""nse:""&amp;A130,""price"")"),32.1)</f>
        <v>32.1</v>
      </c>
      <c r="C130" s="63">
        <f t="shared" ca="1" si="0"/>
        <v>0</v>
      </c>
      <c r="D130" s="63">
        <f ca="1">IFERROR(__xludf.DUMMYFUNCTION("googlefinance(""nse:""&amp;A130,""changepct"")"),3.22)</f>
        <v>3.22</v>
      </c>
      <c r="E130" s="63">
        <f ca="1">IFERROR(__xludf.DUMMYFUNCTION("googlefinance(""nse:""&amp;A130,""change"")"),1)</f>
        <v>1</v>
      </c>
      <c r="F130" s="63">
        <f ca="1">IFERROR(__xludf.DUMMYFUNCTION("googlefinance(""nse:""&amp;A130,""priceopen"")"),31.4)</f>
        <v>31.4</v>
      </c>
      <c r="G130" s="63">
        <f ca="1">IFERROR(__xludf.DUMMYFUNCTION("googlefinance(""nse:""&amp;A130,""HIGH"")"),32.15)</f>
        <v>32.15</v>
      </c>
      <c r="H130" s="63">
        <f ca="1">IFERROR(__xludf.DUMMYFUNCTION("googlefinance(""nse:""&amp;A130,""LOW"")"),31.05)</f>
        <v>31.05</v>
      </c>
      <c r="I130" s="63">
        <f ca="1">IFERROR(__xludf.DUMMYFUNCTION("googlefinance(""nse:""&amp;A130,""VOLUME"")"),32596006)</f>
        <v>32596006</v>
      </c>
      <c r="J130" s="63">
        <f ca="1">IFERROR(__xludf.DUMMYFUNCTION("googlefinance(""nse:""&amp;A130,""closeyest"")"),31.1)</f>
        <v>31.1</v>
      </c>
      <c r="K130" s="65" t="str">
        <f ca="1">IFERROR(__xludf.DUMMYFUNCTION("INDEX( GoogleFinance( ""NSE:""&amp;A130 , ""all"" , TODAY()-4) , 2, 3)"),"#N/A")</f>
        <v>#N/A</v>
      </c>
      <c r="L130" s="66" t="str">
        <f ca="1">IFERROR(__xludf.DUMMYFUNCTION("INDEX( GoogleFinance(""NSE:""&amp;A130 , ""all"" , TODAY()-4 ) , 2, 4)"),"#N/A")</f>
        <v>#N/A</v>
      </c>
      <c r="M130" s="67" t="str">
        <f ca="1">IFERROR(__xludf.DUMMYFUNCTION("INDEX( GoogleFinance( ""NSE:""&amp;A130 , ""all"" , TODAY()-4) , 2, 2)"),"#N/A")</f>
        <v>#N/A</v>
      </c>
      <c r="N130" s="68" t="str">
        <f ca="1">IFERROR(__xludf.DUMMYFUNCTION("INDEX( GoogleFinance( ""NSE:""&amp;A130 , ""all"" , TODAY()-4) , 2, 6)"),"#N/A")</f>
        <v>#N/A</v>
      </c>
      <c r="O130" s="69" t="str">
        <f t="shared" ca="1" si="1"/>
        <v/>
      </c>
      <c r="P130" s="69" t="e">
        <f t="shared" ca="1" si="2"/>
        <v>#VALUE!</v>
      </c>
      <c r="Q130" s="69" t="e">
        <f t="shared" ca="1" si="3"/>
        <v>#VALUE!</v>
      </c>
      <c r="R130" s="69" t="e">
        <f t="shared" ca="1" si="26"/>
        <v>#VALUE!</v>
      </c>
      <c r="S130" s="69" t="e">
        <f t="shared" ca="1" si="5"/>
        <v>#VALUE!</v>
      </c>
      <c r="T130" s="69" t="e">
        <f t="shared" ca="1" si="6"/>
        <v>#VALUE!</v>
      </c>
      <c r="U130" s="69" t="e">
        <f t="shared" ca="1" si="24"/>
        <v>#VALUE!</v>
      </c>
      <c r="V130" s="69" t="e">
        <f t="shared" ca="1" si="25"/>
        <v>#VALUE!</v>
      </c>
      <c r="W130" s="70" t="str">
        <f t="shared" ca="1" si="9"/>
        <v/>
      </c>
      <c r="X130" s="70" t="e">
        <f t="shared" ca="1" si="10"/>
        <v>#VALUE!</v>
      </c>
      <c r="Y130" s="70" t="e">
        <f t="shared" ca="1" si="11"/>
        <v>#VALUE!</v>
      </c>
      <c r="Z130" s="71" t="e">
        <f t="shared" ca="1" si="12"/>
        <v>#VALUE!</v>
      </c>
      <c r="AA130" s="72" t="e">
        <f t="shared" ca="1" si="13"/>
        <v>#VALUE!</v>
      </c>
      <c r="AB130" s="72" t="e">
        <f t="shared" ca="1" si="14"/>
        <v>#VALUE!</v>
      </c>
      <c r="AC130" s="72" t="e">
        <f t="shared" ca="1" si="15"/>
        <v>#VALUE!</v>
      </c>
      <c r="AD130" s="73" t="e">
        <f t="shared" ca="1" si="16"/>
        <v>#VALUE!</v>
      </c>
      <c r="AE130" s="19" t="e">
        <f t="shared" ca="1" si="17"/>
        <v>#VALUE!</v>
      </c>
      <c r="AF130" s="74" t="str">
        <f t="shared" ca="1" si="18"/>
        <v>Below D1 Low</v>
      </c>
      <c r="AG130" s="17" t="str">
        <f t="shared" ca="1" si="19"/>
        <v>Sell</v>
      </c>
      <c r="AH130" s="17" t="str">
        <f t="shared" ca="1" si="20"/>
        <v>SELL</v>
      </c>
      <c r="AI130" s="75">
        <f ca="1">IFERROR(__xludf.DUMMYFUNCTION("AVERAGE.WEIGHTED((G130+H130+B130)/3, I130)"),31.7666666666666)</f>
        <v>31.766666666666602</v>
      </c>
      <c r="AJ130" s="75" t="str">
        <f ca="1">IFERROR(__xludf.DUMMYFUNCTION("AVERAGE.WEIGHTED((K130+L130+J130)/3, N130)"),"#N/A")</f>
        <v>#N/A</v>
      </c>
      <c r="AK130" s="75" t="str">
        <f t="shared" ca="1" si="21"/>
        <v>SELL</v>
      </c>
      <c r="AL130" s="31"/>
      <c r="AM130" s="31"/>
      <c r="AN130" s="31"/>
      <c r="AO130" s="31"/>
      <c r="AP130" s="31"/>
      <c r="AQ130" s="31"/>
      <c r="AR130" s="31"/>
    </row>
    <row r="131" spans="1:44" ht="15.75" customHeight="1">
      <c r="A131" s="61" t="s">
        <v>196</v>
      </c>
      <c r="B131" s="62">
        <f ca="1">IFERROR(__xludf.DUMMYFUNCTION("googlefinance(""nse:""&amp;A131,""price"")"),297.55)</f>
        <v>297.55</v>
      </c>
      <c r="C131" s="63">
        <f t="shared" ca="1" si="0"/>
        <v>0</v>
      </c>
      <c r="D131" s="63">
        <f ca="1">IFERROR(__xludf.DUMMYFUNCTION("googlefinance(""nse:""&amp;A131,""changepct"")"),5.27)</f>
        <v>5.27</v>
      </c>
      <c r="E131" s="63">
        <f ca="1">IFERROR(__xludf.DUMMYFUNCTION("googlefinance(""nse:""&amp;A131,""change"")"),14.9)</f>
        <v>14.9</v>
      </c>
      <c r="F131" s="63">
        <f ca="1">IFERROR(__xludf.DUMMYFUNCTION("googlefinance(""nse:""&amp;A131,""priceopen"")"),289.95)</f>
        <v>289.95</v>
      </c>
      <c r="G131" s="63">
        <f ca="1">IFERROR(__xludf.DUMMYFUNCTION("googlefinance(""nse:""&amp;A131,""HIGH"")"),304.5)</f>
        <v>304.5</v>
      </c>
      <c r="H131" s="63">
        <f ca="1">IFERROR(__xludf.DUMMYFUNCTION("googlefinance(""nse:""&amp;A131,""LOW"")"),288.7)</f>
        <v>288.7</v>
      </c>
      <c r="I131" s="63">
        <f ca="1">IFERROR(__xludf.DUMMYFUNCTION("googlefinance(""nse:""&amp;A131,""VOLUME"")"),23636082)</f>
        <v>23636082</v>
      </c>
      <c r="J131" s="63">
        <f ca="1">IFERROR(__xludf.DUMMYFUNCTION("googlefinance(""nse:""&amp;A131,""closeyest"")"),282.65)</f>
        <v>282.64999999999998</v>
      </c>
      <c r="K131" s="65" t="str">
        <f ca="1">IFERROR(__xludf.DUMMYFUNCTION("INDEX( GoogleFinance( ""NSE:""&amp;A131 , ""all"" , TODAY()-4) , 2, 3)"),"#N/A")</f>
        <v>#N/A</v>
      </c>
      <c r="L131" s="66" t="str">
        <f ca="1">IFERROR(__xludf.DUMMYFUNCTION("INDEX( GoogleFinance(""NSE:""&amp;A131 , ""all"" , TODAY()-4 ) , 2, 4)"),"#N/A")</f>
        <v>#N/A</v>
      </c>
      <c r="M131" s="67" t="str">
        <f ca="1">IFERROR(__xludf.DUMMYFUNCTION("INDEX( GoogleFinance( ""NSE:""&amp;A131 , ""all"" , TODAY()-4) , 2, 2)"),"#N/A")</f>
        <v>#N/A</v>
      </c>
      <c r="N131" s="68" t="str">
        <f ca="1">IFERROR(__xludf.DUMMYFUNCTION("INDEX( GoogleFinance( ""NSE:""&amp;A131 , ""all"" , TODAY()-4) , 2, 6)"),"#N/A")</f>
        <v>#N/A</v>
      </c>
      <c r="O131" s="69" t="str">
        <f t="shared" ca="1" si="1"/>
        <v/>
      </c>
      <c r="P131" s="69" t="e">
        <f t="shared" ca="1" si="2"/>
        <v>#VALUE!</v>
      </c>
      <c r="Q131" s="69" t="e">
        <f t="shared" ca="1" si="3"/>
        <v>#VALUE!</v>
      </c>
      <c r="R131" s="69" t="e">
        <f t="shared" ca="1" si="26"/>
        <v>#VALUE!</v>
      </c>
      <c r="S131" s="69" t="e">
        <f t="shared" ca="1" si="5"/>
        <v>#VALUE!</v>
      </c>
      <c r="T131" s="69" t="e">
        <f t="shared" ca="1" si="6"/>
        <v>#VALUE!</v>
      </c>
      <c r="U131" s="69" t="e">
        <f t="shared" ca="1" si="24"/>
        <v>#VALUE!</v>
      </c>
      <c r="V131" s="69" t="e">
        <f t="shared" ca="1" si="25"/>
        <v>#VALUE!</v>
      </c>
      <c r="W131" s="70" t="str">
        <f t="shared" ca="1" si="9"/>
        <v/>
      </c>
      <c r="X131" s="70" t="e">
        <f t="shared" ca="1" si="10"/>
        <v>#VALUE!</v>
      </c>
      <c r="Y131" s="70" t="e">
        <f t="shared" ca="1" si="11"/>
        <v>#VALUE!</v>
      </c>
      <c r="Z131" s="71" t="e">
        <f t="shared" ca="1" si="12"/>
        <v>#VALUE!</v>
      </c>
      <c r="AA131" s="72" t="e">
        <f t="shared" ca="1" si="13"/>
        <v>#VALUE!</v>
      </c>
      <c r="AB131" s="72" t="e">
        <f t="shared" ca="1" si="14"/>
        <v>#VALUE!</v>
      </c>
      <c r="AC131" s="72" t="e">
        <f t="shared" ca="1" si="15"/>
        <v>#VALUE!</v>
      </c>
      <c r="AD131" s="73" t="e">
        <f t="shared" ca="1" si="16"/>
        <v>#VALUE!</v>
      </c>
      <c r="AE131" s="19" t="e">
        <f t="shared" ca="1" si="17"/>
        <v>#VALUE!</v>
      </c>
      <c r="AF131" s="74" t="str">
        <f t="shared" ca="1" si="18"/>
        <v>Below D1 Low</v>
      </c>
      <c r="AG131" s="17" t="str">
        <f t="shared" ca="1" si="19"/>
        <v>Sell</v>
      </c>
      <c r="AH131" s="17" t="str">
        <f t="shared" ca="1" si="20"/>
        <v>SELL</v>
      </c>
      <c r="AI131" s="75">
        <f ca="1">IFERROR(__xludf.DUMMYFUNCTION("AVERAGE.WEIGHTED((G131+H131+B131)/3, I131)"),296.916666666666)</f>
        <v>296.916666666666</v>
      </c>
      <c r="AJ131" s="75" t="str">
        <f ca="1">IFERROR(__xludf.DUMMYFUNCTION("AVERAGE.WEIGHTED((K131+L131+J131)/3, N131)"),"#N/A")</f>
        <v>#N/A</v>
      </c>
      <c r="AK131" s="75" t="str">
        <f t="shared" ca="1" si="21"/>
        <v>SELL</v>
      </c>
      <c r="AL131" s="31"/>
      <c r="AM131" s="31"/>
      <c r="AN131" s="31"/>
      <c r="AO131" s="31"/>
      <c r="AP131" s="31"/>
      <c r="AQ131" s="31"/>
      <c r="AR131" s="31"/>
    </row>
    <row r="132" spans="1:44" ht="15.75" customHeight="1">
      <c r="A132" s="61" t="s">
        <v>197</v>
      </c>
      <c r="B132" s="62">
        <f ca="1">IFERROR(__xludf.DUMMYFUNCTION("googlefinance(""nse:""&amp;A132,""price"")"),2019.55)</f>
        <v>2019.55</v>
      </c>
      <c r="C132" s="63">
        <f t="shared" ca="1" si="0"/>
        <v>0</v>
      </c>
      <c r="D132" s="63">
        <f ca="1">IFERROR(__xludf.DUMMYFUNCTION("googlefinance(""nse:""&amp;A132,""changepct"")"),5.98)</f>
        <v>5.98</v>
      </c>
      <c r="E132" s="63">
        <f ca="1">IFERROR(__xludf.DUMMYFUNCTION("googlefinance(""nse:""&amp;A132,""change"")"),113.9)</f>
        <v>113.9</v>
      </c>
      <c r="F132" s="63">
        <f ca="1">IFERROR(__xludf.DUMMYFUNCTION("googlefinance(""nse:""&amp;A132,""priceopen"")"),1980)</f>
        <v>1980</v>
      </c>
      <c r="G132" s="63">
        <f ca="1">IFERROR(__xludf.DUMMYFUNCTION("googlefinance(""nse:""&amp;A132,""HIGH"")"),2032)</f>
        <v>2032</v>
      </c>
      <c r="H132" s="63">
        <f ca="1">IFERROR(__xludf.DUMMYFUNCTION("googlefinance(""nse:""&amp;A132,""LOW"")"),1942.2)</f>
        <v>1942.2</v>
      </c>
      <c r="I132" s="63">
        <f ca="1">IFERROR(__xludf.DUMMYFUNCTION("googlefinance(""nse:""&amp;A132,""VOLUME"")"),5915950)</f>
        <v>5915950</v>
      </c>
      <c r="J132" s="63">
        <f ca="1">IFERROR(__xludf.DUMMYFUNCTION("googlefinance(""nse:""&amp;A132,""closeyest"")"),1905.65)</f>
        <v>1905.65</v>
      </c>
      <c r="K132" s="65" t="str">
        <f ca="1">IFERROR(__xludf.DUMMYFUNCTION("INDEX( GoogleFinance( ""NSE:""&amp;A132 , ""all"" , TODAY()-4) , 2, 3)"),"#N/A")</f>
        <v>#N/A</v>
      </c>
      <c r="L132" s="66" t="str">
        <f ca="1">IFERROR(__xludf.DUMMYFUNCTION("INDEX( GoogleFinance(""NSE:""&amp;A132 , ""all"" , TODAY()-4 ) , 2, 4)"),"#N/A")</f>
        <v>#N/A</v>
      </c>
      <c r="M132" s="67" t="str">
        <f ca="1">IFERROR(__xludf.DUMMYFUNCTION("INDEX( GoogleFinance( ""NSE:""&amp;A132 , ""all"" , TODAY()-4) , 2, 2)"),"#N/A")</f>
        <v>#N/A</v>
      </c>
      <c r="N132" s="68" t="str">
        <f ca="1">IFERROR(__xludf.DUMMYFUNCTION("INDEX( GoogleFinance( ""NSE:""&amp;A132 , ""all"" , TODAY()-4) , 2, 6)"),"#N/A")</f>
        <v>#N/A</v>
      </c>
      <c r="O132" s="69" t="str">
        <f t="shared" ca="1" si="1"/>
        <v/>
      </c>
      <c r="P132" s="69" t="e">
        <f t="shared" ca="1" si="2"/>
        <v>#VALUE!</v>
      </c>
      <c r="Q132" s="69" t="e">
        <f t="shared" ca="1" si="3"/>
        <v>#VALUE!</v>
      </c>
      <c r="R132" s="69" t="e">
        <f t="shared" ca="1" si="26"/>
        <v>#VALUE!</v>
      </c>
      <c r="S132" s="69" t="e">
        <f t="shared" ca="1" si="5"/>
        <v>#VALUE!</v>
      </c>
      <c r="T132" s="69" t="e">
        <f t="shared" ca="1" si="6"/>
        <v>#VALUE!</v>
      </c>
      <c r="U132" s="69" t="e">
        <f t="shared" ca="1" si="24"/>
        <v>#VALUE!</v>
      </c>
      <c r="V132" s="69" t="e">
        <f t="shared" ca="1" si="25"/>
        <v>#VALUE!</v>
      </c>
      <c r="W132" s="70" t="str">
        <f t="shared" ca="1" si="9"/>
        <v/>
      </c>
      <c r="X132" s="70" t="e">
        <f t="shared" ca="1" si="10"/>
        <v>#VALUE!</v>
      </c>
      <c r="Y132" s="70" t="e">
        <f t="shared" ca="1" si="11"/>
        <v>#VALUE!</v>
      </c>
      <c r="Z132" s="71" t="e">
        <f t="shared" ca="1" si="12"/>
        <v>#VALUE!</v>
      </c>
      <c r="AA132" s="72" t="e">
        <f t="shared" ca="1" si="13"/>
        <v>#VALUE!</v>
      </c>
      <c r="AB132" s="72" t="e">
        <f t="shared" ca="1" si="14"/>
        <v>#VALUE!</v>
      </c>
      <c r="AC132" s="72" t="e">
        <f t="shared" ca="1" si="15"/>
        <v>#VALUE!</v>
      </c>
      <c r="AD132" s="73" t="e">
        <f t="shared" ca="1" si="16"/>
        <v>#VALUE!</v>
      </c>
      <c r="AE132" s="19" t="e">
        <f t="shared" ca="1" si="17"/>
        <v>#VALUE!</v>
      </c>
      <c r="AF132" s="74" t="str">
        <f t="shared" ca="1" si="18"/>
        <v>Below D1 Low</v>
      </c>
      <c r="AG132" s="17" t="str">
        <f t="shared" ca="1" si="19"/>
        <v>Sell</v>
      </c>
      <c r="AH132" s="17" t="str">
        <f t="shared" ca="1" si="20"/>
        <v>SELL</v>
      </c>
      <c r="AI132" s="75">
        <f ca="1">IFERROR(__xludf.DUMMYFUNCTION("AVERAGE.WEIGHTED((G132+H132+B132)/3, I132)"),1997.91666666666)</f>
        <v>1997.9166666666599</v>
      </c>
      <c r="AJ132" s="75" t="str">
        <f ca="1">IFERROR(__xludf.DUMMYFUNCTION("AVERAGE.WEIGHTED((K132+L132+J132)/3, N132)"),"#N/A")</f>
        <v>#N/A</v>
      </c>
      <c r="AK132" s="75" t="str">
        <f t="shared" ca="1" si="21"/>
        <v>SELL</v>
      </c>
      <c r="AL132" s="31"/>
      <c r="AM132" s="31"/>
      <c r="AN132" s="31"/>
      <c r="AO132" s="31"/>
      <c r="AP132" s="31"/>
      <c r="AQ132" s="31"/>
      <c r="AR132" s="31"/>
    </row>
    <row r="133" spans="1:44" ht="15.75" customHeight="1">
      <c r="A133" s="61" t="s">
        <v>198</v>
      </c>
      <c r="B133" s="62">
        <f ca="1">IFERROR(__xludf.DUMMYFUNCTION("googlefinance(""nse:""&amp;A133,""price"")"),545.95)</f>
        <v>545.95000000000005</v>
      </c>
      <c r="C133" s="63">
        <f t="shared" ca="1" si="0"/>
        <v>0</v>
      </c>
      <c r="D133" s="63">
        <f ca="1">IFERROR(__xludf.DUMMYFUNCTION("googlefinance(""nse:""&amp;A133,""changepct"")"),3.26)</f>
        <v>3.26</v>
      </c>
      <c r="E133" s="63">
        <f ca="1">IFERROR(__xludf.DUMMYFUNCTION("googlefinance(""nse:""&amp;A133,""change"")"),17.25)</f>
        <v>17.25</v>
      </c>
      <c r="F133" s="63">
        <f ca="1">IFERROR(__xludf.DUMMYFUNCTION("googlefinance(""nse:""&amp;A133,""priceopen"")"),541)</f>
        <v>541</v>
      </c>
      <c r="G133" s="63">
        <f ca="1">IFERROR(__xludf.DUMMYFUNCTION("googlefinance(""nse:""&amp;A133,""HIGH"")"),552.9)</f>
        <v>552.9</v>
      </c>
      <c r="H133" s="63">
        <f ca="1">IFERROR(__xludf.DUMMYFUNCTION("googlefinance(""nse:""&amp;A133,""LOW"")"),532.35)</f>
        <v>532.35</v>
      </c>
      <c r="I133" s="63">
        <f ca="1">IFERROR(__xludf.DUMMYFUNCTION("googlefinance(""nse:""&amp;A133,""VOLUME"")"),8932244)</f>
        <v>8932244</v>
      </c>
      <c r="J133" s="63">
        <f ca="1">IFERROR(__xludf.DUMMYFUNCTION("googlefinance(""nse:""&amp;A133,""closeyest"")"),528.7)</f>
        <v>528.70000000000005</v>
      </c>
      <c r="K133" s="65" t="str">
        <f ca="1">IFERROR(__xludf.DUMMYFUNCTION("INDEX( GoogleFinance( ""NSE:""&amp;A133 , ""all"" , TODAY()-4) , 2, 3)"),"#N/A")</f>
        <v>#N/A</v>
      </c>
      <c r="L133" s="66" t="str">
        <f ca="1">IFERROR(__xludf.DUMMYFUNCTION("INDEX( GoogleFinance(""NSE:""&amp;A133 , ""all"" , TODAY()-4 ) , 2, 4)"),"#N/A")</f>
        <v>#N/A</v>
      </c>
      <c r="M133" s="67" t="str">
        <f ca="1">IFERROR(__xludf.DUMMYFUNCTION("INDEX( GoogleFinance( ""NSE:""&amp;A133 , ""all"" , TODAY()-4) , 2, 2)"),"#N/A")</f>
        <v>#N/A</v>
      </c>
      <c r="N133" s="68" t="str">
        <f ca="1">IFERROR(__xludf.DUMMYFUNCTION("INDEX( GoogleFinance( ""NSE:""&amp;A133 , ""all"" , TODAY()-4) , 2, 6)"),"#N/A")</f>
        <v>#N/A</v>
      </c>
      <c r="O133" s="69" t="str">
        <f t="shared" ca="1" si="1"/>
        <v/>
      </c>
      <c r="P133" s="69" t="e">
        <f t="shared" ca="1" si="2"/>
        <v>#VALUE!</v>
      </c>
      <c r="Q133" s="69" t="e">
        <f t="shared" ca="1" si="3"/>
        <v>#VALUE!</v>
      </c>
      <c r="R133" s="69" t="e">
        <f t="shared" ca="1" si="26"/>
        <v>#VALUE!</v>
      </c>
      <c r="S133" s="69" t="e">
        <f t="shared" ca="1" si="5"/>
        <v>#VALUE!</v>
      </c>
      <c r="T133" s="69" t="e">
        <f t="shared" ca="1" si="6"/>
        <v>#VALUE!</v>
      </c>
      <c r="U133" s="69" t="e">
        <f t="shared" ca="1" si="24"/>
        <v>#VALUE!</v>
      </c>
      <c r="V133" s="69" t="e">
        <f t="shared" ca="1" si="25"/>
        <v>#VALUE!</v>
      </c>
      <c r="W133" s="70" t="str">
        <f t="shared" ca="1" si="9"/>
        <v/>
      </c>
      <c r="X133" s="70" t="e">
        <f t="shared" ca="1" si="10"/>
        <v>#VALUE!</v>
      </c>
      <c r="Y133" s="70" t="e">
        <f t="shared" ca="1" si="11"/>
        <v>#VALUE!</v>
      </c>
      <c r="Z133" s="71" t="e">
        <f t="shared" ca="1" si="12"/>
        <v>#VALUE!</v>
      </c>
      <c r="AA133" s="72" t="e">
        <f t="shared" ca="1" si="13"/>
        <v>#VALUE!</v>
      </c>
      <c r="AB133" s="72" t="e">
        <f t="shared" ca="1" si="14"/>
        <v>#VALUE!</v>
      </c>
      <c r="AC133" s="72" t="e">
        <f t="shared" ca="1" si="15"/>
        <v>#VALUE!</v>
      </c>
      <c r="AD133" s="73" t="e">
        <f t="shared" ca="1" si="16"/>
        <v>#VALUE!</v>
      </c>
      <c r="AE133" s="19" t="e">
        <f t="shared" ca="1" si="17"/>
        <v>#VALUE!</v>
      </c>
      <c r="AF133" s="74" t="str">
        <f t="shared" ca="1" si="18"/>
        <v>Below D1 Low</v>
      </c>
      <c r="AG133" s="17" t="str">
        <f t="shared" ca="1" si="19"/>
        <v>Sell</v>
      </c>
      <c r="AH133" s="17" t="str">
        <f t="shared" ca="1" si="20"/>
        <v>SELL</v>
      </c>
      <c r="AI133" s="75">
        <f ca="1">IFERROR(__xludf.DUMMYFUNCTION("AVERAGE.WEIGHTED((G133+H133+B133)/3, I133)"),543.733333333333)</f>
        <v>543.73333333333301</v>
      </c>
      <c r="AJ133" s="75" t="str">
        <f ca="1">IFERROR(__xludf.DUMMYFUNCTION("AVERAGE.WEIGHTED((K133+L133+J133)/3, N133)"),"#N/A")</f>
        <v>#N/A</v>
      </c>
      <c r="AK133" s="75" t="str">
        <f t="shared" ca="1" si="21"/>
        <v>SELL</v>
      </c>
      <c r="AL133" s="31"/>
      <c r="AM133" s="31"/>
      <c r="AN133" s="31"/>
      <c r="AO133" s="31"/>
      <c r="AP133" s="31"/>
      <c r="AQ133" s="31"/>
      <c r="AR133" s="31"/>
    </row>
    <row r="134" spans="1:44" ht="15.75" customHeight="1">
      <c r="A134" s="61" t="s">
        <v>199</v>
      </c>
      <c r="B134" s="62">
        <f ca="1">IFERROR(__xludf.DUMMYFUNCTION("googlefinance(""nse:""&amp;A134,""price"")"),967.8)</f>
        <v>967.8</v>
      </c>
      <c r="C134" s="63">
        <f t="shared" ca="1" si="0"/>
        <v>0</v>
      </c>
      <c r="D134" s="63">
        <f ca="1">IFERROR(__xludf.DUMMYFUNCTION("googlefinance(""nse:""&amp;A134,""changepct"")"),4.58)</f>
        <v>4.58</v>
      </c>
      <c r="E134" s="63">
        <f ca="1">IFERROR(__xludf.DUMMYFUNCTION("googlefinance(""nse:""&amp;A134,""change"")"),42.4)</f>
        <v>42.4</v>
      </c>
      <c r="F134" s="63">
        <f ca="1">IFERROR(__xludf.DUMMYFUNCTION("googlefinance(""nse:""&amp;A134,""priceopen"")"),935.2)</f>
        <v>935.2</v>
      </c>
      <c r="G134" s="63">
        <f ca="1">IFERROR(__xludf.DUMMYFUNCTION("googlefinance(""nse:""&amp;A134,""HIGH"")"),978.95)</f>
        <v>978.95</v>
      </c>
      <c r="H134" s="63">
        <f ca="1">IFERROR(__xludf.DUMMYFUNCTION("googlefinance(""nse:""&amp;A134,""LOW"")"),929)</f>
        <v>929</v>
      </c>
      <c r="I134" s="63">
        <f ca="1">IFERROR(__xludf.DUMMYFUNCTION("googlefinance(""nse:""&amp;A134,""VOLUME"")"),4336428)</f>
        <v>4336428</v>
      </c>
      <c r="J134" s="63">
        <f ca="1">IFERROR(__xludf.DUMMYFUNCTION("googlefinance(""nse:""&amp;A134,""closeyest"")"),925.4)</f>
        <v>925.4</v>
      </c>
      <c r="K134" s="65" t="str">
        <f ca="1">IFERROR(__xludf.DUMMYFUNCTION("INDEX( GoogleFinance( ""NSE:""&amp;A134 , ""all"" , TODAY()-4) , 2, 3)"),"#N/A")</f>
        <v>#N/A</v>
      </c>
      <c r="L134" s="66" t="str">
        <f ca="1">IFERROR(__xludf.DUMMYFUNCTION("INDEX( GoogleFinance(""NSE:""&amp;A134 , ""all"" , TODAY()-4 ) , 2, 4)"),"#N/A")</f>
        <v>#N/A</v>
      </c>
      <c r="M134" s="67" t="str">
        <f ca="1">IFERROR(__xludf.DUMMYFUNCTION("INDEX( GoogleFinance( ""NSE:""&amp;A134 , ""all"" , TODAY()-4) , 2, 2)"),"#N/A")</f>
        <v>#N/A</v>
      </c>
      <c r="N134" s="68" t="str">
        <f ca="1">IFERROR(__xludf.DUMMYFUNCTION("INDEX( GoogleFinance( ""NSE:""&amp;A134 , ""all"" , TODAY()-4) , 2, 6)"),"#N/A")</f>
        <v>#N/A</v>
      </c>
      <c r="O134" s="69" t="str">
        <f t="shared" ca="1" si="1"/>
        <v/>
      </c>
      <c r="P134" s="69" t="e">
        <f t="shared" ca="1" si="2"/>
        <v>#VALUE!</v>
      </c>
      <c r="Q134" s="69" t="e">
        <f t="shared" ca="1" si="3"/>
        <v>#VALUE!</v>
      </c>
      <c r="R134" s="69" t="e">
        <f t="shared" ca="1" si="26"/>
        <v>#VALUE!</v>
      </c>
      <c r="S134" s="69" t="e">
        <f t="shared" ca="1" si="5"/>
        <v>#VALUE!</v>
      </c>
      <c r="T134" s="69" t="e">
        <f t="shared" ca="1" si="6"/>
        <v>#VALUE!</v>
      </c>
      <c r="U134" s="69" t="e">
        <f t="shared" ca="1" si="24"/>
        <v>#VALUE!</v>
      </c>
      <c r="V134" s="69" t="e">
        <f t="shared" ca="1" si="25"/>
        <v>#VALUE!</v>
      </c>
      <c r="W134" s="70" t="str">
        <f t="shared" ca="1" si="9"/>
        <v/>
      </c>
      <c r="X134" s="70" t="e">
        <f t="shared" ca="1" si="10"/>
        <v>#VALUE!</v>
      </c>
      <c r="Y134" s="70" t="e">
        <f t="shared" ca="1" si="11"/>
        <v>#VALUE!</v>
      </c>
      <c r="Z134" s="71" t="e">
        <f t="shared" ca="1" si="12"/>
        <v>#VALUE!</v>
      </c>
      <c r="AA134" s="72" t="e">
        <f t="shared" ca="1" si="13"/>
        <v>#VALUE!</v>
      </c>
      <c r="AB134" s="72" t="e">
        <f t="shared" ca="1" si="14"/>
        <v>#VALUE!</v>
      </c>
      <c r="AC134" s="72" t="e">
        <f t="shared" ca="1" si="15"/>
        <v>#VALUE!</v>
      </c>
      <c r="AD134" s="73" t="e">
        <f t="shared" ca="1" si="16"/>
        <v>#VALUE!</v>
      </c>
      <c r="AE134" s="19" t="e">
        <f t="shared" ca="1" si="17"/>
        <v>#VALUE!</v>
      </c>
      <c r="AF134" s="74" t="str">
        <f t="shared" ca="1" si="18"/>
        <v>Below D1 Low</v>
      </c>
      <c r="AG134" s="17" t="str">
        <f t="shared" ca="1" si="19"/>
        <v>Sell</v>
      </c>
      <c r="AH134" s="17" t="str">
        <f t="shared" ca="1" si="20"/>
        <v>SELL</v>
      </c>
      <c r="AI134" s="75">
        <f ca="1">IFERROR(__xludf.DUMMYFUNCTION("AVERAGE.WEIGHTED((G134+H134+B134)/3, I134)"),958.583333333333)</f>
        <v>958.58333333333303</v>
      </c>
      <c r="AJ134" s="75" t="str">
        <f ca="1">IFERROR(__xludf.DUMMYFUNCTION("AVERAGE.WEIGHTED((K134+L134+J134)/3, N134)"),"#N/A")</f>
        <v>#N/A</v>
      </c>
      <c r="AK134" s="75" t="str">
        <f t="shared" ca="1" si="21"/>
        <v>SELL</v>
      </c>
      <c r="AL134" s="31"/>
      <c r="AM134" s="31"/>
      <c r="AN134" s="31"/>
      <c r="AO134" s="31"/>
      <c r="AP134" s="31"/>
      <c r="AQ134" s="31"/>
      <c r="AR134" s="31"/>
    </row>
    <row r="135" spans="1:44" ht="15.75" customHeight="1">
      <c r="A135" s="61" t="s">
        <v>200</v>
      </c>
      <c r="B135" s="62">
        <f ca="1">IFERROR(__xludf.DUMMYFUNCTION("googlefinance(""nse:""&amp;A135,""price"")"),2347)</f>
        <v>2347</v>
      </c>
      <c r="C135" s="63">
        <f t="shared" ca="1" si="0"/>
        <v>0</v>
      </c>
      <c r="D135" s="63">
        <f ca="1">IFERROR(__xludf.DUMMYFUNCTION("googlefinance(""nse:""&amp;A135,""changepct"")"),-3.03)</f>
        <v>-3.03</v>
      </c>
      <c r="E135" s="63">
        <f ca="1">IFERROR(__xludf.DUMMYFUNCTION("googlefinance(""nse:""&amp;A135,""change"")"),-73.35)</f>
        <v>-73.349999999999994</v>
      </c>
      <c r="F135" s="63">
        <f ca="1">IFERROR(__xludf.DUMMYFUNCTION("googlefinance(""nse:""&amp;A135,""priceopen"")"),2460.1)</f>
        <v>2460.1</v>
      </c>
      <c r="G135" s="63">
        <f ca="1">IFERROR(__xludf.DUMMYFUNCTION("googlefinance(""nse:""&amp;A135,""HIGH"")"),2472)</f>
        <v>2472</v>
      </c>
      <c r="H135" s="63">
        <f ca="1">IFERROR(__xludf.DUMMYFUNCTION("googlefinance(""nse:""&amp;A135,""LOW"")"),2320.45)</f>
        <v>2320.4499999999998</v>
      </c>
      <c r="I135" s="63">
        <f ca="1">IFERROR(__xludf.DUMMYFUNCTION("googlefinance(""nse:""&amp;A135,""VOLUME"")"),711473)</f>
        <v>711473</v>
      </c>
      <c r="J135" s="63">
        <f ca="1">IFERROR(__xludf.DUMMYFUNCTION("googlefinance(""nse:""&amp;A135,""closeyest"")"),2420.35)</f>
        <v>2420.35</v>
      </c>
      <c r="K135" s="65" t="str">
        <f ca="1">IFERROR(__xludf.DUMMYFUNCTION("INDEX( GoogleFinance( ""NSE:""&amp;A135 , ""all"" , TODAY()-4) , 2, 3)"),"#N/A")</f>
        <v>#N/A</v>
      </c>
      <c r="L135" s="66" t="str">
        <f ca="1">IFERROR(__xludf.DUMMYFUNCTION("INDEX( GoogleFinance(""NSE:""&amp;A135 , ""all"" , TODAY()-4 ) , 2, 4)"),"#N/A")</f>
        <v>#N/A</v>
      </c>
      <c r="M135" s="67" t="str">
        <f ca="1">IFERROR(__xludf.DUMMYFUNCTION("INDEX( GoogleFinance( ""NSE:""&amp;A135 , ""all"" , TODAY()-4) , 2, 2)"),"#N/A")</f>
        <v>#N/A</v>
      </c>
      <c r="N135" s="68" t="str">
        <f ca="1">IFERROR(__xludf.DUMMYFUNCTION("INDEX( GoogleFinance( ""NSE:""&amp;A135 , ""all"" , TODAY()-4) , 2, 6)"),"#N/A")</f>
        <v>#N/A</v>
      </c>
      <c r="O135" s="69" t="str">
        <f t="shared" ca="1" si="1"/>
        <v/>
      </c>
      <c r="P135" s="69" t="e">
        <f t="shared" ca="1" si="2"/>
        <v>#VALUE!</v>
      </c>
      <c r="Q135" s="69" t="e">
        <f t="shared" ca="1" si="3"/>
        <v>#VALUE!</v>
      </c>
      <c r="R135" s="69" t="e">
        <f t="shared" ca="1" si="26"/>
        <v>#VALUE!</v>
      </c>
      <c r="S135" s="69" t="e">
        <f t="shared" ca="1" si="5"/>
        <v>#VALUE!</v>
      </c>
      <c r="T135" s="69" t="e">
        <f t="shared" ca="1" si="6"/>
        <v>#VALUE!</v>
      </c>
      <c r="U135" s="69" t="e">
        <f t="shared" ca="1" si="24"/>
        <v>#VALUE!</v>
      </c>
      <c r="V135" s="69" t="e">
        <f t="shared" ca="1" si="25"/>
        <v>#VALUE!</v>
      </c>
      <c r="W135" s="70" t="str">
        <f t="shared" ca="1" si="9"/>
        <v/>
      </c>
      <c r="X135" s="70" t="e">
        <f t="shared" ca="1" si="10"/>
        <v>#VALUE!</v>
      </c>
      <c r="Y135" s="70" t="e">
        <f t="shared" ca="1" si="11"/>
        <v>#VALUE!</v>
      </c>
      <c r="Z135" s="71" t="e">
        <f t="shared" ca="1" si="12"/>
        <v>#VALUE!</v>
      </c>
      <c r="AA135" s="72" t="e">
        <f t="shared" ca="1" si="13"/>
        <v>#VALUE!</v>
      </c>
      <c r="AB135" s="72" t="e">
        <f t="shared" ca="1" si="14"/>
        <v>#VALUE!</v>
      </c>
      <c r="AC135" s="72" t="e">
        <f t="shared" ca="1" si="15"/>
        <v>#VALUE!</v>
      </c>
      <c r="AD135" s="73" t="e">
        <f t="shared" ca="1" si="16"/>
        <v>#VALUE!</v>
      </c>
      <c r="AE135" s="19" t="e">
        <f t="shared" ca="1" si="17"/>
        <v>#VALUE!</v>
      </c>
      <c r="AF135" s="74" t="str">
        <f t="shared" ca="1" si="18"/>
        <v>Below D1 Low</v>
      </c>
      <c r="AG135" s="17" t="str">
        <f t="shared" ca="1" si="19"/>
        <v>Sell</v>
      </c>
      <c r="AH135" s="17" t="str">
        <f t="shared" ca="1" si="20"/>
        <v>SELL</v>
      </c>
      <c r="AI135" s="75">
        <f ca="1">IFERROR(__xludf.DUMMYFUNCTION("AVERAGE.WEIGHTED((G135+H135+B135)/3, I135)"),2379.81666666666)</f>
        <v>2379.8166666666598</v>
      </c>
      <c r="AJ135" s="75" t="str">
        <f ca="1">IFERROR(__xludf.DUMMYFUNCTION("AVERAGE.WEIGHTED((K135+L135+J135)/3, N135)"),"#N/A")</f>
        <v>#N/A</v>
      </c>
      <c r="AK135" s="75" t="str">
        <f t="shared" ca="1" si="21"/>
        <v>SELL</v>
      </c>
      <c r="AL135" s="31"/>
      <c r="AM135" s="31"/>
      <c r="AN135" s="31"/>
      <c r="AO135" s="31"/>
      <c r="AP135" s="31"/>
      <c r="AQ135" s="31"/>
      <c r="AR135" s="31"/>
    </row>
    <row r="136" spans="1:44" ht="15.75" customHeight="1">
      <c r="A136" s="61" t="s">
        <v>201</v>
      </c>
      <c r="B136" s="62">
        <f ca="1">IFERROR(__xludf.DUMMYFUNCTION("googlefinance(""nse:""&amp;A136,""price"")"),331.8)</f>
        <v>331.8</v>
      </c>
      <c r="C136" s="63">
        <f t="shared" ca="1" si="0"/>
        <v>0</v>
      </c>
      <c r="D136" s="63">
        <f ca="1">IFERROR(__xludf.DUMMYFUNCTION("googlefinance(""nse:""&amp;A136,""changepct"")"),2.87)</f>
        <v>2.87</v>
      </c>
      <c r="E136" s="63">
        <f ca="1">IFERROR(__xludf.DUMMYFUNCTION("googlefinance(""nse:""&amp;A136,""change"")"),9.25)</f>
        <v>9.25</v>
      </c>
      <c r="F136" s="63">
        <f ca="1">IFERROR(__xludf.DUMMYFUNCTION("googlefinance(""nse:""&amp;A136,""priceopen"")"),326)</f>
        <v>326</v>
      </c>
      <c r="G136" s="63">
        <f ca="1">IFERROR(__xludf.DUMMYFUNCTION("googlefinance(""nse:""&amp;A136,""HIGH"")"),335.65)</f>
        <v>335.65</v>
      </c>
      <c r="H136" s="63">
        <f ca="1">IFERROR(__xludf.DUMMYFUNCTION("googlefinance(""nse:""&amp;A136,""LOW"")"),325)</f>
        <v>325</v>
      </c>
      <c r="I136" s="63">
        <f ca="1">IFERROR(__xludf.DUMMYFUNCTION("googlefinance(""nse:""&amp;A136,""VOLUME"")"),1555954)</f>
        <v>1555954</v>
      </c>
      <c r="J136" s="63">
        <f ca="1">IFERROR(__xludf.DUMMYFUNCTION("googlefinance(""nse:""&amp;A136,""closeyest"")"),322.55)</f>
        <v>322.55</v>
      </c>
      <c r="K136" s="65" t="str">
        <f ca="1">IFERROR(__xludf.DUMMYFUNCTION("INDEX( GoogleFinance( ""NSE:""&amp;A136 , ""all"" , TODAY()-4) , 2, 3)"),"#N/A")</f>
        <v>#N/A</v>
      </c>
      <c r="L136" s="66" t="str">
        <f ca="1">IFERROR(__xludf.DUMMYFUNCTION("INDEX( GoogleFinance(""NSE:""&amp;A136 , ""all"" , TODAY()-4 ) , 2, 4)"),"#N/A")</f>
        <v>#N/A</v>
      </c>
      <c r="M136" s="67" t="str">
        <f ca="1">IFERROR(__xludf.DUMMYFUNCTION("INDEX( GoogleFinance( ""NSE:""&amp;A136 , ""all"" , TODAY()-4) , 2, 2)"),"#N/A")</f>
        <v>#N/A</v>
      </c>
      <c r="N136" s="68" t="str">
        <f ca="1">IFERROR(__xludf.DUMMYFUNCTION("INDEX( GoogleFinance( ""NSE:""&amp;A136 , ""all"" , TODAY()-4) , 2, 6)"),"#N/A")</f>
        <v>#N/A</v>
      </c>
      <c r="O136" s="69" t="str">
        <f t="shared" ca="1" si="1"/>
        <v/>
      </c>
      <c r="P136" s="69" t="e">
        <f t="shared" ca="1" si="2"/>
        <v>#VALUE!</v>
      </c>
      <c r="Q136" s="69" t="e">
        <f t="shared" ca="1" si="3"/>
        <v>#VALUE!</v>
      </c>
      <c r="R136" s="69" t="e">
        <f t="shared" ca="1" si="26"/>
        <v>#VALUE!</v>
      </c>
      <c r="S136" s="69" t="e">
        <f t="shared" ca="1" si="5"/>
        <v>#VALUE!</v>
      </c>
      <c r="T136" s="69" t="e">
        <f t="shared" ca="1" si="6"/>
        <v>#VALUE!</v>
      </c>
      <c r="U136" s="69" t="e">
        <f t="shared" ca="1" si="24"/>
        <v>#VALUE!</v>
      </c>
      <c r="V136" s="69" t="e">
        <f t="shared" ca="1" si="25"/>
        <v>#VALUE!</v>
      </c>
      <c r="W136" s="70" t="str">
        <f t="shared" ca="1" si="9"/>
        <v/>
      </c>
      <c r="X136" s="70" t="e">
        <f t="shared" ca="1" si="10"/>
        <v>#VALUE!</v>
      </c>
      <c r="Y136" s="70" t="e">
        <f t="shared" ca="1" si="11"/>
        <v>#VALUE!</v>
      </c>
      <c r="Z136" s="71" t="e">
        <f t="shared" ca="1" si="12"/>
        <v>#VALUE!</v>
      </c>
      <c r="AA136" s="72" t="e">
        <f t="shared" ca="1" si="13"/>
        <v>#VALUE!</v>
      </c>
      <c r="AB136" s="72" t="e">
        <f t="shared" ca="1" si="14"/>
        <v>#VALUE!</v>
      </c>
      <c r="AC136" s="72" t="e">
        <f t="shared" ca="1" si="15"/>
        <v>#VALUE!</v>
      </c>
      <c r="AD136" s="73" t="e">
        <f t="shared" ca="1" si="16"/>
        <v>#VALUE!</v>
      </c>
      <c r="AE136" s="19" t="e">
        <f t="shared" ca="1" si="17"/>
        <v>#VALUE!</v>
      </c>
      <c r="AF136" s="74" t="str">
        <f t="shared" ca="1" si="18"/>
        <v>Below D1 Low</v>
      </c>
      <c r="AG136" s="17" t="str">
        <f t="shared" ca="1" si="19"/>
        <v>Sell</v>
      </c>
      <c r="AH136" s="17" t="str">
        <f t="shared" ca="1" si="20"/>
        <v>SELL</v>
      </c>
      <c r="AI136" s="75">
        <f ca="1">IFERROR(__xludf.DUMMYFUNCTION("AVERAGE.WEIGHTED((G136+H136+B136)/3, I136)"),330.816666666666)</f>
        <v>330.81666666666598</v>
      </c>
      <c r="AJ136" s="75" t="str">
        <f ca="1">IFERROR(__xludf.DUMMYFUNCTION("AVERAGE.WEIGHTED((K136+L136+J136)/3, N136)"),"#N/A")</f>
        <v>#N/A</v>
      </c>
      <c r="AK136" s="75" t="str">
        <f t="shared" ca="1" si="21"/>
        <v>SELL</v>
      </c>
      <c r="AL136" s="31"/>
      <c r="AM136" s="31"/>
      <c r="AN136" s="31"/>
      <c r="AO136" s="31"/>
      <c r="AP136" s="31"/>
      <c r="AQ136" s="31"/>
      <c r="AR136" s="31"/>
    </row>
    <row r="137" spans="1:44" ht="15.75" customHeight="1">
      <c r="A137" s="61" t="s">
        <v>202</v>
      </c>
      <c r="B137" s="62">
        <f ca="1">IFERROR(__xludf.DUMMYFUNCTION("googlefinance(""nse:""&amp;A137,""price"")"),326.5)</f>
        <v>326.5</v>
      </c>
      <c r="C137" s="63">
        <f t="shared" ca="1" si="0"/>
        <v>0</v>
      </c>
      <c r="D137" s="63">
        <f ca="1">IFERROR(__xludf.DUMMYFUNCTION("googlefinance(""nse:""&amp;A137,""changepct"")"),6.04)</f>
        <v>6.04</v>
      </c>
      <c r="E137" s="63">
        <f ca="1">IFERROR(__xludf.DUMMYFUNCTION("googlefinance(""nse:""&amp;A137,""change"")"),18.6)</f>
        <v>18.600000000000001</v>
      </c>
      <c r="F137" s="63">
        <f ca="1">IFERROR(__xludf.DUMMYFUNCTION("googlefinance(""nse:""&amp;A137,""priceopen"")"),313.5)</f>
        <v>313.5</v>
      </c>
      <c r="G137" s="63">
        <f ca="1">IFERROR(__xludf.DUMMYFUNCTION("googlefinance(""nse:""&amp;A137,""HIGH"")"),334.1)</f>
        <v>334.1</v>
      </c>
      <c r="H137" s="63">
        <f ca="1">IFERROR(__xludf.DUMMYFUNCTION("googlefinance(""nse:""&amp;A137,""LOW"")"),311.2)</f>
        <v>311.2</v>
      </c>
      <c r="I137" s="63">
        <f ca="1">IFERROR(__xludf.DUMMYFUNCTION("googlefinance(""nse:""&amp;A137,""VOLUME"")"),8220150)</f>
        <v>8220150</v>
      </c>
      <c r="J137" s="63">
        <f ca="1">IFERROR(__xludf.DUMMYFUNCTION("googlefinance(""nse:""&amp;A137,""closeyest"")"),307.9)</f>
        <v>307.89999999999998</v>
      </c>
      <c r="K137" s="65" t="str">
        <f ca="1">IFERROR(__xludf.DUMMYFUNCTION("INDEX( GoogleFinance( ""NSE:""&amp;A137 , ""all"" , TODAY()-4) , 2, 3)"),"#N/A")</f>
        <v>#N/A</v>
      </c>
      <c r="L137" s="66" t="str">
        <f ca="1">IFERROR(__xludf.DUMMYFUNCTION("INDEX( GoogleFinance(""NSE:""&amp;A137 , ""all"" , TODAY()-4 ) , 2, 4)"),"#N/A")</f>
        <v>#N/A</v>
      </c>
      <c r="M137" s="67" t="str">
        <f ca="1">IFERROR(__xludf.DUMMYFUNCTION("INDEX( GoogleFinance( ""NSE:""&amp;A137 , ""all"" , TODAY()-4) , 2, 2)"),"#N/A")</f>
        <v>#N/A</v>
      </c>
      <c r="N137" s="68" t="str">
        <f ca="1">IFERROR(__xludf.DUMMYFUNCTION("INDEX( GoogleFinance( ""NSE:""&amp;A137 , ""all"" , TODAY()-4) , 2, 6)"),"#N/A")</f>
        <v>#N/A</v>
      </c>
      <c r="O137" s="69" t="str">
        <f t="shared" ca="1" si="1"/>
        <v/>
      </c>
      <c r="P137" s="69" t="e">
        <f t="shared" ca="1" si="2"/>
        <v>#VALUE!</v>
      </c>
      <c r="Q137" s="69" t="e">
        <f t="shared" ca="1" si="3"/>
        <v>#VALUE!</v>
      </c>
      <c r="R137" s="69" t="e">
        <f t="shared" ca="1" si="26"/>
        <v>#VALUE!</v>
      </c>
      <c r="S137" s="69" t="e">
        <f t="shared" ca="1" si="5"/>
        <v>#VALUE!</v>
      </c>
      <c r="T137" s="69" t="e">
        <f t="shared" ca="1" si="6"/>
        <v>#VALUE!</v>
      </c>
      <c r="U137" s="69" t="e">
        <f t="shared" ca="1" si="24"/>
        <v>#VALUE!</v>
      </c>
      <c r="V137" s="69" t="e">
        <f t="shared" ca="1" si="25"/>
        <v>#VALUE!</v>
      </c>
      <c r="W137" s="70" t="str">
        <f t="shared" ca="1" si="9"/>
        <v/>
      </c>
      <c r="X137" s="70" t="e">
        <f t="shared" ca="1" si="10"/>
        <v>#VALUE!</v>
      </c>
      <c r="Y137" s="70" t="e">
        <f t="shared" ca="1" si="11"/>
        <v>#VALUE!</v>
      </c>
      <c r="Z137" s="71" t="e">
        <f t="shared" ca="1" si="12"/>
        <v>#VALUE!</v>
      </c>
      <c r="AA137" s="72" t="e">
        <f t="shared" ca="1" si="13"/>
        <v>#VALUE!</v>
      </c>
      <c r="AB137" s="72" t="e">
        <f t="shared" ca="1" si="14"/>
        <v>#VALUE!</v>
      </c>
      <c r="AC137" s="72" t="e">
        <f t="shared" ca="1" si="15"/>
        <v>#VALUE!</v>
      </c>
      <c r="AD137" s="73" t="e">
        <f t="shared" ca="1" si="16"/>
        <v>#VALUE!</v>
      </c>
      <c r="AE137" s="19" t="e">
        <f t="shared" ca="1" si="17"/>
        <v>#VALUE!</v>
      </c>
      <c r="AF137" s="74" t="str">
        <f t="shared" ca="1" si="18"/>
        <v>Below D1 Low</v>
      </c>
      <c r="AG137" s="17" t="str">
        <f t="shared" ca="1" si="19"/>
        <v>Sell</v>
      </c>
      <c r="AH137" s="17" t="str">
        <f t="shared" ca="1" si="20"/>
        <v>SELL</v>
      </c>
      <c r="AI137" s="75">
        <f ca="1">IFERROR(__xludf.DUMMYFUNCTION("AVERAGE.WEIGHTED((G137+H137+B137)/3, I137)"),323.933333333333)</f>
        <v>323.933333333333</v>
      </c>
      <c r="AJ137" s="75" t="str">
        <f ca="1">IFERROR(__xludf.DUMMYFUNCTION("AVERAGE.WEIGHTED((K137+L137+J137)/3, N137)"),"#N/A")</f>
        <v>#N/A</v>
      </c>
      <c r="AK137" s="75" t="str">
        <f t="shared" ca="1" si="21"/>
        <v>SELL</v>
      </c>
      <c r="AL137" s="31"/>
      <c r="AM137" s="31"/>
      <c r="AN137" s="31"/>
      <c r="AO137" s="31"/>
      <c r="AP137" s="31"/>
      <c r="AQ137" s="31"/>
      <c r="AR137" s="31"/>
    </row>
    <row r="138" spans="1:44" ht="15.75" customHeight="1">
      <c r="A138" s="61" t="s">
        <v>203</v>
      </c>
      <c r="B138" s="62">
        <f ca="1">IFERROR(__xludf.DUMMYFUNCTION("googlefinance(""nse:""&amp;A138,""price"")"),940)</f>
        <v>940</v>
      </c>
      <c r="C138" s="63" t="str">
        <f t="shared" ca="1" si="0"/>
        <v>SELL</v>
      </c>
      <c r="D138" s="63">
        <f ca="1">IFERROR(__xludf.DUMMYFUNCTION("googlefinance(""nse:""&amp;A138,""changepct"")"),-0.41)</f>
        <v>-0.41</v>
      </c>
      <c r="E138" s="63">
        <f ca="1">IFERROR(__xludf.DUMMYFUNCTION("googlefinance(""nse:""&amp;A138,""change"")"),-3.85)</f>
        <v>-3.85</v>
      </c>
      <c r="F138" s="63">
        <f ca="1">IFERROR(__xludf.DUMMYFUNCTION("googlefinance(""nse:""&amp;A138,""priceopen"")"),961)</f>
        <v>961</v>
      </c>
      <c r="G138" s="63">
        <f ca="1">IFERROR(__xludf.DUMMYFUNCTION("googlefinance(""nse:""&amp;A138,""HIGH"")"),961)</f>
        <v>961</v>
      </c>
      <c r="H138" s="63">
        <f ca="1">IFERROR(__xludf.DUMMYFUNCTION("googlefinance(""nse:""&amp;A138,""LOW"")"),925.1)</f>
        <v>925.1</v>
      </c>
      <c r="I138" s="63">
        <f ca="1">IFERROR(__xludf.DUMMYFUNCTION("googlefinance(""nse:""&amp;A138,""VOLUME"")"),499712)</f>
        <v>499712</v>
      </c>
      <c r="J138" s="63">
        <f ca="1">IFERROR(__xludf.DUMMYFUNCTION("googlefinance(""nse:""&amp;A138,""closeyest"")"),943.85)</f>
        <v>943.85</v>
      </c>
      <c r="K138" s="65" t="str">
        <f ca="1">IFERROR(__xludf.DUMMYFUNCTION("INDEX( GoogleFinance( ""NSE:""&amp;A138 , ""all"" , TODAY()-4) , 2, 3)"),"#N/A")</f>
        <v>#N/A</v>
      </c>
      <c r="L138" s="66" t="str">
        <f ca="1">IFERROR(__xludf.DUMMYFUNCTION("INDEX( GoogleFinance(""NSE:""&amp;A138 , ""all"" , TODAY()-4 ) , 2, 4)"),"#N/A")</f>
        <v>#N/A</v>
      </c>
      <c r="M138" s="67" t="str">
        <f ca="1">IFERROR(__xludf.DUMMYFUNCTION("INDEX( GoogleFinance( ""NSE:""&amp;A138 , ""all"" , TODAY()-4) , 2, 2)"),"#N/A")</f>
        <v>#N/A</v>
      </c>
      <c r="N138" s="68" t="str">
        <f ca="1">IFERROR(__xludf.DUMMYFUNCTION("INDEX( GoogleFinance( ""NSE:""&amp;A138 , ""all"" , TODAY()-4) , 2, 6)"),"#N/A")</f>
        <v>#N/A</v>
      </c>
      <c r="O138" s="69" t="str">
        <f t="shared" ca="1" si="1"/>
        <v/>
      </c>
      <c r="P138" s="69" t="e">
        <f t="shared" ca="1" si="2"/>
        <v>#VALUE!</v>
      </c>
      <c r="Q138" s="69" t="e">
        <f t="shared" ca="1" si="3"/>
        <v>#VALUE!</v>
      </c>
      <c r="R138" s="69" t="e">
        <f t="shared" ca="1" si="26"/>
        <v>#VALUE!</v>
      </c>
      <c r="S138" s="69" t="e">
        <f t="shared" ca="1" si="5"/>
        <v>#VALUE!</v>
      </c>
      <c r="T138" s="69" t="e">
        <f t="shared" ca="1" si="6"/>
        <v>#VALUE!</v>
      </c>
      <c r="U138" s="69" t="e">
        <f t="shared" ca="1" si="24"/>
        <v>#VALUE!</v>
      </c>
      <c r="V138" s="69" t="e">
        <f t="shared" ca="1" si="25"/>
        <v>#VALUE!</v>
      </c>
      <c r="W138" s="70" t="str">
        <f t="shared" ca="1" si="9"/>
        <v/>
      </c>
      <c r="X138" s="70" t="e">
        <f t="shared" ca="1" si="10"/>
        <v>#VALUE!</v>
      </c>
      <c r="Y138" s="70" t="e">
        <f t="shared" ca="1" si="11"/>
        <v>#VALUE!</v>
      </c>
      <c r="Z138" s="71" t="e">
        <f t="shared" ca="1" si="12"/>
        <v>#VALUE!</v>
      </c>
      <c r="AA138" s="72" t="e">
        <f t="shared" ca="1" si="13"/>
        <v>#VALUE!</v>
      </c>
      <c r="AB138" s="72" t="e">
        <f t="shared" ca="1" si="14"/>
        <v>#VALUE!</v>
      </c>
      <c r="AC138" s="72" t="e">
        <f t="shared" ca="1" si="15"/>
        <v>#VALUE!</v>
      </c>
      <c r="AD138" s="73" t="e">
        <f t="shared" ca="1" si="16"/>
        <v>#VALUE!</v>
      </c>
      <c r="AE138" s="19" t="e">
        <f t="shared" ca="1" si="17"/>
        <v>#VALUE!</v>
      </c>
      <c r="AF138" s="74" t="str">
        <f t="shared" ca="1" si="18"/>
        <v>Below D1 Low</v>
      </c>
      <c r="AG138" s="17" t="str">
        <f t="shared" ca="1" si="19"/>
        <v>Sell</v>
      </c>
      <c r="AH138" s="17" t="str">
        <f t="shared" ca="1" si="20"/>
        <v>SELL</v>
      </c>
      <c r="AI138" s="75">
        <f ca="1">IFERROR(__xludf.DUMMYFUNCTION("AVERAGE.WEIGHTED((G138+H138+B138)/3, I138)"),942.033333333333)</f>
        <v>942.03333333333296</v>
      </c>
      <c r="AJ138" s="75" t="str">
        <f ca="1">IFERROR(__xludf.DUMMYFUNCTION("AVERAGE.WEIGHTED((K138+L138+J138)/3, N138)"),"#N/A")</f>
        <v>#N/A</v>
      </c>
      <c r="AK138" s="75" t="str">
        <f t="shared" ca="1" si="21"/>
        <v>SELL</v>
      </c>
      <c r="AL138" s="31"/>
      <c r="AM138" s="31"/>
      <c r="AN138" s="31"/>
      <c r="AO138" s="31"/>
      <c r="AP138" s="31"/>
      <c r="AQ138" s="31"/>
      <c r="AR138" s="31"/>
    </row>
    <row r="139" spans="1:44" ht="15.75" customHeight="1">
      <c r="A139" s="61" t="s">
        <v>204</v>
      </c>
      <c r="B139" s="62">
        <f ca="1">IFERROR(__xludf.DUMMYFUNCTION("googlefinance(""nse:""&amp;A139,""price"")"),175.85)</f>
        <v>175.85</v>
      </c>
      <c r="C139" s="63">
        <f t="shared" ca="1" si="0"/>
        <v>0</v>
      </c>
      <c r="D139" s="63">
        <f ca="1">IFERROR(__xludf.DUMMYFUNCTION("googlefinance(""nse:""&amp;A139,""changepct"")"),-0.03)</f>
        <v>-0.03</v>
      </c>
      <c r="E139" s="63">
        <f ca="1">IFERROR(__xludf.DUMMYFUNCTION("googlefinance(""nse:""&amp;A139,""change"")"),-0.05)</f>
        <v>-0.05</v>
      </c>
      <c r="F139" s="63">
        <f ca="1">IFERROR(__xludf.DUMMYFUNCTION("googlefinance(""nse:""&amp;A139,""priceopen"")"),180)</f>
        <v>180</v>
      </c>
      <c r="G139" s="63">
        <f ca="1">IFERROR(__xludf.DUMMYFUNCTION("googlefinance(""nse:""&amp;A139,""HIGH"")"),183.8)</f>
        <v>183.8</v>
      </c>
      <c r="H139" s="63">
        <f ca="1">IFERROR(__xludf.DUMMYFUNCTION("googlefinance(""nse:""&amp;A139,""LOW"")"),174.5)</f>
        <v>174.5</v>
      </c>
      <c r="I139" s="63">
        <f ca="1">IFERROR(__xludf.DUMMYFUNCTION("googlefinance(""nse:""&amp;A139,""VOLUME"")"),4523168)</f>
        <v>4523168</v>
      </c>
      <c r="J139" s="63">
        <f ca="1">IFERROR(__xludf.DUMMYFUNCTION("googlefinance(""nse:""&amp;A139,""closeyest"")"),175.9)</f>
        <v>175.9</v>
      </c>
      <c r="K139" s="65" t="str">
        <f ca="1">IFERROR(__xludf.DUMMYFUNCTION("INDEX( GoogleFinance( ""NSE:""&amp;A139 , ""all"" , TODAY()-4) , 2, 3)"),"#N/A")</f>
        <v>#N/A</v>
      </c>
      <c r="L139" s="66" t="str">
        <f ca="1">IFERROR(__xludf.DUMMYFUNCTION("INDEX( GoogleFinance(""NSE:""&amp;A139 , ""all"" , TODAY()-4 ) , 2, 4)"),"#N/A")</f>
        <v>#N/A</v>
      </c>
      <c r="M139" s="67" t="str">
        <f ca="1">IFERROR(__xludf.DUMMYFUNCTION("INDEX( GoogleFinance( ""NSE:""&amp;A139 , ""all"" , TODAY()-4) , 2, 2)"),"#N/A")</f>
        <v>#N/A</v>
      </c>
      <c r="N139" s="68" t="str">
        <f ca="1">IFERROR(__xludf.DUMMYFUNCTION("INDEX( GoogleFinance( ""NSE:""&amp;A139 , ""all"" , TODAY()-4) , 2, 6)"),"#N/A")</f>
        <v>#N/A</v>
      </c>
      <c r="O139" s="69" t="str">
        <f t="shared" ca="1" si="1"/>
        <v/>
      </c>
      <c r="P139" s="69" t="e">
        <f t="shared" ca="1" si="2"/>
        <v>#VALUE!</v>
      </c>
      <c r="Q139" s="69" t="e">
        <f t="shared" ca="1" si="3"/>
        <v>#VALUE!</v>
      </c>
      <c r="R139" s="69" t="e">
        <f t="shared" ca="1" si="26"/>
        <v>#VALUE!</v>
      </c>
      <c r="S139" s="69" t="e">
        <f t="shared" ca="1" si="5"/>
        <v>#VALUE!</v>
      </c>
      <c r="T139" s="69" t="e">
        <f t="shared" ca="1" si="6"/>
        <v>#VALUE!</v>
      </c>
      <c r="U139" s="69" t="e">
        <f t="shared" ca="1" si="24"/>
        <v>#VALUE!</v>
      </c>
      <c r="V139" s="69" t="e">
        <f t="shared" ca="1" si="25"/>
        <v>#VALUE!</v>
      </c>
      <c r="W139" s="70" t="str">
        <f t="shared" ca="1" si="9"/>
        <v/>
      </c>
      <c r="X139" s="70" t="e">
        <f t="shared" ca="1" si="10"/>
        <v>#VALUE!</v>
      </c>
      <c r="Y139" s="70" t="e">
        <f t="shared" ca="1" si="11"/>
        <v>#VALUE!</v>
      </c>
      <c r="Z139" s="71" t="e">
        <f t="shared" ca="1" si="12"/>
        <v>#VALUE!</v>
      </c>
      <c r="AA139" s="72" t="e">
        <f t="shared" ca="1" si="13"/>
        <v>#VALUE!</v>
      </c>
      <c r="AB139" s="72" t="e">
        <f t="shared" ca="1" si="14"/>
        <v>#VALUE!</v>
      </c>
      <c r="AC139" s="72" t="e">
        <f t="shared" ca="1" si="15"/>
        <v>#VALUE!</v>
      </c>
      <c r="AD139" s="73" t="e">
        <f t="shared" ca="1" si="16"/>
        <v>#VALUE!</v>
      </c>
      <c r="AE139" s="19" t="e">
        <f t="shared" ca="1" si="17"/>
        <v>#VALUE!</v>
      </c>
      <c r="AF139" s="74" t="str">
        <f t="shared" ca="1" si="18"/>
        <v>Below D1 Low</v>
      </c>
      <c r="AG139" s="17" t="str">
        <f t="shared" ca="1" si="19"/>
        <v>Sell</v>
      </c>
      <c r="AH139" s="17" t="str">
        <f t="shared" ca="1" si="20"/>
        <v>SELL</v>
      </c>
      <c r="AI139" s="75">
        <f ca="1">IFERROR(__xludf.DUMMYFUNCTION("AVERAGE.WEIGHTED((G139+H139+B139)/3, I139)"),178.049999999999)</f>
        <v>178.04999999999899</v>
      </c>
      <c r="AJ139" s="75" t="str">
        <f ca="1">IFERROR(__xludf.DUMMYFUNCTION("AVERAGE.WEIGHTED((K139+L139+J139)/3, N139)"),"#N/A")</f>
        <v>#N/A</v>
      </c>
      <c r="AK139" s="75" t="str">
        <f t="shared" ca="1" si="21"/>
        <v>SELL</v>
      </c>
      <c r="AL139" s="31"/>
      <c r="AM139" s="31"/>
      <c r="AN139" s="31"/>
      <c r="AO139" s="31"/>
      <c r="AP139" s="31"/>
      <c r="AQ139" s="31"/>
      <c r="AR139" s="31"/>
    </row>
    <row r="140" spans="1:44" ht="15.75" customHeight="1">
      <c r="A140" s="61" t="s">
        <v>205</v>
      </c>
      <c r="B140" s="62">
        <f ca="1">IFERROR(__xludf.DUMMYFUNCTION("googlefinance(""nse:""&amp;A140,""price"")"),3532)</f>
        <v>3532</v>
      </c>
      <c r="C140" s="63">
        <f t="shared" ca="1" si="0"/>
        <v>0</v>
      </c>
      <c r="D140" s="63">
        <f ca="1">IFERROR(__xludf.DUMMYFUNCTION("googlefinance(""nse:""&amp;A140,""changepct"")"),2.84)</f>
        <v>2.84</v>
      </c>
      <c r="E140" s="63">
        <f ca="1">IFERROR(__xludf.DUMMYFUNCTION("googlefinance(""nse:""&amp;A140,""change"")"),97.65)</f>
        <v>97.65</v>
      </c>
      <c r="F140" s="63">
        <f ca="1">IFERROR(__xludf.DUMMYFUNCTION("googlefinance(""nse:""&amp;A140,""priceopen"")"),3470)</f>
        <v>3470</v>
      </c>
      <c r="G140" s="63">
        <f ca="1">IFERROR(__xludf.DUMMYFUNCTION("googlefinance(""nse:""&amp;A140,""HIGH"")"),3565.95)</f>
        <v>3565.95</v>
      </c>
      <c r="H140" s="63">
        <f ca="1">IFERROR(__xludf.DUMMYFUNCTION("googlefinance(""nse:""&amp;A140,""LOW"")"),3446.15)</f>
        <v>3446.15</v>
      </c>
      <c r="I140" s="63">
        <f ca="1">IFERROR(__xludf.DUMMYFUNCTION("googlefinance(""nse:""&amp;A140,""VOLUME"")"),854108)</f>
        <v>854108</v>
      </c>
      <c r="J140" s="63">
        <f ca="1">IFERROR(__xludf.DUMMYFUNCTION("googlefinance(""nse:""&amp;A140,""closeyest"")"),3434.35)</f>
        <v>3434.35</v>
      </c>
      <c r="K140" s="65" t="str">
        <f ca="1">IFERROR(__xludf.DUMMYFUNCTION("INDEX( GoogleFinance( ""NSE:""&amp;A140 , ""all"" , TODAY()-4) , 2, 3)"),"#N/A")</f>
        <v>#N/A</v>
      </c>
      <c r="L140" s="66" t="str">
        <f ca="1">IFERROR(__xludf.DUMMYFUNCTION("INDEX( GoogleFinance(""NSE:""&amp;A140 , ""all"" , TODAY()-4 ) , 2, 4)"),"#N/A")</f>
        <v>#N/A</v>
      </c>
      <c r="M140" s="67" t="str">
        <f ca="1">IFERROR(__xludf.DUMMYFUNCTION("INDEX( GoogleFinance( ""NSE:""&amp;A140 , ""all"" , TODAY()-4) , 2, 2)"),"#N/A")</f>
        <v>#N/A</v>
      </c>
      <c r="N140" s="68" t="str">
        <f ca="1">IFERROR(__xludf.DUMMYFUNCTION("INDEX( GoogleFinance( ""NSE:""&amp;A140 , ""all"" , TODAY()-4) , 2, 6)"),"#N/A")</f>
        <v>#N/A</v>
      </c>
      <c r="O140" s="69" t="str">
        <f t="shared" ca="1" si="1"/>
        <v/>
      </c>
      <c r="P140" s="69" t="e">
        <f t="shared" ca="1" si="2"/>
        <v>#VALUE!</v>
      </c>
      <c r="Q140" s="69" t="e">
        <f t="shared" ca="1" si="3"/>
        <v>#VALUE!</v>
      </c>
      <c r="R140" s="69" t="e">
        <f t="shared" ca="1" si="26"/>
        <v>#VALUE!</v>
      </c>
      <c r="S140" s="69" t="e">
        <f t="shared" ca="1" si="5"/>
        <v>#VALUE!</v>
      </c>
      <c r="T140" s="69" t="e">
        <f t="shared" ca="1" si="6"/>
        <v>#VALUE!</v>
      </c>
      <c r="U140" s="69" t="e">
        <f t="shared" ca="1" si="24"/>
        <v>#VALUE!</v>
      </c>
      <c r="V140" s="69" t="e">
        <f t="shared" ca="1" si="25"/>
        <v>#VALUE!</v>
      </c>
      <c r="W140" s="70" t="str">
        <f t="shared" ca="1" si="9"/>
        <v/>
      </c>
      <c r="X140" s="70" t="e">
        <f t="shared" ca="1" si="10"/>
        <v>#VALUE!</v>
      </c>
      <c r="Y140" s="70" t="e">
        <f t="shared" ca="1" si="11"/>
        <v>#VALUE!</v>
      </c>
      <c r="Z140" s="71" t="e">
        <f t="shared" ca="1" si="12"/>
        <v>#VALUE!</v>
      </c>
      <c r="AA140" s="72" t="e">
        <f t="shared" ca="1" si="13"/>
        <v>#VALUE!</v>
      </c>
      <c r="AB140" s="72" t="e">
        <f t="shared" ca="1" si="14"/>
        <v>#VALUE!</v>
      </c>
      <c r="AC140" s="72" t="e">
        <f t="shared" ca="1" si="15"/>
        <v>#VALUE!</v>
      </c>
      <c r="AD140" s="73" t="e">
        <f t="shared" ca="1" si="16"/>
        <v>#VALUE!</v>
      </c>
      <c r="AE140" s="19" t="e">
        <f t="shared" ca="1" si="17"/>
        <v>#VALUE!</v>
      </c>
      <c r="AF140" s="74" t="str">
        <f t="shared" ca="1" si="18"/>
        <v>Below D1 Low</v>
      </c>
      <c r="AG140" s="17" t="str">
        <f t="shared" ca="1" si="19"/>
        <v>Sell</v>
      </c>
      <c r="AH140" s="17" t="str">
        <f t="shared" ca="1" si="20"/>
        <v>SELL</v>
      </c>
      <c r="AI140" s="75">
        <f ca="1">IFERROR(__xludf.DUMMYFUNCTION("AVERAGE.WEIGHTED((G140+H140+B140)/3, I140)"),3514.7)</f>
        <v>3514.7</v>
      </c>
      <c r="AJ140" s="75" t="str">
        <f ca="1">IFERROR(__xludf.DUMMYFUNCTION("AVERAGE.WEIGHTED((K140+L140+J140)/3, N140)"),"#N/A")</f>
        <v>#N/A</v>
      </c>
      <c r="AK140" s="75" t="str">
        <f t="shared" ca="1" si="21"/>
        <v>SELL</v>
      </c>
      <c r="AL140" s="31"/>
      <c r="AM140" s="31"/>
      <c r="AN140" s="31"/>
      <c r="AO140" s="31"/>
      <c r="AP140" s="31"/>
      <c r="AQ140" s="31"/>
      <c r="AR140" s="31"/>
    </row>
    <row r="141" spans="1:44" ht="15.75" customHeight="1">
      <c r="A141" s="61" t="s">
        <v>206</v>
      </c>
      <c r="B141" s="62">
        <f ca="1">IFERROR(__xludf.DUMMYFUNCTION("googlefinance(""nse:""&amp;A141,""price"")"),413)</f>
        <v>413</v>
      </c>
      <c r="C141" s="63">
        <f t="shared" ca="1" si="0"/>
        <v>0</v>
      </c>
      <c r="D141" s="63">
        <f ca="1">IFERROR(__xludf.DUMMYFUNCTION("googlefinance(""nse:""&amp;A141,""changepct"")"),14.53)</f>
        <v>14.53</v>
      </c>
      <c r="E141" s="63">
        <f ca="1">IFERROR(__xludf.DUMMYFUNCTION("googlefinance(""nse:""&amp;A141,""change"")"),52.4)</f>
        <v>52.4</v>
      </c>
      <c r="F141" s="63">
        <f ca="1">IFERROR(__xludf.DUMMYFUNCTION("googlefinance(""nse:""&amp;A141,""priceopen"")"),367.25)</f>
        <v>367.25</v>
      </c>
      <c r="G141" s="63">
        <f ca="1">IFERROR(__xludf.DUMMYFUNCTION("googlefinance(""nse:""&amp;A141,""HIGH"")"),429.35)</f>
        <v>429.35</v>
      </c>
      <c r="H141" s="63">
        <f ca="1">IFERROR(__xludf.DUMMYFUNCTION("googlefinance(""nse:""&amp;A141,""LOW"")"),364.05)</f>
        <v>364.05</v>
      </c>
      <c r="I141" s="63">
        <f ca="1">IFERROR(__xludf.DUMMYFUNCTION("googlefinance(""nse:""&amp;A141,""VOLUME"")"),18224218)</f>
        <v>18224218</v>
      </c>
      <c r="J141" s="63">
        <f ca="1">IFERROR(__xludf.DUMMYFUNCTION("googlefinance(""nse:""&amp;A141,""closeyest"")"),360.6)</f>
        <v>360.6</v>
      </c>
      <c r="K141" s="65" t="str">
        <f ca="1">IFERROR(__xludf.DUMMYFUNCTION("INDEX( GoogleFinance( ""NSE:""&amp;A141 , ""all"" , TODAY()-4) , 2, 3)"),"#N/A")</f>
        <v>#N/A</v>
      </c>
      <c r="L141" s="66" t="str">
        <f ca="1">IFERROR(__xludf.DUMMYFUNCTION("INDEX( GoogleFinance(""NSE:""&amp;A141 , ""all"" , TODAY()-4 ) , 2, 4)"),"#N/A")</f>
        <v>#N/A</v>
      </c>
      <c r="M141" s="67" t="str">
        <f ca="1">IFERROR(__xludf.DUMMYFUNCTION("INDEX( GoogleFinance( ""NSE:""&amp;A141 , ""all"" , TODAY()-4) , 2, 2)"),"#N/A")</f>
        <v>#N/A</v>
      </c>
      <c r="N141" s="68" t="str">
        <f ca="1">IFERROR(__xludf.DUMMYFUNCTION("INDEX( GoogleFinance( ""NSE:""&amp;A141 , ""all"" , TODAY()-4) , 2, 6)"),"#N/A")</f>
        <v>#N/A</v>
      </c>
      <c r="O141" s="69" t="str">
        <f t="shared" ca="1" si="1"/>
        <v/>
      </c>
      <c r="P141" s="69" t="e">
        <f t="shared" ca="1" si="2"/>
        <v>#VALUE!</v>
      </c>
      <c r="Q141" s="69" t="e">
        <f t="shared" ca="1" si="3"/>
        <v>#VALUE!</v>
      </c>
      <c r="R141" s="69" t="e">
        <f t="shared" ca="1" si="26"/>
        <v>#VALUE!</v>
      </c>
      <c r="S141" s="69" t="e">
        <f t="shared" ca="1" si="5"/>
        <v>#VALUE!</v>
      </c>
      <c r="T141" s="69" t="e">
        <f t="shared" ca="1" si="6"/>
        <v>#VALUE!</v>
      </c>
      <c r="U141" s="69" t="e">
        <f t="shared" ca="1" si="24"/>
        <v>#VALUE!</v>
      </c>
      <c r="V141" s="69" t="e">
        <f t="shared" ca="1" si="25"/>
        <v>#VALUE!</v>
      </c>
      <c r="W141" s="70" t="str">
        <f t="shared" ca="1" si="9"/>
        <v/>
      </c>
      <c r="X141" s="70" t="e">
        <f t="shared" ca="1" si="10"/>
        <v>#VALUE!</v>
      </c>
      <c r="Y141" s="70" t="e">
        <f t="shared" ca="1" si="11"/>
        <v>#VALUE!</v>
      </c>
      <c r="Z141" s="71" t="e">
        <f t="shared" ca="1" si="12"/>
        <v>#VALUE!</v>
      </c>
      <c r="AA141" s="72" t="e">
        <f t="shared" ca="1" si="13"/>
        <v>#VALUE!</v>
      </c>
      <c r="AB141" s="72" t="e">
        <f t="shared" ca="1" si="14"/>
        <v>#VALUE!</v>
      </c>
      <c r="AC141" s="72" t="e">
        <f t="shared" ca="1" si="15"/>
        <v>#VALUE!</v>
      </c>
      <c r="AD141" s="73" t="e">
        <f t="shared" ca="1" si="16"/>
        <v>#VALUE!</v>
      </c>
      <c r="AE141" s="19" t="e">
        <f t="shared" ca="1" si="17"/>
        <v>#VALUE!</v>
      </c>
      <c r="AF141" s="74" t="str">
        <f t="shared" ca="1" si="18"/>
        <v>Below D1 Low</v>
      </c>
      <c r="AG141" s="17" t="str">
        <f t="shared" ca="1" si="19"/>
        <v>Sell</v>
      </c>
      <c r="AH141" s="17" t="str">
        <f t="shared" ca="1" si="20"/>
        <v>SELL</v>
      </c>
      <c r="AI141" s="75">
        <f ca="1">IFERROR(__xludf.DUMMYFUNCTION("AVERAGE.WEIGHTED((G141+H141+B141)/3, I141)"),402.133333333333)</f>
        <v>402.13333333333298</v>
      </c>
      <c r="AJ141" s="75" t="str">
        <f ca="1">IFERROR(__xludf.DUMMYFUNCTION("AVERAGE.WEIGHTED((K141+L141+J141)/3, N141)"),"#N/A")</f>
        <v>#N/A</v>
      </c>
      <c r="AK141" s="75" t="str">
        <f t="shared" ca="1" si="21"/>
        <v>SELL</v>
      </c>
      <c r="AL141" s="31"/>
      <c r="AM141" s="31"/>
      <c r="AN141" s="31"/>
      <c r="AO141" s="31"/>
      <c r="AP141" s="31"/>
      <c r="AQ141" s="31"/>
      <c r="AR141" s="31"/>
    </row>
    <row r="142" spans="1:44" ht="15.75" customHeight="1">
      <c r="A142" s="61" t="s">
        <v>207</v>
      </c>
      <c r="B142" s="62">
        <f ca="1">IFERROR(__xludf.DUMMYFUNCTION("googlefinance(""nse:""&amp;A142,""price"")"),88.8)</f>
        <v>88.8</v>
      </c>
      <c r="C142" s="63">
        <f t="shared" ca="1" si="0"/>
        <v>0</v>
      </c>
      <c r="D142" s="63">
        <f ca="1">IFERROR(__xludf.DUMMYFUNCTION("googlefinance(""nse:""&amp;A142,""changepct"")"),12.19)</f>
        <v>12.19</v>
      </c>
      <c r="E142" s="63">
        <f ca="1">IFERROR(__xludf.DUMMYFUNCTION("googlefinance(""nse:""&amp;A142,""change"")"),9.65)</f>
        <v>9.65</v>
      </c>
      <c r="F142" s="63">
        <f ca="1">IFERROR(__xludf.DUMMYFUNCTION("googlefinance(""nse:""&amp;A142,""priceopen"")"),82)</f>
        <v>82</v>
      </c>
      <c r="G142" s="63">
        <f ca="1">IFERROR(__xludf.DUMMYFUNCTION("googlefinance(""nse:""&amp;A142,""HIGH"")"),91)</f>
        <v>91</v>
      </c>
      <c r="H142" s="63">
        <f ca="1">IFERROR(__xludf.DUMMYFUNCTION("googlefinance(""nse:""&amp;A142,""LOW"")"),81.5)</f>
        <v>81.5</v>
      </c>
      <c r="I142" s="63">
        <f ca="1">IFERROR(__xludf.DUMMYFUNCTION("googlefinance(""nse:""&amp;A142,""VOLUME"")"),63687038)</f>
        <v>63687038</v>
      </c>
      <c r="J142" s="63">
        <f ca="1">IFERROR(__xludf.DUMMYFUNCTION("googlefinance(""nse:""&amp;A142,""closeyest"")"),79.15)</f>
        <v>79.150000000000006</v>
      </c>
      <c r="K142" s="65" t="str">
        <f ca="1">IFERROR(__xludf.DUMMYFUNCTION("INDEX( GoogleFinance( ""NSE:""&amp;A142 , ""all"" , TODAY()-4) , 2, 3)"),"#N/A")</f>
        <v>#N/A</v>
      </c>
      <c r="L142" s="66" t="str">
        <f ca="1">IFERROR(__xludf.DUMMYFUNCTION("INDEX( GoogleFinance(""NSE:""&amp;A142 , ""all"" , TODAY()-4 ) , 2, 4)"),"#N/A")</f>
        <v>#N/A</v>
      </c>
      <c r="M142" s="67" t="str">
        <f ca="1">IFERROR(__xludf.DUMMYFUNCTION("INDEX( GoogleFinance( ""NSE:""&amp;A142 , ""all"" , TODAY()-4) , 2, 2)"),"#N/A")</f>
        <v>#N/A</v>
      </c>
      <c r="N142" s="68" t="str">
        <f ca="1">IFERROR(__xludf.DUMMYFUNCTION("INDEX( GoogleFinance( ""NSE:""&amp;A142 , ""all"" , TODAY()-4) , 2, 6)"),"#N/A")</f>
        <v>#N/A</v>
      </c>
      <c r="O142" s="69" t="str">
        <f t="shared" ca="1" si="1"/>
        <v/>
      </c>
      <c r="P142" s="69" t="e">
        <f t="shared" ca="1" si="2"/>
        <v>#VALUE!</v>
      </c>
      <c r="Q142" s="69" t="e">
        <f t="shared" ca="1" si="3"/>
        <v>#VALUE!</v>
      </c>
      <c r="R142" s="69" t="e">
        <f t="shared" ca="1" si="26"/>
        <v>#VALUE!</v>
      </c>
      <c r="S142" s="69" t="e">
        <f t="shared" ca="1" si="5"/>
        <v>#VALUE!</v>
      </c>
      <c r="T142" s="69" t="e">
        <f t="shared" ca="1" si="6"/>
        <v>#VALUE!</v>
      </c>
      <c r="U142" s="69" t="e">
        <f t="shared" ca="1" si="24"/>
        <v>#VALUE!</v>
      </c>
      <c r="V142" s="69" t="e">
        <f t="shared" ca="1" si="25"/>
        <v>#VALUE!</v>
      </c>
      <c r="W142" s="70" t="str">
        <f t="shared" ca="1" si="9"/>
        <v/>
      </c>
      <c r="X142" s="70" t="e">
        <f t="shared" ca="1" si="10"/>
        <v>#VALUE!</v>
      </c>
      <c r="Y142" s="70" t="e">
        <f t="shared" ca="1" si="11"/>
        <v>#VALUE!</v>
      </c>
      <c r="Z142" s="71" t="e">
        <f t="shared" ca="1" si="12"/>
        <v>#VALUE!</v>
      </c>
      <c r="AA142" s="72" t="e">
        <f t="shared" ca="1" si="13"/>
        <v>#VALUE!</v>
      </c>
      <c r="AB142" s="72" t="e">
        <f t="shared" ca="1" si="14"/>
        <v>#VALUE!</v>
      </c>
      <c r="AC142" s="72" t="e">
        <f t="shared" ca="1" si="15"/>
        <v>#VALUE!</v>
      </c>
      <c r="AD142" s="73" t="e">
        <f t="shared" ca="1" si="16"/>
        <v>#VALUE!</v>
      </c>
      <c r="AE142" s="19" t="e">
        <f t="shared" ca="1" si="17"/>
        <v>#VALUE!</v>
      </c>
      <c r="AF142" s="74" t="str">
        <f t="shared" ca="1" si="18"/>
        <v>Below D1 Low</v>
      </c>
      <c r="AG142" s="17" t="str">
        <f t="shared" ca="1" si="19"/>
        <v>Sell</v>
      </c>
      <c r="AH142" s="17" t="str">
        <f t="shared" ca="1" si="20"/>
        <v>SELL</v>
      </c>
      <c r="AI142" s="75">
        <f ca="1">IFERROR(__xludf.DUMMYFUNCTION("AVERAGE.WEIGHTED((G142+H142+B142)/3, I142)"),87.1)</f>
        <v>87.1</v>
      </c>
      <c r="AJ142" s="75" t="str">
        <f ca="1">IFERROR(__xludf.DUMMYFUNCTION("AVERAGE.WEIGHTED((K142+L142+J142)/3, N142)"),"#N/A")</f>
        <v>#N/A</v>
      </c>
      <c r="AK142" s="75" t="str">
        <f t="shared" ca="1" si="21"/>
        <v>SELL</v>
      </c>
      <c r="AL142" s="31"/>
      <c r="AM142" s="31"/>
      <c r="AN142" s="31"/>
      <c r="AO142" s="31"/>
      <c r="AP142" s="31"/>
      <c r="AQ142" s="31"/>
      <c r="AR142" s="31"/>
    </row>
    <row r="143" spans="1:44" ht="15.75" customHeight="1">
      <c r="A143" s="61" t="s">
        <v>208</v>
      </c>
      <c r="B143" s="62">
        <f ca="1">IFERROR(__xludf.DUMMYFUNCTION("googlefinance(""nse:""&amp;A143,""price"")"),506)</f>
        <v>506</v>
      </c>
      <c r="C143" s="63" t="str">
        <f t="shared" ca="1" si="0"/>
        <v>BUY</v>
      </c>
      <c r="D143" s="63">
        <f ca="1">IFERROR(__xludf.DUMMYFUNCTION("googlefinance(""nse:""&amp;A143,""changepct"")"),2.97)</f>
        <v>2.97</v>
      </c>
      <c r="E143" s="63">
        <f ca="1">IFERROR(__xludf.DUMMYFUNCTION("googlefinance(""nse:""&amp;A143,""change"")"),14.6)</f>
        <v>14.6</v>
      </c>
      <c r="F143" s="63">
        <f ca="1">IFERROR(__xludf.DUMMYFUNCTION("googlefinance(""nse:""&amp;A143,""priceopen"")"),495.2)</f>
        <v>495.2</v>
      </c>
      <c r="G143" s="63">
        <f ca="1">IFERROR(__xludf.DUMMYFUNCTION("googlefinance(""nse:""&amp;A143,""HIGH"")"),517.5)</f>
        <v>517.5</v>
      </c>
      <c r="H143" s="63">
        <f ca="1">IFERROR(__xludf.DUMMYFUNCTION("googlefinance(""nse:""&amp;A143,""LOW"")"),495.2)</f>
        <v>495.2</v>
      </c>
      <c r="I143" s="63">
        <f ca="1">IFERROR(__xludf.DUMMYFUNCTION("googlefinance(""nse:""&amp;A143,""VOLUME"")"),2950356)</f>
        <v>2950356</v>
      </c>
      <c r="J143" s="63">
        <f ca="1">IFERROR(__xludf.DUMMYFUNCTION("googlefinance(""nse:""&amp;A143,""closeyest"")"),491.4)</f>
        <v>491.4</v>
      </c>
      <c r="K143" s="65" t="str">
        <f ca="1">IFERROR(__xludf.DUMMYFUNCTION("INDEX( GoogleFinance( ""NSE:""&amp;A143 , ""all"" , TODAY()-4) , 2, 3)"),"#N/A")</f>
        <v>#N/A</v>
      </c>
      <c r="L143" s="66" t="str">
        <f ca="1">IFERROR(__xludf.DUMMYFUNCTION("INDEX( GoogleFinance(""NSE:""&amp;A143 , ""all"" , TODAY()-4 ) , 2, 4)"),"#N/A")</f>
        <v>#N/A</v>
      </c>
      <c r="M143" s="67" t="str">
        <f ca="1">IFERROR(__xludf.DUMMYFUNCTION("INDEX( GoogleFinance( ""NSE:""&amp;A143 , ""all"" , TODAY()-4) , 2, 2)"),"#N/A")</f>
        <v>#N/A</v>
      </c>
      <c r="N143" s="68" t="str">
        <f ca="1">IFERROR(__xludf.DUMMYFUNCTION("INDEX( GoogleFinance( ""NSE:""&amp;A143 , ""all"" , TODAY()-4) , 2, 6)"),"#N/A")</f>
        <v>#N/A</v>
      </c>
      <c r="O143" s="69" t="str">
        <f t="shared" ca="1" si="1"/>
        <v/>
      </c>
      <c r="P143" s="69" t="e">
        <f t="shared" ca="1" si="2"/>
        <v>#VALUE!</v>
      </c>
      <c r="Q143" s="69" t="e">
        <f t="shared" ca="1" si="3"/>
        <v>#VALUE!</v>
      </c>
      <c r="R143" s="69" t="e">
        <f t="shared" ca="1" si="26"/>
        <v>#VALUE!</v>
      </c>
      <c r="S143" s="69" t="e">
        <f t="shared" ca="1" si="5"/>
        <v>#VALUE!</v>
      </c>
      <c r="T143" s="69" t="e">
        <f t="shared" ca="1" si="6"/>
        <v>#VALUE!</v>
      </c>
      <c r="U143" s="69" t="e">
        <f t="shared" ca="1" si="24"/>
        <v>#VALUE!</v>
      </c>
      <c r="V143" s="69" t="e">
        <f t="shared" ca="1" si="25"/>
        <v>#VALUE!</v>
      </c>
      <c r="W143" s="70" t="str">
        <f t="shared" ca="1" si="9"/>
        <v/>
      </c>
      <c r="X143" s="70" t="e">
        <f t="shared" ca="1" si="10"/>
        <v>#VALUE!</v>
      </c>
      <c r="Y143" s="70" t="e">
        <f t="shared" ca="1" si="11"/>
        <v>#VALUE!</v>
      </c>
      <c r="Z143" s="71" t="e">
        <f t="shared" ca="1" si="12"/>
        <v>#VALUE!</v>
      </c>
      <c r="AA143" s="72" t="e">
        <f t="shared" ca="1" si="13"/>
        <v>#VALUE!</v>
      </c>
      <c r="AB143" s="72" t="e">
        <f t="shared" ca="1" si="14"/>
        <v>#VALUE!</v>
      </c>
      <c r="AC143" s="72" t="e">
        <f t="shared" ca="1" si="15"/>
        <v>#VALUE!</v>
      </c>
      <c r="AD143" s="73" t="e">
        <f t="shared" ca="1" si="16"/>
        <v>#VALUE!</v>
      </c>
      <c r="AE143" s="19" t="e">
        <f t="shared" ca="1" si="17"/>
        <v>#VALUE!</v>
      </c>
      <c r="AF143" s="74" t="str">
        <f t="shared" ca="1" si="18"/>
        <v>Below D1 Low</v>
      </c>
      <c r="AG143" s="17" t="str">
        <f t="shared" ca="1" si="19"/>
        <v>Sell</v>
      </c>
      <c r="AH143" s="17" t="str">
        <f t="shared" ca="1" si="20"/>
        <v>SELL</v>
      </c>
      <c r="AI143" s="75">
        <f ca="1">IFERROR(__xludf.DUMMYFUNCTION("AVERAGE.WEIGHTED((G143+H143+B143)/3, I143)"),506.233333333333)</f>
        <v>506.23333333333301</v>
      </c>
      <c r="AJ143" s="75" t="str">
        <f ca="1">IFERROR(__xludf.DUMMYFUNCTION("AVERAGE.WEIGHTED((K143+L143+J143)/3, N143)"),"#N/A")</f>
        <v>#N/A</v>
      </c>
      <c r="AK143" s="75" t="str">
        <f t="shared" ca="1" si="21"/>
        <v>SELL</v>
      </c>
      <c r="AL143" s="31"/>
      <c r="AM143" s="31"/>
      <c r="AN143" s="31"/>
      <c r="AO143" s="31"/>
      <c r="AP143" s="31"/>
      <c r="AQ143" s="31"/>
      <c r="AR143" s="31"/>
    </row>
    <row r="144" spans="1:44" ht="15.75" customHeight="1">
      <c r="A144" s="61" t="s">
        <v>209</v>
      </c>
      <c r="B144" s="62">
        <f ca="1">IFERROR(__xludf.DUMMYFUNCTION("googlefinance(""nse:""&amp;A144,""price"")"),191.15)</f>
        <v>191.15</v>
      </c>
      <c r="C144" s="63">
        <f t="shared" ca="1" si="0"/>
        <v>0</v>
      </c>
      <c r="D144" s="63">
        <f ca="1">IFERROR(__xludf.DUMMYFUNCTION("googlefinance(""nse:""&amp;A144,""changepct"")"),5.81)</f>
        <v>5.81</v>
      </c>
      <c r="E144" s="63">
        <f ca="1">IFERROR(__xludf.DUMMYFUNCTION("googlefinance(""nse:""&amp;A144,""change"")"),10.5)</f>
        <v>10.5</v>
      </c>
      <c r="F144" s="63">
        <f ca="1">IFERROR(__xludf.DUMMYFUNCTION("googlefinance(""nse:""&amp;A144,""priceopen"")"),185)</f>
        <v>185</v>
      </c>
      <c r="G144" s="63">
        <f ca="1">IFERROR(__xludf.DUMMYFUNCTION("googlefinance(""nse:""&amp;A144,""HIGH"")"),192.6)</f>
        <v>192.6</v>
      </c>
      <c r="H144" s="63">
        <f ca="1">IFERROR(__xludf.DUMMYFUNCTION("googlefinance(""nse:""&amp;A144,""LOW"")"),183.55)</f>
        <v>183.55</v>
      </c>
      <c r="I144" s="63">
        <f ca="1">IFERROR(__xludf.DUMMYFUNCTION("googlefinance(""nse:""&amp;A144,""VOLUME"")"),8833932)</f>
        <v>8833932</v>
      </c>
      <c r="J144" s="63">
        <f ca="1">IFERROR(__xludf.DUMMYFUNCTION("googlefinance(""nse:""&amp;A144,""closeyest"")"),180.65)</f>
        <v>180.65</v>
      </c>
      <c r="K144" s="65" t="str">
        <f ca="1">IFERROR(__xludf.DUMMYFUNCTION("INDEX( GoogleFinance( ""NSE:""&amp;A144 , ""all"" , TODAY()-4) , 2, 3)"),"#N/A")</f>
        <v>#N/A</v>
      </c>
      <c r="L144" s="66" t="str">
        <f ca="1">IFERROR(__xludf.DUMMYFUNCTION("INDEX( GoogleFinance(""NSE:""&amp;A144 , ""all"" , TODAY()-4 ) , 2, 4)"),"#N/A")</f>
        <v>#N/A</v>
      </c>
      <c r="M144" s="67" t="str">
        <f ca="1">IFERROR(__xludf.DUMMYFUNCTION("INDEX( GoogleFinance( ""NSE:""&amp;A144 , ""all"" , TODAY()-4) , 2, 2)"),"#N/A")</f>
        <v>#N/A</v>
      </c>
      <c r="N144" s="68" t="str">
        <f ca="1">IFERROR(__xludf.DUMMYFUNCTION("INDEX( GoogleFinance( ""NSE:""&amp;A144 , ""all"" , TODAY()-4) , 2, 6)"),"#N/A")</f>
        <v>#N/A</v>
      </c>
      <c r="O144" s="69" t="str">
        <f t="shared" ca="1" si="1"/>
        <v/>
      </c>
      <c r="P144" s="69" t="e">
        <f t="shared" ca="1" si="2"/>
        <v>#VALUE!</v>
      </c>
      <c r="Q144" s="69" t="e">
        <f t="shared" ca="1" si="3"/>
        <v>#VALUE!</v>
      </c>
      <c r="R144" s="69" t="e">
        <f t="shared" ca="1" si="26"/>
        <v>#VALUE!</v>
      </c>
      <c r="S144" s="69" t="e">
        <f t="shared" ca="1" si="5"/>
        <v>#VALUE!</v>
      </c>
      <c r="T144" s="69" t="e">
        <f t="shared" ca="1" si="6"/>
        <v>#VALUE!</v>
      </c>
      <c r="U144" s="69" t="e">
        <f t="shared" ca="1" si="24"/>
        <v>#VALUE!</v>
      </c>
      <c r="V144" s="69" t="e">
        <f t="shared" ca="1" si="25"/>
        <v>#VALUE!</v>
      </c>
      <c r="W144" s="70" t="str">
        <f t="shared" ca="1" si="9"/>
        <v/>
      </c>
      <c r="X144" s="70" t="e">
        <f t="shared" ca="1" si="10"/>
        <v>#VALUE!</v>
      </c>
      <c r="Y144" s="70" t="e">
        <f t="shared" ca="1" si="11"/>
        <v>#VALUE!</v>
      </c>
      <c r="Z144" s="71" t="e">
        <f t="shared" ca="1" si="12"/>
        <v>#VALUE!</v>
      </c>
      <c r="AA144" s="72" t="e">
        <f t="shared" ca="1" si="13"/>
        <v>#VALUE!</v>
      </c>
      <c r="AB144" s="72" t="e">
        <f t="shared" ca="1" si="14"/>
        <v>#VALUE!</v>
      </c>
      <c r="AC144" s="72" t="e">
        <f t="shared" ca="1" si="15"/>
        <v>#VALUE!</v>
      </c>
      <c r="AD144" s="73" t="e">
        <f t="shared" ca="1" si="16"/>
        <v>#VALUE!</v>
      </c>
      <c r="AE144" s="19" t="e">
        <f t="shared" ca="1" si="17"/>
        <v>#VALUE!</v>
      </c>
      <c r="AF144" s="74" t="str">
        <f t="shared" ca="1" si="18"/>
        <v>Below D1 Low</v>
      </c>
      <c r="AG144" s="17" t="str">
        <f t="shared" ca="1" si="19"/>
        <v>Sell</v>
      </c>
      <c r="AH144" s="17" t="str">
        <f t="shared" ca="1" si="20"/>
        <v>SELL</v>
      </c>
      <c r="AI144" s="75">
        <f ca="1">IFERROR(__xludf.DUMMYFUNCTION("AVERAGE.WEIGHTED((G144+H144+B144)/3, I144)"),189.1)</f>
        <v>189.1</v>
      </c>
      <c r="AJ144" s="75" t="str">
        <f ca="1">IFERROR(__xludf.DUMMYFUNCTION("AVERAGE.WEIGHTED((K144+L144+J144)/3, N144)"),"#N/A")</f>
        <v>#N/A</v>
      </c>
      <c r="AK144" s="75" t="str">
        <f t="shared" ca="1" si="21"/>
        <v>SELL</v>
      </c>
      <c r="AL144" s="31"/>
      <c r="AM144" s="31"/>
      <c r="AN144" s="31"/>
      <c r="AO144" s="31"/>
      <c r="AP144" s="31"/>
      <c r="AQ144" s="31"/>
      <c r="AR144" s="31"/>
    </row>
    <row r="145" spans="1:44" ht="15.75" customHeight="1">
      <c r="A145" s="61" t="s">
        <v>210</v>
      </c>
      <c r="B145" s="62">
        <f ca="1">IFERROR(__xludf.DUMMYFUNCTION("googlefinance(""nse:""&amp;A145,""price"")"),27.85)</f>
        <v>27.85</v>
      </c>
      <c r="C145" s="63">
        <f t="shared" ca="1" si="0"/>
        <v>0</v>
      </c>
      <c r="D145" s="63">
        <f ca="1">IFERROR(__xludf.DUMMYFUNCTION("googlefinance(""nse:""&amp;A145,""changepct"")"),-0.71)</f>
        <v>-0.71</v>
      </c>
      <c r="E145" s="63">
        <f ca="1">IFERROR(__xludf.DUMMYFUNCTION("googlefinance(""nse:""&amp;A145,""change"")"),-0.2)</f>
        <v>-0.2</v>
      </c>
      <c r="F145" s="63">
        <f ca="1">IFERROR(__xludf.DUMMYFUNCTION("googlefinance(""nse:""&amp;A145,""priceopen"")"),28.7)</f>
        <v>28.7</v>
      </c>
      <c r="G145" s="63">
        <f ca="1">IFERROR(__xludf.DUMMYFUNCTION("googlefinance(""nse:""&amp;A145,""HIGH"")"),28.95)</f>
        <v>28.95</v>
      </c>
      <c r="H145" s="63">
        <f ca="1">IFERROR(__xludf.DUMMYFUNCTION("googlefinance(""nse:""&amp;A145,""LOW"")"),27.7)</f>
        <v>27.7</v>
      </c>
      <c r="I145" s="63">
        <f ca="1">IFERROR(__xludf.DUMMYFUNCTION("googlefinance(""nse:""&amp;A145,""VOLUME"")"),32094929)</f>
        <v>32094929</v>
      </c>
      <c r="J145" s="63">
        <f ca="1">IFERROR(__xludf.DUMMYFUNCTION("googlefinance(""nse:""&amp;A145,""closeyest"")"),28.05)</f>
        <v>28.05</v>
      </c>
      <c r="K145" s="65" t="str">
        <f ca="1">IFERROR(__xludf.DUMMYFUNCTION("INDEX( GoogleFinance( ""NSE:""&amp;A145 , ""all"" , TODAY()-4) , 2, 3)"),"#N/A")</f>
        <v>#N/A</v>
      </c>
      <c r="L145" s="66" t="str">
        <f ca="1">IFERROR(__xludf.DUMMYFUNCTION("INDEX( GoogleFinance(""NSE:""&amp;A145 , ""all"" , TODAY()-4 ) , 2, 4)"),"#N/A")</f>
        <v>#N/A</v>
      </c>
      <c r="M145" s="67" t="str">
        <f ca="1">IFERROR(__xludf.DUMMYFUNCTION("INDEX( GoogleFinance( ""NSE:""&amp;A145 , ""all"" , TODAY()-4) , 2, 2)"),"#N/A")</f>
        <v>#N/A</v>
      </c>
      <c r="N145" s="68" t="str">
        <f ca="1">IFERROR(__xludf.DUMMYFUNCTION("INDEX( GoogleFinance( ""NSE:""&amp;A145 , ""all"" , TODAY()-4) , 2, 6)"),"#N/A")</f>
        <v>#N/A</v>
      </c>
      <c r="O145" s="69" t="str">
        <f t="shared" ca="1" si="1"/>
        <v/>
      </c>
      <c r="P145" s="69" t="e">
        <f t="shared" ca="1" si="2"/>
        <v>#VALUE!</v>
      </c>
      <c r="Q145" s="69" t="e">
        <f t="shared" ca="1" si="3"/>
        <v>#VALUE!</v>
      </c>
      <c r="R145" s="69" t="e">
        <f t="shared" ca="1" si="26"/>
        <v>#VALUE!</v>
      </c>
      <c r="S145" s="69" t="e">
        <f t="shared" ca="1" si="5"/>
        <v>#VALUE!</v>
      </c>
      <c r="T145" s="69" t="e">
        <f t="shared" ca="1" si="6"/>
        <v>#VALUE!</v>
      </c>
      <c r="U145" s="69" t="e">
        <f t="shared" ca="1" si="24"/>
        <v>#VALUE!</v>
      </c>
      <c r="V145" s="69" t="e">
        <f t="shared" ca="1" si="25"/>
        <v>#VALUE!</v>
      </c>
      <c r="W145" s="70" t="str">
        <f t="shared" ca="1" si="9"/>
        <v/>
      </c>
      <c r="X145" s="70" t="e">
        <f t="shared" ca="1" si="10"/>
        <v>#VALUE!</v>
      </c>
      <c r="Y145" s="70" t="e">
        <f t="shared" ca="1" si="11"/>
        <v>#VALUE!</v>
      </c>
      <c r="Z145" s="71" t="e">
        <f t="shared" ca="1" si="12"/>
        <v>#VALUE!</v>
      </c>
      <c r="AA145" s="72" t="e">
        <f t="shared" ca="1" si="13"/>
        <v>#VALUE!</v>
      </c>
      <c r="AB145" s="72" t="e">
        <f t="shared" ca="1" si="14"/>
        <v>#VALUE!</v>
      </c>
      <c r="AC145" s="72" t="e">
        <f t="shared" ca="1" si="15"/>
        <v>#VALUE!</v>
      </c>
      <c r="AD145" s="73" t="e">
        <f t="shared" ca="1" si="16"/>
        <v>#VALUE!</v>
      </c>
      <c r="AE145" s="19" t="e">
        <f t="shared" ca="1" si="17"/>
        <v>#VALUE!</v>
      </c>
      <c r="AF145" s="74" t="str">
        <f t="shared" ca="1" si="18"/>
        <v>Below D1 Low</v>
      </c>
      <c r="AG145" s="17" t="str">
        <f t="shared" ca="1" si="19"/>
        <v>Sell</v>
      </c>
      <c r="AH145" s="17" t="str">
        <f t="shared" ca="1" si="20"/>
        <v>SELL</v>
      </c>
      <c r="AI145" s="75">
        <f ca="1">IFERROR(__xludf.DUMMYFUNCTION("AVERAGE.WEIGHTED((G145+H145+B145)/3, I145)"),28.1666666666666)</f>
        <v>28.1666666666666</v>
      </c>
      <c r="AJ145" s="75" t="str">
        <f ca="1">IFERROR(__xludf.DUMMYFUNCTION("AVERAGE.WEIGHTED((K145+L145+J145)/3, N145)"),"#N/A")</f>
        <v>#N/A</v>
      </c>
      <c r="AK145" s="75" t="str">
        <f t="shared" ca="1" si="21"/>
        <v>SELL</v>
      </c>
      <c r="AL145" s="31"/>
      <c r="AM145" s="31"/>
      <c r="AN145" s="31"/>
      <c r="AO145" s="31"/>
      <c r="AP145" s="31"/>
      <c r="AQ145" s="31"/>
      <c r="AR145" s="31"/>
    </row>
    <row r="146" spans="1:44" ht="15.75" customHeight="1">
      <c r="A146" s="61" t="s">
        <v>211</v>
      </c>
      <c r="B146" s="62">
        <f ca="1">IFERROR(__xludf.DUMMYFUNCTION("googlefinance(""nse:""&amp;A146,""price"")"),159.6)</f>
        <v>159.6</v>
      </c>
      <c r="C146" s="63">
        <f t="shared" ca="1" si="0"/>
        <v>0</v>
      </c>
      <c r="D146" s="63">
        <f ca="1">IFERROR(__xludf.DUMMYFUNCTION("googlefinance(""nse:""&amp;A146,""changepct"")"),0.13)</f>
        <v>0.13</v>
      </c>
      <c r="E146" s="63">
        <f ca="1">IFERROR(__xludf.DUMMYFUNCTION("googlefinance(""nse:""&amp;A146,""change"")"),0.2)</f>
        <v>0.2</v>
      </c>
      <c r="F146" s="63">
        <f ca="1">IFERROR(__xludf.DUMMYFUNCTION("googlefinance(""nse:""&amp;A146,""priceopen"")"),163.15)</f>
        <v>163.15</v>
      </c>
      <c r="G146" s="63">
        <f ca="1">IFERROR(__xludf.DUMMYFUNCTION("googlefinance(""nse:""&amp;A146,""HIGH"")"),164)</f>
        <v>164</v>
      </c>
      <c r="H146" s="63">
        <f ca="1">IFERROR(__xludf.DUMMYFUNCTION("googlefinance(""nse:""&amp;A146,""LOW"")"),155.95)</f>
        <v>155.94999999999999</v>
      </c>
      <c r="I146" s="63">
        <f ca="1">IFERROR(__xludf.DUMMYFUNCTION("googlefinance(""nse:""&amp;A146,""VOLUME"")"),14614588)</f>
        <v>14614588</v>
      </c>
      <c r="J146" s="63">
        <f ca="1">IFERROR(__xludf.DUMMYFUNCTION("googlefinance(""nse:""&amp;A146,""closeyest"")"),159.4)</f>
        <v>159.4</v>
      </c>
      <c r="K146" s="65" t="str">
        <f ca="1">IFERROR(__xludf.DUMMYFUNCTION("INDEX( GoogleFinance( ""NSE:""&amp;A146 , ""all"" , TODAY()-4) , 2, 3)"),"#N/A")</f>
        <v>#N/A</v>
      </c>
      <c r="L146" s="66" t="str">
        <f ca="1">IFERROR(__xludf.DUMMYFUNCTION("INDEX( GoogleFinance(""NSE:""&amp;A146 , ""all"" , TODAY()-4 ) , 2, 4)"),"#N/A")</f>
        <v>#N/A</v>
      </c>
      <c r="M146" s="67" t="str">
        <f ca="1">IFERROR(__xludf.DUMMYFUNCTION("INDEX( GoogleFinance( ""NSE:""&amp;A146 , ""all"" , TODAY()-4) , 2, 2)"),"#N/A")</f>
        <v>#N/A</v>
      </c>
      <c r="N146" s="68" t="str">
        <f ca="1">IFERROR(__xludf.DUMMYFUNCTION("INDEX( GoogleFinance( ""NSE:""&amp;A146 , ""all"" , TODAY()-4) , 2, 6)"),"#N/A")</f>
        <v>#N/A</v>
      </c>
      <c r="O146" s="69" t="str">
        <f t="shared" ca="1" si="1"/>
        <v/>
      </c>
      <c r="P146" s="69" t="e">
        <f t="shared" ca="1" si="2"/>
        <v>#VALUE!</v>
      </c>
      <c r="Q146" s="69" t="e">
        <f t="shared" ca="1" si="3"/>
        <v>#VALUE!</v>
      </c>
      <c r="R146" s="69" t="e">
        <f t="shared" ca="1" si="26"/>
        <v>#VALUE!</v>
      </c>
      <c r="S146" s="69" t="e">
        <f t="shared" ca="1" si="5"/>
        <v>#VALUE!</v>
      </c>
      <c r="T146" s="69" t="e">
        <f t="shared" ca="1" si="6"/>
        <v>#VALUE!</v>
      </c>
      <c r="U146" s="69" t="e">
        <f t="shared" ca="1" si="24"/>
        <v>#VALUE!</v>
      </c>
      <c r="V146" s="69" t="e">
        <f t="shared" ca="1" si="25"/>
        <v>#VALUE!</v>
      </c>
      <c r="W146" s="70" t="str">
        <f t="shared" ca="1" si="9"/>
        <v/>
      </c>
      <c r="X146" s="70" t="e">
        <f t="shared" ca="1" si="10"/>
        <v>#VALUE!</v>
      </c>
      <c r="Y146" s="70" t="e">
        <f t="shared" ca="1" si="11"/>
        <v>#VALUE!</v>
      </c>
      <c r="Z146" s="71" t="e">
        <f t="shared" ca="1" si="12"/>
        <v>#VALUE!</v>
      </c>
      <c r="AA146" s="72" t="e">
        <f t="shared" ca="1" si="13"/>
        <v>#VALUE!</v>
      </c>
      <c r="AB146" s="72" t="e">
        <f t="shared" ca="1" si="14"/>
        <v>#VALUE!</v>
      </c>
      <c r="AC146" s="72" t="e">
        <f t="shared" ca="1" si="15"/>
        <v>#VALUE!</v>
      </c>
      <c r="AD146" s="73" t="e">
        <f t="shared" ca="1" si="16"/>
        <v>#VALUE!</v>
      </c>
      <c r="AE146" s="19" t="e">
        <f t="shared" ca="1" si="17"/>
        <v>#VALUE!</v>
      </c>
      <c r="AF146" s="74" t="str">
        <f t="shared" ca="1" si="18"/>
        <v>Below D1 Low</v>
      </c>
      <c r="AG146" s="17" t="str">
        <f t="shared" ca="1" si="19"/>
        <v>Sell</v>
      </c>
      <c r="AH146" s="17" t="str">
        <f t="shared" ca="1" si="20"/>
        <v>SELL</v>
      </c>
      <c r="AI146" s="75">
        <f ca="1">IFERROR(__xludf.DUMMYFUNCTION("AVERAGE.WEIGHTED((G146+H146+B146)/3, I146)"),159.85)</f>
        <v>159.85</v>
      </c>
      <c r="AJ146" s="75" t="str">
        <f ca="1">IFERROR(__xludf.DUMMYFUNCTION("AVERAGE.WEIGHTED((K146+L146+J146)/3, N146)"),"#N/A")</f>
        <v>#N/A</v>
      </c>
      <c r="AK146" s="75" t="str">
        <f t="shared" ca="1" si="21"/>
        <v>SELL</v>
      </c>
      <c r="AL146" s="31"/>
      <c r="AM146" s="31"/>
      <c r="AN146" s="31"/>
      <c r="AO146" s="31"/>
      <c r="AP146" s="31"/>
      <c r="AQ146" s="31"/>
      <c r="AR146" s="31"/>
    </row>
    <row r="147" spans="1:44" ht="15.75" customHeight="1">
      <c r="A147" s="61" t="s">
        <v>212</v>
      </c>
      <c r="B147" s="218">
        <f ca="1">IFERROR(__xludf.DUMMYFUNCTION("GOOGLEFINANCE(A147,""PRICE"")"),9859.9)</f>
        <v>9859.9</v>
      </c>
      <c r="C147" s="219">
        <f t="shared" ca="1" si="0"/>
        <v>0</v>
      </c>
      <c r="D147" s="219">
        <f ca="1">IFERROR(__xludf.DUMMYFUNCTION("googlefinance(A147,""changepct"")"),3.21)</f>
        <v>3.21</v>
      </c>
      <c r="E147" s="91">
        <f ca="1">IFERROR(__xludf.DUMMYFUNCTION("googlefinance(A147,""change"")"),306.55)</f>
        <v>306.55</v>
      </c>
      <c r="F147" s="219">
        <f ca="1">IFERROR(__xludf.DUMMYFUNCTION("googlefinance(A147,""priceopen"")"),9753.5)</f>
        <v>9753.5</v>
      </c>
      <c r="G147" s="219">
        <f ca="1">IFERROR(__xludf.DUMMYFUNCTION("googlefinance(A147,""HIGH"")"),9889.05)</f>
        <v>9889.0499999999993</v>
      </c>
      <c r="H147" s="219">
        <f ca="1">IFERROR(__xludf.DUMMYFUNCTION("googlefinance(A147,""LOW"")"),9731.5)</f>
        <v>9731.5</v>
      </c>
      <c r="I147" s="219">
        <f ca="1">IFERROR(__xludf.DUMMYFUNCTION("googlefinance(A147,""VOLUME"")"),0)</f>
        <v>0</v>
      </c>
      <c r="J147" s="219">
        <f ca="1">IFERROR(__xludf.DUMMYFUNCTION("googlefinance(A147,""closeyest"")"),9553.35)</f>
        <v>9553.35</v>
      </c>
      <c r="K147" s="220" t="str">
        <f ca="1">IFERROR(__xludf.DUMMYFUNCTION("INDEX( GoogleFinance(A147 , ""all"" , TODAY()-4) , 2, 3)"),"#N/A")</f>
        <v>#N/A</v>
      </c>
      <c r="L147" s="221" t="str">
        <f ca="1">IFERROR(__xludf.DUMMYFUNCTION("INDEX( GoogleFinance(A147 , ""all"" , TODAY()-4 ) , 2, 4)"),"#N/A")</f>
        <v>#N/A</v>
      </c>
      <c r="M147" s="222" t="str">
        <f ca="1">IFERROR(__xludf.DUMMYFUNCTION("INDEX( GoogleFinance(A147 , ""all"" , TODAY()-4) , 2, 2)"),"#N/A")</f>
        <v>#N/A</v>
      </c>
      <c r="N147" s="223" t="str">
        <f ca="1">IFERROR(__xludf.DUMMYFUNCTION("INDEX( GoogleFinance(A147 , ""all"" , TODAY()-4) , 2, 6)"),"#N/A")</f>
        <v>#N/A</v>
      </c>
      <c r="O147" s="69" t="str">
        <f t="shared" ca="1" si="1"/>
        <v/>
      </c>
      <c r="P147" s="69" t="e">
        <f t="shared" ca="1" si="2"/>
        <v>#VALUE!</v>
      </c>
      <c r="Q147" s="69" t="e">
        <f t="shared" ca="1" si="3"/>
        <v>#VALUE!</v>
      </c>
      <c r="R147" s="69" t="e">
        <f t="shared" ca="1" si="26"/>
        <v>#VALUE!</v>
      </c>
      <c r="S147" s="69" t="e">
        <f t="shared" ca="1" si="5"/>
        <v>#VALUE!</v>
      </c>
      <c r="T147" s="224"/>
      <c r="U147" s="224"/>
      <c r="V147" s="224"/>
      <c r="W147" s="225"/>
      <c r="X147" s="70" t="e">
        <f t="shared" ca="1" si="10"/>
        <v>#VALUE!</v>
      </c>
      <c r="Y147" s="70" t="e">
        <f t="shared" ca="1" si="11"/>
        <v>#VALUE!</v>
      </c>
      <c r="Z147" s="71" t="e">
        <f t="shared" ca="1" si="12"/>
        <v>#VALUE!</v>
      </c>
      <c r="AA147" s="72" t="e">
        <f t="shared" ca="1" si="13"/>
        <v>#VALUE!</v>
      </c>
      <c r="AB147" s="72" t="e">
        <f t="shared" ca="1" si="14"/>
        <v>#VALUE!</v>
      </c>
      <c r="AC147" s="72" t="e">
        <f t="shared" ca="1" si="15"/>
        <v>#VALUE!</v>
      </c>
      <c r="AD147" s="73" t="e">
        <f t="shared" ca="1" si="16"/>
        <v>#VALUE!</v>
      </c>
      <c r="AE147" s="19" t="e">
        <f t="shared" ca="1" si="17"/>
        <v>#VALUE!</v>
      </c>
      <c r="AF147" s="74" t="str">
        <f t="shared" ca="1" si="18"/>
        <v>Below D1 Low</v>
      </c>
      <c r="AG147" s="17" t="str">
        <f t="shared" ca="1" si="19"/>
        <v>Sell</v>
      </c>
      <c r="AH147" s="17" t="str">
        <f t="shared" ca="1" si="20"/>
        <v>SELL</v>
      </c>
      <c r="AI147" s="75" t="str">
        <f ca="1">IFERROR(__xludf.DUMMYFUNCTION("AVERAGE.WEIGHTED((G187+H187+B187)/3, I187)"),"#VALUE!")</f>
        <v>#VALUE!</v>
      </c>
      <c r="AJ147" s="75" t="str">
        <f ca="1">IFERROR(__xludf.DUMMYFUNCTION("AVERAGE.WEIGHTED((K187+L187+J187)/3, N187)"),"#VALUE!")</f>
        <v>#VALUE!</v>
      </c>
      <c r="AK147" s="75" t="str">
        <f t="shared" ca="1" si="21"/>
        <v>SELL</v>
      </c>
      <c r="AL147" s="31"/>
      <c r="AM147" s="31"/>
      <c r="AN147" s="31"/>
      <c r="AO147" s="31"/>
      <c r="AP147" s="31"/>
      <c r="AQ147" s="31"/>
      <c r="AR147" s="31"/>
    </row>
    <row r="148" spans="1:44" ht="15.75" customHeight="1">
      <c r="A148" s="226" t="s">
        <v>213</v>
      </c>
      <c r="B148" s="227">
        <f ca="1">IFERROR(__xludf.DUMMYFUNCTION("GOOGLEFINANCE(A148,""PRICE"")"),21534.5)</f>
        <v>21534.5</v>
      </c>
      <c r="C148" s="219">
        <f t="shared" ca="1" si="0"/>
        <v>0</v>
      </c>
      <c r="D148" s="219">
        <f ca="1">IFERROR(__xludf.DUMMYFUNCTION("googlefinance(A148,""changepct"")"),2.11)</f>
        <v>2.11</v>
      </c>
      <c r="E148" s="91">
        <f ca="1">IFERROR(__xludf.DUMMYFUNCTION("googlefinance(A148,""change"")"),444.3)</f>
        <v>444.3</v>
      </c>
      <c r="F148" s="219">
        <f ca="1">IFERROR(__xludf.DUMMYFUNCTION("googlefinance(A148,""priceopen"")"),21589.2)</f>
        <v>21589.200000000001</v>
      </c>
      <c r="G148" s="219">
        <f ca="1">IFERROR(__xludf.DUMMYFUNCTION("googlefinance(A148,""HIGH"")"),21967)</f>
        <v>21967</v>
      </c>
      <c r="H148" s="219">
        <f ca="1">IFERROR(__xludf.DUMMYFUNCTION("googlefinance(A148,""LOW"")"),21353.65)</f>
        <v>21353.65</v>
      </c>
      <c r="I148" s="219">
        <f ca="1">IFERROR(__xludf.DUMMYFUNCTION("googlefinance(A148,""VOLUME"")"),0)</f>
        <v>0</v>
      </c>
      <c r="J148" s="219">
        <f ca="1">IFERROR(__xludf.DUMMYFUNCTION("googlefinance(A148,""closeyest"")"),21090.2)</f>
        <v>21090.2</v>
      </c>
      <c r="K148" s="220" t="str">
        <f ca="1">IFERROR(__xludf.DUMMYFUNCTION("INDEX( GoogleFinance(A148 , ""all"" , TODAY()-4) , 2, 3)"),"#N/A")</f>
        <v>#N/A</v>
      </c>
      <c r="L148" s="221" t="str">
        <f ca="1">IFERROR(__xludf.DUMMYFUNCTION("INDEX( GoogleFinance(A148 , ""all"" , TODAY()-4 ) , 2, 4)"),"#N/A")</f>
        <v>#N/A</v>
      </c>
      <c r="M148" s="222" t="str">
        <f ca="1">IFERROR(__xludf.DUMMYFUNCTION("INDEX( GoogleFinance(A148 , ""all"" , TODAY()-4) , 2, 2)"),"#N/A")</f>
        <v>#N/A</v>
      </c>
      <c r="N148" s="223" t="str">
        <f ca="1">IFERROR(__xludf.DUMMYFUNCTION("INDEX( GoogleFinance(A148 , ""all"" , TODAY()-4) , 2, 6)"),"#N/A")</f>
        <v>#N/A</v>
      </c>
      <c r="O148" s="224"/>
      <c r="P148" s="224"/>
      <c r="Q148" s="224"/>
      <c r="R148" s="224"/>
      <c r="S148" s="224"/>
      <c r="T148" s="224"/>
      <c r="U148" s="224"/>
      <c r="V148" s="224"/>
      <c r="W148" s="225"/>
      <c r="X148" s="225"/>
      <c r="Y148" s="225"/>
      <c r="Z148" s="228"/>
      <c r="AA148" s="229"/>
      <c r="AB148" s="229"/>
      <c r="AC148" s="229"/>
      <c r="AD148" s="230"/>
      <c r="AE148" s="36"/>
      <c r="AF148" s="231"/>
      <c r="AG148" s="77"/>
      <c r="AH148" s="77"/>
      <c r="AI148" s="232"/>
      <c r="AJ148" s="232"/>
      <c r="AK148" s="232"/>
      <c r="AL148" s="31"/>
      <c r="AM148" s="31"/>
      <c r="AN148" s="31"/>
      <c r="AO148" s="31"/>
      <c r="AP148" s="31"/>
      <c r="AQ148" s="31"/>
      <c r="AR148" s="31"/>
    </row>
    <row r="149" spans="1:44" ht="15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233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234" t="str">
        <f t="shared" ref="Z149:Z181" si="27">IF(X149="Sell",Y149+Y149*0.8/100,"")</f>
        <v/>
      </c>
      <c r="AA149" s="31"/>
      <c r="AB149" s="31"/>
      <c r="AC149" s="31"/>
      <c r="AD149" s="31"/>
      <c r="AE149" s="31"/>
      <c r="AF149" s="233"/>
      <c r="AG149" s="233"/>
      <c r="AH149" s="233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</row>
    <row r="150" spans="1:44" ht="15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233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234" t="str">
        <f t="shared" si="27"/>
        <v/>
      </c>
      <c r="AA150" s="31"/>
      <c r="AB150" s="31"/>
      <c r="AC150" s="31"/>
      <c r="AD150" s="31"/>
      <c r="AE150" s="31"/>
      <c r="AF150" s="233"/>
      <c r="AG150" s="233"/>
      <c r="AH150" s="233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</row>
    <row r="151" spans="1:44" ht="15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233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234" t="str">
        <f t="shared" si="27"/>
        <v/>
      </c>
      <c r="AA151" s="31"/>
      <c r="AB151" s="31"/>
      <c r="AC151" s="31"/>
      <c r="AD151" s="31"/>
      <c r="AE151" s="31"/>
      <c r="AF151" s="233"/>
      <c r="AG151" s="233"/>
      <c r="AH151" s="233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</row>
    <row r="152" spans="1:44" ht="15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233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234" t="str">
        <f t="shared" si="27"/>
        <v/>
      </c>
      <c r="AA152" s="31"/>
      <c r="AB152" s="31"/>
      <c r="AC152" s="31"/>
      <c r="AD152" s="31"/>
      <c r="AE152" s="31"/>
      <c r="AF152" s="233"/>
      <c r="AG152" s="233"/>
      <c r="AH152" s="233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</row>
    <row r="153" spans="1:44" ht="15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233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234" t="str">
        <f t="shared" si="27"/>
        <v/>
      </c>
      <c r="AA153" s="31"/>
      <c r="AB153" s="31"/>
      <c r="AC153" s="31"/>
      <c r="AD153" s="31"/>
      <c r="AE153" s="31"/>
      <c r="AF153" s="233"/>
      <c r="AG153" s="233"/>
      <c r="AH153" s="233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</row>
    <row r="154" spans="1:44" ht="15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233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234" t="str">
        <f t="shared" si="27"/>
        <v/>
      </c>
      <c r="AA154" s="31"/>
      <c r="AB154" s="31"/>
      <c r="AC154" s="31"/>
      <c r="AD154" s="31"/>
      <c r="AE154" s="31"/>
      <c r="AF154" s="233"/>
      <c r="AG154" s="233"/>
      <c r="AH154" s="233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</row>
    <row r="155" spans="1:44" ht="15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233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234" t="str">
        <f t="shared" si="27"/>
        <v/>
      </c>
      <c r="AA155" s="31"/>
      <c r="AB155" s="31"/>
      <c r="AC155" s="31"/>
      <c r="AD155" s="31"/>
      <c r="AE155" s="31"/>
      <c r="AF155" s="233"/>
      <c r="AG155" s="233"/>
      <c r="AH155" s="233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</row>
    <row r="156" spans="1:44" ht="15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233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234" t="str">
        <f t="shared" si="27"/>
        <v/>
      </c>
      <c r="AA156" s="31"/>
      <c r="AB156" s="31"/>
      <c r="AC156" s="31"/>
      <c r="AD156" s="31"/>
      <c r="AE156" s="31"/>
      <c r="AF156" s="233"/>
      <c r="AG156" s="233"/>
      <c r="AH156" s="233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</row>
    <row r="157" spans="1:44" ht="15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233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234" t="str">
        <f t="shared" si="27"/>
        <v/>
      </c>
      <c r="AA157" s="31"/>
      <c r="AB157" s="31"/>
      <c r="AC157" s="31"/>
      <c r="AD157" s="31"/>
      <c r="AE157" s="31"/>
      <c r="AF157" s="233"/>
      <c r="AG157" s="233"/>
      <c r="AH157" s="233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</row>
    <row r="158" spans="1:44" ht="15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233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234" t="str">
        <f t="shared" si="27"/>
        <v/>
      </c>
      <c r="AA158" s="31"/>
      <c r="AB158" s="31"/>
      <c r="AC158" s="31"/>
      <c r="AD158" s="31"/>
      <c r="AE158" s="31"/>
      <c r="AF158" s="233"/>
      <c r="AG158" s="233"/>
      <c r="AH158" s="233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</row>
    <row r="159" spans="1:44" ht="15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233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234" t="str">
        <f t="shared" si="27"/>
        <v/>
      </c>
      <c r="AA159" s="31"/>
      <c r="AB159" s="31"/>
      <c r="AC159" s="31"/>
      <c r="AD159" s="31"/>
      <c r="AE159" s="31"/>
      <c r="AF159" s="233"/>
      <c r="AG159" s="233"/>
      <c r="AH159" s="233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</row>
    <row r="160" spans="1:44" ht="15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233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234" t="str">
        <f t="shared" si="27"/>
        <v/>
      </c>
      <c r="AA160" s="31"/>
      <c r="AB160" s="31"/>
      <c r="AC160" s="31"/>
      <c r="AD160" s="31"/>
      <c r="AE160" s="31"/>
      <c r="AF160" s="233"/>
      <c r="AG160" s="233"/>
      <c r="AH160" s="233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</row>
    <row r="161" spans="1:44" ht="15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233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234" t="str">
        <f t="shared" si="27"/>
        <v/>
      </c>
      <c r="AA161" s="31"/>
      <c r="AB161" s="31"/>
      <c r="AC161" s="31"/>
      <c r="AD161" s="31"/>
      <c r="AE161" s="31"/>
      <c r="AF161" s="233"/>
      <c r="AG161" s="233"/>
      <c r="AH161" s="233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</row>
    <row r="162" spans="1:44" ht="15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233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234" t="str">
        <f t="shared" si="27"/>
        <v/>
      </c>
      <c r="AA162" s="31"/>
      <c r="AB162" s="31"/>
      <c r="AC162" s="31"/>
      <c r="AD162" s="31"/>
      <c r="AE162" s="31"/>
      <c r="AF162" s="233"/>
      <c r="AG162" s="233"/>
      <c r="AH162" s="233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</row>
    <row r="163" spans="1:44" ht="15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233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234" t="str">
        <f t="shared" si="27"/>
        <v/>
      </c>
      <c r="AA163" s="31"/>
      <c r="AB163" s="31"/>
      <c r="AC163" s="31"/>
      <c r="AD163" s="31"/>
      <c r="AE163" s="31"/>
      <c r="AF163" s="233"/>
      <c r="AG163" s="233"/>
      <c r="AH163" s="233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</row>
    <row r="164" spans="1:44" ht="15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233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234" t="str">
        <f t="shared" si="27"/>
        <v/>
      </c>
      <c r="AA164" s="31"/>
      <c r="AB164" s="31"/>
      <c r="AC164" s="31"/>
      <c r="AD164" s="31"/>
      <c r="AE164" s="31"/>
      <c r="AF164" s="233"/>
      <c r="AG164" s="233"/>
      <c r="AH164" s="233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</row>
    <row r="165" spans="1:44" ht="15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233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234" t="str">
        <f t="shared" si="27"/>
        <v/>
      </c>
      <c r="AA165" s="31"/>
      <c r="AB165" s="31"/>
      <c r="AC165" s="31"/>
      <c r="AD165" s="31"/>
      <c r="AE165" s="31"/>
      <c r="AF165" s="233"/>
      <c r="AG165" s="233"/>
      <c r="AH165" s="233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</row>
    <row r="166" spans="1:44" ht="15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233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234" t="str">
        <f t="shared" si="27"/>
        <v/>
      </c>
      <c r="AA166" s="31"/>
      <c r="AB166" s="31"/>
      <c r="AC166" s="31"/>
      <c r="AD166" s="31"/>
      <c r="AE166" s="31"/>
      <c r="AF166" s="233"/>
      <c r="AG166" s="233"/>
      <c r="AH166" s="233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</row>
    <row r="167" spans="1:44" ht="15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233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234" t="str">
        <f t="shared" si="27"/>
        <v/>
      </c>
      <c r="AA167" s="31"/>
      <c r="AB167" s="31"/>
      <c r="AC167" s="31"/>
      <c r="AD167" s="31"/>
      <c r="AE167" s="31"/>
      <c r="AF167" s="233"/>
      <c r="AG167" s="233"/>
      <c r="AH167" s="233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</row>
    <row r="168" spans="1:44" ht="15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233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234" t="str">
        <f t="shared" si="27"/>
        <v/>
      </c>
      <c r="AA168" s="31"/>
      <c r="AB168" s="31"/>
      <c r="AC168" s="31"/>
      <c r="AD168" s="31"/>
      <c r="AE168" s="31"/>
      <c r="AF168" s="233"/>
      <c r="AG168" s="233"/>
      <c r="AH168" s="233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</row>
    <row r="169" spans="1:44" ht="15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233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234" t="str">
        <f t="shared" si="27"/>
        <v/>
      </c>
      <c r="AA169" s="31"/>
      <c r="AB169" s="31"/>
      <c r="AC169" s="31"/>
      <c r="AD169" s="31"/>
      <c r="AE169" s="31"/>
      <c r="AF169" s="233"/>
      <c r="AG169" s="233"/>
      <c r="AH169" s="233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</row>
    <row r="170" spans="1:44" ht="15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233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234" t="str">
        <f t="shared" si="27"/>
        <v/>
      </c>
      <c r="AA170" s="31"/>
      <c r="AB170" s="31"/>
      <c r="AC170" s="31"/>
      <c r="AD170" s="31"/>
      <c r="AE170" s="31"/>
      <c r="AF170" s="233"/>
      <c r="AG170" s="233"/>
      <c r="AH170" s="233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</row>
    <row r="171" spans="1:44" ht="15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233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234" t="str">
        <f t="shared" si="27"/>
        <v/>
      </c>
      <c r="AA171" s="31"/>
      <c r="AB171" s="31"/>
      <c r="AC171" s="31"/>
      <c r="AD171" s="31"/>
      <c r="AE171" s="31"/>
      <c r="AF171" s="233"/>
      <c r="AG171" s="233"/>
      <c r="AH171" s="233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</row>
    <row r="172" spans="1:44" ht="15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233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234" t="str">
        <f t="shared" si="27"/>
        <v/>
      </c>
      <c r="AA172" s="31"/>
      <c r="AB172" s="31"/>
      <c r="AC172" s="31"/>
      <c r="AD172" s="31"/>
      <c r="AE172" s="31"/>
      <c r="AF172" s="233"/>
      <c r="AG172" s="233"/>
      <c r="AH172" s="233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</row>
    <row r="173" spans="1:44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233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234" t="str">
        <f t="shared" si="27"/>
        <v/>
      </c>
      <c r="AA173" s="31"/>
      <c r="AB173" s="31"/>
      <c r="AC173" s="31"/>
      <c r="AD173" s="31"/>
      <c r="AE173" s="31"/>
      <c r="AF173" s="233"/>
      <c r="AG173" s="233"/>
      <c r="AH173" s="233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</row>
    <row r="174" spans="1:44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233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234" t="str">
        <f t="shared" si="27"/>
        <v/>
      </c>
      <c r="AA174" s="31"/>
      <c r="AB174" s="31"/>
      <c r="AC174" s="31"/>
      <c r="AD174" s="31"/>
      <c r="AE174" s="31"/>
      <c r="AF174" s="233"/>
      <c r="AG174" s="233"/>
      <c r="AH174" s="233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</row>
    <row r="175" spans="1:44" ht="15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233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234" t="str">
        <f t="shared" si="27"/>
        <v/>
      </c>
      <c r="AA175" s="31"/>
      <c r="AB175" s="31"/>
      <c r="AC175" s="31"/>
      <c r="AD175" s="31"/>
      <c r="AE175" s="31"/>
      <c r="AF175" s="233"/>
      <c r="AG175" s="233"/>
      <c r="AH175" s="233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</row>
    <row r="176" spans="1:44" ht="15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233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234" t="str">
        <f t="shared" si="27"/>
        <v/>
      </c>
      <c r="AA176" s="31"/>
      <c r="AB176" s="31"/>
      <c r="AC176" s="31"/>
      <c r="AD176" s="31"/>
      <c r="AE176" s="31"/>
      <c r="AF176" s="233"/>
      <c r="AG176" s="233"/>
      <c r="AH176" s="233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</row>
    <row r="177" spans="1:44" ht="15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233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234" t="str">
        <f t="shared" si="27"/>
        <v/>
      </c>
      <c r="AA177" s="31"/>
      <c r="AB177" s="31"/>
      <c r="AC177" s="31"/>
      <c r="AD177" s="31"/>
      <c r="AE177" s="31"/>
      <c r="AF177" s="233"/>
      <c r="AG177" s="233"/>
      <c r="AH177" s="233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</row>
    <row r="178" spans="1:44" ht="15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233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234" t="str">
        <f t="shared" si="27"/>
        <v/>
      </c>
      <c r="AA178" s="31"/>
      <c r="AB178" s="31"/>
      <c r="AC178" s="31"/>
      <c r="AD178" s="31"/>
      <c r="AE178" s="31"/>
      <c r="AF178" s="233"/>
      <c r="AG178" s="233"/>
      <c r="AH178" s="233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</row>
    <row r="179" spans="1:44" ht="15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233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234" t="str">
        <f t="shared" si="27"/>
        <v/>
      </c>
      <c r="AA179" s="31"/>
      <c r="AB179" s="31"/>
      <c r="AC179" s="31"/>
      <c r="AD179" s="31"/>
      <c r="AE179" s="31"/>
      <c r="AF179" s="233"/>
      <c r="AG179" s="233"/>
      <c r="AH179" s="233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</row>
    <row r="180" spans="1:44" ht="15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233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234" t="str">
        <f t="shared" si="27"/>
        <v/>
      </c>
      <c r="AA180" s="31"/>
      <c r="AB180" s="31"/>
      <c r="AC180" s="31"/>
      <c r="AD180" s="31"/>
      <c r="AE180" s="31"/>
      <c r="AF180" s="233"/>
      <c r="AG180" s="233"/>
      <c r="AH180" s="233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</row>
    <row r="181" spans="1:44" ht="15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233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234" t="str">
        <f t="shared" si="27"/>
        <v/>
      </c>
      <c r="AA181" s="31"/>
      <c r="AB181" s="31"/>
      <c r="AC181" s="31"/>
      <c r="AD181" s="31"/>
      <c r="AE181" s="31"/>
      <c r="AF181" s="233"/>
      <c r="AG181" s="233"/>
      <c r="AH181" s="233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</row>
    <row r="182" spans="1:44" ht="15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233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235"/>
      <c r="AA182" s="31"/>
      <c r="AB182" s="31"/>
      <c r="AC182" s="31"/>
      <c r="AD182" s="31"/>
      <c r="AE182" s="31"/>
      <c r="AF182" s="233"/>
      <c r="AG182" s="233"/>
      <c r="AH182" s="233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</row>
    <row r="183" spans="1:44" ht="15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233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235"/>
      <c r="AA183" s="31"/>
      <c r="AB183" s="31"/>
      <c r="AC183" s="31"/>
      <c r="AD183" s="31"/>
      <c r="AE183" s="31"/>
      <c r="AF183" s="233"/>
      <c r="AG183" s="233"/>
      <c r="AH183" s="233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</row>
    <row r="184" spans="1:44" ht="15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233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235"/>
      <c r="AA184" s="31"/>
      <c r="AB184" s="31"/>
      <c r="AC184" s="31"/>
      <c r="AD184" s="31"/>
      <c r="AE184" s="31"/>
      <c r="AF184" s="233"/>
      <c r="AG184" s="233"/>
      <c r="AH184" s="233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</row>
    <row r="185" spans="1:44" ht="15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233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233"/>
      <c r="AG185" s="233"/>
      <c r="AH185" s="233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</row>
    <row r="186" spans="1:44" ht="15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233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233"/>
      <c r="AG186" s="233"/>
      <c r="AH186" s="233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</row>
    <row r="187" spans="1:44" ht="15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233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233"/>
      <c r="AG187" s="233"/>
      <c r="AH187" s="233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</row>
    <row r="188" spans="1:44" ht="15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233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233"/>
      <c r="AG188" s="233"/>
      <c r="AH188" s="233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</row>
    <row r="189" spans="1:44" ht="15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233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233"/>
      <c r="AG189" s="233"/>
      <c r="AH189" s="233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</row>
    <row r="190" spans="1:44" ht="15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233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233"/>
      <c r="AG190" s="233"/>
      <c r="AH190" s="233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</row>
    <row r="191" spans="1:44" ht="15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233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233"/>
      <c r="AG191" s="233"/>
      <c r="AH191" s="233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</row>
    <row r="192" spans="1:44" ht="15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233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233"/>
      <c r="AG192" s="233"/>
      <c r="AH192" s="233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</row>
    <row r="193" spans="1:44" ht="15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233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233"/>
      <c r="AG193" s="233"/>
      <c r="AH193" s="233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</row>
    <row r="194" spans="1:44" ht="15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233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233"/>
      <c r="AG194" s="233"/>
      <c r="AH194" s="233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</row>
    <row r="195" spans="1:44" ht="15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233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233"/>
      <c r="AG195" s="233"/>
      <c r="AH195" s="233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</row>
    <row r="196" spans="1:44" ht="15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233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233"/>
      <c r="AG196" s="233"/>
      <c r="AH196" s="233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</row>
    <row r="197" spans="1:44" ht="15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233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233"/>
      <c r="AG197" s="233"/>
      <c r="AH197" s="233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</row>
    <row r="198" spans="1:44" ht="15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233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233"/>
      <c r="AG198" s="233"/>
      <c r="AH198" s="233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</row>
    <row r="199" spans="1:44" ht="15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233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233"/>
      <c r="AG199" s="233"/>
      <c r="AH199" s="233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</row>
    <row r="200" spans="1:44" ht="15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233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233"/>
      <c r="AG200" s="233"/>
      <c r="AH200" s="233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</row>
    <row r="201" spans="1:44" ht="15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233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233"/>
      <c r="AG201" s="233"/>
      <c r="AH201" s="233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</row>
    <row r="202" spans="1:44" ht="15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233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233"/>
      <c r="AG202" s="233"/>
      <c r="AH202" s="233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</row>
    <row r="203" spans="1:44" ht="15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233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233"/>
      <c r="AG203" s="233"/>
      <c r="AH203" s="233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</row>
    <row r="204" spans="1:44" ht="15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233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233"/>
      <c r="AG204" s="233"/>
      <c r="AH204" s="233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</row>
    <row r="205" spans="1:44" ht="15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233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233"/>
      <c r="AG205" s="233"/>
      <c r="AH205" s="233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</row>
    <row r="206" spans="1:44" ht="15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233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233"/>
      <c r="AG206" s="233"/>
      <c r="AH206" s="233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</row>
    <row r="207" spans="1:44" ht="15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233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233"/>
      <c r="AG207" s="233"/>
      <c r="AH207" s="233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</row>
    <row r="208" spans="1:44" ht="15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233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233"/>
      <c r="AG208" s="233"/>
      <c r="AH208" s="233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</row>
    <row r="209" spans="1:44" ht="15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233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233"/>
      <c r="AG209" s="233"/>
      <c r="AH209" s="233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</row>
    <row r="210" spans="1:44" ht="15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233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233"/>
      <c r="AG210" s="233"/>
      <c r="AH210" s="233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</row>
    <row r="211" spans="1:44" ht="15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233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233"/>
      <c r="AG211" s="233"/>
      <c r="AH211" s="233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</row>
    <row r="212" spans="1:44" ht="15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233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233"/>
      <c r="AG212" s="233"/>
      <c r="AH212" s="233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</row>
    <row r="213" spans="1:44" ht="15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233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233"/>
      <c r="AG213" s="233"/>
      <c r="AH213" s="233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</row>
    <row r="214" spans="1:44" ht="15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233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233"/>
      <c r="AG214" s="233"/>
      <c r="AH214" s="233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</row>
    <row r="215" spans="1:44" ht="15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233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233"/>
      <c r="AG215" s="233"/>
      <c r="AH215" s="233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</row>
    <row r="216" spans="1:44" ht="15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233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233"/>
      <c r="AG216" s="233"/>
      <c r="AH216" s="233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</row>
    <row r="217" spans="1:44" ht="15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233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233"/>
      <c r="AG217" s="233"/>
      <c r="AH217" s="233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</row>
    <row r="218" spans="1:44" ht="15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233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233"/>
      <c r="AG218" s="233"/>
      <c r="AH218" s="233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</row>
    <row r="219" spans="1:44" ht="15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233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233"/>
      <c r="AG219" s="233"/>
      <c r="AH219" s="233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</row>
    <row r="220" spans="1:44" ht="15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233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233"/>
      <c r="AG220" s="233"/>
      <c r="AH220" s="233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</row>
    <row r="221" spans="1:44" ht="15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233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233"/>
      <c r="AG221" s="233"/>
      <c r="AH221" s="233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</row>
    <row r="222" spans="1:44" ht="15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233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233"/>
      <c r="AG222" s="233"/>
      <c r="AH222" s="233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</row>
    <row r="223" spans="1:44" ht="15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233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233"/>
      <c r="AG223" s="233"/>
      <c r="AH223" s="233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</row>
    <row r="224" spans="1:44" ht="15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233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233"/>
      <c r="AG224" s="233"/>
      <c r="AH224" s="233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</row>
    <row r="225" spans="1:44" ht="15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233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233"/>
      <c r="AG225" s="233"/>
      <c r="AH225" s="233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</row>
    <row r="226" spans="1:44" ht="15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233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233"/>
      <c r="AG226" s="233"/>
      <c r="AH226" s="233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</row>
    <row r="227" spans="1:44" ht="15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233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233"/>
      <c r="AG227" s="233"/>
      <c r="AH227" s="233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</row>
    <row r="228" spans="1:44" ht="15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233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233"/>
      <c r="AG228" s="233"/>
      <c r="AH228" s="233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</row>
    <row r="229" spans="1:44" ht="15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233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233"/>
      <c r="AG229" s="233"/>
      <c r="AH229" s="233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</row>
    <row r="230" spans="1:44" ht="15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233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233"/>
      <c r="AG230" s="233"/>
      <c r="AH230" s="233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</row>
    <row r="231" spans="1:44" ht="15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233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233"/>
      <c r="AG231" s="233"/>
      <c r="AH231" s="233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</row>
    <row r="232" spans="1:44" ht="15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233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233"/>
      <c r="AG232" s="233"/>
      <c r="AH232" s="233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</row>
    <row r="233" spans="1:44" ht="15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233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233"/>
      <c r="AG233" s="233"/>
      <c r="AH233" s="233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</row>
    <row r="234" spans="1:44" ht="15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233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233"/>
      <c r="AG234" s="233"/>
      <c r="AH234" s="233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</row>
    <row r="235" spans="1:44" ht="15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233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233"/>
      <c r="AG235" s="233"/>
      <c r="AH235" s="233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</row>
    <row r="236" spans="1:44" ht="15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233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233"/>
      <c r="AG236" s="233"/>
      <c r="AH236" s="233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</row>
    <row r="237" spans="1:44" ht="15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233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233"/>
      <c r="AG237" s="233"/>
      <c r="AH237" s="233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</row>
    <row r="238" spans="1:44" ht="15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233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233"/>
      <c r="AG238" s="233"/>
      <c r="AH238" s="233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</row>
    <row r="239" spans="1:44" ht="15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233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233"/>
      <c r="AG239" s="233"/>
      <c r="AH239" s="233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</row>
    <row r="240" spans="1:44" ht="15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233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233"/>
      <c r="AG240" s="233"/>
      <c r="AH240" s="233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</row>
    <row r="241" spans="1:44" ht="15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233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233"/>
      <c r="AG241" s="233"/>
      <c r="AH241" s="233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</row>
    <row r="242" spans="1:44" ht="15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233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233"/>
      <c r="AG242" s="233"/>
      <c r="AH242" s="233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</row>
    <row r="243" spans="1:44" ht="15.7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233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233"/>
      <c r="AG243" s="233"/>
      <c r="AH243" s="233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</row>
    <row r="244" spans="1:44" ht="15.7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233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233"/>
      <c r="AG244" s="233"/>
      <c r="AH244" s="233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</row>
    <row r="245" spans="1:44" ht="15.7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233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233"/>
      <c r="AG245" s="233"/>
      <c r="AH245" s="233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</row>
    <row r="246" spans="1:44" ht="15.7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233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233"/>
      <c r="AG246" s="233"/>
      <c r="AH246" s="233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</row>
    <row r="247" spans="1:44" ht="15.7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233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233"/>
      <c r="AG247" s="233"/>
      <c r="AH247" s="233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</row>
    <row r="248" spans="1:44" ht="15.7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233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233"/>
      <c r="AG248" s="233"/>
      <c r="AH248" s="233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</row>
    <row r="249" spans="1:44" ht="15.75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233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233"/>
      <c r="AG249" s="233"/>
      <c r="AH249" s="233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</row>
    <row r="250" spans="1:44" ht="15.75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233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233"/>
      <c r="AG250" s="233"/>
      <c r="AH250" s="233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</row>
    <row r="251" spans="1:44" ht="15.75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233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233"/>
      <c r="AG251" s="233"/>
      <c r="AH251" s="233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</row>
    <row r="252" spans="1:44" ht="15.7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233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233"/>
      <c r="AG252" s="233"/>
      <c r="AH252" s="233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</row>
    <row r="253" spans="1:44" ht="15.7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233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233"/>
      <c r="AG253" s="233"/>
      <c r="AH253" s="233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</row>
    <row r="254" spans="1:44" ht="15.7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233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233"/>
      <c r="AG254" s="233"/>
      <c r="AH254" s="233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</row>
    <row r="255" spans="1:44" ht="15.7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233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233"/>
      <c r="AG255" s="233"/>
      <c r="AH255" s="233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</row>
    <row r="256" spans="1:44" ht="15.7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233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233"/>
      <c r="AG256" s="233"/>
      <c r="AH256" s="233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</row>
    <row r="257" spans="1:44" ht="15.7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233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233"/>
      <c r="AG257" s="233"/>
      <c r="AH257" s="233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</row>
    <row r="258" spans="1:44" ht="15.7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233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233"/>
      <c r="AG258" s="233"/>
      <c r="AH258" s="233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</row>
    <row r="259" spans="1:44" ht="15.7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233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233"/>
      <c r="AG259" s="233"/>
      <c r="AH259" s="233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</row>
    <row r="260" spans="1:44" ht="15.7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233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233"/>
      <c r="AG260" s="233"/>
      <c r="AH260" s="233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</row>
    <row r="261" spans="1:44" ht="15.7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233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233"/>
      <c r="AG261" s="233"/>
      <c r="AH261" s="233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</row>
    <row r="262" spans="1:44" ht="15.7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233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233"/>
      <c r="AG262" s="233"/>
      <c r="AH262" s="233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</row>
    <row r="263" spans="1:44" ht="15.7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233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233"/>
      <c r="AG263" s="233"/>
      <c r="AH263" s="233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</row>
    <row r="264" spans="1:44" ht="15.7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233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233"/>
      <c r="AG264" s="233"/>
      <c r="AH264" s="233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</row>
    <row r="265" spans="1:44" ht="15.7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233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233"/>
      <c r="AG265" s="233"/>
      <c r="AH265" s="233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</row>
    <row r="266" spans="1:44" ht="15.7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233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233"/>
      <c r="AG266" s="233"/>
      <c r="AH266" s="233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</row>
    <row r="267" spans="1:44" ht="15.7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233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233"/>
      <c r="AG267" s="233"/>
      <c r="AH267" s="233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</row>
    <row r="268" spans="1:44" ht="15.7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233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233"/>
      <c r="AG268" s="233"/>
      <c r="AH268" s="233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</row>
    <row r="269" spans="1:44" ht="15.7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233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233"/>
      <c r="AG269" s="233"/>
      <c r="AH269" s="233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</row>
    <row r="270" spans="1:44" ht="15.7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233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233"/>
      <c r="AG270" s="233"/>
      <c r="AH270" s="233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</row>
    <row r="271" spans="1:44" ht="15.7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233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233"/>
      <c r="AG271" s="233"/>
      <c r="AH271" s="233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</row>
    <row r="272" spans="1:44" ht="15.7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233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233"/>
      <c r="AG272" s="233"/>
      <c r="AH272" s="233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</row>
    <row r="273" spans="1:44" ht="15.7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233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233"/>
      <c r="AG273" s="233"/>
      <c r="AH273" s="233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</row>
    <row r="274" spans="1:44" ht="15.7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233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233"/>
      <c r="AG274" s="233"/>
      <c r="AH274" s="233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</row>
    <row r="275" spans="1:44" ht="15.7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233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233"/>
      <c r="AG275" s="233"/>
      <c r="AH275" s="233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</row>
    <row r="276" spans="1:44" ht="15.7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233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233"/>
      <c r="AG276" s="233"/>
      <c r="AH276" s="233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</row>
    <row r="277" spans="1:44" ht="15.7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233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233"/>
      <c r="AG277" s="233"/>
      <c r="AH277" s="233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</row>
    <row r="278" spans="1:44" ht="15.7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233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233"/>
      <c r="AG278" s="233"/>
      <c r="AH278" s="233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</row>
    <row r="279" spans="1:44" ht="15.7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233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233"/>
      <c r="AG279" s="233"/>
      <c r="AH279" s="233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</row>
    <row r="280" spans="1:44" ht="15.7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233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233"/>
      <c r="AG280" s="233"/>
      <c r="AH280" s="233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</row>
    <row r="281" spans="1:44" ht="15.7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233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233"/>
      <c r="AG281" s="233"/>
      <c r="AH281" s="233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</row>
    <row r="282" spans="1:44" ht="15.7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233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233"/>
      <c r="AG282" s="233"/>
      <c r="AH282" s="233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</row>
    <row r="283" spans="1:44" ht="15.7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233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233"/>
      <c r="AG283" s="233"/>
      <c r="AH283" s="233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</row>
    <row r="284" spans="1:44" ht="15.7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233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233"/>
      <c r="AG284" s="233"/>
      <c r="AH284" s="233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</row>
    <row r="285" spans="1:44" ht="15.7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233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233"/>
      <c r="AG285" s="233"/>
      <c r="AH285" s="233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</row>
    <row r="286" spans="1:44" ht="15.7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233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233"/>
      <c r="AG286" s="233"/>
      <c r="AH286" s="233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</row>
    <row r="287" spans="1:44" ht="15.7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233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233"/>
      <c r="AG287" s="233"/>
      <c r="AH287" s="233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</row>
    <row r="288" spans="1:44" ht="15.7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233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233"/>
      <c r="AG288" s="233"/>
      <c r="AH288" s="233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</row>
    <row r="289" spans="1:44" ht="15.7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233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233"/>
      <c r="AG289" s="233"/>
      <c r="AH289" s="233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</row>
    <row r="290" spans="1:44" ht="15.7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233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233"/>
      <c r="AG290" s="233"/>
      <c r="AH290" s="233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</row>
    <row r="291" spans="1:44" ht="15.7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233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233"/>
      <c r="AG291" s="233"/>
      <c r="AH291" s="233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</row>
    <row r="292" spans="1:44" ht="15.7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233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233"/>
      <c r="AG292" s="233"/>
      <c r="AH292" s="233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</row>
    <row r="293" spans="1:44" ht="15.7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233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233"/>
      <c r="AG293" s="233"/>
      <c r="AH293" s="233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</row>
    <row r="294" spans="1:44" ht="15.7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233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233"/>
      <c r="AG294" s="233"/>
      <c r="AH294" s="233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</row>
    <row r="295" spans="1:44" ht="15.7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233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233"/>
      <c r="AG295" s="233"/>
      <c r="AH295" s="233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</row>
    <row r="296" spans="1:44" ht="15.7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233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233"/>
      <c r="AG296" s="233"/>
      <c r="AH296" s="233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</row>
    <row r="297" spans="1:44" ht="15.7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233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233"/>
      <c r="AG297" s="233"/>
      <c r="AH297" s="233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</row>
    <row r="298" spans="1:44" ht="15.7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233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233"/>
      <c r="AG298" s="233"/>
      <c r="AH298" s="233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</row>
    <row r="299" spans="1:44" ht="15.7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233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233"/>
      <c r="AG299" s="233"/>
      <c r="AH299" s="233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</row>
    <row r="300" spans="1:44" ht="15.7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233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233"/>
      <c r="AG300" s="233"/>
      <c r="AH300" s="233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</row>
    <row r="301" spans="1:44" ht="15.7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233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233"/>
      <c r="AG301" s="233"/>
      <c r="AH301" s="233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</row>
    <row r="302" spans="1:44" ht="15.75" customHeight="1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233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233"/>
      <c r="AG302" s="233"/>
      <c r="AH302" s="233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</row>
    <row r="303" spans="1:44" ht="15.75" customHeight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233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233"/>
      <c r="AG303" s="233"/>
      <c r="AH303" s="233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</row>
    <row r="304" spans="1:44" ht="15.75" customHeight="1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233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233"/>
      <c r="AG304" s="233"/>
      <c r="AH304" s="233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</row>
    <row r="305" spans="1:44" ht="15.75" customHeight="1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233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233"/>
      <c r="AG305" s="233"/>
      <c r="AH305" s="233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</row>
    <row r="306" spans="1:44" ht="15.75" customHeight="1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233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233"/>
      <c r="AG306" s="233"/>
      <c r="AH306" s="233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</row>
    <row r="307" spans="1:44" ht="15.75" customHeight="1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233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233"/>
      <c r="AG307" s="233"/>
      <c r="AH307" s="233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</row>
    <row r="308" spans="1:44" ht="15.75" customHeight="1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233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233"/>
      <c r="AG308" s="233"/>
      <c r="AH308" s="233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</row>
    <row r="309" spans="1:44" ht="15.75" customHeight="1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233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233"/>
      <c r="AG309" s="233"/>
      <c r="AH309" s="233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</row>
    <row r="310" spans="1:44" ht="15.75" customHeight="1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233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233"/>
      <c r="AG310" s="233"/>
      <c r="AH310" s="233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</row>
    <row r="311" spans="1:44" ht="15.75" customHeight="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233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233"/>
      <c r="AG311" s="233"/>
      <c r="AH311" s="233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</row>
    <row r="312" spans="1:44" ht="15.75" customHeight="1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233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233"/>
      <c r="AG312" s="233"/>
      <c r="AH312" s="233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</row>
    <row r="313" spans="1:44" ht="15.75" customHeight="1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233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233"/>
      <c r="AG313" s="233"/>
      <c r="AH313" s="233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</row>
    <row r="314" spans="1:44" ht="15.75" customHeight="1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233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233"/>
      <c r="AG314" s="233"/>
      <c r="AH314" s="233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</row>
    <row r="315" spans="1:44" ht="15.75" customHeight="1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233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233"/>
      <c r="AG315" s="233"/>
      <c r="AH315" s="233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</row>
    <row r="316" spans="1:44" ht="15.75" customHeight="1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233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233"/>
      <c r="AG316" s="233"/>
      <c r="AH316" s="233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</row>
    <row r="317" spans="1:44" ht="15.75" customHeight="1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233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233"/>
      <c r="AG317" s="233"/>
      <c r="AH317" s="233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</row>
    <row r="318" spans="1:44" ht="15.75" customHeight="1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233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233"/>
      <c r="AG318" s="233"/>
      <c r="AH318" s="233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</row>
    <row r="319" spans="1:44" ht="15.75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233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233"/>
      <c r="AG319" s="233"/>
      <c r="AH319" s="233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</row>
    <row r="320" spans="1:44" ht="15.75" customHeight="1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233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233"/>
      <c r="AG320" s="233"/>
      <c r="AH320" s="233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</row>
    <row r="321" spans="1:44" ht="15.75" customHeight="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233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233"/>
      <c r="AG321" s="233"/>
      <c r="AH321" s="233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</row>
    <row r="322" spans="1:44" ht="15.75" customHeight="1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233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233"/>
      <c r="AG322" s="233"/>
      <c r="AH322" s="233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</row>
    <row r="323" spans="1:44" ht="15.75" customHeight="1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233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233"/>
      <c r="AG323" s="233"/>
      <c r="AH323" s="233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</row>
    <row r="324" spans="1:44" ht="15.75" customHeight="1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233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233"/>
      <c r="AG324" s="233"/>
      <c r="AH324" s="233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</row>
    <row r="325" spans="1:44" ht="15.75" customHeight="1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233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233"/>
      <c r="AG325" s="233"/>
      <c r="AH325" s="233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</row>
    <row r="326" spans="1:44" ht="15.75" customHeight="1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233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233"/>
      <c r="AG326" s="233"/>
      <c r="AH326" s="233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</row>
    <row r="327" spans="1:44" ht="15.75" customHeight="1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233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233"/>
      <c r="AG327" s="233"/>
      <c r="AH327" s="233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</row>
    <row r="328" spans="1:44" ht="15.75" customHeight="1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233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233"/>
      <c r="AG328" s="233"/>
      <c r="AH328" s="233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</row>
    <row r="329" spans="1:44" ht="15.75" customHeight="1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233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233"/>
      <c r="AG329" s="233"/>
      <c r="AH329" s="233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</row>
    <row r="330" spans="1:44" ht="15.75" customHeight="1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233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233"/>
      <c r="AG330" s="233"/>
      <c r="AH330" s="233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</row>
    <row r="331" spans="1:44" ht="15.75" customHeight="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233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233"/>
      <c r="AG331" s="233"/>
      <c r="AH331" s="233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</row>
    <row r="332" spans="1:44" ht="15.75" customHeight="1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233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233"/>
      <c r="AG332" s="233"/>
      <c r="AH332" s="233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</row>
    <row r="333" spans="1:44" ht="15.75" customHeight="1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233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233"/>
      <c r="AG333" s="233"/>
      <c r="AH333" s="233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</row>
    <row r="334" spans="1:44" ht="15.75" customHeight="1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233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233"/>
      <c r="AG334" s="233"/>
      <c r="AH334" s="233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</row>
    <row r="335" spans="1:44" ht="15.75" customHeight="1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233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233"/>
      <c r="AG335" s="233"/>
      <c r="AH335" s="233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</row>
    <row r="336" spans="1:44" ht="15.75" customHeight="1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233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233"/>
      <c r="AG336" s="233"/>
      <c r="AH336" s="233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</row>
    <row r="337" spans="1:44" ht="15.75" customHeight="1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233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233"/>
      <c r="AG337" s="233"/>
      <c r="AH337" s="233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</row>
    <row r="338" spans="1:44" ht="15.75" customHeight="1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233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233"/>
      <c r="AG338" s="233"/>
      <c r="AH338" s="233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</row>
    <row r="339" spans="1:44" ht="15.75" customHeight="1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233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233"/>
      <c r="AG339" s="233"/>
      <c r="AH339" s="233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</row>
    <row r="340" spans="1:44" ht="15.75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233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233"/>
      <c r="AG340" s="233"/>
      <c r="AH340" s="233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</row>
    <row r="341" spans="1:44" ht="15.75" customHeight="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233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233"/>
      <c r="AG341" s="233"/>
      <c r="AH341" s="233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</row>
    <row r="342" spans="1:44" ht="15.75" customHeight="1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233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233"/>
      <c r="AG342" s="233"/>
      <c r="AH342" s="233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</row>
    <row r="343" spans="1:44" ht="15.75" customHeight="1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233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233"/>
      <c r="AG343" s="233"/>
      <c r="AH343" s="233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</row>
    <row r="344" spans="1:44" ht="15.75" customHeight="1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233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233"/>
      <c r="AG344" s="233"/>
      <c r="AH344" s="233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</row>
    <row r="345" spans="1:44" ht="15.75" customHeight="1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233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233"/>
      <c r="AG345" s="233"/>
      <c r="AH345" s="233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</row>
    <row r="346" spans="1:44" ht="15.75" customHeight="1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233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233"/>
      <c r="AG346" s="233"/>
      <c r="AH346" s="233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</row>
    <row r="347" spans="1:44" ht="15.75" customHeight="1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233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233"/>
      <c r="AG347" s="233"/>
      <c r="AH347" s="233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</row>
    <row r="348" spans="1:44" ht="15.75" customHeight="1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233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233"/>
      <c r="AG348" s="233"/>
      <c r="AH348" s="233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</row>
    <row r="349" spans="1:44" ht="15.75" customHeight="1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233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233"/>
      <c r="AG349" s="233"/>
      <c r="AH349" s="233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</row>
    <row r="350" spans="1:44" ht="15.75" customHeight="1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233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233"/>
      <c r="AG350" s="233"/>
      <c r="AH350" s="233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</row>
    <row r="351" spans="1:44" ht="15.75" customHeight="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233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233"/>
      <c r="AG351" s="233"/>
      <c r="AH351" s="233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</row>
    <row r="352" spans="1:44" ht="15.75" customHeight="1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233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233"/>
      <c r="AG352" s="233"/>
      <c r="AH352" s="233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</row>
    <row r="353" spans="1:44" ht="15.75" customHeight="1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233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233"/>
      <c r="AG353" s="233"/>
      <c r="AH353" s="233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</row>
    <row r="354" spans="1:44" ht="15.75" customHeight="1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233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233"/>
      <c r="AG354" s="233"/>
      <c r="AH354" s="233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</row>
    <row r="355" spans="1:44" ht="15.75" customHeight="1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233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233"/>
      <c r="AG355" s="233"/>
      <c r="AH355" s="233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</row>
    <row r="356" spans="1:44" ht="15.75" customHeight="1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233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233"/>
      <c r="AG356" s="233"/>
      <c r="AH356" s="233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</row>
    <row r="357" spans="1:44" ht="15.75" customHeight="1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233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233"/>
      <c r="AG357" s="233"/>
      <c r="AH357" s="233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</row>
    <row r="358" spans="1:44" ht="15.75" customHeight="1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233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233"/>
      <c r="AG358" s="233"/>
      <c r="AH358" s="233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</row>
    <row r="359" spans="1:44" ht="15.75" customHeight="1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233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233"/>
      <c r="AG359" s="233"/>
      <c r="AH359" s="233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</row>
    <row r="360" spans="1:44" ht="15.75" customHeight="1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233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233"/>
      <c r="AG360" s="233"/>
      <c r="AH360" s="233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</row>
    <row r="361" spans="1:44" ht="15.75" customHeight="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233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233"/>
      <c r="AG361" s="233"/>
      <c r="AH361" s="233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</row>
    <row r="362" spans="1:44" ht="15.75" customHeight="1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233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233"/>
      <c r="AG362" s="233"/>
      <c r="AH362" s="233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</row>
    <row r="363" spans="1:44" ht="15.75" customHeight="1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233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233"/>
      <c r="AG363" s="233"/>
      <c r="AH363" s="233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</row>
    <row r="364" spans="1:44" ht="15.75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233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233"/>
      <c r="AG364" s="233"/>
      <c r="AH364" s="233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</row>
    <row r="365" spans="1:44" ht="15.75" customHeight="1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233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233"/>
      <c r="AG365" s="233"/>
      <c r="AH365" s="233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</row>
    <row r="366" spans="1:44" ht="15.75" customHeight="1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233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233"/>
      <c r="AG366" s="233"/>
      <c r="AH366" s="233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</row>
    <row r="367" spans="1:44" ht="15.75" customHeight="1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233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233"/>
      <c r="AG367" s="233"/>
      <c r="AH367" s="233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</row>
    <row r="368" spans="1:44" ht="15.75" customHeight="1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233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233"/>
      <c r="AG368" s="233"/>
      <c r="AH368" s="233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</row>
    <row r="369" spans="1:44" ht="15.75" customHeight="1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233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233"/>
      <c r="AG369" s="233"/>
      <c r="AH369" s="233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</row>
    <row r="370" spans="1:44" ht="15.75" customHeight="1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233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233"/>
      <c r="AG370" s="233"/>
      <c r="AH370" s="233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</row>
    <row r="371" spans="1:44" ht="15.75" customHeight="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233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233"/>
      <c r="AG371" s="233"/>
      <c r="AH371" s="233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</row>
    <row r="372" spans="1:44" ht="15.75" customHeight="1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233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233"/>
      <c r="AG372" s="233"/>
      <c r="AH372" s="233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</row>
    <row r="373" spans="1:44" ht="15.75" customHeight="1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233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233"/>
      <c r="AG373" s="233"/>
      <c r="AH373" s="233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</row>
    <row r="374" spans="1:44" ht="15.75" customHeight="1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233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233"/>
      <c r="AG374" s="233"/>
      <c r="AH374" s="233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</row>
    <row r="375" spans="1:44" ht="15.75" customHeight="1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233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233"/>
      <c r="AG375" s="233"/>
      <c r="AH375" s="233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</row>
    <row r="376" spans="1:44" ht="15.75" customHeight="1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233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233"/>
      <c r="AG376" s="233"/>
      <c r="AH376" s="233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</row>
    <row r="377" spans="1:44" ht="15.75" customHeight="1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233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233"/>
      <c r="AG377" s="233"/>
      <c r="AH377" s="233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</row>
    <row r="378" spans="1:44" ht="15.75" customHeight="1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233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233"/>
      <c r="AG378" s="233"/>
      <c r="AH378" s="233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</row>
    <row r="379" spans="1:44" ht="15.75" customHeight="1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233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233"/>
      <c r="AG379" s="233"/>
      <c r="AH379" s="233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</row>
    <row r="380" spans="1:44" ht="15.75" customHeight="1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233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233"/>
      <c r="AG380" s="233"/>
      <c r="AH380" s="233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</row>
    <row r="381" spans="1:44" ht="15.75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233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233"/>
      <c r="AG381" s="233"/>
      <c r="AH381" s="233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</row>
    <row r="382" spans="1:44" ht="15.75" customHeight="1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</row>
    <row r="383" spans="1:44" ht="15.75" customHeight="1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</row>
    <row r="384" spans="1:44" ht="15.75" customHeight="1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</row>
    <row r="385" spans="1:44" ht="15.75" customHeight="1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</row>
    <row r="386" spans="1:44" ht="15.75" customHeight="1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</row>
    <row r="387" spans="1:44" ht="15.75" customHeight="1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</row>
    <row r="388" spans="1:44" ht="15.75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</row>
    <row r="389" spans="1:44" ht="15.75" customHeight="1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</row>
    <row r="390" spans="1:44" ht="15.75" customHeight="1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</row>
    <row r="391" spans="1:44" ht="15.75" customHeight="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</row>
    <row r="392" spans="1:44" ht="15.75" customHeight="1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</row>
    <row r="393" spans="1:44" ht="15.75" customHeight="1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</row>
    <row r="394" spans="1:44" ht="15.75" customHeight="1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</row>
    <row r="395" spans="1:44" ht="15.75" customHeight="1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</row>
    <row r="396" spans="1:44" ht="15.75" customHeight="1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</row>
    <row r="397" spans="1:44" ht="15.75" customHeight="1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</row>
    <row r="398" spans="1:44" ht="15.75" customHeight="1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</row>
    <row r="399" spans="1:44" ht="15.75" customHeight="1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</row>
    <row r="400" spans="1:44" ht="15.75" customHeight="1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</row>
    <row r="401" spans="1:44" ht="15.75" customHeight="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</row>
    <row r="402" spans="1:44" ht="15.75" customHeight="1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</row>
    <row r="403" spans="1:44" ht="15.75" customHeight="1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</row>
    <row r="404" spans="1:44" ht="15.75" customHeight="1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</row>
    <row r="405" spans="1:44" ht="15.75" customHeight="1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</row>
    <row r="406" spans="1:44" ht="15.75" customHeight="1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</row>
    <row r="407" spans="1:44" ht="15.75" customHeight="1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</row>
    <row r="408" spans="1:44" ht="15.75" customHeight="1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</row>
    <row r="409" spans="1:44" ht="15.75" customHeight="1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</row>
    <row r="410" spans="1:44" ht="15.75" customHeight="1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</row>
    <row r="411" spans="1:44" ht="15.75" customHeight="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</row>
    <row r="412" spans="1:44" ht="15.75" customHeight="1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</row>
    <row r="413" spans="1:44" ht="15.75" customHeight="1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</row>
    <row r="414" spans="1:44" ht="15.75" customHeight="1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</row>
    <row r="415" spans="1:44" ht="15.75" customHeight="1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</row>
    <row r="416" spans="1:44" ht="15.75" customHeight="1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</row>
    <row r="417" spans="1:44" ht="15.75" customHeight="1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</row>
    <row r="418" spans="1:44" ht="15.75" customHeight="1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</row>
    <row r="419" spans="1:44" ht="15.75" customHeight="1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</row>
    <row r="420" spans="1:44" ht="15.75" customHeight="1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</row>
    <row r="421" spans="1:44" ht="15.75" customHeight="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</row>
    <row r="422" spans="1:44" ht="15.75" customHeight="1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</row>
    <row r="423" spans="1:44" ht="15.75" customHeight="1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</row>
    <row r="424" spans="1:44" ht="15.75" customHeight="1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</row>
    <row r="425" spans="1:44" ht="15.75" customHeight="1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</row>
    <row r="426" spans="1:44" ht="15.75" customHeight="1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</row>
    <row r="427" spans="1:44" ht="15.75" customHeight="1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</row>
    <row r="428" spans="1:44" ht="15.75" customHeight="1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</row>
    <row r="429" spans="1:44" ht="15.75" customHeight="1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</row>
    <row r="430" spans="1:44" ht="15.75" customHeight="1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</row>
    <row r="431" spans="1:44" ht="15.75" customHeight="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</row>
    <row r="432" spans="1:44" ht="15.75" customHeight="1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</row>
    <row r="433" spans="1:44" ht="15.75" customHeight="1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</row>
    <row r="434" spans="1:44" ht="15.75" customHeight="1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</row>
    <row r="435" spans="1:44" ht="15.75" customHeight="1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</row>
    <row r="436" spans="1:44" ht="15.75" customHeight="1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</row>
    <row r="437" spans="1:44" ht="15.75" customHeight="1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</row>
    <row r="438" spans="1:44" ht="15.75" customHeight="1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</row>
    <row r="439" spans="1:44" ht="15.75" customHeight="1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</row>
    <row r="440" spans="1:44" ht="15.75" customHeight="1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</row>
    <row r="441" spans="1:44" ht="15.75" customHeight="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</row>
    <row r="442" spans="1:44" ht="15.75" customHeight="1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</row>
    <row r="443" spans="1:44" ht="15.75" customHeight="1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</row>
    <row r="444" spans="1:44" ht="15.75" customHeight="1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</row>
    <row r="445" spans="1:44" ht="15.75" customHeight="1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</row>
    <row r="446" spans="1:44" ht="15.75" customHeight="1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</row>
    <row r="447" spans="1:44" ht="15.75" customHeight="1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</row>
    <row r="448" spans="1:44" ht="15.75" customHeight="1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</row>
    <row r="449" spans="1:44" ht="15.75" customHeight="1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</row>
    <row r="450" spans="1:44" ht="15.75" customHeight="1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</row>
    <row r="451" spans="1:44" ht="15.75" customHeight="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</row>
    <row r="452" spans="1:44" ht="15.75" customHeight="1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</row>
    <row r="453" spans="1:44" ht="15.75" customHeight="1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</row>
    <row r="454" spans="1:44" ht="15.75" customHeight="1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</row>
    <row r="455" spans="1:44" ht="15.75" customHeight="1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</row>
    <row r="456" spans="1:44" ht="15.75" customHeight="1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</row>
    <row r="457" spans="1:44" ht="15.75" customHeight="1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</row>
    <row r="458" spans="1:44" ht="15.75" customHeight="1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</row>
    <row r="459" spans="1:44" ht="15.75" customHeight="1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</row>
    <row r="460" spans="1:44" ht="15.75" customHeight="1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</row>
    <row r="461" spans="1:44" ht="15.75" customHeight="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</row>
    <row r="462" spans="1:44" ht="15.75" customHeight="1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</row>
    <row r="463" spans="1:44" ht="15.75" customHeight="1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</row>
    <row r="464" spans="1:44" ht="15.75" customHeight="1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</row>
    <row r="465" spans="1:44" ht="15.75" customHeight="1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</row>
    <row r="466" spans="1:44" ht="15.75" customHeight="1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</row>
    <row r="467" spans="1:44" ht="15.75" customHeight="1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</row>
    <row r="468" spans="1:44" ht="15.75" customHeight="1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</row>
    <row r="469" spans="1:44" ht="15.75" customHeight="1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</row>
    <row r="470" spans="1:44" ht="15.75" customHeight="1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</row>
    <row r="471" spans="1:44" ht="15.75" customHeight="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</row>
    <row r="472" spans="1:44" ht="15.75" customHeight="1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</row>
    <row r="473" spans="1:44" ht="15.75" customHeight="1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</row>
    <row r="474" spans="1:44" ht="15.75" customHeight="1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</row>
    <row r="475" spans="1:44" ht="15.75" customHeight="1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</row>
    <row r="476" spans="1:44" ht="15.75" customHeight="1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</row>
    <row r="477" spans="1:44" ht="15.75" customHeight="1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</row>
    <row r="478" spans="1:44" ht="15.75" customHeight="1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</row>
    <row r="479" spans="1:44" ht="15.75" customHeight="1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</row>
    <row r="480" spans="1:44" ht="15.75" customHeight="1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</row>
    <row r="481" spans="1:44" ht="15.75" customHeight="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</row>
    <row r="482" spans="1:44" ht="15.75" customHeight="1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</row>
    <row r="483" spans="1:44" ht="15.75" customHeight="1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</row>
    <row r="484" spans="1:44" ht="15.75" customHeight="1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</row>
    <row r="485" spans="1:44" ht="15.75" customHeight="1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</row>
    <row r="486" spans="1:44" ht="15.75" customHeight="1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</row>
    <row r="487" spans="1:44" ht="15.75" customHeight="1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</row>
    <row r="488" spans="1:44" ht="15.75" customHeight="1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</row>
    <row r="489" spans="1:44" ht="15.75" customHeight="1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</row>
    <row r="490" spans="1:44" ht="15.75" customHeight="1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</row>
    <row r="491" spans="1:44" ht="15.75" customHeight="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</row>
    <row r="492" spans="1:44" ht="15.75" customHeight="1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</row>
    <row r="493" spans="1:44" ht="15.75" customHeight="1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</row>
    <row r="494" spans="1:44" ht="15.75" customHeight="1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</row>
    <row r="495" spans="1:44" ht="15.75" customHeight="1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</row>
    <row r="496" spans="1:44" ht="15.75" customHeight="1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</row>
    <row r="497" spans="1:44" ht="15.75" customHeight="1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</row>
    <row r="498" spans="1:44" ht="15.75" customHeight="1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</row>
    <row r="499" spans="1:44" ht="15.75" customHeight="1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</row>
    <row r="500" spans="1:44" ht="15.75" customHeight="1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</row>
    <row r="501" spans="1:44" ht="15.75" customHeight="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</row>
    <row r="502" spans="1:44" ht="15.75" customHeight="1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</row>
    <row r="503" spans="1:44" ht="15.75" customHeight="1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</row>
    <row r="504" spans="1:44" ht="15.75" customHeight="1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</row>
    <row r="505" spans="1:44" ht="15.75" customHeight="1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</row>
    <row r="506" spans="1:44" ht="15.75" customHeight="1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</row>
    <row r="507" spans="1:44" ht="15.75" customHeight="1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</row>
    <row r="508" spans="1:44" ht="15.75" customHeight="1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</row>
    <row r="509" spans="1:44" ht="15.75" customHeight="1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</row>
    <row r="510" spans="1:44" ht="15.75" customHeight="1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</row>
    <row r="511" spans="1:44" ht="15.75" customHeight="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</row>
    <row r="512" spans="1:44" ht="15.75" customHeight="1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</row>
    <row r="513" spans="1:44" ht="15.75" customHeight="1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</row>
    <row r="514" spans="1:44" ht="15.75" customHeight="1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</row>
    <row r="515" spans="1:44" ht="15.75" customHeight="1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</row>
    <row r="516" spans="1:44" ht="15.75" customHeight="1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</row>
    <row r="517" spans="1:44" ht="15.75" customHeight="1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</row>
    <row r="518" spans="1:44" ht="15.75" customHeight="1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</row>
    <row r="519" spans="1:44" ht="15.75" customHeight="1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</row>
    <row r="520" spans="1:44" ht="15.75" customHeight="1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</row>
    <row r="521" spans="1:44" ht="15.75" customHeight="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</row>
    <row r="522" spans="1:44" ht="15.75" customHeight="1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</row>
    <row r="523" spans="1:44" ht="15.75" customHeight="1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</row>
    <row r="524" spans="1:44" ht="15.75" customHeight="1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</row>
    <row r="525" spans="1:44" ht="15.75" customHeight="1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</row>
    <row r="526" spans="1:44" ht="15.75" customHeight="1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</row>
    <row r="527" spans="1:44" ht="15.75" customHeight="1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</row>
    <row r="528" spans="1:44" ht="15.75" customHeight="1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</row>
    <row r="529" spans="1:44" ht="15.75" customHeight="1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</row>
    <row r="530" spans="1:44" ht="15.75" customHeight="1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</row>
    <row r="531" spans="1:44" ht="15.75" customHeight="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</row>
    <row r="532" spans="1:44" ht="15.75" customHeight="1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</row>
    <row r="533" spans="1:44" ht="15.75" customHeight="1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</row>
    <row r="534" spans="1:44" ht="15.75" customHeight="1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</row>
    <row r="535" spans="1:44" ht="15.75" customHeight="1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</row>
    <row r="536" spans="1:44" ht="15.75" customHeight="1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</row>
    <row r="537" spans="1:44" ht="15.75" customHeight="1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</row>
    <row r="538" spans="1:44" ht="15.75" customHeight="1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</row>
    <row r="539" spans="1:44" ht="15.75" customHeight="1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</row>
    <row r="540" spans="1:44" ht="15.75" customHeight="1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</row>
    <row r="541" spans="1:44" ht="15.75" customHeight="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</row>
    <row r="542" spans="1:44" ht="15.75" customHeight="1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</row>
    <row r="543" spans="1:44" ht="15.75" customHeight="1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</row>
    <row r="544" spans="1:44" ht="15.75" customHeight="1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</row>
    <row r="545" spans="1:44" ht="15.75" customHeight="1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</row>
    <row r="546" spans="1:44" ht="15.75" customHeight="1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</row>
    <row r="547" spans="1:44" ht="15.75" customHeight="1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</row>
    <row r="548" spans="1:44" ht="15.75" customHeight="1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</row>
    <row r="549" spans="1:44" ht="15.75" customHeight="1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</row>
    <row r="550" spans="1:44" ht="15.75" customHeight="1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</row>
    <row r="551" spans="1:44" ht="15.75" customHeight="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</row>
    <row r="552" spans="1:44" ht="15.75" customHeight="1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</row>
    <row r="553" spans="1:44" ht="15.75" customHeight="1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</row>
    <row r="554" spans="1:44" ht="15.75" customHeight="1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</row>
    <row r="555" spans="1:44" ht="15.75" customHeight="1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</row>
    <row r="556" spans="1:44" ht="15.75" customHeight="1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</row>
    <row r="557" spans="1:44" ht="15.75" customHeight="1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</row>
    <row r="558" spans="1:44" ht="15.75" customHeight="1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</row>
    <row r="559" spans="1:44" ht="15.75" customHeight="1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</row>
    <row r="560" spans="1:44" ht="15.75" customHeight="1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</row>
    <row r="561" spans="1:44" ht="15.75" customHeight="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</row>
    <row r="562" spans="1:44" ht="15.75" customHeight="1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</row>
    <row r="563" spans="1:44" ht="15.75" customHeight="1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</row>
    <row r="564" spans="1:44" ht="15.75" customHeight="1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</row>
    <row r="565" spans="1:44" ht="15.75" customHeight="1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</row>
    <row r="566" spans="1:44" ht="15.75" customHeight="1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</row>
    <row r="567" spans="1:44" ht="15.75" customHeight="1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</row>
    <row r="568" spans="1:44" ht="15.75" customHeight="1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</row>
    <row r="569" spans="1:44" ht="15.75" customHeight="1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</row>
    <row r="570" spans="1:44" ht="15.75" customHeight="1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</row>
    <row r="571" spans="1:44" ht="15.75" customHeight="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</row>
    <row r="572" spans="1:44" ht="15.75" customHeight="1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</row>
    <row r="573" spans="1:44" ht="15.75" customHeight="1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</row>
    <row r="574" spans="1:44" ht="15.75" customHeight="1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</row>
    <row r="575" spans="1:44" ht="15.75" customHeight="1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</row>
    <row r="576" spans="1:44" ht="15.75" customHeight="1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</row>
    <row r="577" spans="1:44" ht="15.75" customHeight="1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</row>
    <row r="578" spans="1:44" ht="15.75" customHeight="1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</row>
    <row r="579" spans="1:44" ht="15.75" customHeight="1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  <c r="AF579" s="31"/>
      <c r="AG579" s="31"/>
      <c r="AH579" s="31"/>
      <c r="AI579" s="31"/>
      <c r="AJ579" s="31"/>
      <c r="AK579" s="31"/>
      <c r="AL579" s="31"/>
      <c r="AM579" s="31"/>
      <c r="AN579" s="31"/>
      <c r="AO579" s="31"/>
      <c r="AP579" s="31"/>
      <c r="AQ579" s="31"/>
      <c r="AR579" s="31"/>
    </row>
    <row r="580" spans="1:44" ht="15.75" customHeight="1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  <c r="AE580" s="31"/>
      <c r="AF580" s="31"/>
      <c r="AG580" s="31"/>
      <c r="AH580" s="31"/>
      <c r="AI580" s="31"/>
      <c r="AJ580" s="31"/>
      <c r="AK580" s="31"/>
      <c r="AL580" s="31"/>
      <c r="AM580" s="31"/>
      <c r="AN580" s="31"/>
      <c r="AO580" s="31"/>
      <c r="AP580" s="31"/>
      <c r="AQ580" s="31"/>
      <c r="AR580" s="31"/>
    </row>
    <row r="581" spans="1:44" ht="15.75" customHeight="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  <c r="AF581" s="31"/>
      <c r="AG581" s="31"/>
      <c r="AH581" s="31"/>
      <c r="AI581" s="31"/>
      <c r="AJ581" s="31"/>
      <c r="AK581" s="31"/>
      <c r="AL581" s="31"/>
      <c r="AM581" s="31"/>
      <c r="AN581" s="31"/>
      <c r="AO581" s="31"/>
      <c r="AP581" s="31"/>
      <c r="AQ581" s="31"/>
      <c r="AR581" s="31"/>
    </row>
    <row r="582" spans="1:44" ht="15.75" customHeight="1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  <c r="AE582" s="31"/>
      <c r="AF582" s="31"/>
      <c r="AG582" s="31"/>
      <c r="AH582" s="31"/>
      <c r="AI582" s="31"/>
      <c r="AJ582" s="31"/>
      <c r="AK582" s="31"/>
      <c r="AL582" s="31"/>
      <c r="AM582" s="31"/>
      <c r="AN582" s="31"/>
      <c r="AO582" s="31"/>
      <c r="AP582" s="31"/>
      <c r="AQ582" s="31"/>
      <c r="AR582" s="31"/>
    </row>
    <row r="583" spans="1:44" ht="15.75" customHeight="1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  <c r="AF583" s="31"/>
      <c r="AG583" s="31"/>
      <c r="AH583" s="31"/>
      <c r="AI583" s="31"/>
      <c r="AJ583" s="31"/>
      <c r="AK583" s="31"/>
      <c r="AL583" s="31"/>
      <c r="AM583" s="31"/>
      <c r="AN583" s="31"/>
      <c r="AO583" s="31"/>
      <c r="AP583" s="31"/>
      <c r="AQ583" s="31"/>
      <c r="AR583" s="31"/>
    </row>
    <row r="584" spans="1:44" ht="15.75" customHeight="1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  <c r="AE584" s="31"/>
      <c r="AF584" s="31"/>
      <c r="AG584" s="31"/>
      <c r="AH584" s="31"/>
      <c r="AI584" s="31"/>
      <c r="AJ584" s="31"/>
      <c r="AK584" s="31"/>
      <c r="AL584" s="31"/>
      <c r="AM584" s="31"/>
      <c r="AN584" s="31"/>
      <c r="AO584" s="31"/>
      <c r="AP584" s="31"/>
      <c r="AQ584" s="31"/>
      <c r="AR584" s="31"/>
    </row>
    <row r="585" spans="1:44" ht="15.75" customHeight="1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</row>
    <row r="586" spans="1:44" ht="15.75" customHeight="1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  <c r="AE586" s="31"/>
      <c r="AF586" s="31"/>
      <c r="AG586" s="31"/>
      <c r="AH586" s="31"/>
      <c r="AI586" s="31"/>
      <c r="AJ586" s="31"/>
      <c r="AK586" s="31"/>
      <c r="AL586" s="31"/>
      <c r="AM586" s="31"/>
      <c r="AN586" s="31"/>
      <c r="AO586" s="31"/>
      <c r="AP586" s="31"/>
      <c r="AQ586" s="31"/>
      <c r="AR586" s="31"/>
    </row>
    <row r="587" spans="1:44" ht="15.75" customHeight="1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  <c r="AE587" s="31"/>
      <c r="AF587" s="31"/>
      <c r="AG587" s="31"/>
      <c r="AH587" s="31"/>
      <c r="AI587" s="31"/>
      <c r="AJ587" s="31"/>
      <c r="AK587" s="31"/>
      <c r="AL587" s="31"/>
      <c r="AM587" s="31"/>
      <c r="AN587" s="31"/>
      <c r="AO587" s="31"/>
      <c r="AP587" s="31"/>
      <c r="AQ587" s="31"/>
      <c r="AR587" s="31"/>
    </row>
    <row r="588" spans="1:44" ht="15.75" customHeight="1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  <c r="AE588" s="31"/>
      <c r="AF588" s="31"/>
      <c r="AG588" s="31"/>
      <c r="AH588" s="31"/>
      <c r="AI588" s="31"/>
      <c r="AJ588" s="31"/>
      <c r="AK588" s="31"/>
      <c r="AL588" s="31"/>
      <c r="AM588" s="31"/>
      <c r="AN588" s="31"/>
      <c r="AO588" s="31"/>
      <c r="AP588" s="31"/>
      <c r="AQ588" s="31"/>
      <c r="AR588" s="31"/>
    </row>
    <row r="589" spans="1:44" ht="15.75" customHeight="1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  <c r="AF589" s="31"/>
      <c r="AG589" s="31"/>
      <c r="AH589" s="31"/>
      <c r="AI589" s="31"/>
      <c r="AJ589" s="31"/>
      <c r="AK589" s="31"/>
      <c r="AL589" s="31"/>
      <c r="AM589" s="31"/>
      <c r="AN589" s="31"/>
      <c r="AO589" s="31"/>
      <c r="AP589" s="31"/>
      <c r="AQ589" s="31"/>
      <c r="AR589" s="31"/>
    </row>
    <row r="590" spans="1:44" ht="15.75" customHeight="1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  <c r="AE590" s="31"/>
      <c r="AF590" s="31"/>
      <c r="AG590" s="31"/>
      <c r="AH590" s="31"/>
      <c r="AI590" s="31"/>
      <c r="AJ590" s="31"/>
      <c r="AK590" s="31"/>
      <c r="AL590" s="31"/>
      <c r="AM590" s="31"/>
      <c r="AN590" s="31"/>
      <c r="AO590" s="31"/>
      <c r="AP590" s="31"/>
      <c r="AQ590" s="31"/>
      <c r="AR590" s="31"/>
    </row>
    <row r="591" spans="1:44" ht="15.75" customHeight="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  <c r="AE591" s="31"/>
      <c r="AF591" s="31"/>
      <c r="AG591" s="31"/>
      <c r="AH591" s="31"/>
      <c r="AI591" s="31"/>
      <c r="AJ591" s="31"/>
      <c r="AK591" s="31"/>
      <c r="AL591" s="31"/>
      <c r="AM591" s="31"/>
      <c r="AN591" s="31"/>
      <c r="AO591" s="31"/>
      <c r="AP591" s="31"/>
      <c r="AQ591" s="31"/>
      <c r="AR591" s="31"/>
    </row>
    <row r="592" spans="1:44" ht="15.75" customHeight="1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  <c r="AE592" s="31"/>
      <c r="AF592" s="31"/>
      <c r="AG592" s="31"/>
      <c r="AH592" s="31"/>
      <c r="AI592" s="31"/>
      <c r="AJ592" s="31"/>
      <c r="AK592" s="31"/>
      <c r="AL592" s="31"/>
      <c r="AM592" s="31"/>
      <c r="AN592" s="31"/>
      <c r="AO592" s="31"/>
      <c r="AP592" s="31"/>
      <c r="AQ592" s="31"/>
      <c r="AR592" s="31"/>
    </row>
    <row r="593" spans="1:44" ht="15.75" customHeight="1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  <c r="AF593" s="31"/>
      <c r="AG593" s="31"/>
      <c r="AH593" s="31"/>
      <c r="AI593" s="31"/>
      <c r="AJ593" s="31"/>
      <c r="AK593" s="31"/>
      <c r="AL593" s="31"/>
      <c r="AM593" s="31"/>
      <c r="AN593" s="31"/>
      <c r="AO593" s="31"/>
      <c r="AP593" s="31"/>
      <c r="AQ593" s="31"/>
      <c r="AR593" s="31"/>
    </row>
    <row r="594" spans="1:44" ht="15.75" customHeight="1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  <c r="AE594" s="31"/>
      <c r="AF594" s="31"/>
      <c r="AG594" s="31"/>
      <c r="AH594" s="31"/>
      <c r="AI594" s="31"/>
      <c r="AJ594" s="31"/>
      <c r="AK594" s="31"/>
      <c r="AL594" s="31"/>
      <c r="AM594" s="31"/>
      <c r="AN594" s="31"/>
      <c r="AO594" s="31"/>
      <c r="AP594" s="31"/>
      <c r="AQ594" s="31"/>
      <c r="AR594" s="31"/>
    </row>
    <row r="595" spans="1:44" ht="15.75" customHeight="1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  <c r="AF595" s="31"/>
      <c r="AG595" s="31"/>
      <c r="AH595" s="31"/>
      <c r="AI595" s="31"/>
      <c r="AJ595" s="31"/>
      <c r="AK595" s="31"/>
      <c r="AL595" s="31"/>
      <c r="AM595" s="31"/>
      <c r="AN595" s="31"/>
      <c r="AO595" s="31"/>
      <c r="AP595" s="31"/>
      <c r="AQ595" s="31"/>
      <c r="AR595" s="31"/>
    </row>
    <row r="596" spans="1:44" ht="15.75" customHeight="1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  <c r="AE596" s="31"/>
      <c r="AF596" s="31"/>
      <c r="AG596" s="31"/>
      <c r="AH596" s="31"/>
      <c r="AI596" s="31"/>
      <c r="AJ596" s="31"/>
      <c r="AK596" s="31"/>
      <c r="AL596" s="31"/>
      <c r="AM596" s="31"/>
      <c r="AN596" s="31"/>
      <c r="AO596" s="31"/>
      <c r="AP596" s="31"/>
      <c r="AQ596" s="31"/>
      <c r="AR596" s="31"/>
    </row>
    <row r="597" spans="1:44" ht="15.75" customHeight="1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  <c r="AF597" s="31"/>
      <c r="AG597" s="31"/>
      <c r="AH597" s="31"/>
      <c r="AI597" s="31"/>
      <c r="AJ597" s="31"/>
      <c r="AK597" s="31"/>
      <c r="AL597" s="31"/>
      <c r="AM597" s="31"/>
      <c r="AN597" s="31"/>
      <c r="AO597" s="31"/>
      <c r="AP597" s="31"/>
      <c r="AQ597" s="31"/>
      <c r="AR597" s="31"/>
    </row>
    <row r="598" spans="1:44" ht="15.75" customHeight="1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  <c r="AE598" s="31"/>
      <c r="AF598" s="31"/>
      <c r="AG598" s="31"/>
      <c r="AH598" s="31"/>
      <c r="AI598" s="31"/>
      <c r="AJ598" s="31"/>
      <c r="AK598" s="31"/>
      <c r="AL598" s="31"/>
      <c r="AM598" s="31"/>
      <c r="AN598" s="31"/>
      <c r="AO598" s="31"/>
      <c r="AP598" s="31"/>
      <c r="AQ598" s="31"/>
      <c r="AR598" s="31"/>
    </row>
    <row r="599" spans="1:44" ht="15.75" customHeight="1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  <c r="AF599" s="31"/>
      <c r="AG599" s="31"/>
      <c r="AH599" s="31"/>
      <c r="AI599" s="31"/>
      <c r="AJ599" s="31"/>
      <c r="AK599" s="31"/>
      <c r="AL599" s="31"/>
      <c r="AM599" s="31"/>
      <c r="AN599" s="31"/>
      <c r="AO599" s="31"/>
      <c r="AP599" s="31"/>
      <c r="AQ599" s="31"/>
      <c r="AR599" s="31"/>
    </row>
    <row r="600" spans="1:44" ht="15.75" customHeight="1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  <c r="AE600" s="31"/>
      <c r="AF600" s="31"/>
      <c r="AG600" s="31"/>
      <c r="AH600" s="31"/>
      <c r="AI600" s="31"/>
      <c r="AJ600" s="31"/>
      <c r="AK600" s="31"/>
      <c r="AL600" s="31"/>
      <c r="AM600" s="31"/>
      <c r="AN600" s="31"/>
      <c r="AO600" s="31"/>
      <c r="AP600" s="31"/>
      <c r="AQ600" s="31"/>
      <c r="AR600" s="31"/>
    </row>
    <row r="601" spans="1:44" ht="15.75" customHeight="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  <c r="AF601" s="31"/>
      <c r="AG601" s="31"/>
      <c r="AH601" s="31"/>
      <c r="AI601" s="31"/>
      <c r="AJ601" s="31"/>
      <c r="AK601" s="31"/>
      <c r="AL601" s="31"/>
      <c r="AM601" s="31"/>
      <c r="AN601" s="31"/>
      <c r="AO601" s="31"/>
      <c r="AP601" s="31"/>
      <c r="AQ601" s="31"/>
      <c r="AR601" s="31"/>
    </row>
    <row r="602" spans="1:44" ht="15.75" customHeight="1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  <c r="AE602" s="31"/>
      <c r="AF602" s="31"/>
      <c r="AG602" s="31"/>
      <c r="AH602" s="31"/>
      <c r="AI602" s="31"/>
      <c r="AJ602" s="31"/>
      <c r="AK602" s="31"/>
      <c r="AL602" s="31"/>
      <c r="AM602" s="31"/>
      <c r="AN602" s="31"/>
      <c r="AO602" s="31"/>
      <c r="AP602" s="31"/>
      <c r="AQ602" s="31"/>
      <c r="AR602" s="31"/>
    </row>
    <row r="603" spans="1:44" ht="15.75" customHeight="1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  <c r="AE603" s="31"/>
      <c r="AF603" s="31"/>
      <c r="AG603" s="31"/>
      <c r="AH603" s="31"/>
      <c r="AI603" s="31"/>
      <c r="AJ603" s="31"/>
      <c r="AK603" s="31"/>
      <c r="AL603" s="31"/>
      <c r="AM603" s="31"/>
      <c r="AN603" s="31"/>
      <c r="AO603" s="31"/>
      <c r="AP603" s="31"/>
      <c r="AQ603" s="31"/>
      <c r="AR603" s="31"/>
    </row>
    <row r="604" spans="1:44" ht="15.75" customHeight="1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  <c r="AE604" s="31"/>
      <c r="AF604" s="31"/>
      <c r="AG604" s="31"/>
      <c r="AH604" s="31"/>
      <c r="AI604" s="31"/>
      <c r="AJ604" s="31"/>
      <c r="AK604" s="31"/>
      <c r="AL604" s="31"/>
      <c r="AM604" s="31"/>
      <c r="AN604" s="31"/>
      <c r="AO604" s="31"/>
      <c r="AP604" s="31"/>
      <c r="AQ604" s="31"/>
      <c r="AR604" s="31"/>
    </row>
    <row r="605" spans="1:44" ht="15.75" customHeight="1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  <c r="AF605" s="31"/>
      <c r="AG605" s="31"/>
      <c r="AH605" s="31"/>
      <c r="AI605" s="31"/>
      <c r="AJ605" s="31"/>
      <c r="AK605" s="31"/>
      <c r="AL605" s="31"/>
      <c r="AM605" s="31"/>
      <c r="AN605" s="31"/>
      <c r="AO605" s="31"/>
      <c r="AP605" s="31"/>
      <c r="AQ605" s="31"/>
      <c r="AR605" s="31"/>
    </row>
    <row r="606" spans="1:44" ht="15.75" customHeight="1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  <c r="AE606" s="31"/>
      <c r="AF606" s="31"/>
      <c r="AG606" s="31"/>
      <c r="AH606" s="31"/>
      <c r="AI606" s="31"/>
      <c r="AJ606" s="31"/>
      <c r="AK606" s="31"/>
      <c r="AL606" s="31"/>
      <c r="AM606" s="31"/>
      <c r="AN606" s="31"/>
      <c r="AO606" s="31"/>
      <c r="AP606" s="31"/>
      <c r="AQ606" s="31"/>
      <c r="AR606" s="31"/>
    </row>
    <row r="607" spans="1:44" ht="15.75" customHeight="1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  <c r="AF607" s="31"/>
      <c r="AG607" s="31"/>
      <c r="AH607" s="31"/>
      <c r="AI607" s="31"/>
      <c r="AJ607" s="31"/>
      <c r="AK607" s="31"/>
      <c r="AL607" s="31"/>
      <c r="AM607" s="31"/>
      <c r="AN607" s="31"/>
      <c r="AO607" s="31"/>
      <c r="AP607" s="31"/>
      <c r="AQ607" s="31"/>
      <c r="AR607" s="31"/>
    </row>
    <row r="608" spans="1:44" ht="15.75" customHeight="1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  <c r="AE608" s="31"/>
      <c r="AF608" s="31"/>
      <c r="AG608" s="31"/>
      <c r="AH608" s="31"/>
      <c r="AI608" s="31"/>
      <c r="AJ608" s="31"/>
      <c r="AK608" s="31"/>
      <c r="AL608" s="31"/>
      <c r="AM608" s="31"/>
      <c r="AN608" s="31"/>
      <c r="AO608" s="31"/>
      <c r="AP608" s="31"/>
      <c r="AQ608" s="31"/>
      <c r="AR608" s="31"/>
    </row>
    <row r="609" spans="1:44" ht="15.75" customHeight="1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  <c r="AE609" s="31"/>
      <c r="AF609" s="31"/>
      <c r="AG609" s="31"/>
      <c r="AH609" s="31"/>
      <c r="AI609" s="31"/>
      <c r="AJ609" s="31"/>
      <c r="AK609" s="31"/>
      <c r="AL609" s="31"/>
      <c r="AM609" s="31"/>
      <c r="AN609" s="31"/>
      <c r="AO609" s="31"/>
      <c r="AP609" s="31"/>
      <c r="AQ609" s="31"/>
      <c r="AR609" s="31"/>
    </row>
    <row r="610" spans="1:44" ht="15.75" customHeight="1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  <c r="AE610" s="31"/>
      <c r="AF610" s="31"/>
      <c r="AG610" s="31"/>
      <c r="AH610" s="31"/>
      <c r="AI610" s="31"/>
      <c r="AJ610" s="31"/>
      <c r="AK610" s="31"/>
      <c r="AL610" s="31"/>
      <c r="AM610" s="31"/>
      <c r="AN610" s="31"/>
      <c r="AO610" s="31"/>
      <c r="AP610" s="31"/>
      <c r="AQ610" s="31"/>
      <c r="AR610" s="31"/>
    </row>
    <row r="611" spans="1:44" ht="15.75" customHeight="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  <c r="AE611" s="31"/>
      <c r="AF611" s="31"/>
      <c r="AG611" s="31"/>
      <c r="AH611" s="31"/>
      <c r="AI611" s="31"/>
      <c r="AJ611" s="31"/>
      <c r="AK611" s="31"/>
      <c r="AL611" s="31"/>
      <c r="AM611" s="31"/>
      <c r="AN611" s="31"/>
      <c r="AO611" s="31"/>
      <c r="AP611" s="31"/>
      <c r="AQ611" s="31"/>
      <c r="AR611" s="31"/>
    </row>
    <row r="612" spans="1:44" ht="15.75" customHeight="1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  <c r="AE612" s="31"/>
      <c r="AF612" s="31"/>
      <c r="AG612" s="31"/>
      <c r="AH612" s="31"/>
      <c r="AI612" s="31"/>
      <c r="AJ612" s="31"/>
      <c r="AK612" s="31"/>
      <c r="AL612" s="31"/>
      <c r="AM612" s="31"/>
      <c r="AN612" s="31"/>
      <c r="AO612" s="31"/>
      <c r="AP612" s="31"/>
      <c r="AQ612" s="31"/>
      <c r="AR612" s="31"/>
    </row>
    <row r="613" spans="1:44" ht="15.75" customHeight="1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  <c r="AF613" s="31"/>
      <c r="AG613" s="31"/>
      <c r="AH613" s="31"/>
      <c r="AI613" s="31"/>
      <c r="AJ613" s="31"/>
      <c r="AK613" s="31"/>
      <c r="AL613" s="31"/>
      <c r="AM613" s="31"/>
      <c r="AN613" s="31"/>
      <c r="AO613" s="31"/>
      <c r="AP613" s="31"/>
      <c r="AQ613" s="31"/>
      <c r="AR613" s="31"/>
    </row>
    <row r="614" spans="1:44" ht="15.75" customHeight="1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  <c r="AE614" s="31"/>
      <c r="AF614" s="31"/>
      <c r="AG614" s="31"/>
      <c r="AH614" s="31"/>
      <c r="AI614" s="31"/>
      <c r="AJ614" s="31"/>
      <c r="AK614" s="31"/>
      <c r="AL614" s="31"/>
      <c r="AM614" s="31"/>
      <c r="AN614" s="31"/>
      <c r="AO614" s="31"/>
      <c r="AP614" s="31"/>
      <c r="AQ614" s="31"/>
      <c r="AR614" s="31"/>
    </row>
    <row r="615" spans="1:44" ht="15.75" customHeight="1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  <c r="AE615" s="31"/>
      <c r="AF615" s="31"/>
      <c r="AG615" s="31"/>
      <c r="AH615" s="31"/>
      <c r="AI615" s="31"/>
      <c r="AJ615" s="31"/>
      <c r="AK615" s="31"/>
      <c r="AL615" s="31"/>
      <c r="AM615" s="31"/>
      <c r="AN615" s="31"/>
      <c r="AO615" s="31"/>
      <c r="AP615" s="31"/>
      <c r="AQ615" s="31"/>
      <c r="AR615" s="31"/>
    </row>
    <row r="616" spans="1:44" ht="15.75" customHeight="1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  <c r="AE616" s="31"/>
      <c r="AF616" s="31"/>
      <c r="AG616" s="31"/>
      <c r="AH616" s="31"/>
      <c r="AI616" s="31"/>
      <c r="AJ616" s="31"/>
      <c r="AK616" s="31"/>
      <c r="AL616" s="31"/>
      <c r="AM616" s="31"/>
      <c r="AN616" s="31"/>
      <c r="AO616" s="31"/>
      <c r="AP616" s="31"/>
      <c r="AQ616" s="31"/>
      <c r="AR616" s="31"/>
    </row>
    <row r="617" spans="1:44" ht="15.75" customHeight="1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  <c r="AE617" s="31"/>
      <c r="AF617" s="31"/>
      <c r="AG617" s="31"/>
      <c r="AH617" s="31"/>
      <c r="AI617" s="31"/>
      <c r="AJ617" s="31"/>
      <c r="AK617" s="31"/>
      <c r="AL617" s="31"/>
      <c r="AM617" s="31"/>
      <c r="AN617" s="31"/>
      <c r="AO617" s="31"/>
      <c r="AP617" s="31"/>
      <c r="AQ617" s="31"/>
      <c r="AR617" s="31"/>
    </row>
    <row r="618" spans="1:44" ht="15.75" customHeight="1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  <c r="AE618" s="31"/>
      <c r="AF618" s="31"/>
      <c r="AG618" s="31"/>
      <c r="AH618" s="31"/>
      <c r="AI618" s="31"/>
      <c r="AJ618" s="31"/>
      <c r="AK618" s="31"/>
      <c r="AL618" s="31"/>
      <c r="AM618" s="31"/>
      <c r="AN618" s="31"/>
      <c r="AO618" s="31"/>
      <c r="AP618" s="31"/>
      <c r="AQ618" s="31"/>
      <c r="AR618" s="31"/>
    </row>
    <row r="619" spans="1:44" ht="15.75" customHeight="1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  <c r="AF619" s="31"/>
      <c r="AG619" s="31"/>
      <c r="AH619" s="31"/>
      <c r="AI619" s="31"/>
      <c r="AJ619" s="31"/>
      <c r="AK619" s="31"/>
      <c r="AL619" s="31"/>
      <c r="AM619" s="31"/>
      <c r="AN619" s="31"/>
      <c r="AO619" s="31"/>
      <c r="AP619" s="31"/>
      <c r="AQ619" s="31"/>
      <c r="AR619" s="31"/>
    </row>
    <row r="620" spans="1:44" ht="15.75" customHeight="1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  <c r="AE620" s="31"/>
      <c r="AF620" s="31"/>
      <c r="AG620" s="31"/>
      <c r="AH620" s="31"/>
      <c r="AI620" s="31"/>
      <c r="AJ620" s="31"/>
      <c r="AK620" s="31"/>
      <c r="AL620" s="31"/>
      <c r="AM620" s="31"/>
      <c r="AN620" s="31"/>
      <c r="AO620" s="31"/>
      <c r="AP620" s="31"/>
      <c r="AQ620" s="31"/>
      <c r="AR620" s="31"/>
    </row>
    <row r="621" spans="1:44" ht="15.75" customHeight="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  <c r="AE621" s="31"/>
      <c r="AF621" s="31"/>
      <c r="AG621" s="31"/>
      <c r="AH621" s="31"/>
      <c r="AI621" s="31"/>
      <c r="AJ621" s="31"/>
      <c r="AK621" s="31"/>
      <c r="AL621" s="31"/>
      <c r="AM621" s="31"/>
      <c r="AN621" s="31"/>
      <c r="AO621" s="31"/>
      <c r="AP621" s="31"/>
      <c r="AQ621" s="31"/>
      <c r="AR621" s="31"/>
    </row>
    <row r="622" spans="1:44" ht="15.75" customHeight="1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  <c r="AE622" s="31"/>
      <c r="AF622" s="31"/>
      <c r="AG622" s="31"/>
      <c r="AH622" s="31"/>
      <c r="AI622" s="31"/>
      <c r="AJ622" s="31"/>
      <c r="AK622" s="31"/>
      <c r="AL622" s="31"/>
      <c r="AM622" s="31"/>
      <c r="AN622" s="31"/>
      <c r="AO622" s="31"/>
      <c r="AP622" s="31"/>
      <c r="AQ622" s="31"/>
      <c r="AR622" s="31"/>
    </row>
    <row r="623" spans="1:44" ht="15.75" customHeight="1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  <c r="AE623" s="31"/>
      <c r="AF623" s="31"/>
      <c r="AG623" s="31"/>
      <c r="AH623" s="31"/>
      <c r="AI623" s="31"/>
      <c r="AJ623" s="31"/>
      <c r="AK623" s="31"/>
      <c r="AL623" s="31"/>
      <c r="AM623" s="31"/>
      <c r="AN623" s="31"/>
      <c r="AO623" s="31"/>
      <c r="AP623" s="31"/>
      <c r="AQ623" s="31"/>
      <c r="AR623" s="31"/>
    </row>
    <row r="624" spans="1:44" ht="15.75" customHeight="1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  <c r="AE624" s="31"/>
      <c r="AF624" s="31"/>
      <c r="AG624" s="31"/>
      <c r="AH624" s="31"/>
      <c r="AI624" s="31"/>
      <c r="AJ624" s="31"/>
      <c r="AK624" s="31"/>
      <c r="AL624" s="31"/>
      <c r="AM624" s="31"/>
      <c r="AN624" s="31"/>
      <c r="AO624" s="31"/>
      <c r="AP624" s="31"/>
      <c r="AQ624" s="31"/>
      <c r="AR624" s="31"/>
    </row>
    <row r="625" spans="1:44" ht="15.75" customHeight="1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  <c r="AF625" s="31"/>
      <c r="AG625" s="31"/>
      <c r="AH625" s="31"/>
      <c r="AI625" s="31"/>
      <c r="AJ625" s="31"/>
      <c r="AK625" s="31"/>
      <c r="AL625" s="31"/>
      <c r="AM625" s="31"/>
      <c r="AN625" s="31"/>
      <c r="AO625" s="31"/>
      <c r="AP625" s="31"/>
      <c r="AQ625" s="31"/>
      <c r="AR625" s="31"/>
    </row>
    <row r="626" spans="1:44" ht="15.75" customHeight="1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  <c r="AE626" s="31"/>
      <c r="AF626" s="31"/>
      <c r="AG626" s="31"/>
      <c r="AH626" s="31"/>
      <c r="AI626" s="31"/>
      <c r="AJ626" s="31"/>
      <c r="AK626" s="31"/>
      <c r="AL626" s="31"/>
      <c r="AM626" s="31"/>
      <c r="AN626" s="31"/>
      <c r="AO626" s="31"/>
      <c r="AP626" s="31"/>
      <c r="AQ626" s="31"/>
      <c r="AR626" s="31"/>
    </row>
    <row r="627" spans="1:44" ht="15.75" customHeight="1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  <c r="AE627" s="31"/>
      <c r="AF627" s="31"/>
      <c r="AG627" s="31"/>
      <c r="AH627" s="31"/>
      <c r="AI627" s="31"/>
      <c r="AJ627" s="31"/>
      <c r="AK627" s="31"/>
      <c r="AL627" s="31"/>
      <c r="AM627" s="31"/>
      <c r="AN627" s="31"/>
      <c r="AO627" s="31"/>
      <c r="AP627" s="31"/>
      <c r="AQ627" s="31"/>
      <c r="AR627" s="31"/>
    </row>
    <row r="628" spans="1:44" ht="15.75" customHeight="1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  <c r="AE628" s="31"/>
      <c r="AF628" s="31"/>
      <c r="AG628" s="31"/>
      <c r="AH628" s="31"/>
      <c r="AI628" s="31"/>
      <c r="AJ628" s="31"/>
      <c r="AK628" s="31"/>
      <c r="AL628" s="31"/>
      <c r="AM628" s="31"/>
      <c r="AN628" s="31"/>
      <c r="AO628" s="31"/>
      <c r="AP628" s="31"/>
      <c r="AQ628" s="31"/>
      <c r="AR628" s="31"/>
    </row>
    <row r="629" spans="1:44" ht="15.75" customHeight="1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  <c r="AE629" s="31"/>
      <c r="AF629" s="31"/>
      <c r="AG629" s="31"/>
      <c r="AH629" s="31"/>
      <c r="AI629" s="31"/>
      <c r="AJ629" s="31"/>
      <c r="AK629" s="31"/>
      <c r="AL629" s="31"/>
      <c r="AM629" s="31"/>
      <c r="AN629" s="31"/>
      <c r="AO629" s="31"/>
      <c r="AP629" s="31"/>
      <c r="AQ629" s="31"/>
      <c r="AR629" s="31"/>
    </row>
    <row r="630" spans="1:44" ht="15.75" customHeight="1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  <c r="AE630" s="31"/>
      <c r="AF630" s="31"/>
      <c r="AG630" s="31"/>
      <c r="AH630" s="31"/>
      <c r="AI630" s="31"/>
      <c r="AJ630" s="31"/>
      <c r="AK630" s="31"/>
      <c r="AL630" s="31"/>
      <c r="AM630" s="31"/>
      <c r="AN630" s="31"/>
      <c r="AO630" s="31"/>
      <c r="AP630" s="31"/>
      <c r="AQ630" s="31"/>
      <c r="AR630" s="31"/>
    </row>
    <row r="631" spans="1:44" ht="15.75" customHeight="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  <c r="AF631" s="31"/>
      <c r="AG631" s="31"/>
      <c r="AH631" s="31"/>
      <c r="AI631" s="31"/>
      <c r="AJ631" s="31"/>
      <c r="AK631" s="31"/>
      <c r="AL631" s="31"/>
      <c r="AM631" s="31"/>
      <c r="AN631" s="31"/>
      <c r="AO631" s="31"/>
      <c r="AP631" s="31"/>
      <c r="AQ631" s="31"/>
      <c r="AR631" s="31"/>
    </row>
    <row r="632" spans="1:44" ht="15.75" customHeight="1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  <c r="AE632" s="31"/>
      <c r="AF632" s="31"/>
      <c r="AG632" s="31"/>
      <c r="AH632" s="31"/>
      <c r="AI632" s="31"/>
      <c r="AJ632" s="31"/>
      <c r="AK632" s="31"/>
      <c r="AL632" s="31"/>
      <c r="AM632" s="31"/>
      <c r="AN632" s="31"/>
      <c r="AO632" s="31"/>
      <c r="AP632" s="31"/>
      <c r="AQ632" s="31"/>
      <c r="AR632" s="31"/>
    </row>
    <row r="633" spans="1:44" ht="15.75" customHeight="1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  <c r="AE633" s="31"/>
      <c r="AF633" s="31"/>
      <c r="AG633" s="31"/>
      <c r="AH633" s="31"/>
      <c r="AI633" s="31"/>
      <c r="AJ633" s="31"/>
      <c r="AK633" s="31"/>
      <c r="AL633" s="31"/>
      <c r="AM633" s="31"/>
      <c r="AN633" s="31"/>
      <c r="AO633" s="31"/>
      <c r="AP633" s="31"/>
      <c r="AQ633" s="31"/>
      <c r="AR633" s="31"/>
    </row>
    <row r="634" spans="1:44" ht="15.75" customHeight="1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  <c r="AE634" s="31"/>
      <c r="AF634" s="31"/>
      <c r="AG634" s="31"/>
      <c r="AH634" s="31"/>
      <c r="AI634" s="31"/>
      <c r="AJ634" s="31"/>
      <c r="AK634" s="31"/>
      <c r="AL634" s="31"/>
      <c r="AM634" s="31"/>
      <c r="AN634" s="31"/>
      <c r="AO634" s="31"/>
      <c r="AP634" s="31"/>
      <c r="AQ634" s="31"/>
      <c r="AR634" s="31"/>
    </row>
    <row r="635" spans="1:44" ht="15.75" customHeight="1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  <c r="AE635" s="31"/>
      <c r="AF635" s="31"/>
      <c r="AG635" s="31"/>
      <c r="AH635" s="31"/>
      <c r="AI635" s="31"/>
      <c r="AJ635" s="31"/>
      <c r="AK635" s="31"/>
      <c r="AL635" s="31"/>
      <c r="AM635" s="31"/>
      <c r="AN635" s="31"/>
      <c r="AO635" s="31"/>
      <c r="AP635" s="31"/>
      <c r="AQ635" s="31"/>
      <c r="AR635" s="31"/>
    </row>
    <row r="636" spans="1:44" ht="15.75" customHeight="1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  <c r="AE636" s="31"/>
      <c r="AF636" s="31"/>
      <c r="AG636" s="31"/>
      <c r="AH636" s="31"/>
      <c r="AI636" s="31"/>
      <c r="AJ636" s="31"/>
      <c r="AK636" s="31"/>
      <c r="AL636" s="31"/>
      <c r="AM636" s="31"/>
      <c r="AN636" s="31"/>
      <c r="AO636" s="31"/>
      <c r="AP636" s="31"/>
      <c r="AQ636" s="31"/>
      <c r="AR636" s="31"/>
    </row>
    <row r="637" spans="1:44" ht="15.75" customHeight="1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  <c r="AE637" s="31"/>
      <c r="AF637" s="31"/>
      <c r="AG637" s="31"/>
      <c r="AH637" s="31"/>
      <c r="AI637" s="31"/>
      <c r="AJ637" s="31"/>
      <c r="AK637" s="31"/>
      <c r="AL637" s="31"/>
      <c r="AM637" s="31"/>
      <c r="AN637" s="31"/>
      <c r="AO637" s="31"/>
      <c r="AP637" s="31"/>
      <c r="AQ637" s="31"/>
      <c r="AR637" s="31"/>
    </row>
    <row r="638" spans="1:44" ht="15.75" customHeight="1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  <c r="AE638" s="31"/>
      <c r="AF638" s="31"/>
      <c r="AG638" s="31"/>
      <c r="AH638" s="31"/>
      <c r="AI638" s="31"/>
      <c r="AJ638" s="31"/>
      <c r="AK638" s="31"/>
      <c r="AL638" s="31"/>
      <c r="AM638" s="31"/>
      <c r="AN638" s="31"/>
      <c r="AO638" s="31"/>
      <c r="AP638" s="31"/>
      <c r="AQ638" s="31"/>
      <c r="AR638" s="31"/>
    </row>
    <row r="639" spans="1:44" ht="15.75" customHeight="1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  <c r="AF639" s="31"/>
      <c r="AG639" s="31"/>
      <c r="AH639" s="31"/>
      <c r="AI639" s="31"/>
      <c r="AJ639" s="31"/>
      <c r="AK639" s="31"/>
      <c r="AL639" s="31"/>
      <c r="AM639" s="31"/>
      <c r="AN639" s="31"/>
      <c r="AO639" s="31"/>
      <c r="AP639" s="31"/>
      <c r="AQ639" s="31"/>
      <c r="AR639" s="31"/>
    </row>
    <row r="640" spans="1:44" ht="15.75" customHeight="1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  <c r="AE640" s="31"/>
      <c r="AF640" s="31"/>
      <c r="AG640" s="31"/>
      <c r="AH640" s="31"/>
      <c r="AI640" s="31"/>
      <c r="AJ640" s="31"/>
      <c r="AK640" s="31"/>
      <c r="AL640" s="31"/>
      <c r="AM640" s="31"/>
      <c r="AN640" s="31"/>
      <c r="AO640" s="31"/>
      <c r="AP640" s="31"/>
      <c r="AQ640" s="31"/>
      <c r="AR640" s="31"/>
    </row>
    <row r="641" spans="1:44" ht="15.75" customHeight="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</row>
    <row r="642" spans="1:44" ht="15.75" customHeight="1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  <c r="AE642" s="31"/>
      <c r="AF642" s="31"/>
      <c r="AG642" s="31"/>
      <c r="AH642" s="31"/>
      <c r="AI642" s="31"/>
      <c r="AJ642" s="31"/>
      <c r="AK642" s="31"/>
      <c r="AL642" s="31"/>
      <c r="AM642" s="31"/>
      <c r="AN642" s="31"/>
      <c r="AO642" s="31"/>
      <c r="AP642" s="31"/>
      <c r="AQ642" s="31"/>
      <c r="AR642" s="31"/>
    </row>
    <row r="643" spans="1:44" ht="15.75" customHeight="1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  <c r="AF643" s="31"/>
      <c r="AG643" s="31"/>
      <c r="AH643" s="31"/>
      <c r="AI643" s="31"/>
      <c r="AJ643" s="31"/>
      <c r="AK643" s="31"/>
      <c r="AL643" s="31"/>
      <c r="AM643" s="31"/>
      <c r="AN643" s="31"/>
      <c r="AO643" s="31"/>
      <c r="AP643" s="31"/>
      <c r="AQ643" s="31"/>
      <c r="AR643" s="31"/>
    </row>
    <row r="644" spans="1:44" ht="15.75" customHeight="1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  <c r="AE644" s="31"/>
      <c r="AF644" s="31"/>
      <c r="AG644" s="31"/>
      <c r="AH644" s="31"/>
      <c r="AI644" s="31"/>
      <c r="AJ644" s="31"/>
      <c r="AK644" s="31"/>
      <c r="AL644" s="31"/>
      <c r="AM644" s="31"/>
      <c r="AN644" s="31"/>
      <c r="AO644" s="31"/>
      <c r="AP644" s="31"/>
      <c r="AQ644" s="31"/>
      <c r="AR644" s="31"/>
    </row>
    <row r="645" spans="1:44" ht="15.75" customHeight="1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  <c r="AE645" s="31"/>
      <c r="AF645" s="31"/>
      <c r="AG645" s="31"/>
      <c r="AH645" s="31"/>
      <c r="AI645" s="31"/>
      <c r="AJ645" s="31"/>
      <c r="AK645" s="31"/>
      <c r="AL645" s="31"/>
      <c r="AM645" s="31"/>
      <c r="AN645" s="31"/>
      <c r="AO645" s="31"/>
      <c r="AP645" s="31"/>
      <c r="AQ645" s="31"/>
      <c r="AR645" s="31"/>
    </row>
    <row r="646" spans="1:44" ht="15.75" customHeight="1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  <c r="AE646" s="31"/>
      <c r="AF646" s="31"/>
      <c r="AG646" s="31"/>
      <c r="AH646" s="31"/>
      <c r="AI646" s="31"/>
      <c r="AJ646" s="31"/>
      <c r="AK646" s="31"/>
      <c r="AL646" s="31"/>
      <c r="AM646" s="31"/>
      <c r="AN646" s="31"/>
      <c r="AO646" s="31"/>
      <c r="AP646" s="31"/>
      <c r="AQ646" s="31"/>
      <c r="AR646" s="31"/>
    </row>
    <row r="647" spans="1:44" ht="15.75" customHeight="1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  <c r="AF647" s="31"/>
      <c r="AG647" s="31"/>
      <c r="AH647" s="31"/>
      <c r="AI647" s="31"/>
      <c r="AJ647" s="31"/>
      <c r="AK647" s="31"/>
      <c r="AL647" s="31"/>
      <c r="AM647" s="31"/>
      <c r="AN647" s="31"/>
      <c r="AO647" s="31"/>
      <c r="AP647" s="31"/>
      <c r="AQ647" s="31"/>
      <c r="AR647" s="31"/>
    </row>
    <row r="648" spans="1:44" ht="15.75" customHeight="1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  <c r="AE648" s="31"/>
      <c r="AF648" s="31"/>
      <c r="AG648" s="31"/>
      <c r="AH648" s="31"/>
      <c r="AI648" s="31"/>
      <c r="AJ648" s="31"/>
      <c r="AK648" s="31"/>
      <c r="AL648" s="31"/>
      <c r="AM648" s="31"/>
      <c r="AN648" s="31"/>
      <c r="AO648" s="31"/>
      <c r="AP648" s="31"/>
      <c r="AQ648" s="31"/>
      <c r="AR648" s="31"/>
    </row>
    <row r="649" spans="1:44" ht="15.75" customHeight="1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  <c r="AF649" s="31"/>
      <c r="AG649" s="31"/>
      <c r="AH649" s="31"/>
      <c r="AI649" s="31"/>
      <c r="AJ649" s="31"/>
      <c r="AK649" s="31"/>
      <c r="AL649" s="31"/>
      <c r="AM649" s="31"/>
      <c r="AN649" s="31"/>
      <c r="AO649" s="31"/>
      <c r="AP649" s="31"/>
      <c r="AQ649" s="31"/>
      <c r="AR649" s="31"/>
    </row>
    <row r="650" spans="1:44" ht="15.75" customHeight="1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  <c r="AE650" s="31"/>
      <c r="AF650" s="31"/>
      <c r="AG650" s="31"/>
      <c r="AH650" s="31"/>
      <c r="AI650" s="31"/>
      <c r="AJ650" s="31"/>
      <c r="AK650" s="31"/>
      <c r="AL650" s="31"/>
      <c r="AM650" s="31"/>
      <c r="AN650" s="31"/>
      <c r="AO650" s="31"/>
      <c r="AP650" s="31"/>
      <c r="AQ650" s="31"/>
      <c r="AR650" s="31"/>
    </row>
    <row r="651" spans="1:44" ht="15.75" customHeight="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  <c r="AE651" s="31"/>
      <c r="AF651" s="31"/>
      <c r="AG651" s="31"/>
      <c r="AH651" s="31"/>
      <c r="AI651" s="31"/>
      <c r="AJ651" s="31"/>
      <c r="AK651" s="31"/>
      <c r="AL651" s="31"/>
      <c r="AM651" s="31"/>
      <c r="AN651" s="31"/>
      <c r="AO651" s="31"/>
      <c r="AP651" s="31"/>
      <c r="AQ651" s="31"/>
      <c r="AR651" s="31"/>
    </row>
    <row r="652" spans="1:44" ht="15.75" customHeight="1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  <c r="AE652" s="31"/>
      <c r="AF652" s="31"/>
      <c r="AG652" s="31"/>
      <c r="AH652" s="31"/>
      <c r="AI652" s="31"/>
      <c r="AJ652" s="31"/>
      <c r="AK652" s="31"/>
      <c r="AL652" s="31"/>
      <c r="AM652" s="31"/>
      <c r="AN652" s="31"/>
      <c r="AO652" s="31"/>
      <c r="AP652" s="31"/>
      <c r="AQ652" s="31"/>
      <c r="AR652" s="31"/>
    </row>
    <row r="653" spans="1:44" ht="15.75" customHeight="1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  <c r="AE653" s="31"/>
      <c r="AF653" s="31"/>
      <c r="AG653" s="31"/>
      <c r="AH653" s="31"/>
      <c r="AI653" s="31"/>
      <c r="AJ653" s="31"/>
      <c r="AK653" s="31"/>
      <c r="AL653" s="31"/>
      <c r="AM653" s="31"/>
      <c r="AN653" s="31"/>
      <c r="AO653" s="31"/>
      <c r="AP653" s="31"/>
      <c r="AQ653" s="31"/>
      <c r="AR653" s="31"/>
    </row>
    <row r="654" spans="1:44" ht="15.75" customHeight="1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  <c r="AE654" s="31"/>
      <c r="AF654" s="31"/>
      <c r="AG654" s="31"/>
      <c r="AH654" s="31"/>
      <c r="AI654" s="31"/>
      <c r="AJ654" s="31"/>
      <c r="AK654" s="31"/>
      <c r="AL654" s="31"/>
      <c r="AM654" s="31"/>
      <c r="AN654" s="31"/>
      <c r="AO654" s="31"/>
      <c r="AP654" s="31"/>
      <c r="AQ654" s="31"/>
      <c r="AR654" s="31"/>
    </row>
    <row r="655" spans="1:44" ht="15.75" customHeight="1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  <c r="AF655" s="31"/>
      <c r="AG655" s="31"/>
      <c r="AH655" s="31"/>
      <c r="AI655" s="31"/>
      <c r="AJ655" s="31"/>
      <c r="AK655" s="31"/>
      <c r="AL655" s="31"/>
      <c r="AM655" s="31"/>
      <c r="AN655" s="31"/>
      <c r="AO655" s="31"/>
      <c r="AP655" s="31"/>
      <c r="AQ655" s="31"/>
      <c r="AR655" s="31"/>
    </row>
    <row r="656" spans="1:44" ht="15.75" customHeight="1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  <c r="AE656" s="31"/>
      <c r="AF656" s="31"/>
      <c r="AG656" s="31"/>
      <c r="AH656" s="31"/>
      <c r="AI656" s="31"/>
      <c r="AJ656" s="31"/>
      <c r="AK656" s="31"/>
      <c r="AL656" s="31"/>
      <c r="AM656" s="31"/>
      <c r="AN656" s="31"/>
      <c r="AO656" s="31"/>
      <c r="AP656" s="31"/>
      <c r="AQ656" s="31"/>
      <c r="AR656" s="31"/>
    </row>
    <row r="657" spans="1:44" ht="15.75" customHeight="1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  <c r="AE657" s="31"/>
      <c r="AF657" s="31"/>
      <c r="AG657" s="31"/>
      <c r="AH657" s="31"/>
      <c r="AI657" s="31"/>
      <c r="AJ657" s="31"/>
      <c r="AK657" s="31"/>
      <c r="AL657" s="31"/>
      <c r="AM657" s="31"/>
      <c r="AN657" s="31"/>
      <c r="AO657" s="31"/>
      <c r="AP657" s="31"/>
      <c r="AQ657" s="31"/>
      <c r="AR657" s="31"/>
    </row>
    <row r="658" spans="1:44" ht="15.75" customHeight="1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  <c r="AE658" s="31"/>
      <c r="AF658" s="31"/>
      <c r="AG658" s="31"/>
      <c r="AH658" s="31"/>
      <c r="AI658" s="31"/>
      <c r="AJ658" s="31"/>
      <c r="AK658" s="31"/>
      <c r="AL658" s="31"/>
      <c r="AM658" s="31"/>
      <c r="AN658" s="31"/>
      <c r="AO658" s="31"/>
      <c r="AP658" s="31"/>
      <c r="AQ658" s="31"/>
      <c r="AR658" s="31"/>
    </row>
    <row r="659" spans="1:44" ht="15.75" customHeight="1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  <c r="AE659" s="31"/>
      <c r="AF659" s="31"/>
      <c r="AG659" s="31"/>
      <c r="AH659" s="31"/>
      <c r="AI659" s="31"/>
      <c r="AJ659" s="31"/>
      <c r="AK659" s="31"/>
      <c r="AL659" s="31"/>
      <c r="AM659" s="31"/>
      <c r="AN659" s="31"/>
      <c r="AO659" s="31"/>
      <c r="AP659" s="31"/>
      <c r="AQ659" s="31"/>
      <c r="AR659" s="31"/>
    </row>
    <row r="660" spans="1:44" ht="15.75" customHeight="1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  <c r="AE660" s="31"/>
      <c r="AF660" s="31"/>
      <c r="AG660" s="31"/>
      <c r="AH660" s="31"/>
      <c r="AI660" s="31"/>
      <c r="AJ660" s="31"/>
      <c r="AK660" s="31"/>
      <c r="AL660" s="31"/>
      <c r="AM660" s="31"/>
      <c r="AN660" s="31"/>
      <c r="AO660" s="31"/>
      <c r="AP660" s="31"/>
      <c r="AQ660" s="31"/>
      <c r="AR660" s="31"/>
    </row>
    <row r="661" spans="1:44" ht="15.75" customHeight="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  <c r="AE661" s="31"/>
      <c r="AF661" s="31"/>
      <c r="AG661" s="31"/>
      <c r="AH661" s="31"/>
      <c r="AI661" s="31"/>
      <c r="AJ661" s="31"/>
      <c r="AK661" s="31"/>
      <c r="AL661" s="31"/>
      <c r="AM661" s="31"/>
      <c r="AN661" s="31"/>
      <c r="AO661" s="31"/>
      <c r="AP661" s="31"/>
      <c r="AQ661" s="31"/>
      <c r="AR661" s="31"/>
    </row>
    <row r="662" spans="1:44" ht="15.75" customHeight="1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  <c r="AE662" s="31"/>
      <c r="AF662" s="31"/>
      <c r="AG662" s="31"/>
      <c r="AH662" s="31"/>
      <c r="AI662" s="31"/>
      <c r="AJ662" s="31"/>
      <c r="AK662" s="31"/>
      <c r="AL662" s="31"/>
      <c r="AM662" s="31"/>
      <c r="AN662" s="31"/>
      <c r="AO662" s="31"/>
      <c r="AP662" s="31"/>
      <c r="AQ662" s="31"/>
      <c r="AR662" s="31"/>
    </row>
    <row r="663" spans="1:44" ht="15.75" customHeight="1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  <c r="AF663" s="31"/>
      <c r="AG663" s="31"/>
      <c r="AH663" s="31"/>
      <c r="AI663" s="31"/>
      <c r="AJ663" s="31"/>
      <c r="AK663" s="31"/>
      <c r="AL663" s="31"/>
      <c r="AM663" s="31"/>
      <c r="AN663" s="31"/>
      <c r="AO663" s="31"/>
      <c r="AP663" s="31"/>
      <c r="AQ663" s="31"/>
      <c r="AR663" s="31"/>
    </row>
    <row r="664" spans="1:44" ht="15.75" customHeight="1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  <c r="AE664" s="31"/>
      <c r="AF664" s="31"/>
      <c r="AG664" s="31"/>
      <c r="AH664" s="31"/>
      <c r="AI664" s="31"/>
      <c r="AJ664" s="31"/>
      <c r="AK664" s="31"/>
      <c r="AL664" s="31"/>
      <c r="AM664" s="31"/>
      <c r="AN664" s="31"/>
      <c r="AO664" s="31"/>
      <c r="AP664" s="31"/>
      <c r="AQ664" s="31"/>
      <c r="AR664" s="31"/>
    </row>
    <row r="665" spans="1:44" ht="15.75" customHeight="1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  <c r="AE665" s="31"/>
      <c r="AF665" s="31"/>
      <c r="AG665" s="31"/>
      <c r="AH665" s="31"/>
      <c r="AI665" s="31"/>
      <c r="AJ665" s="31"/>
      <c r="AK665" s="31"/>
      <c r="AL665" s="31"/>
      <c r="AM665" s="31"/>
      <c r="AN665" s="31"/>
      <c r="AO665" s="31"/>
      <c r="AP665" s="31"/>
      <c r="AQ665" s="31"/>
      <c r="AR665" s="31"/>
    </row>
    <row r="666" spans="1:44" ht="15.75" customHeight="1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  <c r="AE666" s="31"/>
      <c r="AF666" s="31"/>
      <c r="AG666" s="31"/>
      <c r="AH666" s="31"/>
      <c r="AI666" s="31"/>
      <c r="AJ666" s="31"/>
      <c r="AK666" s="31"/>
      <c r="AL666" s="31"/>
      <c r="AM666" s="31"/>
      <c r="AN666" s="31"/>
      <c r="AO666" s="31"/>
      <c r="AP666" s="31"/>
      <c r="AQ666" s="31"/>
      <c r="AR666" s="31"/>
    </row>
    <row r="667" spans="1:44" ht="15.75" customHeight="1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  <c r="AF667" s="31"/>
      <c r="AG667" s="31"/>
      <c r="AH667" s="31"/>
      <c r="AI667" s="31"/>
      <c r="AJ667" s="31"/>
      <c r="AK667" s="31"/>
      <c r="AL667" s="31"/>
      <c r="AM667" s="31"/>
      <c r="AN667" s="31"/>
      <c r="AO667" s="31"/>
      <c r="AP667" s="31"/>
      <c r="AQ667" s="31"/>
      <c r="AR667" s="31"/>
    </row>
    <row r="668" spans="1:44" ht="15.75" customHeight="1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  <c r="AE668" s="31"/>
      <c r="AF668" s="31"/>
      <c r="AG668" s="31"/>
      <c r="AH668" s="31"/>
      <c r="AI668" s="31"/>
      <c r="AJ668" s="31"/>
      <c r="AK668" s="31"/>
      <c r="AL668" s="31"/>
      <c r="AM668" s="31"/>
      <c r="AN668" s="31"/>
      <c r="AO668" s="31"/>
      <c r="AP668" s="31"/>
      <c r="AQ668" s="31"/>
      <c r="AR668" s="31"/>
    </row>
    <row r="669" spans="1:44" ht="15.75" customHeight="1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  <c r="AE669" s="31"/>
      <c r="AF669" s="31"/>
      <c r="AG669" s="31"/>
      <c r="AH669" s="31"/>
      <c r="AI669" s="31"/>
      <c r="AJ669" s="31"/>
      <c r="AK669" s="31"/>
      <c r="AL669" s="31"/>
      <c r="AM669" s="31"/>
      <c r="AN669" s="31"/>
      <c r="AO669" s="31"/>
      <c r="AP669" s="31"/>
      <c r="AQ669" s="31"/>
      <c r="AR669" s="31"/>
    </row>
    <row r="670" spans="1:44" ht="15.75" customHeight="1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  <c r="AE670" s="31"/>
      <c r="AF670" s="31"/>
      <c r="AG670" s="31"/>
      <c r="AH670" s="31"/>
      <c r="AI670" s="31"/>
      <c r="AJ670" s="31"/>
      <c r="AK670" s="31"/>
      <c r="AL670" s="31"/>
      <c r="AM670" s="31"/>
      <c r="AN670" s="31"/>
      <c r="AO670" s="31"/>
      <c r="AP670" s="31"/>
      <c r="AQ670" s="31"/>
      <c r="AR670" s="31"/>
    </row>
    <row r="671" spans="1:44" ht="15.75" customHeight="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  <c r="AF671" s="31"/>
      <c r="AG671" s="31"/>
      <c r="AH671" s="31"/>
      <c r="AI671" s="31"/>
      <c r="AJ671" s="31"/>
      <c r="AK671" s="31"/>
      <c r="AL671" s="31"/>
      <c r="AM671" s="31"/>
      <c r="AN671" s="31"/>
      <c r="AO671" s="31"/>
      <c r="AP671" s="31"/>
      <c r="AQ671" s="31"/>
      <c r="AR671" s="31"/>
    </row>
    <row r="672" spans="1:44" ht="15.75" customHeight="1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  <c r="AE672" s="31"/>
      <c r="AF672" s="31"/>
      <c r="AG672" s="31"/>
      <c r="AH672" s="31"/>
      <c r="AI672" s="31"/>
      <c r="AJ672" s="31"/>
      <c r="AK672" s="31"/>
      <c r="AL672" s="31"/>
      <c r="AM672" s="31"/>
      <c r="AN672" s="31"/>
      <c r="AO672" s="31"/>
      <c r="AP672" s="31"/>
      <c r="AQ672" s="31"/>
      <c r="AR672" s="31"/>
    </row>
    <row r="673" spans="1:44" ht="15.75" customHeight="1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</row>
    <row r="674" spans="1:44" ht="15.75" customHeight="1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31"/>
      <c r="AP674" s="31"/>
      <c r="AQ674" s="31"/>
      <c r="AR674" s="31"/>
    </row>
    <row r="675" spans="1:44" ht="15.75" customHeight="1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  <c r="AE675" s="31"/>
      <c r="AF675" s="31"/>
      <c r="AG675" s="31"/>
      <c r="AH675" s="31"/>
      <c r="AI675" s="31"/>
      <c r="AJ675" s="31"/>
      <c r="AK675" s="31"/>
      <c r="AL675" s="31"/>
      <c r="AM675" s="31"/>
      <c r="AN675" s="31"/>
      <c r="AO675" s="31"/>
      <c r="AP675" s="31"/>
      <c r="AQ675" s="31"/>
      <c r="AR675" s="31"/>
    </row>
    <row r="676" spans="1:44" ht="15.75" customHeight="1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  <c r="AE676" s="31"/>
      <c r="AF676" s="31"/>
      <c r="AG676" s="31"/>
      <c r="AH676" s="31"/>
      <c r="AI676" s="31"/>
      <c r="AJ676" s="31"/>
      <c r="AK676" s="31"/>
      <c r="AL676" s="31"/>
      <c r="AM676" s="31"/>
      <c r="AN676" s="31"/>
      <c r="AO676" s="31"/>
      <c r="AP676" s="31"/>
      <c r="AQ676" s="31"/>
      <c r="AR676" s="31"/>
    </row>
    <row r="677" spans="1:44" ht="15.75" customHeight="1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  <c r="AE677" s="31"/>
      <c r="AF677" s="31"/>
      <c r="AG677" s="31"/>
      <c r="AH677" s="31"/>
      <c r="AI677" s="31"/>
      <c r="AJ677" s="31"/>
      <c r="AK677" s="31"/>
      <c r="AL677" s="31"/>
      <c r="AM677" s="31"/>
      <c r="AN677" s="31"/>
      <c r="AO677" s="31"/>
      <c r="AP677" s="31"/>
      <c r="AQ677" s="31"/>
      <c r="AR677" s="31"/>
    </row>
    <row r="678" spans="1:44" ht="15.75" customHeight="1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  <c r="AE678" s="31"/>
      <c r="AF678" s="31"/>
      <c r="AG678" s="31"/>
      <c r="AH678" s="31"/>
      <c r="AI678" s="31"/>
      <c r="AJ678" s="31"/>
      <c r="AK678" s="31"/>
      <c r="AL678" s="31"/>
      <c r="AM678" s="31"/>
      <c r="AN678" s="31"/>
      <c r="AO678" s="31"/>
      <c r="AP678" s="31"/>
      <c r="AQ678" s="31"/>
      <c r="AR678" s="31"/>
    </row>
    <row r="679" spans="1:44" ht="15.75" customHeight="1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  <c r="AF679" s="31"/>
      <c r="AG679" s="31"/>
      <c r="AH679" s="31"/>
      <c r="AI679" s="31"/>
      <c r="AJ679" s="31"/>
      <c r="AK679" s="31"/>
      <c r="AL679" s="31"/>
      <c r="AM679" s="31"/>
      <c r="AN679" s="31"/>
      <c r="AO679" s="31"/>
      <c r="AP679" s="31"/>
      <c r="AQ679" s="31"/>
      <c r="AR679" s="31"/>
    </row>
    <row r="680" spans="1:44" ht="15.75" customHeight="1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  <c r="AE680" s="31"/>
      <c r="AF680" s="31"/>
      <c r="AG680" s="31"/>
      <c r="AH680" s="31"/>
      <c r="AI680" s="31"/>
      <c r="AJ680" s="31"/>
      <c r="AK680" s="31"/>
      <c r="AL680" s="31"/>
      <c r="AM680" s="31"/>
      <c r="AN680" s="31"/>
      <c r="AO680" s="31"/>
      <c r="AP680" s="31"/>
      <c r="AQ680" s="31"/>
      <c r="AR680" s="31"/>
    </row>
    <row r="681" spans="1:44" ht="15.75" customHeight="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  <c r="AE681" s="31"/>
      <c r="AF681" s="31"/>
      <c r="AG681" s="31"/>
      <c r="AH681" s="31"/>
      <c r="AI681" s="31"/>
      <c r="AJ681" s="31"/>
      <c r="AK681" s="31"/>
      <c r="AL681" s="31"/>
      <c r="AM681" s="31"/>
      <c r="AN681" s="31"/>
      <c r="AO681" s="31"/>
      <c r="AP681" s="31"/>
      <c r="AQ681" s="31"/>
      <c r="AR681" s="31"/>
    </row>
    <row r="682" spans="1:44" ht="15.75" customHeight="1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  <c r="AE682" s="31"/>
      <c r="AF682" s="31"/>
      <c r="AG682" s="31"/>
      <c r="AH682" s="31"/>
      <c r="AI682" s="31"/>
      <c r="AJ682" s="31"/>
      <c r="AK682" s="31"/>
      <c r="AL682" s="31"/>
      <c r="AM682" s="31"/>
      <c r="AN682" s="31"/>
      <c r="AO682" s="31"/>
      <c r="AP682" s="31"/>
      <c r="AQ682" s="31"/>
      <c r="AR682" s="31"/>
    </row>
    <row r="683" spans="1:44" ht="15.75" customHeight="1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</row>
    <row r="684" spans="1:44" ht="15.75" customHeight="1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  <c r="AF684" s="31"/>
      <c r="AG684" s="31"/>
      <c r="AH684" s="31"/>
      <c r="AI684" s="31"/>
      <c r="AJ684" s="31"/>
      <c r="AK684" s="31"/>
      <c r="AL684" s="31"/>
      <c r="AM684" s="31"/>
      <c r="AN684" s="31"/>
      <c r="AO684" s="31"/>
      <c r="AP684" s="31"/>
      <c r="AQ684" s="31"/>
      <c r="AR684" s="31"/>
    </row>
    <row r="685" spans="1:44" ht="15.75" customHeight="1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</row>
    <row r="686" spans="1:44" ht="15.75" customHeight="1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  <c r="AF686" s="31"/>
      <c r="AG686" s="31"/>
      <c r="AH686" s="31"/>
      <c r="AI686" s="31"/>
      <c r="AJ686" s="31"/>
      <c r="AK686" s="31"/>
      <c r="AL686" s="31"/>
      <c r="AM686" s="31"/>
      <c r="AN686" s="31"/>
      <c r="AO686" s="31"/>
      <c r="AP686" s="31"/>
      <c r="AQ686" s="31"/>
      <c r="AR686" s="31"/>
    </row>
    <row r="687" spans="1:44" ht="15.75" customHeight="1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</row>
    <row r="688" spans="1:44" ht="15.75" customHeight="1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  <c r="AF688" s="31"/>
      <c r="AG688" s="31"/>
      <c r="AH688" s="31"/>
      <c r="AI688" s="31"/>
      <c r="AJ688" s="31"/>
      <c r="AK688" s="31"/>
      <c r="AL688" s="31"/>
      <c r="AM688" s="31"/>
      <c r="AN688" s="31"/>
      <c r="AO688" s="31"/>
      <c r="AP688" s="31"/>
      <c r="AQ688" s="31"/>
      <c r="AR688" s="31"/>
    </row>
    <row r="689" spans="1:44" ht="15.75" customHeight="1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  <c r="AP689" s="31"/>
      <c r="AQ689" s="31"/>
      <c r="AR689" s="31"/>
    </row>
    <row r="690" spans="1:44" ht="15.75" customHeight="1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  <c r="AF690" s="31"/>
      <c r="AG690" s="31"/>
      <c r="AH690" s="31"/>
      <c r="AI690" s="31"/>
      <c r="AJ690" s="31"/>
      <c r="AK690" s="31"/>
      <c r="AL690" s="31"/>
      <c r="AM690" s="31"/>
      <c r="AN690" s="31"/>
      <c r="AO690" s="31"/>
      <c r="AP690" s="31"/>
      <c r="AQ690" s="31"/>
      <c r="AR690" s="31"/>
    </row>
    <row r="691" spans="1:44" ht="15.75" customHeight="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  <c r="AE691" s="31"/>
      <c r="AF691" s="31"/>
      <c r="AG691" s="31"/>
      <c r="AH691" s="31"/>
      <c r="AI691" s="31"/>
      <c r="AJ691" s="31"/>
      <c r="AK691" s="31"/>
      <c r="AL691" s="31"/>
      <c r="AM691" s="31"/>
      <c r="AN691" s="31"/>
      <c r="AO691" s="31"/>
      <c r="AP691" s="31"/>
      <c r="AQ691" s="31"/>
      <c r="AR691" s="31"/>
    </row>
    <row r="692" spans="1:44" ht="15.75" customHeight="1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  <c r="AE692" s="31"/>
      <c r="AF692" s="31"/>
      <c r="AG692" s="31"/>
      <c r="AH692" s="31"/>
      <c r="AI692" s="31"/>
      <c r="AJ692" s="31"/>
      <c r="AK692" s="31"/>
      <c r="AL692" s="31"/>
      <c r="AM692" s="31"/>
      <c r="AN692" s="31"/>
      <c r="AO692" s="31"/>
      <c r="AP692" s="31"/>
      <c r="AQ692" s="31"/>
      <c r="AR692" s="31"/>
    </row>
    <row r="693" spans="1:44" ht="15.75" customHeight="1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  <c r="AE693" s="31"/>
      <c r="AF693" s="31"/>
      <c r="AG693" s="31"/>
      <c r="AH693" s="31"/>
      <c r="AI693" s="31"/>
      <c r="AJ693" s="31"/>
      <c r="AK693" s="31"/>
      <c r="AL693" s="31"/>
      <c r="AM693" s="31"/>
      <c r="AN693" s="31"/>
      <c r="AO693" s="31"/>
      <c r="AP693" s="31"/>
      <c r="AQ693" s="31"/>
      <c r="AR693" s="31"/>
    </row>
    <row r="694" spans="1:44" ht="15.75" customHeight="1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  <c r="AE694" s="31"/>
      <c r="AF694" s="31"/>
      <c r="AG694" s="31"/>
      <c r="AH694" s="31"/>
      <c r="AI694" s="31"/>
      <c r="AJ694" s="31"/>
      <c r="AK694" s="31"/>
      <c r="AL694" s="31"/>
      <c r="AM694" s="31"/>
      <c r="AN694" s="31"/>
      <c r="AO694" s="31"/>
      <c r="AP694" s="31"/>
      <c r="AQ694" s="31"/>
      <c r="AR694" s="31"/>
    </row>
    <row r="695" spans="1:44" ht="15.75" customHeight="1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  <c r="AE695" s="31"/>
      <c r="AF695" s="31"/>
      <c r="AG695" s="31"/>
      <c r="AH695" s="31"/>
      <c r="AI695" s="31"/>
      <c r="AJ695" s="31"/>
      <c r="AK695" s="31"/>
      <c r="AL695" s="31"/>
      <c r="AM695" s="31"/>
      <c r="AN695" s="31"/>
      <c r="AO695" s="31"/>
      <c r="AP695" s="31"/>
      <c r="AQ695" s="31"/>
      <c r="AR695" s="31"/>
    </row>
    <row r="696" spans="1:44" ht="15.75" customHeight="1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  <c r="AE696" s="31"/>
      <c r="AF696" s="31"/>
      <c r="AG696" s="31"/>
      <c r="AH696" s="31"/>
      <c r="AI696" s="31"/>
      <c r="AJ696" s="31"/>
      <c r="AK696" s="31"/>
      <c r="AL696" s="31"/>
      <c r="AM696" s="31"/>
      <c r="AN696" s="31"/>
      <c r="AO696" s="31"/>
      <c r="AP696" s="31"/>
      <c r="AQ696" s="31"/>
      <c r="AR696" s="31"/>
    </row>
    <row r="697" spans="1:44" ht="15.75" customHeight="1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</row>
    <row r="698" spans="1:44" ht="15.75" customHeight="1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  <c r="AE698" s="31"/>
      <c r="AF698" s="31"/>
      <c r="AG698" s="31"/>
      <c r="AH698" s="31"/>
      <c r="AI698" s="31"/>
      <c r="AJ698" s="31"/>
      <c r="AK698" s="31"/>
      <c r="AL698" s="31"/>
      <c r="AM698" s="31"/>
      <c r="AN698" s="31"/>
      <c r="AO698" s="31"/>
      <c r="AP698" s="31"/>
      <c r="AQ698" s="31"/>
      <c r="AR698" s="31"/>
    </row>
    <row r="699" spans="1:44" ht="15.75" customHeight="1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  <c r="AE699" s="31"/>
      <c r="AF699" s="31"/>
      <c r="AG699" s="31"/>
      <c r="AH699" s="31"/>
      <c r="AI699" s="31"/>
      <c r="AJ699" s="31"/>
      <c r="AK699" s="31"/>
      <c r="AL699" s="31"/>
      <c r="AM699" s="31"/>
      <c r="AN699" s="31"/>
      <c r="AO699" s="31"/>
      <c r="AP699" s="31"/>
      <c r="AQ699" s="31"/>
      <c r="AR699" s="31"/>
    </row>
    <row r="700" spans="1:44" ht="15.75" customHeight="1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  <c r="AE700" s="31"/>
      <c r="AF700" s="31"/>
      <c r="AG700" s="31"/>
      <c r="AH700" s="31"/>
      <c r="AI700" s="31"/>
      <c r="AJ700" s="31"/>
      <c r="AK700" s="31"/>
      <c r="AL700" s="31"/>
      <c r="AM700" s="31"/>
      <c r="AN700" s="31"/>
      <c r="AO700" s="31"/>
      <c r="AP700" s="31"/>
      <c r="AQ700" s="31"/>
      <c r="AR700" s="31"/>
    </row>
    <row r="701" spans="1:44" ht="15.75" customHeight="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  <c r="AE701" s="31"/>
      <c r="AF701" s="31"/>
      <c r="AG701" s="31"/>
      <c r="AH701" s="31"/>
      <c r="AI701" s="31"/>
      <c r="AJ701" s="31"/>
      <c r="AK701" s="31"/>
      <c r="AL701" s="31"/>
      <c r="AM701" s="31"/>
      <c r="AN701" s="31"/>
      <c r="AO701" s="31"/>
      <c r="AP701" s="31"/>
      <c r="AQ701" s="31"/>
      <c r="AR701" s="31"/>
    </row>
    <row r="702" spans="1:44" ht="15.75" customHeight="1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  <c r="AE702" s="31"/>
      <c r="AF702" s="31"/>
      <c r="AG702" s="31"/>
      <c r="AH702" s="31"/>
      <c r="AI702" s="31"/>
      <c r="AJ702" s="31"/>
      <c r="AK702" s="31"/>
      <c r="AL702" s="31"/>
      <c r="AM702" s="31"/>
      <c r="AN702" s="31"/>
      <c r="AO702" s="31"/>
      <c r="AP702" s="31"/>
      <c r="AQ702" s="31"/>
      <c r="AR702" s="31"/>
    </row>
    <row r="703" spans="1:44" ht="15.75" customHeight="1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  <c r="AF703" s="31"/>
      <c r="AG703" s="31"/>
      <c r="AH703" s="31"/>
      <c r="AI703" s="31"/>
      <c r="AJ703" s="31"/>
      <c r="AK703" s="31"/>
      <c r="AL703" s="31"/>
      <c r="AM703" s="31"/>
      <c r="AN703" s="31"/>
      <c r="AO703" s="31"/>
      <c r="AP703" s="31"/>
      <c r="AQ703" s="31"/>
      <c r="AR703" s="31"/>
    </row>
    <row r="704" spans="1:44" ht="15.75" customHeight="1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  <c r="AE704" s="31"/>
      <c r="AF704" s="31"/>
      <c r="AG704" s="31"/>
      <c r="AH704" s="31"/>
      <c r="AI704" s="31"/>
      <c r="AJ704" s="31"/>
      <c r="AK704" s="31"/>
      <c r="AL704" s="31"/>
      <c r="AM704" s="31"/>
      <c r="AN704" s="31"/>
      <c r="AO704" s="31"/>
      <c r="AP704" s="31"/>
      <c r="AQ704" s="31"/>
      <c r="AR704" s="31"/>
    </row>
    <row r="705" spans="1:44" ht="15.75" customHeight="1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  <c r="AF705" s="31"/>
      <c r="AG705" s="31"/>
      <c r="AH705" s="31"/>
      <c r="AI705" s="31"/>
      <c r="AJ705" s="31"/>
      <c r="AK705" s="31"/>
      <c r="AL705" s="31"/>
      <c r="AM705" s="31"/>
      <c r="AN705" s="31"/>
      <c r="AO705" s="31"/>
      <c r="AP705" s="31"/>
      <c r="AQ705" s="31"/>
      <c r="AR705" s="31"/>
    </row>
    <row r="706" spans="1:44" ht="15.75" customHeight="1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  <c r="AE706" s="31"/>
      <c r="AF706" s="31"/>
      <c r="AG706" s="31"/>
      <c r="AH706" s="31"/>
      <c r="AI706" s="31"/>
      <c r="AJ706" s="31"/>
      <c r="AK706" s="31"/>
      <c r="AL706" s="31"/>
      <c r="AM706" s="31"/>
      <c r="AN706" s="31"/>
      <c r="AO706" s="31"/>
      <c r="AP706" s="31"/>
      <c r="AQ706" s="31"/>
      <c r="AR706" s="31"/>
    </row>
    <row r="707" spans="1:44" ht="15.75" customHeight="1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  <c r="AF707" s="31"/>
      <c r="AG707" s="31"/>
      <c r="AH707" s="31"/>
      <c r="AI707" s="31"/>
      <c r="AJ707" s="31"/>
      <c r="AK707" s="31"/>
      <c r="AL707" s="31"/>
      <c r="AM707" s="31"/>
      <c r="AN707" s="31"/>
      <c r="AO707" s="31"/>
      <c r="AP707" s="31"/>
      <c r="AQ707" s="31"/>
      <c r="AR707" s="31"/>
    </row>
    <row r="708" spans="1:44" ht="15.75" customHeight="1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  <c r="AE708" s="31"/>
      <c r="AF708" s="31"/>
      <c r="AG708" s="31"/>
      <c r="AH708" s="31"/>
      <c r="AI708" s="31"/>
      <c r="AJ708" s="31"/>
      <c r="AK708" s="31"/>
      <c r="AL708" s="31"/>
      <c r="AM708" s="31"/>
      <c r="AN708" s="31"/>
      <c r="AO708" s="31"/>
      <c r="AP708" s="31"/>
      <c r="AQ708" s="31"/>
      <c r="AR708" s="31"/>
    </row>
    <row r="709" spans="1:44" ht="15.75" customHeight="1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  <c r="AF709" s="31"/>
      <c r="AG709" s="31"/>
      <c r="AH709" s="31"/>
      <c r="AI709" s="31"/>
      <c r="AJ709" s="31"/>
      <c r="AK709" s="31"/>
      <c r="AL709" s="31"/>
      <c r="AM709" s="31"/>
      <c r="AN709" s="31"/>
      <c r="AO709" s="31"/>
      <c r="AP709" s="31"/>
      <c r="AQ709" s="31"/>
      <c r="AR709" s="31"/>
    </row>
    <row r="710" spans="1:44" ht="15.75" customHeight="1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  <c r="AE710" s="31"/>
      <c r="AF710" s="31"/>
      <c r="AG710" s="31"/>
      <c r="AH710" s="31"/>
      <c r="AI710" s="31"/>
      <c r="AJ710" s="31"/>
      <c r="AK710" s="31"/>
      <c r="AL710" s="31"/>
      <c r="AM710" s="31"/>
      <c r="AN710" s="31"/>
      <c r="AO710" s="31"/>
      <c r="AP710" s="31"/>
      <c r="AQ710" s="31"/>
      <c r="AR710" s="31"/>
    </row>
    <row r="711" spans="1:44" ht="15.75" customHeight="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  <c r="AF711" s="31"/>
      <c r="AG711" s="31"/>
      <c r="AH711" s="31"/>
      <c r="AI711" s="31"/>
      <c r="AJ711" s="31"/>
      <c r="AK711" s="31"/>
      <c r="AL711" s="31"/>
      <c r="AM711" s="31"/>
      <c r="AN711" s="31"/>
      <c r="AO711" s="31"/>
      <c r="AP711" s="31"/>
      <c r="AQ711" s="31"/>
      <c r="AR711" s="31"/>
    </row>
    <row r="712" spans="1:44" ht="15.75" customHeight="1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  <c r="AE712" s="31"/>
      <c r="AF712" s="31"/>
      <c r="AG712" s="31"/>
      <c r="AH712" s="31"/>
      <c r="AI712" s="31"/>
      <c r="AJ712" s="31"/>
      <c r="AK712" s="31"/>
      <c r="AL712" s="31"/>
      <c r="AM712" s="31"/>
      <c r="AN712" s="31"/>
      <c r="AO712" s="31"/>
      <c r="AP712" s="31"/>
      <c r="AQ712" s="31"/>
      <c r="AR712" s="31"/>
    </row>
    <row r="713" spans="1:44" ht="15.75" customHeight="1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  <c r="AE713" s="31"/>
      <c r="AF713" s="31"/>
      <c r="AG713" s="31"/>
      <c r="AH713" s="31"/>
      <c r="AI713" s="31"/>
      <c r="AJ713" s="31"/>
      <c r="AK713" s="31"/>
      <c r="AL713" s="31"/>
      <c r="AM713" s="31"/>
      <c r="AN713" s="31"/>
      <c r="AO713" s="31"/>
      <c r="AP713" s="31"/>
      <c r="AQ713" s="31"/>
      <c r="AR713" s="31"/>
    </row>
    <row r="714" spans="1:44" ht="15.75" customHeight="1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  <c r="AE714" s="31"/>
      <c r="AF714" s="31"/>
      <c r="AG714" s="31"/>
      <c r="AH714" s="31"/>
      <c r="AI714" s="31"/>
      <c r="AJ714" s="31"/>
      <c r="AK714" s="31"/>
      <c r="AL714" s="31"/>
      <c r="AM714" s="31"/>
      <c r="AN714" s="31"/>
      <c r="AO714" s="31"/>
      <c r="AP714" s="31"/>
      <c r="AQ714" s="31"/>
      <c r="AR714" s="31"/>
    </row>
    <row r="715" spans="1:44" ht="15.75" customHeight="1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  <c r="AF715" s="31"/>
      <c r="AG715" s="31"/>
      <c r="AH715" s="31"/>
      <c r="AI715" s="31"/>
      <c r="AJ715" s="31"/>
      <c r="AK715" s="31"/>
      <c r="AL715" s="31"/>
      <c r="AM715" s="31"/>
      <c r="AN715" s="31"/>
      <c r="AO715" s="31"/>
      <c r="AP715" s="31"/>
      <c r="AQ715" s="31"/>
      <c r="AR715" s="31"/>
    </row>
    <row r="716" spans="1:44" ht="15.75" customHeight="1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  <c r="AE716" s="31"/>
      <c r="AF716" s="31"/>
      <c r="AG716" s="31"/>
      <c r="AH716" s="31"/>
      <c r="AI716" s="31"/>
      <c r="AJ716" s="31"/>
      <c r="AK716" s="31"/>
      <c r="AL716" s="31"/>
      <c r="AM716" s="31"/>
      <c r="AN716" s="31"/>
      <c r="AO716" s="31"/>
      <c r="AP716" s="31"/>
      <c r="AQ716" s="31"/>
      <c r="AR716" s="31"/>
    </row>
    <row r="717" spans="1:44" ht="15.75" customHeight="1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  <c r="AE717" s="31"/>
      <c r="AF717" s="31"/>
      <c r="AG717" s="31"/>
      <c r="AH717" s="31"/>
      <c r="AI717" s="31"/>
      <c r="AJ717" s="31"/>
      <c r="AK717" s="31"/>
      <c r="AL717" s="31"/>
      <c r="AM717" s="31"/>
      <c r="AN717" s="31"/>
      <c r="AO717" s="31"/>
      <c r="AP717" s="31"/>
      <c r="AQ717" s="31"/>
      <c r="AR717" s="31"/>
    </row>
    <row r="718" spans="1:44" ht="15.75" customHeight="1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  <c r="AE718" s="31"/>
      <c r="AF718" s="31"/>
      <c r="AG718" s="31"/>
      <c r="AH718" s="31"/>
      <c r="AI718" s="31"/>
      <c r="AJ718" s="31"/>
      <c r="AK718" s="31"/>
      <c r="AL718" s="31"/>
      <c r="AM718" s="31"/>
      <c r="AN718" s="31"/>
      <c r="AO718" s="31"/>
      <c r="AP718" s="31"/>
      <c r="AQ718" s="31"/>
      <c r="AR718" s="31"/>
    </row>
    <row r="719" spans="1:44" ht="15.75" customHeight="1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  <c r="AE719" s="31"/>
      <c r="AF719" s="31"/>
      <c r="AG719" s="31"/>
      <c r="AH719" s="31"/>
      <c r="AI719" s="31"/>
      <c r="AJ719" s="31"/>
      <c r="AK719" s="31"/>
      <c r="AL719" s="31"/>
      <c r="AM719" s="31"/>
      <c r="AN719" s="31"/>
      <c r="AO719" s="31"/>
      <c r="AP719" s="31"/>
      <c r="AQ719" s="31"/>
      <c r="AR719" s="31"/>
    </row>
    <row r="720" spans="1:44" ht="15.75" customHeight="1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  <c r="AE720" s="31"/>
      <c r="AF720" s="31"/>
      <c r="AG720" s="31"/>
      <c r="AH720" s="31"/>
      <c r="AI720" s="31"/>
      <c r="AJ720" s="31"/>
      <c r="AK720" s="31"/>
      <c r="AL720" s="31"/>
      <c r="AM720" s="31"/>
      <c r="AN720" s="31"/>
      <c r="AO720" s="31"/>
      <c r="AP720" s="31"/>
      <c r="AQ720" s="31"/>
      <c r="AR720" s="31"/>
    </row>
    <row r="721" spans="1:44" ht="15.75" customHeight="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  <c r="AF721" s="31"/>
      <c r="AG721" s="31"/>
      <c r="AH721" s="31"/>
      <c r="AI721" s="31"/>
      <c r="AJ721" s="31"/>
      <c r="AK721" s="31"/>
      <c r="AL721" s="31"/>
      <c r="AM721" s="31"/>
      <c r="AN721" s="31"/>
      <c r="AO721" s="31"/>
      <c r="AP721" s="31"/>
      <c r="AQ721" s="31"/>
      <c r="AR721" s="31"/>
    </row>
    <row r="722" spans="1:44" ht="15.75" customHeight="1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  <c r="AE722" s="31"/>
      <c r="AF722" s="31"/>
      <c r="AG722" s="31"/>
      <c r="AH722" s="31"/>
      <c r="AI722" s="31"/>
      <c r="AJ722" s="31"/>
      <c r="AK722" s="31"/>
      <c r="AL722" s="31"/>
      <c r="AM722" s="31"/>
      <c r="AN722" s="31"/>
      <c r="AO722" s="31"/>
      <c r="AP722" s="31"/>
      <c r="AQ722" s="31"/>
      <c r="AR722" s="31"/>
    </row>
    <row r="723" spans="1:44" ht="15.75" customHeight="1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  <c r="AE723" s="31"/>
      <c r="AF723" s="31"/>
      <c r="AG723" s="31"/>
      <c r="AH723" s="31"/>
      <c r="AI723" s="31"/>
      <c r="AJ723" s="31"/>
      <c r="AK723" s="31"/>
      <c r="AL723" s="31"/>
      <c r="AM723" s="31"/>
      <c r="AN723" s="31"/>
      <c r="AO723" s="31"/>
      <c r="AP723" s="31"/>
      <c r="AQ723" s="31"/>
      <c r="AR723" s="31"/>
    </row>
    <row r="724" spans="1:44" ht="15.75" customHeight="1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  <c r="AE724" s="31"/>
      <c r="AF724" s="31"/>
      <c r="AG724" s="31"/>
      <c r="AH724" s="31"/>
      <c r="AI724" s="31"/>
      <c r="AJ724" s="31"/>
      <c r="AK724" s="31"/>
      <c r="AL724" s="31"/>
      <c r="AM724" s="31"/>
      <c r="AN724" s="31"/>
      <c r="AO724" s="31"/>
      <c r="AP724" s="31"/>
      <c r="AQ724" s="31"/>
      <c r="AR724" s="31"/>
    </row>
    <row r="725" spans="1:44" ht="15.75" customHeight="1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  <c r="AF725" s="31"/>
      <c r="AG725" s="31"/>
      <c r="AH725" s="31"/>
      <c r="AI725" s="31"/>
      <c r="AJ725" s="31"/>
      <c r="AK725" s="31"/>
      <c r="AL725" s="31"/>
      <c r="AM725" s="31"/>
      <c r="AN725" s="31"/>
      <c r="AO725" s="31"/>
      <c r="AP725" s="31"/>
      <c r="AQ725" s="31"/>
      <c r="AR725" s="31"/>
    </row>
    <row r="726" spans="1:44" ht="15.75" customHeight="1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  <c r="AE726" s="31"/>
      <c r="AF726" s="31"/>
      <c r="AG726" s="31"/>
      <c r="AH726" s="31"/>
      <c r="AI726" s="31"/>
      <c r="AJ726" s="31"/>
      <c r="AK726" s="31"/>
      <c r="AL726" s="31"/>
      <c r="AM726" s="31"/>
      <c r="AN726" s="31"/>
      <c r="AO726" s="31"/>
      <c r="AP726" s="31"/>
      <c r="AQ726" s="31"/>
      <c r="AR726" s="31"/>
    </row>
    <row r="727" spans="1:44" ht="15.75" customHeight="1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  <c r="AF727" s="31"/>
      <c r="AG727" s="31"/>
      <c r="AH727" s="31"/>
      <c r="AI727" s="31"/>
      <c r="AJ727" s="31"/>
      <c r="AK727" s="31"/>
      <c r="AL727" s="31"/>
      <c r="AM727" s="31"/>
      <c r="AN727" s="31"/>
      <c r="AO727" s="31"/>
      <c r="AP727" s="31"/>
      <c r="AQ727" s="31"/>
      <c r="AR727" s="31"/>
    </row>
    <row r="728" spans="1:44" ht="15.75" customHeight="1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  <c r="AE728" s="31"/>
      <c r="AF728" s="31"/>
      <c r="AG728" s="31"/>
      <c r="AH728" s="31"/>
      <c r="AI728" s="31"/>
      <c r="AJ728" s="31"/>
      <c r="AK728" s="31"/>
      <c r="AL728" s="31"/>
      <c r="AM728" s="31"/>
      <c r="AN728" s="31"/>
      <c r="AO728" s="31"/>
      <c r="AP728" s="31"/>
      <c r="AQ728" s="31"/>
      <c r="AR728" s="31"/>
    </row>
    <row r="729" spans="1:44" ht="15.75" customHeight="1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  <c r="AE729" s="31"/>
      <c r="AF729" s="31"/>
      <c r="AG729" s="31"/>
      <c r="AH729" s="31"/>
      <c r="AI729" s="31"/>
      <c r="AJ729" s="31"/>
      <c r="AK729" s="31"/>
      <c r="AL729" s="31"/>
      <c r="AM729" s="31"/>
      <c r="AN729" s="31"/>
      <c r="AO729" s="31"/>
      <c r="AP729" s="31"/>
      <c r="AQ729" s="31"/>
      <c r="AR729" s="31"/>
    </row>
    <row r="730" spans="1:44" ht="15.75" customHeight="1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  <c r="AE730" s="31"/>
      <c r="AF730" s="31"/>
      <c r="AG730" s="31"/>
      <c r="AH730" s="31"/>
      <c r="AI730" s="31"/>
      <c r="AJ730" s="31"/>
      <c r="AK730" s="31"/>
      <c r="AL730" s="31"/>
      <c r="AM730" s="31"/>
      <c r="AN730" s="31"/>
      <c r="AO730" s="31"/>
      <c r="AP730" s="31"/>
      <c r="AQ730" s="31"/>
      <c r="AR730" s="31"/>
    </row>
    <row r="731" spans="1:44" ht="15.75" customHeight="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  <c r="AE731" s="31"/>
      <c r="AF731" s="31"/>
      <c r="AG731" s="31"/>
      <c r="AH731" s="31"/>
      <c r="AI731" s="31"/>
      <c r="AJ731" s="31"/>
      <c r="AK731" s="31"/>
      <c r="AL731" s="31"/>
      <c r="AM731" s="31"/>
      <c r="AN731" s="31"/>
      <c r="AO731" s="31"/>
      <c r="AP731" s="31"/>
      <c r="AQ731" s="31"/>
      <c r="AR731" s="31"/>
    </row>
    <row r="732" spans="1:44" ht="15.75" customHeight="1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  <c r="AE732" s="31"/>
      <c r="AF732" s="31"/>
      <c r="AG732" s="31"/>
      <c r="AH732" s="31"/>
      <c r="AI732" s="31"/>
      <c r="AJ732" s="31"/>
      <c r="AK732" s="31"/>
      <c r="AL732" s="31"/>
      <c r="AM732" s="31"/>
      <c r="AN732" s="31"/>
      <c r="AO732" s="31"/>
      <c r="AP732" s="31"/>
      <c r="AQ732" s="31"/>
      <c r="AR732" s="31"/>
    </row>
    <row r="733" spans="1:44" ht="15.75" customHeight="1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  <c r="AF733" s="31"/>
      <c r="AG733" s="31"/>
      <c r="AH733" s="31"/>
      <c r="AI733" s="31"/>
      <c r="AJ733" s="31"/>
      <c r="AK733" s="31"/>
      <c r="AL733" s="31"/>
      <c r="AM733" s="31"/>
      <c r="AN733" s="31"/>
      <c r="AO733" s="31"/>
      <c r="AP733" s="31"/>
      <c r="AQ733" s="31"/>
      <c r="AR733" s="31"/>
    </row>
    <row r="734" spans="1:44" ht="15.75" customHeight="1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  <c r="AE734" s="31"/>
      <c r="AF734" s="31"/>
      <c r="AG734" s="31"/>
      <c r="AH734" s="31"/>
      <c r="AI734" s="31"/>
      <c r="AJ734" s="31"/>
      <c r="AK734" s="31"/>
      <c r="AL734" s="31"/>
      <c r="AM734" s="31"/>
      <c r="AN734" s="31"/>
      <c r="AO734" s="31"/>
      <c r="AP734" s="31"/>
      <c r="AQ734" s="31"/>
      <c r="AR734" s="31"/>
    </row>
    <row r="735" spans="1:44" ht="15.75" customHeight="1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  <c r="AF735" s="31"/>
      <c r="AG735" s="31"/>
      <c r="AH735" s="31"/>
      <c r="AI735" s="31"/>
      <c r="AJ735" s="31"/>
      <c r="AK735" s="31"/>
      <c r="AL735" s="31"/>
      <c r="AM735" s="31"/>
      <c r="AN735" s="31"/>
      <c r="AO735" s="31"/>
      <c r="AP735" s="31"/>
      <c r="AQ735" s="31"/>
      <c r="AR735" s="31"/>
    </row>
    <row r="736" spans="1:44" ht="15.75" customHeight="1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  <c r="AE736" s="31"/>
      <c r="AF736" s="31"/>
      <c r="AG736" s="31"/>
      <c r="AH736" s="31"/>
      <c r="AI736" s="31"/>
      <c r="AJ736" s="31"/>
      <c r="AK736" s="31"/>
      <c r="AL736" s="31"/>
      <c r="AM736" s="31"/>
      <c r="AN736" s="31"/>
      <c r="AO736" s="31"/>
      <c r="AP736" s="31"/>
      <c r="AQ736" s="31"/>
      <c r="AR736" s="31"/>
    </row>
    <row r="737" spans="1:44" ht="15.75" customHeight="1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  <c r="AE737" s="31"/>
      <c r="AF737" s="31"/>
      <c r="AG737" s="31"/>
      <c r="AH737" s="31"/>
      <c r="AI737" s="31"/>
      <c r="AJ737" s="31"/>
      <c r="AK737" s="31"/>
      <c r="AL737" s="31"/>
      <c r="AM737" s="31"/>
      <c r="AN737" s="31"/>
      <c r="AO737" s="31"/>
      <c r="AP737" s="31"/>
      <c r="AQ737" s="31"/>
      <c r="AR737" s="31"/>
    </row>
    <row r="738" spans="1:44" ht="15.75" customHeight="1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  <c r="AE738" s="31"/>
      <c r="AF738" s="31"/>
      <c r="AG738" s="31"/>
      <c r="AH738" s="31"/>
      <c r="AI738" s="31"/>
      <c r="AJ738" s="31"/>
      <c r="AK738" s="31"/>
      <c r="AL738" s="31"/>
      <c r="AM738" s="31"/>
      <c r="AN738" s="31"/>
      <c r="AO738" s="31"/>
      <c r="AP738" s="31"/>
      <c r="AQ738" s="31"/>
      <c r="AR738" s="31"/>
    </row>
    <row r="739" spans="1:44" ht="15.75" customHeight="1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  <c r="AF739" s="31"/>
      <c r="AG739" s="31"/>
      <c r="AH739" s="31"/>
      <c r="AI739" s="31"/>
      <c r="AJ739" s="31"/>
      <c r="AK739" s="31"/>
      <c r="AL739" s="31"/>
      <c r="AM739" s="31"/>
      <c r="AN739" s="31"/>
      <c r="AO739" s="31"/>
      <c r="AP739" s="31"/>
      <c r="AQ739" s="31"/>
      <c r="AR739" s="31"/>
    </row>
    <row r="740" spans="1:44" ht="15.75" customHeight="1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  <c r="AE740" s="31"/>
      <c r="AF740" s="31"/>
      <c r="AG740" s="31"/>
      <c r="AH740" s="31"/>
      <c r="AI740" s="31"/>
      <c r="AJ740" s="31"/>
      <c r="AK740" s="31"/>
      <c r="AL740" s="31"/>
      <c r="AM740" s="31"/>
      <c r="AN740" s="31"/>
      <c r="AO740" s="31"/>
      <c r="AP740" s="31"/>
      <c r="AQ740" s="31"/>
      <c r="AR740" s="31"/>
    </row>
    <row r="741" spans="1:44" ht="15.75" customHeight="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  <c r="AE741" s="31"/>
      <c r="AF741" s="31"/>
      <c r="AG741" s="31"/>
      <c r="AH741" s="31"/>
      <c r="AI741" s="31"/>
      <c r="AJ741" s="31"/>
      <c r="AK741" s="31"/>
      <c r="AL741" s="31"/>
      <c r="AM741" s="31"/>
      <c r="AN741" s="31"/>
      <c r="AO741" s="31"/>
      <c r="AP741" s="31"/>
      <c r="AQ741" s="31"/>
      <c r="AR741" s="31"/>
    </row>
    <row r="742" spans="1:44" ht="15.75" customHeight="1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  <c r="AE742" s="31"/>
      <c r="AF742" s="31"/>
      <c r="AG742" s="31"/>
      <c r="AH742" s="31"/>
      <c r="AI742" s="31"/>
      <c r="AJ742" s="31"/>
      <c r="AK742" s="31"/>
      <c r="AL742" s="31"/>
      <c r="AM742" s="31"/>
      <c r="AN742" s="31"/>
      <c r="AO742" s="31"/>
      <c r="AP742" s="31"/>
      <c r="AQ742" s="31"/>
      <c r="AR742" s="31"/>
    </row>
    <row r="743" spans="1:44" ht="15.75" customHeight="1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  <c r="AE743" s="31"/>
      <c r="AF743" s="31"/>
      <c r="AG743" s="31"/>
      <c r="AH743" s="31"/>
      <c r="AI743" s="31"/>
      <c r="AJ743" s="31"/>
      <c r="AK743" s="31"/>
      <c r="AL743" s="31"/>
      <c r="AM743" s="31"/>
      <c r="AN743" s="31"/>
      <c r="AO743" s="31"/>
      <c r="AP743" s="31"/>
      <c r="AQ743" s="31"/>
      <c r="AR743" s="31"/>
    </row>
    <row r="744" spans="1:44" ht="15.75" customHeight="1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  <c r="AE744" s="31"/>
      <c r="AF744" s="31"/>
      <c r="AG744" s="31"/>
      <c r="AH744" s="31"/>
      <c r="AI744" s="31"/>
      <c r="AJ744" s="31"/>
      <c r="AK744" s="31"/>
      <c r="AL744" s="31"/>
      <c r="AM744" s="31"/>
      <c r="AN744" s="31"/>
      <c r="AO744" s="31"/>
      <c r="AP744" s="31"/>
      <c r="AQ744" s="31"/>
      <c r="AR744" s="31"/>
    </row>
    <row r="745" spans="1:44" ht="15.75" customHeight="1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  <c r="AF745" s="31"/>
      <c r="AG745" s="31"/>
      <c r="AH745" s="31"/>
      <c r="AI745" s="31"/>
      <c r="AJ745" s="31"/>
      <c r="AK745" s="31"/>
      <c r="AL745" s="31"/>
      <c r="AM745" s="31"/>
      <c r="AN745" s="31"/>
      <c r="AO745" s="31"/>
      <c r="AP745" s="31"/>
      <c r="AQ745" s="31"/>
      <c r="AR745" s="31"/>
    </row>
    <row r="746" spans="1:44" ht="15.75" customHeight="1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  <c r="AE746" s="31"/>
      <c r="AF746" s="31"/>
      <c r="AG746" s="31"/>
      <c r="AH746" s="31"/>
      <c r="AI746" s="31"/>
      <c r="AJ746" s="31"/>
      <c r="AK746" s="31"/>
      <c r="AL746" s="31"/>
      <c r="AM746" s="31"/>
      <c r="AN746" s="31"/>
      <c r="AO746" s="31"/>
      <c r="AP746" s="31"/>
      <c r="AQ746" s="31"/>
      <c r="AR746" s="31"/>
    </row>
    <row r="747" spans="1:44" ht="15.75" customHeight="1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  <c r="AE747" s="31"/>
      <c r="AF747" s="31"/>
      <c r="AG747" s="31"/>
      <c r="AH747" s="31"/>
      <c r="AI747" s="31"/>
      <c r="AJ747" s="31"/>
      <c r="AK747" s="31"/>
      <c r="AL747" s="31"/>
      <c r="AM747" s="31"/>
      <c r="AN747" s="31"/>
      <c r="AO747" s="31"/>
      <c r="AP747" s="31"/>
      <c r="AQ747" s="31"/>
      <c r="AR747" s="31"/>
    </row>
    <row r="748" spans="1:44" ht="15.75" customHeight="1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  <c r="AE748" s="31"/>
      <c r="AF748" s="31"/>
      <c r="AG748" s="31"/>
      <c r="AH748" s="31"/>
      <c r="AI748" s="31"/>
      <c r="AJ748" s="31"/>
      <c r="AK748" s="31"/>
      <c r="AL748" s="31"/>
      <c r="AM748" s="31"/>
      <c r="AN748" s="31"/>
      <c r="AO748" s="31"/>
      <c r="AP748" s="31"/>
      <c r="AQ748" s="31"/>
      <c r="AR748" s="31"/>
    </row>
    <row r="749" spans="1:44" ht="15.75" customHeight="1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  <c r="AF749" s="31"/>
      <c r="AG749" s="31"/>
      <c r="AH749" s="31"/>
      <c r="AI749" s="31"/>
      <c r="AJ749" s="31"/>
      <c r="AK749" s="31"/>
      <c r="AL749" s="31"/>
      <c r="AM749" s="31"/>
      <c r="AN749" s="31"/>
      <c r="AO749" s="31"/>
      <c r="AP749" s="31"/>
      <c r="AQ749" s="31"/>
      <c r="AR749" s="31"/>
    </row>
    <row r="750" spans="1:44" ht="15.75" customHeight="1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  <c r="AE750" s="31"/>
      <c r="AF750" s="31"/>
      <c r="AG750" s="31"/>
      <c r="AH750" s="31"/>
      <c r="AI750" s="31"/>
      <c r="AJ750" s="31"/>
      <c r="AK750" s="31"/>
      <c r="AL750" s="31"/>
      <c r="AM750" s="31"/>
      <c r="AN750" s="31"/>
      <c r="AO750" s="31"/>
      <c r="AP750" s="31"/>
      <c r="AQ750" s="31"/>
      <c r="AR750" s="31"/>
    </row>
    <row r="751" spans="1:44" ht="15.75" customHeight="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  <c r="AF751" s="31"/>
      <c r="AG751" s="31"/>
      <c r="AH751" s="31"/>
      <c r="AI751" s="31"/>
      <c r="AJ751" s="31"/>
      <c r="AK751" s="31"/>
      <c r="AL751" s="31"/>
      <c r="AM751" s="31"/>
      <c r="AN751" s="31"/>
      <c r="AO751" s="31"/>
      <c r="AP751" s="31"/>
      <c r="AQ751" s="31"/>
      <c r="AR751" s="31"/>
    </row>
    <row r="752" spans="1:44" ht="15.75" customHeight="1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  <c r="AE752" s="31"/>
      <c r="AF752" s="31"/>
      <c r="AG752" s="31"/>
      <c r="AH752" s="31"/>
      <c r="AI752" s="31"/>
      <c r="AJ752" s="31"/>
      <c r="AK752" s="31"/>
      <c r="AL752" s="31"/>
      <c r="AM752" s="31"/>
      <c r="AN752" s="31"/>
      <c r="AO752" s="31"/>
      <c r="AP752" s="31"/>
      <c r="AQ752" s="31"/>
      <c r="AR752" s="31"/>
    </row>
    <row r="753" spans="1:44" ht="15.75" customHeight="1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  <c r="AP753" s="31"/>
      <c r="AQ753" s="31"/>
      <c r="AR753" s="31"/>
    </row>
    <row r="754" spans="1:44" ht="15.75" customHeight="1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  <c r="AE754" s="31"/>
      <c r="AF754" s="31"/>
      <c r="AG754" s="31"/>
      <c r="AH754" s="31"/>
      <c r="AI754" s="31"/>
      <c r="AJ754" s="31"/>
      <c r="AK754" s="31"/>
      <c r="AL754" s="31"/>
      <c r="AM754" s="31"/>
      <c r="AN754" s="31"/>
      <c r="AO754" s="31"/>
      <c r="AP754" s="31"/>
      <c r="AQ754" s="31"/>
      <c r="AR754" s="31"/>
    </row>
    <row r="755" spans="1:44" ht="15.75" customHeight="1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  <c r="AF755" s="31"/>
      <c r="AG755" s="31"/>
      <c r="AH755" s="31"/>
      <c r="AI755" s="31"/>
      <c r="AJ755" s="31"/>
      <c r="AK755" s="31"/>
      <c r="AL755" s="31"/>
      <c r="AM755" s="31"/>
      <c r="AN755" s="31"/>
      <c r="AO755" s="31"/>
      <c r="AP755" s="31"/>
      <c r="AQ755" s="31"/>
      <c r="AR755" s="31"/>
    </row>
    <row r="756" spans="1:44" ht="15.75" customHeight="1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  <c r="AE756" s="31"/>
      <c r="AF756" s="31"/>
      <c r="AG756" s="31"/>
      <c r="AH756" s="31"/>
      <c r="AI756" s="31"/>
      <c r="AJ756" s="31"/>
      <c r="AK756" s="31"/>
      <c r="AL756" s="31"/>
      <c r="AM756" s="31"/>
      <c r="AN756" s="31"/>
      <c r="AO756" s="31"/>
      <c r="AP756" s="31"/>
      <c r="AQ756" s="31"/>
      <c r="AR756" s="31"/>
    </row>
    <row r="757" spans="1:44" ht="15.75" customHeight="1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  <c r="AF757" s="31"/>
      <c r="AG757" s="31"/>
      <c r="AH757" s="31"/>
      <c r="AI757" s="31"/>
      <c r="AJ757" s="31"/>
      <c r="AK757" s="31"/>
      <c r="AL757" s="31"/>
      <c r="AM757" s="31"/>
      <c r="AN757" s="31"/>
      <c r="AO757" s="31"/>
      <c r="AP757" s="31"/>
      <c r="AQ757" s="31"/>
      <c r="AR757" s="31"/>
    </row>
    <row r="758" spans="1:44" ht="15.75" customHeight="1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  <c r="AE758" s="31"/>
      <c r="AF758" s="31"/>
      <c r="AG758" s="31"/>
      <c r="AH758" s="31"/>
      <c r="AI758" s="31"/>
      <c r="AJ758" s="31"/>
      <c r="AK758" s="31"/>
      <c r="AL758" s="31"/>
      <c r="AM758" s="31"/>
      <c r="AN758" s="31"/>
      <c r="AO758" s="31"/>
      <c r="AP758" s="31"/>
      <c r="AQ758" s="31"/>
      <c r="AR758" s="31"/>
    </row>
    <row r="759" spans="1:44" ht="15.75" customHeight="1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  <c r="AF759" s="31"/>
      <c r="AG759" s="31"/>
      <c r="AH759" s="31"/>
      <c r="AI759" s="31"/>
      <c r="AJ759" s="31"/>
      <c r="AK759" s="31"/>
      <c r="AL759" s="31"/>
      <c r="AM759" s="31"/>
      <c r="AN759" s="31"/>
      <c r="AO759" s="31"/>
      <c r="AP759" s="31"/>
      <c r="AQ759" s="31"/>
      <c r="AR759" s="31"/>
    </row>
    <row r="760" spans="1:44" ht="15.75" customHeight="1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  <c r="AE760" s="31"/>
      <c r="AF760" s="31"/>
      <c r="AG760" s="31"/>
      <c r="AH760" s="31"/>
      <c r="AI760" s="31"/>
      <c r="AJ760" s="31"/>
      <c r="AK760" s="31"/>
      <c r="AL760" s="31"/>
      <c r="AM760" s="31"/>
      <c r="AN760" s="31"/>
      <c r="AO760" s="31"/>
      <c r="AP760" s="31"/>
      <c r="AQ760" s="31"/>
      <c r="AR760" s="31"/>
    </row>
    <row r="761" spans="1:44" ht="15.75" customHeight="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  <c r="AF761" s="31"/>
      <c r="AG761" s="31"/>
      <c r="AH761" s="31"/>
      <c r="AI761" s="31"/>
      <c r="AJ761" s="31"/>
      <c r="AK761" s="31"/>
      <c r="AL761" s="31"/>
      <c r="AM761" s="31"/>
      <c r="AN761" s="31"/>
      <c r="AO761" s="31"/>
      <c r="AP761" s="31"/>
      <c r="AQ761" s="31"/>
      <c r="AR761" s="31"/>
    </row>
    <row r="762" spans="1:44" ht="15.75" customHeight="1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  <c r="AE762" s="31"/>
      <c r="AF762" s="31"/>
      <c r="AG762" s="31"/>
      <c r="AH762" s="31"/>
      <c r="AI762" s="31"/>
      <c r="AJ762" s="31"/>
      <c r="AK762" s="31"/>
      <c r="AL762" s="31"/>
      <c r="AM762" s="31"/>
      <c r="AN762" s="31"/>
      <c r="AO762" s="31"/>
      <c r="AP762" s="31"/>
      <c r="AQ762" s="31"/>
      <c r="AR762" s="31"/>
    </row>
    <row r="763" spans="1:44" ht="15.75" customHeight="1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  <c r="AF763" s="31"/>
      <c r="AG763" s="31"/>
      <c r="AH763" s="31"/>
      <c r="AI763" s="31"/>
      <c r="AJ763" s="31"/>
      <c r="AK763" s="31"/>
      <c r="AL763" s="31"/>
      <c r="AM763" s="31"/>
      <c r="AN763" s="31"/>
      <c r="AO763" s="31"/>
      <c r="AP763" s="31"/>
      <c r="AQ763" s="31"/>
      <c r="AR763" s="31"/>
    </row>
    <row r="764" spans="1:44" ht="15.75" customHeight="1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  <c r="AE764" s="31"/>
      <c r="AF764" s="31"/>
      <c r="AG764" s="31"/>
      <c r="AH764" s="31"/>
      <c r="AI764" s="31"/>
      <c r="AJ764" s="31"/>
      <c r="AK764" s="31"/>
      <c r="AL764" s="31"/>
      <c r="AM764" s="31"/>
      <c r="AN764" s="31"/>
      <c r="AO764" s="31"/>
      <c r="AP764" s="31"/>
      <c r="AQ764" s="31"/>
      <c r="AR764" s="31"/>
    </row>
    <row r="765" spans="1:44" ht="15.75" customHeight="1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  <c r="AE765" s="31"/>
      <c r="AF765" s="31"/>
      <c r="AG765" s="31"/>
      <c r="AH765" s="31"/>
      <c r="AI765" s="31"/>
      <c r="AJ765" s="31"/>
      <c r="AK765" s="31"/>
      <c r="AL765" s="31"/>
      <c r="AM765" s="31"/>
      <c r="AN765" s="31"/>
      <c r="AO765" s="31"/>
      <c r="AP765" s="31"/>
      <c r="AQ765" s="31"/>
      <c r="AR765" s="31"/>
    </row>
    <row r="766" spans="1:44" ht="15.75" customHeight="1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  <c r="AE766" s="31"/>
      <c r="AF766" s="31"/>
      <c r="AG766" s="31"/>
      <c r="AH766" s="31"/>
      <c r="AI766" s="31"/>
      <c r="AJ766" s="31"/>
      <c r="AK766" s="31"/>
      <c r="AL766" s="31"/>
      <c r="AM766" s="31"/>
      <c r="AN766" s="31"/>
      <c r="AO766" s="31"/>
      <c r="AP766" s="31"/>
      <c r="AQ766" s="31"/>
      <c r="AR766" s="31"/>
    </row>
    <row r="767" spans="1:44" ht="15.75" customHeight="1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  <c r="AE767" s="31"/>
      <c r="AF767" s="31"/>
      <c r="AG767" s="31"/>
      <c r="AH767" s="31"/>
      <c r="AI767" s="31"/>
      <c r="AJ767" s="31"/>
      <c r="AK767" s="31"/>
      <c r="AL767" s="31"/>
      <c r="AM767" s="31"/>
      <c r="AN767" s="31"/>
      <c r="AO767" s="31"/>
      <c r="AP767" s="31"/>
      <c r="AQ767" s="31"/>
      <c r="AR767" s="31"/>
    </row>
    <row r="768" spans="1:44" ht="15.75" customHeight="1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  <c r="AE768" s="31"/>
      <c r="AF768" s="31"/>
      <c r="AG768" s="31"/>
      <c r="AH768" s="31"/>
      <c r="AI768" s="31"/>
      <c r="AJ768" s="31"/>
      <c r="AK768" s="31"/>
      <c r="AL768" s="31"/>
      <c r="AM768" s="31"/>
      <c r="AN768" s="31"/>
      <c r="AO768" s="31"/>
      <c r="AP768" s="31"/>
      <c r="AQ768" s="31"/>
      <c r="AR768" s="31"/>
    </row>
    <row r="769" spans="1:44" ht="15.75" customHeight="1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  <c r="AF769" s="31"/>
      <c r="AG769" s="31"/>
      <c r="AH769" s="31"/>
      <c r="AI769" s="31"/>
      <c r="AJ769" s="31"/>
      <c r="AK769" s="31"/>
      <c r="AL769" s="31"/>
      <c r="AM769" s="31"/>
      <c r="AN769" s="31"/>
      <c r="AO769" s="31"/>
      <c r="AP769" s="31"/>
      <c r="AQ769" s="31"/>
      <c r="AR769" s="31"/>
    </row>
    <row r="770" spans="1:44" ht="15.75" customHeight="1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  <c r="AE770" s="31"/>
      <c r="AF770" s="31"/>
      <c r="AG770" s="31"/>
      <c r="AH770" s="31"/>
      <c r="AI770" s="31"/>
      <c r="AJ770" s="31"/>
      <c r="AK770" s="31"/>
      <c r="AL770" s="31"/>
      <c r="AM770" s="31"/>
      <c r="AN770" s="31"/>
      <c r="AO770" s="31"/>
      <c r="AP770" s="31"/>
      <c r="AQ770" s="31"/>
      <c r="AR770" s="31"/>
    </row>
    <row r="771" spans="1:44" ht="15.75" customHeight="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  <c r="AE771" s="31"/>
      <c r="AF771" s="31"/>
      <c r="AG771" s="31"/>
      <c r="AH771" s="31"/>
      <c r="AI771" s="31"/>
      <c r="AJ771" s="31"/>
      <c r="AK771" s="31"/>
      <c r="AL771" s="31"/>
      <c r="AM771" s="31"/>
      <c r="AN771" s="31"/>
      <c r="AO771" s="31"/>
      <c r="AP771" s="31"/>
      <c r="AQ771" s="31"/>
      <c r="AR771" s="31"/>
    </row>
    <row r="772" spans="1:44" ht="15.75" customHeight="1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  <c r="AE772" s="31"/>
      <c r="AF772" s="31"/>
      <c r="AG772" s="31"/>
      <c r="AH772" s="31"/>
      <c r="AI772" s="31"/>
      <c r="AJ772" s="31"/>
      <c r="AK772" s="31"/>
      <c r="AL772" s="31"/>
      <c r="AM772" s="31"/>
      <c r="AN772" s="31"/>
      <c r="AO772" s="31"/>
      <c r="AP772" s="31"/>
      <c r="AQ772" s="31"/>
      <c r="AR772" s="31"/>
    </row>
    <row r="773" spans="1:44" ht="15.75" customHeight="1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  <c r="AE773" s="31"/>
      <c r="AF773" s="31"/>
      <c r="AG773" s="31"/>
      <c r="AH773" s="31"/>
      <c r="AI773" s="31"/>
      <c r="AJ773" s="31"/>
      <c r="AK773" s="31"/>
      <c r="AL773" s="31"/>
      <c r="AM773" s="31"/>
      <c r="AN773" s="31"/>
      <c r="AO773" s="31"/>
      <c r="AP773" s="31"/>
      <c r="AQ773" s="31"/>
      <c r="AR773" s="31"/>
    </row>
    <row r="774" spans="1:44" ht="15.75" customHeight="1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  <c r="AE774" s="31"/>
      <c r="AF774" s="31"/>
      <c r="AG774" s="31"/>
      <c r="AH774" s="31"/>
      <c r="AI774" s="31"/>
      <c r="AJ774" s="31"/>
      <c r="AK774" s="31"/>
      <c r="AL774" s="31"/>
      <c r="AM774" s="31"/>
      <c r="AN774" s="31"/>
      <c r="AO774" s="31"/>
      <c r="AP774" s="31"/>
      <c r="AQ774" s="31"/>
      <c r="AR774" s="31"/>
    </row>
    <row r="775" spans="1:44" ht="15.75" customHeight="1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  <c r="AE775" s="31"/>
      <c r="AF775" s="31"/>
      <c r="AG775" s="31"/>
      <c r="AH775" s="31"/>
      <c r="AI775" s="31"/>
      <c r="AJ775" s="31"/>
      <c r="AK775" s="31"/>
      <c r="AL775" s="31"/>
      <c r="AM775" s="31"/>
      <c r="AN775" s="31"/>
      <c r="AO775" s="31"/>
      <c r="AP775" s="31"/>
      <c r="AQ775" s="31"/>
      <c r="AR775" s="31"/>
    </row>
    <row r="776" spans="1:44" ht="15.75" customHeight="1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  <c r="AE776" s="31"/>
      <c r="AF776" s="31"/>
      <c r="AG776" s="31"/>
      <c r="AH776" s="31"/>
      <c r="AI776" s="31"/>
      <c r="AJ776" s="31"/>
      <c r="AK776" s="31"/>
      <c r="AL776" s="31"/>
      <c r="AM776" s="31"/>
      <c r="AN776" s="31"/>
      <c r="AO776" s="31"/>
      <c r="AP776" s="31"/>
      <c r="AQ776" s="31"/>
      <c r="AR776" s="31"/>
    </row>
    <row r="777" spans="1:44" ht="15.75" customHeight="1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  <c r="AE777" s="31"/>
      <c r="AF777" s="31"/>
      <c r="AG777" s="31"/>
      <c r="AH777" s="31"/>
      <c r="AI777" s="31"/>
      <c r="AJ777" s="31"/>
      <c r="AK777" s="31"/>
      <c r="AL777" s="31"/>
      <c r="AM777" s="31"/>
      <c r="AN777" s="31"/>
      <c r="AO777" s="31"/>
      <c r="AP777" s="31"/>
      <c r="AQ777" s="31"/>
      <c r="AR777" s="31"/>
    </row>
    <row r="778" spans="1:44" ht="15.75" customHeight="1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  <c r="AE778" s="31"/>
      <c r="AF778" s="31"/>
      <c r="AG778" s="31"/>
      <c r="AH778" s="31"/>
      <c r="AI778" s="31"/>
      <c r="AJ778" s="31"/>
      <c r="AK778" s="31"/>
      <c r="AL778" s="31"/>
      <c r="AM778" s="31"/>
      <c r="AN778" s="31"/>
      <c r="AO778" s="31"/>
      <c r="AP778" s="31"/>
      <c r="AQ778" s="31"/>
      <c r="AR778" s="31"/>
    </row>
    <row r="779" spans="1:44" ht="15.75" customHeight="1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  <c r="AE779" s="31"/>
      <c r="AF779" s="31"/>
      <c r="AG779" s="31"/>
      <c r="AH779" s="31"/>
      <c r="AI779" s="31"/>
      <c r="AJ779" s="31"/>
      <c r="AK779" s="31"/>
      <c r="AL779" s="31"/>
      <c r="AM779" s="31"/>
      <c r="AN779" s="31"/>
      <c r="AO779" s="31"/>
      <c r="AP779" s="31"/>
      <c r="AQ779" s="31"/>
      <c r="AR779" s="31"/>
    </row>
    <row r="780" spans="1:44" ht="15.75" customHeight="1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  <c r="AE780" s="31"/>
      <c r="AF780" s="31"/>
      <c r="AG780" s="31"/>
      <c r="AH780" s="31"/>
      <c r="AI780" s="31"/>
      <c r="AJ780" s="31"/>
      <c r="AK780" s="31"/>
      <c r="AL780" s="31"/>
      <c r="AM780" s="31"/>
      <c r="AN780" s="31"/>
      <c r="AO780" s="31"/>
      <c r="AP780" s="31"/>
      <c r="AQ780" s="31"/>
      <c r="AR780" s="31"/>
    </row>
    <row r="781" spans="1:44" ht="15.75" customHeight="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  <c r="AE781" s="31"/>
      <c r="AF781" s="31"/>
      <c r="AG781" s="31"/>
      <c r="AH781" s="31"/>
      <c r="AI781" s="31"/>
      <c r="AJ781" s="31"/>
      <c r="AK781" s="31"/>
      <c r="AL781" s="31"/>
      <c r="AM781" s="31"/>
      <c r="AN781" s="31"/>
      <c r="AO781" s="31"/>
      <c r="AP781" s="31"/>
      <c r="AQ781" s="31"/>
      <c r="AR781" s="31"/>
    </row>
    <row r="782" spans="1:44" ht="15.75" customHeight="1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  <c r="AE782" s="31"/>
      <c r="AF782" s="31"/>
      <c r="AG782" s="31"/>
      <c r="AH782" s="31"/>
      <c r="AI782" s="31"/>
      <c r="AJ782" s="31"/>
      <c r="AK782" s="31"/>
      <c r="AL782" s="31"/>
      <c r="AM782" s="31"/>
      <c r="AN782" s="31"/>
      <c r="AO782" s="31"/>
      <c r="AP782" s="31"/>
      <c r="AQ782" s="31"/>
      <c r="AR782" s="31"/>
    </row>
    <row r="783" spans="1:44" ht="15.75" customHeight="1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  <c r="AE783" s="31"/>
      <c r="AF783" s="31"/>
      <c r="AG783" s="31"/>
      <c r="AH783" s="31"/>
      <c r="AI783" s="31"/>
      <c r="AJ783" s="31"/>
      <c r="AK783" s="31"/>
      <c r="AL783" s="31"/>
      <c r="AM783" s="31"/>
      <c r="AN783" s="31"/>
      <c r="AO783" s="31"/>
      <c r="AP783" s="31"/>
      <c r="AQ783" s="31"/>
      <c r="AR783" s="31"/>
    </row>
    <row r="784" spans="1:44" ht="15.75" customHeight="1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  <c r="AE784" s="31"/>
      <c r="AF784" s="31"/>
      <c r="AG784" s="31"/>
      <c r="AH784" s="31"/>
      <c r="AI784" s="31"/>
      <c r="AJ784" s="31"/>
      <c r="AK784" s="31"/>
      <c r="AL784" s="31"/>
      <c r="AM784" s="31"/>
      <c r="AN784" s="31"/>
      <c r="AO784" s="31"/>
      <c r="AP784" s="31"/>
      <c r="AQ784" s="31"/>
      <c r="AR784" s="31"/>
    </row>
    <row r="785" spans="1:44" ht="15.75" customHeight="1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  <c r="AE785" s="31"/>
      <c r="AF785" s="31"/>
      <c r="AG785" s="31"/>
      <c r="AH785" s="31"/>
      <c r="AI785" s="31"/>
      <c r="AJ785" s="31"/>
      <c r="AK785" s="31"/>
      <c r="AL785" s="31"/>
      <c r="AM785" s="31"/>
      <c r="AN785" s="31"/>
      <c r="AO785" s="31"/>
      <c r="AP785" s="31"/>
      <c r="AQ785" s="31"/>
      <c r="AR785" s="31"/>
    </row>
    <row r="786" spans="1:44" ht="15.75" customHeight="1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  <c r="AE786" s="31"/>
      <c r="AF786" s="31"/>
      <c r="AG786" s="31"/>
      <c r="AH786" s="31"/>
      <c r="AI786" s="31"/>
      <c r="AJ786" s="31"/>
      <c r="AK786" s="31"/>
      <c r="AL786" s="31"/>
      <c r="AM786" s="31"/>
      <c r="AN786" s="31"/>
      <c r="AO786" s="31"/>
      <c r="AP786" s="31"/>
      <c r="AQ786" s="31"/>
      <c r="AR786" s="31"/>
    </row>
    <row r="787" spans="1:44" ht="15.75" customHeight="1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  <c r="AF787" s="31"/>
      <c r="AG787" s="31"/>
      <c r="AH787" s="31"/>
      <c r="AI787" s="31"/>
      <c r="AJ787" s="31"/>
      <c r="AK787" s="31"/>
      <c r="AL787" s="31"/>
      <c r="AM787" s="31"/>
      <c r="AN787" s="31"/>
      <c r="AO787" s="31"/>
      <c r="AP787" s="31"/>
      <c r="AQ787" s="31"/>
      <c r="AR787" s="31"/>
    </row>
    <row r="788" spans="1:44" ht="15.75" customHeight="1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  <c r="AE788" s="31"/>
      <c r="AF788" s="31"/>
      <c r="AG788" s="31"/>
      <c r="AH788" s="31"/>
      <c r="AI788" s="31"/>
      <c r="AJ788" s="31"/>
      <c r="AK788" s="31"/>
      <c r="AL788" s="31"/>
      <c r="AM788" s="31"/>
      <c r="AN788" s="31"/>
      <c r="AO788" s="31"/>
      <c r="AP788" s="31"/>
      <c r="AQ788" s="31"/>
      <c r="AR788" s="31"/>
    </row>
    <row r="789" spans="1:44" ht="15.75" customHeight="1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  <c r="AE789" s="31"/>
      <c r="AF789" s="31"/>
      <c r="AG789" s="31"/>
      <c r="AH789" s="31"/>
      <c r="AI789" s="31"/>
      <c r="AJ789" s="31"/>
      <c r="AK789" s="31"/>
      <c r="AL789" s="31"/>
      <c r="AM789" s="31"/>
      <c r="AN789" s="31"/>
      <c r="AO789" s="31"/>
      <c r="AP789" s="31"/>
      <c r="AQ789" s="31"/>
      <c r="AR789" s="31"/>
    </row>
    <row r="790" spans="1:44" ht="15.75" customHeight="1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  <c r="AE790" s="31"/>
      <c r="AF790" s="31"/>
      <c r="AG790" s="31"/>
      <c r="AH790" s="31"/>
      <c r="AI790" s="31"/>
      <c r="AJ790" s="31"/>
      <c r="AK790" s="31"/>
      <c r="AL790" s="31"/>
      <c r="AM790" s="31"/>
      <c r="AN790" s="31"/>
      <c r="AO790" s="31"/>
      <c r="AP790" s="31"/>
      <c r="AQ790" s="31"/>
      <c r="AR790" s="31"/>
    </row>
    <row r="791" spans="1:44" ht="15.75" customHeight="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  <c r="AE791" s="31"/>
      <c r="AF791" s="31"/>
      <c r="AG791" s="31"/>
      <c r="AH791" s="31"/>
      <c r="AI791" s="31"/>
      <c r="AJ791" s="31"/>
      <c r="AK791" s="31"/>
      <c r="AL791" s="31"/>
      <c r="AM791" s="31"/>
      <c r="AN791" s="31"/>
      <c r="AO791" s="31"/>
      <c r="AP791" s="31"/>
      <c r="AQ791" s="31"/>
      <c r="AR791" s="31"/>
    </row>
    <row r="792" spans="1:44" ht="15.75" customHeight="1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  <c r="AE792" s="31"/>
      <c r="AF792" s="31"/>
      <c r="AG792" s="31"/>
      <c r="AH792" s="31"/>
      <c r="AI792" s="31"/>
      <c r="AJ792" s="31"/>
      <c r="AK792" s="31"/>
      <c r="AL792" s="31"/>
      <c r="AM792" s="31"/>
      <c r="AN792" s="31"/>
      <c r="AO792" s="31"/>
      <c r="AP792" s="31"/>
      <c r="AQ792" s="31"/>
      <c r="AR792" s="31"/>
    </row>
    <row r="793" spans="1:44" ht="15.75" customHeight="1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  <c r="AE793" s="31"/>
      <c r="AF793" s="31"/>
      <c r="AG793" s="31"/>
      <c r="AH793" s="31"/>
      <c r="AI793" s="31"/>
      <c r="AJ793" s="31"/>
      <c r="AK793" s="31"/>
      <c r="AL793" s="31"/>
      <c r="AM793" s="31"/>
      <c r="AN793" s="31"/>
      <c r="AO793" s="31"/>
      <c r="AP793" s="31"/>
      <c r="AQ793" s="31"/>
      <c r="AR793" s="31"/>
    </row>
    <row r="794" spans="1:44" ht="15.75" customHeight="1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  <c r="AE794" s="31"/>
      <c r="AF794" s="31"/>
      <c r="AG794" s="31"/>
      <c r="AH794" s="31"/>
      <c r="AI794" s="31"/>
      <c r="AJ794" s="31"/>
      <c r="AK794" s="31"/>
      <c r="AL794" s="31"/>
      <c r="AM794" s="31"/>
      <c r="AN794" s="31"/>
      <c r="AO794" s="31"/>
      <c r="AP794" s="31"/>
      <c r="AQ794" s="31"/>
      <c r="AR794" s="31"/>
    </row>
    <row r="795" spans="1:44" ht="15.75" customHeight="1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  <c r="AE795" s="31"/>
      <c r="AF795" s="31"/>
      <c r="AG795" s="31"/>
      <c r="AH795" s="31"/>
      <c r="AI795" s="31"/>
      <c r="AJ795" s="31"/>
      <c r="AK795" s="31"/>
      <c r="AL795" s="31"/>
      <c r="AM795" s="31"/>
      <c r="AN795" s="31"/>
      <c r="AO795" s="31"/>
      <c r="AP795" s="31"/>
      <c r="AQ795" s="31"/>
      <c r="AR795" s="31"/>
    </row>
    <row r="796" spans="1:44" ht="15.75" customHeight="1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  <c r="AE796" s="31"/>
      <c r="AF796" s="31"/>
      <c r="AG796" s="31"/>
      <c r="AH796" s="31"/>
      <c r="AI796" s="31"/>
      <c r="AJ796" s="31"/>
      <c r="AK796" s="31"/>
      <c r="AL796" s="31"/>
      <c r="AM796" s="31"/>
      <c r="AN796" s="31"/>
      <c r="AO796" s="31"/>
      <c r="AP796" s="31"/>
      <c r="AQ796" s="31"/>
      <c r="AR796" s="31"/>
    </row>
    <row r="797" spans="1:44" ht="15.75" customHeight="1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  <c r="AE797" s="31"/>
      <c r="AF797" s="31"/>
      <c r="AG797" s="31"/>
      <c r="AH797" s="31"/>
      <c r="AI797" s="31"/>
      <c r="AJ797" s="31"/>
      <c r="AK797" s="31"/>
      <c r="AL797" s="31"/>
      <c r="AM797" s="31"/>
      <c r="AN797" s="31"/>
      <c r="AO797" s="31"/>
      <c r="AP797" s="31"/>
      <c r="AQ797" s="31"/>
      <c r="AR797" s="31"/>
    </row>
    <row r="798" spans="1:44" ht="15.75" customHeight="1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  <c r="AE798" s="31"/>
      <c r="AF798" s="31"/>
      <c r="AG798" s="31"/>
      <c r="AH798" s="31"/>
      <c r="AI798" s="31"/>
      <c r="AJ798" s="31"/>
      <c r="AK798" s="31"/>
      <c r="AL798" s="31"/>
      <c r="AM798" s="31"/>
      <c r="AN798" s="31"/>
      <c r="AO798" s="31"/>
      <c r="AP798" s="31"/>
      <c r="AQ798" s="31"/>
      <c r="AR798" s="31"/>
    </row>
    <row r="799" spans="1:44" ht="15.75" customHeight="1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  <c r="AE799" s="31"/>
      <c r="AF799" s="31"/>
      <c r="AG799" s="31"/>
      <c r="AH799" s="31"/>
      <c r="AI799" s="31"/>
      <c r="AJ799" s="31"/>
      <c r="AK799" s="31"/>
      <c r="AL799" s="31"/>
      <c r="AM799" s="31"/>
      <c r="AN799" s="31"/>
      <c r="AO799" s="31"/>
      <c r="AP799" s="31"/>
      <c r="AQ799" s="31"/>
      <c r="AR799" s="31"/>
    </row>
    <row r="800" spans="1:44" ht="15.75" customHeight="1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  <c r="AE800" s="31"/>
      <c r="AF800" s="31"/>
      <c r="AG800" s="31"/>
      <c r="AH800" s="31"/>
      <c r="AI800" s="31"/>
      <c r="AJ800" s="31"/>
      <c r="AK800" s="31"/>
      <c r="AL800" s="31"/>
      <c r="AM800" s="31"/>
      <c r="AN800" s="31"/>
      <c r="AO800" s="31"/>
      <c r="AP800" s="31"/>
      <c r="AQ800" s="31"/>
      <c r="AR800" s="31"/>
    </row>
    <row r="801" spans="1:44" ht="15.75" customHeight="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  <c r="AE801" s="31"/>
      <c r="AF801" s="31"/>
      <c r="AG801" s="31"/>
      <c r="AH801" s="31"/>
      <c r="AI801" s="31"/>
      <c r="AJ801" s="31"/>
      <c r="AK801" s="31"/>
      <c r="AL801" s="31"/>
      <c r="AM801" s="31"/>
      <c r="AN801" s="31"/>
      <c r="AO801" s="31"/>
      <c r="AP801" s="31"/>
      <c r="AQ801" s="31"/>
      <c r="AR801" s="31"/>
    </row>
    <row r="802" spans="1:44" ht="15.75" customHeight="1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  <c r="AE802" s="31"/>
      <c r="AF802" s="31"/>
      <c r="AG802" s="31"/>
      <c r="AH802" s="31"/>
      <c r="AI802" s="31"/>
      <c r="AJ802" s="31"/>
      <c r="AK802" s="31"/>
      <c r="AL802" s="31"/>
      <c r="AM802" s="31"/>
      <c r="AN802" s="31"/>
      <c r="AO802" s="31"/>
      <c r="AP802" s="31"/>
      <c r="AQ802" s="31"/>
      <c r="AR802" s="31"/>
    </row>
    <row r="803" spans="1:44" ht="15.75" customHeight="1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  <c r="AE803" s="31"/>
      <c r="AF803" s="31"/>
      <c r="AG803" s="31"/>
      <c r="AH803" s="31"/>
      <c r="AI803" s="31"/>
      <c r="AJ803" s="31"/>
      <c r="AK803" s="31"/>
      <c r="AL803" s="31"/>
      <c r="AM803" s="31"/>
      <c r="AN803" s="31"/>
      <c r="AO803" s="31"/>
      <c r="AP803" s="31"/>
      <c r="AQ803" s="31"/>
      <c r="AR803" s="31"/>
    </row>
    <row r="804" spans="1:44" ht="15.75" customHeight="1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  <c r="AE804" s="31"/>
      <c r="AF804" s="31"/>
      <c r="AG804" s="31"/>
      <c r="AH804" s="31"/>
      <c r="AI804" s="31"/>
      <c r="AJ804" s="31"/>
      <c r="AK804" s="31"/>
      <c r="AL804" s="31"/>
      <c r="AM804" s="31"/>
      <c r="AN804" s="31"/>
      <c r="AO804" s="31"/>
      <c r="AP804" s="31"/>
      <c r="AQ804" s="31"/>
      <c r="AR804" s="31"/>
    </row>
    <row r="805" spans="1:44" ht="15.75" customHeight="1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  <c r="AE805" s="31"/>
      <c r="AF805" s="31"/>
      <c r="AG805" s="31"/>
      <c r="AH805" s="31"/>
      <c r="AI805" s="31"/>
      <c r="AJ805" s="31"/>
      <c r="AK805" s="31"/>
      <c r="AL805" s="31"/>
      <c r="AM805" s="31"/>
      <c r="AN805" s="31"/>
      <c r="AO805" s="31"/>
      <c r="AP805" s="31"/>
      <c r="AQ805" s="31"/>
      <c r="AR805" s="31"/>
    </row>
    <row r="806" spans="1:44" ht="15.75" customHeight="1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  <c r="AE806" s="31"/>
      <c r="AF806" s="31"/>
      <c r="AG806" s="31"/>
      <c r="AH806" s="31"/>
      <c r="AI806" s="31"/>
      <c r="AJ806" s="31"/>
      <c r="AK806" s="31"/>
      <c r="AL806" s="31"/>
      <c r="AM806" s="31"/>
      <c r="AN806" s="31"/>
      <c r="AO806" s="31"/>
      <c r="AP806" s="31"/>
      <c r="AQ806" s="31"/>
      <c r="AR806" s="31"/>
    </row>
    <row r="807" spans="1:44" ht="15.75" customHeight="1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  <c r="AE807" s="31"/>
      <c r="AF807" s="31"/>
      <c r="AG807" s="31"/>
      <c r="AH807" s="31"/>
      <c r="AI807" s="31"/>
      <c r="AJ807" s="31"/>
      <c r="AK807" s="31"/>
      <c r="AL807" s="31"/>
      <c r="AM807" s="31"/>
      <c r="AN807" s="31"/>
      <c r="AO807" s="31"/>
      <c r="AP807" s="31"/>
      <c r="AQ807" s="31"/>
      <c r="AR807" s="31"/>
    </row>
    <row r="808" spans="1:44" ht="15.75" customHeight="1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  <c r="AE808" s="31"/>
      <c r="AF808" s="31"/>
      <c r="AG808" s="31"/>
      <c r="AH808" s="31"/>
      <c r="AI808" s="31"/>
      <c r="AJ808" s="31"/>
      <c r="AK808" s="31"/>
      <c r="AL808" s="31"/>
      <c r="AM808" s="31"/>
      <c r="AN808" s="31"/>
      <c r="AO808" s="31"/>
      <c r="AP808" s="31"/>
      <c r="AQ808" s="31"/>
      <c r="AR808" s="31"/>
    </row>
    <row r="809" spans="1:44" ht="15.75" customHeight="1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  <c r="AE809" s="31"/>
      <c r="AF809" s="31"/>
      <c r="AG809" s="31"/>
      <c r="AH809" s="31"/>
      <c r="AI809" s="31"/>
      <c r="AJ809" s="31"/>
      <c r="AK809" s="31"/>
      <c r="AL809" s="31"/>
      <c r="AM809" s="31"/>
      <c r="AN809" s="31"/>
      <c r="AO809" s="31"/>
      <c r="AP809" s="31"/>
      <c r="AQ809" s="31"/>
      <c r="AR809" s="31"/>
    </row>
    <row r="810" spans="1:44" ht="15.75" customHeight="1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  <c r="AE810" s="31"/>
      <c r="AF810" s="31"/>
      <c r="AG810" s="31"/>
      <c r="AH810" s="31"/>
      <c r="AI810" s="31"/>
      <c r="AJ810" s="31"/>
      <c r="AK810" s="31"/>
      <c r="AL810" s="31"/>
      <c r="AM810" s="31"/>
      <c r="AN810" s="31"/>
      <c r="AO810" s="31"/>
      <c r="AP810" s="31"/>
      <c r="AQ810" s="31"/>
      <c r="AR810" s="31"/>
    </row>
    <row r="811" spans="1:44" ht="15.75" customHeight="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  <c r="AE811" s="31"/>
      <c r="AF811" s="31"/>
      <c r="AG811" s="31"/>
      <c r="AH811" s="31"/>
      <c r="AI811" s="31"/>
      <c r="AJ811" s="31"/>
      <c r="AK811" s="31"/>
      <c r="AL811" s="31"/>
      <c r="AM811" s="31"/>
      <c r="AN811" s="31"/>
      <c r="AO811" s="31"/>
      <c r="AP811" s="31"/>
      <c r="AQ811" s="31"/>
      <c r="AR811" s="31"/>
    </row>
    <row r="812" spans="1:44" ht="15.75" customHeight="1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  <c r="AF812" s="31"/>
      <c r="AG812" s="31"/>
      <c r="AH812" s="31"/>
      <c r="AI812" s="31"/>
      <c r="AJ812" s="31"/>
      <c r="AK812" s="31"/>
      <c r="AL812" s="31"/>
      <c r="AM812" s="31"/>
      <c r="AN812" s="31"/>
      <c r="AO812" s="31"/>
      <c r="AP812" s="31"/>
      <c r="AQ812" s="31"/>
      <c r="AR812" s="31"/>
    </row>
    <row r="813" spans="1:44" ht="15.75" customHeight="1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  <c r="AF813" s="31"/>
      <c r="AG813" s="31"/>
      <c r="AH813" s="31"/>
      <c r="AI813" s="31"/>
      <c r="AJ813" s="31"/>
      <c r="AK813" s="31"/>
      <c r="AL813" s="31"/>
      <c r="AM813" s="31"/>
      <c r="AN813" s="31"/>
      <c r="AO813" s="31"/>
      <c r="AP813" s="31"/>
      <c r="AQ813" s="31"/>
      <c r="AR813" s="31"/>
    </row>
    <row r="814" spans="1:44" ht="15.75" customHeight="1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  <c r="AE814" s="31"/>
      <c r="AF814" s="31"/>
      <c r="AG814" s="31"/>
      <c r="AH814" s="31"/>
      <c r="AI814" s="31"/>
      <c r="AJ814" s="31"/>
      <c r="AK814" s="31"/>
      <c r="AL814" s="31"/>
      <c r="AM814" s="31"/>
      <c r="AN814" s="31"/>
      <c r="AO814" s="31"/>
      <c r="AP814" s="31"/>
      <c r="AQ814" s="31"/>
      <c r="AR814" s="31"/>
    </row>
    <row r="815" spans="1:44" ht="15.75" customHeight="1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  <c r="AE815" s="31"/>
      <c r="AF815" s="31"/>
      <c r="AG815" s="31"/>
      <c r="AH815" s="31"/>
      <c r="AI815" s="31"/>
      <c r="AJ815" s="31"/>
      <c r="AK815" s="31"/>
      <c r="AL815" s="31"/>
      <c r="AM815" s="31"/>
      <c r="AN815" s="31"/>
      <c r="AO815" s="31"/>
      <c r="AP815" s="31"/>
      <c r="AQ815" s="31"/>
      <c r="AR815" s="31"/>
    </row>
    <row r="816" spans="1:44" ht="15.75" customHeight="1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  <c r="AE816" s="31"/>
      <c r="AF816" s="31"/>
      <c r="AG816" s="31"/>
      <c r="AH816" s="31"/>
      <c r="AI816" s="31"/>
      <c r="AJ816" s="31"/>
      <c r="AK816" s="31"/>
      <c r="AL816" s="31"/>
      <c r="AM816" s="31"/>
      <c r="AN816" s="31"/>
      <c r="AO816" s="31"/>
      <c r="AP816" s="31"/>
      <c r="AQ816" s="31"/>
      <c r="AR816" s="31"/>
    </row>
    <row r="817" spans="1:44" ht="15.75" customHeight="1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  <c r="AE817" s="31"/>
      <c r="AF817" s="31"/>
      <c r="AG817" s="31"/>
      <c r="AH817" s="31"/>
      <c r="AI817" s="31"/>
      <c r="AJ817" s="31"/>
      <c r="AK817" s="31"/>
      <c r="AL817" s="31"/>
      <c r="AM817" s="31"/>
      <c r="AN817" s="31"/>
      <c r="AO817" s="31"/>
      <c r="AP817" s="31"/>
      <c r="AQ817" s="31"/>
      <c r="AR817" s="31"/>
    </row>
    <row r="818" spans="1:44" ht="15.75" customHeight="1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  <c r="AE818" s="31"/>
      <c r="AF818" s="31"/>
      <c r="AG818" s="31"/>
      <c r="AH818" s="31"/>
      <c r="AI818" s="31"/>
      <c r="AJ818" s="31"/>
      <c r="AK818" s="31"/>
      <c r="AL818" s="31"/>
      <c r="AM818" s="31"/>
      <c r="AN818" s="31"/>
      <c r="AO818" s="31"/>
      <c r="AP818" s="31"/>
      <c r="AQ818" s="31"/>
      <c r="AR818" s="31"/>
    </row>
    <row r="819" spans="1:44" ht="15.75" customHeight="1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  <c r="AE819" s="31"/>
      <c r="AF819" s="31"/>
      <c r="AG819" s="31"/>
      <c r="AH819" s="31"/>
      <c r="AI819" s="31"/>
      <c r="AJ819" s="31"/>
      <c r="AK819" s="31"/>
      <c r="AL819" s="31"/>
      <c r="AM819" s="31"/>
      <c r="AN819" s="31"/>
      <c r="AO819" s="31"/>
      <c r="AP819" s="31"/>
      <c r="AQ819" s="31"/>
      <c r="AR819" s="31"/>
    </row>
    <row r="820" spans="1:44" ht="15.75" customHeight="1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  <c r="AE820" s="31"/>
      <c r="AF820" s="31"/>
      <c r="AG820" s="31"/>
      <c r="AH820" s="31"/>
      <c r="AI820" s="31"/>
      <c r="AJ820" s="31"/>
      <c r="AK820" s="31"/>
      <c r="AL820" s="31"/>
      <c r="AM820" s="31"/>
      <c r="AN820" s="31"/>
      <c r="AO820" s="31"/>
      <c r="AP820" s="31"/>
      <c r="AQ820" s="31"/>
      <c r="AR820" s="31"/>
    </row>
    <row r="821" spans="1:44" ht="15.75" customHeight="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  <c r="AE821" s="31"/>
      <c r="AF821" s="31"/>
      <c r="AG821" s="31"/>
      <c r="AH821" s="31"/>
      <c r="AI821" s="31"/>
      <c r="AJ821" s="31"/>
      <c r="AK821" s="31"/>
      <c r="AL821" s="31"/>
      <c r="AM821" s="31"/>
      <c r="AN821" s="31"/>
      <c r="AO821" s="31"/>
      <c r="AP821" s="31"/>
      <c r="AQ821" s="31"/>
      <c r="AR821" s="31"/>
    </row>
    <row r="822" spans="1:44" ht="15.75" customHeight="1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  <c r="AE822" s="31"/>
      <c r="AF822" s="31"/>
      <c r="AG822" s="31"/>
      <c r="AH822" s="31"/>
      <c r="AI822" s="31"/>
      <c r="AJ822" s="31"/>
      <c r="AK822" s="31"/>
      <c r="AL822" s="31"/>
      <c r="AM822" s="31"/>
      <c r="AN822" s="31"/>
      <c r="AO822" s="31"/>
      <c r="AP822" s="31"/>
      <c r="AQ822" s="31"/>
      <c r="AR822" s="31"/>
    </row>
    <row r="823" spans="1:44" ht="15.75" customHeight="1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  <c r="AE823" s="31"/>
      <c r="AF823" s="31"/>
      <c r="AG823" s="31"/>
      <c r="AH823" s="31"/>
      <c r="AI823" s="31"/>
      <c r="AJ823" s="31"/>
      <c r="AK823" s="31"/>
      <c r="AL823" s="31"/>
      <c r="AM823" s="31"/>
      <c r="AN823" s="31"/>
      <c r="AO823" s="31"/>
      <c r="AP823" s="31"/>
      <c r="AQ823" s="31"/>
      <c r="AR823" s="31"/>
    </row>
    <row r="824" spans="1:44" ht="15.75" customHeight="1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  <c r="AE824" s="31"/>
      <c r="AF824" s="31"/>
      <c r="AG824" s="31"/>
      <c r="AH824" s="31"/>
      <c r="AI824" s="31"/>
      <c r="AJ824" s="31"/>
      <c r="AK824" s="31"/>
      <c r="AL824" s="31"/>
      <c r="AM824" s="31"/>
      <c r="AN824" s="31"/>
      <c r="AO824" s="31"/>
      <c r="AP824" s="31"/>
      <c r="AQ824" s="31"/>
      <c r="AR824" s="31"/>
    </row>
    <row r="825" spans="1:44" ht="15.75" customHeight="1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  <c r="AE825" s="31"/>
      <c r="AF825" s="31"/>
      <c r="AG825" s="31"/>
      <c r="AH825" s="31"/>
      <c r="AI825" s="31"/>
      <c r="AJ825" s="31"/>
      <c r="AK825" s="31"/>
      <c r="AL825" s="31"/>
      <c r="AM825" s="31"/>
      <c r="AN825" s="31"/>
      <c r="AO825" s="31"/>
      <c r="AP825" s="31"/>
      <c r="AQ825" s="31"/>
      <c r="AR825" s="31"/>
    </row>
    <row r="826" spans="1:44" ht="15.75" customHeight="1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  <c r="AE826" s="31"/>
      <c r="AF826" s="31"/>
      <c r="AG826" s="31"/>
      <c r="AH826" s="31"/>
      <c r="AI826" s="31"/>
      <c r="AJ826" s="31"/>
      <c r="AK826" s="31"/>
      <c r="AL826" s="31"/>
      <c r="AM826" s="31"/>
      <c r="AN826" s="31"/>
      <c r="AO826" s="31"/>
      <c r="AP826" s="31"/>
      <c r="AQ826" s="31"/>
      <c r="AR826" s="31"/>
    </row>
    <row r="827" spans="1:44" ht="15.75" customHeight="1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  <c r="AE827" s="31"/>
      <c r="AF827" s="31"/>
      <c r="AG827" s="31"/>
      <c r="AH827" s="31"/>
      <c r="AI827" s="31"/>
      <c r="AJ827" s="31"/>
      <c r="AK827" s="31"/>
      <c r="AL827" s="31"/>
      <c r="AM827" s="31"/>
      <c r="AN827" s="31"/>
      <c r="AO827" s="31"/>
      <c r="AP827" s="31"/>
      <c r="AQ827" s="31"/>
      <c r="AR827" s="31"/>
    </row>
    <row r="828" spans="1:44" ht="15.75" customHeight="1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  <c r="AE828" s="31"/>
      <c r="AF828" s="31"/>
      <c r="AG828" s="31"/>
      <c r="AH828" s="31"/>
      <c r="AI828" s="31"/>
      <c r="AJ828" s="31"/>
      <c r="AK828" s="31"/>
      <c r="AL828" s="31"/>
      <c r="AM828" s="31"/>
      <c r="AN828" s="31"/>
      <c r="AO828" s="31"/>
      <c r="AP828" s="31"/>
      <c r="AQ828" s="31"/>
      <c r="AR828" s="31"/>
    </row>
    <row r="829" spans="1:44" ht="15.75" customHeight="1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  <c r="AE829" s="31"/>
      <c r="AF829" s="31"/>
      <c r="AG829" s="31"/>
      <c r="AH829" s="31"/>
      <c r="AI829" s="31"/>
      <c r="AJ829" s="31"/>
      <c r="AK829" s="31"/>
      <c r="AL829" s="31"/>
      <c r="AM829" s="31"/>
      <c r="AN829" s="31"/>
      <c r="AO829" s="31"/>
      <c r="AP829" s="31"/>
      <c r="AQ829" s="31"/>
      <c r="AR829" s="31"/>
    </row>
    <row r="830" spans="1:44" ht="15.75" customHeight="1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  <c r="AE830" s="31"/>
      <c r="AF830" s="31"/>
      <c r="AG830" s="31"/>
      <c r="AH830" s="31"/>
      <c r="AI830" s="31"/>
      <c r="AJ830" s="31"/>
      <c r="AK830" s="31"/>
      <c r="AL830" s="31"/>
      <c r="AM830" s="31"/>
      <c r="AN830" s="31"/>
      <c r="AO830" s="31"/>
      <c r="AP830" s="31"/>
      <c r="AQ830" s="31"/>
      <c r="AR830" s="31"/>
    </row>
    <row r="831" spans="1:44" ht="15.75" customHeight="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  <c r="AE831" s="31"/>
      <c r="AF831" s="31"/>
      <c r="AG831" s="31"/>
      <c r="AH831" s="31"/>
      <c r="AI831" s="31"/>
      <c r="AJ831" s="31"/>
      <c r="AK831" s="31"/>
      <c r="AL831" s="31"/>
      <c r="AM831" s="31"/>
      <c r="AN831" s="31"/>
      <c r="AO831" s="31"/>
      <c r="AP831" s="31"/>
      <c r="AQ831" s="31"/>
      <c r="AR831" s="31"/>
    </row>
    <row r="832" spans="1:44" ht="15.75" customHeight="1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  <c r="AE832" s="31"/>
      <c r="AF832" s="31"/>
      <c r="AG832" s="31"/>
      <c r="AH832" s="31"/>
      <c r="AI832" s="31"/>
      <c r="AJ832" s="31"/>
      <c r="AK832" s="31"/>
      <c r="AL832" s="31"/>
      <c r="AM832" s="31"/>
      <c r="AN832" s="31"/>
      <c r="AO832" s="31"/>
      <c r="AP832" s="31"/>
      <c r="AQ832" s="31"/>
      <c r="AR832" s="31"/>
    </row>
    <row r="833" spans="1:44" ht="15.75" customHeight="1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  <c r="AE833" s="31"/>
      <c r="AF833" s="31"/>
      <c r="AG833" s="31"/>
      <c r="AH833" s="31"/>
      <c r="AI833" s="31"/>
      <c r="AJ833" s="31"/>
      <c r="AK833" s="31"/>
      <c r="AL833" s="31"/>
      <c r="AM833" s="31"/>
      <c r="AN833" s="31"/>
      <c r="AO833" s="31"/>
      <c r="AP833" s="31"/>
      <c r="AQ833" s="31"/>
      <c r="AR833" s="31"/>
    </row>
    <row r="834" spans="1:44" ht="15.75" customHeight="1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  <c r="AE834" s="31"/>
      <c r="AF834" s="31"/>
      <c r="AG834" s="31"/>
      <c r="AH834" s="31"/>
      <c r="AI834" s="31"/>
      <c r="AJ834" s="31"/>
      <c r="AK834" s="31"/>
      <c r="AL834" s="31"/>
      <c r="AM834" s="31"/>
      <c r="AN834" s="31"/>
      <c r="AO834" s="31"/>
      <c r="AP834" s="31"/>
      <c r="AQ834" s="31"/>
      <c r="AR834" s="31"/>
    </row>
    <row r="835" spans="1:44" ht="15.75" customHeight="1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  <c r="AE835" s="31"/>
      <c r="AF835" s="31"/>
      <c r="AG835" s="31"/>
      <c r="AH835" s="31"/>
      <c r="AI835" s="31"/>
      <c r="AJ835" s="31"/>
      <c r="AK835" s="31"/>
      <c r="AL835" s="31"/>
      <c r="AM835" s="31"/>
      <c r="AN835" s="31"/>
      <c r="AO835" s="31"/>
      <c r="AP835" s="31"/>
      <c r="AQ835" s="31"/>
      <c r="AR835" s="31"/>
    </row>
    <row r="836" spans="1:44" ht="15.75" customHeight="1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  <c r="AE836" s="31"/>
      <c r="AF836" s="31"/>
      <c r="AG836" s="31"/>
      <c r="AH836" s="31"/>
      <c r="AI836" s="31"/>
      <c r="AJ836" s="31"/>
      <c r="AK836" s="31"/>
      <c r="AL836" s="31"/>
      <c r="AM836" s="31"/>
      <c r="AN836" s="31"/>
      <c r="AO836" s="31"/>
      <c r="AP836" s="31"/>
      <c r="AQ836" s="31"/>
      <c r="AR836" s="31"/>
    </row>
    <row r="837" spans="1:44" ht="15.75" customHeight="1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  <c r="AE837" s="31"/>
      <c r="AF837" s="31"/>
      <c r="AG837" s="31"/>
      <c r="AH837" s="31"/>
      <c r="AI837" s="31"/>
      <c r="AJ837" s="31"/>
      <c r="AK837" s="31"/>
      <c r="AL837" s="31"/>
      <c r="AM837" s="31"/>
      <c r="AN837" s="31"/>
      <c r="AO837" s="31"/>
      <c r="AP837" s="31"/>
      <c r="AQ837" s="31"/>
      <c r="AR837" s="31"/>
    </row>
    <row r="838" spans="1:44" ht="15.75" customHeight="1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  <c r="AE838" s="31"/>
      <c r="AF838" s="31"/>
      <c r="AG838" s="31"/>
      <c r="AH838" s="31"/>
      <c r="AI838" s="31"/>
      <c r="AJ838" s="31"/>
      <c r="AK838" s="31"/>
      <c r="AL838" s="31"/>
      <c r="AM838" s="31"/>
      <c r="AN838" s="31"/>
      <c r="AO838" s="31"/>
      <c r="AP838" s="31"/>
      <c r="AQ838" s="31"/>
      <c r="AR838" s="31"/>
    </row>
    <row r="839" spans="1:44" ht="15.75" customHeight="1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  <c r="AF839" s="31"/>
      <c r="AG839" s="31"/>
      <c r="AH839" s="31"/>
      <c r="AI839" s="31"/>
      <c r="AJ839" s="31"/>
      <c r="AK839" s="31"/>
      <c r="AL839" s="31"/>
      <c r="AM839" s="31"/>
      <c r="AN839" s="31"/>
      <c r="AO839" s="31"/>
      <c r="AP839" s="31"/>
      <c r="AQ839" s="31"/>
      <c r="AR839" s="31"/>
    </row>
    <row r="840" spans="1:44" ht="15.75" customHeight="1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  <c r="AE840" s="31"/>
      <c r="AF840" s="31"/>
      <c r="AG840" s="31"/>
      <c r="AH840" s="31"/>
      <c r="AI840" s="31"/>
      <c r="AJ840" s="31"/>
      <c r="AK840" s="31"/>
      <c r="AL840" s="31"/>
      <c r="AM840" s="31"/>
      <c r="AN840" s="31"/>
      <c r="AO840" s="31"/>
      <c r="AP840" s="31"/>
      <c r="AQ840" s="31"/>
      <c r="AR840" s="31"/>
    </row>
    <row r="841" spans="1:44" ht="15.75" customHeight="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  <c r="AF841" s="31"/>
      <c r="AG841" s="31"/>
      <c r="AH841" s="31"/>
      <c r="AI841" s="31"/>
      <c r="AJ841" s="31"/>
      <c r="AK841" s="31"/>
      <c r="AL841" s="31"/>
      <c r="AM841" s="31"/>
      <c r="AN841" s="31"/>
      <c r="AO841" s="31"/>
      <c r="AP841" s="31"/>
      <c r="AQ841" s="31"/>
      <c r="AR841" s="31"/>
    </row>
    <row r="842" spans="1:44" ht="15.75" customHeight="1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  <c r="AE842" s="31"/>
      <c r="AF842" s="31"/>
      <c r="AG842" s="31"/>
      <c r="AH842" s="31"/>
      <c r="AI842" s="31"/>
      <c r="AJ842" s="31"/>
      <c r="AK842" s="31"/>
      <c r="AL842" s="31"/>
      <c r="AM842" s="31"/>
      <c r="AN842" s="31"/>
      <c r="AO842" s="31"/>
      <c r="AP842" s="31"/>
      <c r="AQ842" s="31"/>
      <c r="AR842" s="31"/>
    </row>
    <row r="843" spans="1:44" ht="15.75" customHeight="1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  <c r="AE843" s="31"/>
      <c r="AF843" s="31"/>
      <c r="AG843" s="31"/>
      <c r="AH843" s="31"/>
      <c r="AI843" s="31"/>
      <c r="AJ843" s="31"/>
      <c r="AK843" s="31"/>
      <c r="AL843" s="31"/>
      <c r="AM843" s="31"/>
      <c r="AN843" s="31"/>
      <c r="AO843" s="31"/>
      <c r="AP843" s="31"/>
      <c r="AQ843" s="31"/>
      <c r="AR843" s="31"/>
    </row>
    <row r="844" spans="1:44" ht="15.75" customHeight="1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  <c r="AE844" s="31"/>
      <c r="AF844" s="31"/>
      <c r="AG844" s="31"/>
      <c r="AH844" s="31"/>
      <c r="AI844" s="31"/>
      <c r="AJ844" s="31"/>
      <c r="AK844" s="31"/>
      <c r="AL844" s="31"/>
      <c r="AM844" s="31"/>
      <c r="AN844" s="31"/>
      <c r="AO844" s="31"/>
      <c r="AP844" s="31"/>
      <c r="AQ844" s="31"/>
      <c r="AR844" s="31"/>
    </row>
    <row r="845" spans="1:44" ht="15.75" customHeight="1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  <c r="AE845" s="31"/>
      <c r="AF845" s="31"/>
      <c r="AG845" s="31"/>
      <c r="AH845" s="31"/>
      <c r="AI845" s="31"/>
      <c r="AJ845" s="31"/>
      <c r="AK845" s="31"/>
      <c r="AL845" s="31"/>
      <c r="AM845" s="31"/>
      <c r="AN845" s="31"/>
      <c r="AO845" s="31"/>
      <c r="AP845" s="31"/>
      <c r="AQ845" s="31"/>
      <c r="AR845" s="31"/>
    </row>
    <row r="846" spans="1:44" ht="15.75" customHeight="1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  <c r="AE846" s="31"/>
      <c r="AF846" s="31"/>
      <c r="AG846" s="31"/>
      <c r="AH846" s="31"/>
      <c r="AI846" s="31"/>
      <c r="AJ846" s="31"/>
      <c r="AK846" s="31"/>
      <c r="AL846" s="31"/>
      <c r="AM846" s="31"/>
      <c r="AN846" s="31"/>
      <c r="AO846" s="31"/>
      <c r="AP846" s="31"/>
      <c r="AQ846" s="31"/>
      <c r="AR846" s="31"/>
    </row>
    <row r="847" spans="1:44" ht="15.75" customHeight="1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  <c r="AF847" s="31"/>
      <c r="AG847" s="31"/>
      <c r="AH847" s="31"/>
      <c r="AI847" s="31"/>
      <c r="AJ847" s="31"/>
      <c r="AK847" s="31"/>
      <c r="AL847" s="31"/>
      <c r="AM847" s="31"/>
      <c r="AN847" s="31"/>
      <c r="AO847" s="31"/>
      <c r="AP847" s="31"/>
      <c r="AQ847" s="31"/>
      <c r="AR847" s="31"/>
    </row>
    <row r="848" spans="1:44" ht="15.75" customHeight="1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  <c r="AE848" s="31"/>
      <c r="AF848" s="31"/>
      <c r="AG848" s="31"/>
      <c r="AH848" s="31"/>
      <c r="AI848" s="31"/>
      <c r="AJ848" s="31"/>
      <c r="AK848" s="31"/>
      <c r="AL848" s="31"/>
      <c r="AM848" s="31"/>
      <c r="AN848" s="31"/>
      <c r="AO848" s="31"/>
      <c r="AP848" s="31"/>
      <c r="AQ848" s="31"/>
      <c r="AR848" s="31"/>
    </row>
    <row r="849" spans="1:44" ht="15.75" customHeight="1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  <c r="AE849" s="31"/>
      <c r="AF849" s="31"/>
      <c r="AG849" s="31"/>
      <c r="AH849" s="31"/>
      <c r="AI849" s="31"/>
      <c r="AJ849" s="31"/>
      <c r="AK849" s="31"/>
      <c r="AL849" s="31"/>
      <c r="AM849" s="31"/>
      <c r="AN849" s="31"/>
      <c r="AO849" s="31"/>
      <c r="AP849" s="31"/>
      <c r="AQ849" s="31"/>
      <c r="AR849" s="31"/>
    </row>
    <row r="850" spans="1:44" ht="15.75" customHeight="1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  <c r="AE850" s="31"/>
      <c r="AF850" s="31"/>
      <c r="AG850" s="31"/>
      <c r="AH850" s="31"/>
      <c r="AI850" s="31"/>
      <c r="AJ850" s="31"/>
      <c r="AK850" s="31"/>
      <c r="AL850" s="31"/>
      <c r="AM850" s="31"/>
      <c r="AN850" s="31"/>
      <c r="AO850" s="31"/>
      <c r="AP850" s="31"/>
      <c r="AQ850" s="31"/>
      <c r="AR850" s="31"/>
    </row>
    <row r="851" spans="1:44" ht="15.75" customHeight="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  <c r="AE851" s="31"/>
      <c r="AF851" s="31"/>
      <c r="AG851" s="31"/>
      <c r="AH851" s="31"/>
      <c r="AI851" s="31"/>
      <c r="AJ851" s="31"/>
      <c r="AK851" s="31"/>
      <c r="AL851" s="31"/>
      <c r="AM851" s="31"/>
      <c r="AN851" s="31"/>
      <c r="AO851" s="31"/>
      <c r="AP851" s="31"/>
      <c r="AQ851" s="31"/>
      <c r="AR851" s="31"/>
    </row>
    <row r="852" spans="1:44" ht="15.75" customHeight="1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  <c r="AE852" s="31"/>
      <c r="AF852" s="31"/>
      <c r="AG852" s="31"/>
      <c r="AH852" s="31"/>
      <c r="AI852" s="31"/>
      <c r="AJ852" s="31"/>
      <c r="AK852" s="31"/>
      <c r="AL852" s="31"/>
      <c r="AM852" s="31"/>
      <c r="AN852" s="31"/>
      <c r="AO852" s="31"/>
      <c r="AP852" s="31"/>
      <c r="AQ852" s="31"/>
      <c r="AR852" s="31"/>
    </row>
    <row r="853" spans="1:44" ht="15.75" customHeight="1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  <c r="AE853" s="31"/>
      <c r="AF853" s="31"/>
      <c r="AG853" s="31"/>
      <c r="AH853" s="31"/>
      <c r="AI853" s="31"/>
      <c r="AJ853" s="31"/>
      <c r="AK853" s="31"/>
      <c r="AL853" s="31"/>
      <c r="AM853" s="31"/>
      <c r="AN853" s="31"/>
      <c r="AO853" s="31"/>
      <c r="AP853" s="31"/>
      <c r="AQ853" s="31"/>
      <c r="AR853" s="31"/>
    </row>
    <row r="854" spans="1:44" ht="15.75" customHeight="1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  <c r="AE854" s="31"/>
      <c r="AF854" s="31"/>
      <c r="AG854" s="31"/>
      <c r="AH854" s="31"/>
      <c r="AI854" s="31"/>
      <c r="AJ854" s="31"/>
      <c r="AK854" s="31"/>
      <c r="AL854" s="31"/>
      <c r="AM854" s="31"/>
      <c r="AN854" s="31"/>
      <c r="AO854" s="31"/>
      <c r="AP854" s="31"/>
      <c r="AQ854" s="31"/>
      <c r="AR854" s="31"/>
    </row>
    <row r="855" spans="1:44" ht="15.75" customHeight="1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  <c r="AE855" s="31"/>
      <c r="AF855" s="31"/>
      <c r="AG855" s="31"/>
      <c r="AH855" s="31"/>
      <c r="AI855" s="31"/>
      <c r="AJ855" s="31"/>
      <c r="AK855" s="31"/>
      <c r="AL855" s="31"/>
      <c r="AM855" s="31"/>
      <c r="AN855" s="31"/>
      <c r="AO855" s="31"/>
      <c r="AP855" s="31"/>
      <c r="AQ855" s="31"/>
      <c r="AR855" s="31"/>
    </row>
    <row r="856" spans="1:44" ht="15.75" customHeight="1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  <c r="AE856" s="31"/>
      <c r="AF856" s="31"/>
      <c r="AG856" s="31"/>
      <c r="AH856" s="31"/>
      <c r="AI856" s="31"/>
      <c r="AJ856" s="31"/>
      <c r="AK856" s="31"/>
      <c r="AL856" s="31"/>
      <c r="AM856" s="31"/>
      <c r="AN856" s="31"/>
      <c r="AO856" s="31"/>
      <c r="AP856" s="31"/>
      <c r="AQ856" s="31"/>
      <c r="AR856" s="31"/>
    </row>
    <row r="857" spans="1:44" ht="15.75" customHeight="1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  <c r="AE857" s="31"/>
      <c r="AF857" s="31"/>
      <c r="AG857" s="31"/>
      <c r="AH857" s="31"/>
      <c r="AI857" s="31"/>
      <c r="AJ857" s="31"/>
      <c r="AK857" s="31"/>
      <c r="AL857" s="31"/>
      <c r="AM857" s="31"/>
      <c r="AN857" s="31"/>
      <c r="AO857" s="31"/>
      <c r="AP857" s="31"/>
      <c r="AQ857" s="31"/>
      <c r="AR857" s="31"/>
    </row>
    <row r="858" spans="1:44" ht="15.75" customHeight="1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  <c r="AE858" s="31"/>
      <c r="AF858" s="31"/>
      <c r="AG858" s="31"/>
      <c r="AH858" s="31"/>
      <c r="AI858" s="31"/>
      <c r="AJ858" s="31"/>
      <c r="AK858" s="31"/>
      <c r="AL858" s="31"/>
      <c r="AM858" s="31"/>
      <c r="AN858" s="31"/>
      <c r="AO858" s="31"/>
      <c r="AP858" s="31"/>
      <c r="AQ858" s="31"/>
      <c r="AR858" s="31"/>
    </row>
    <row r="859" spans="1:44" ht="15.75" customHeight="1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  <c r="AE859" s="31"/>
      <c r="AF859" s="31"/>
      <c r="AG859" s="31"/>
      <c r="AH859" s="31"/>
      <c r="AI859" s="31"/>
      <c r="AJ859" s="31"/>
      <c r="AK859" s="31"/>
      <c r="AL859" s="31"/>
      <c r="AM859" s="31"/>
      <c r="AN859" s="31"/>
      <c r="AO859" s="31"/>
      <c r="AP859" s="31"/>
      <c r="AQ859" s="31"/>
      <c r="AR859" s="31"/>
    </row>
    <row r="860" spans="1:44" ht="15.75" customHeight="1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  <c r="AE860" s="31"/>
      <c r="AF860" s="31"/>
      <c r="AG860" s="31"/>
      <c r="AH860" s="31"/>
      <c r="AI860" s="31"/>
      <c r="AJ860" s="31"/>
      <c r="AK860" s="31"/>
      <c r="AL860" s="31"/>
      <c r="AM860" s="31"/>
      <c r="AN860" s="31"/>
      <c r="AO860" s="31"/>
      <c r="AP860" s="31"/>
      <c r="AQ860" s="31"/>
      <c r="AR860" s="31"/>
    </row>
    <row r="861" spans="1:44" ht="15.75" customHeight="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  <c r="AE861" s="31"/>
      <c r="AF861" s="31"/>
      <c r="AG861" s="31"/>
      <c r="AH861" s="31"/>
      <c r="AI861" s="31"/>
      <c r="AJ861" s="31"/>
      <c r="AK861" s="31"/>
      <c r="AL861" s="31"/>
      <c r="AM861" s="31"/>
      <c r="AN861" s="31"/>
      <c r="AO861" s="31"/>
      <c r="AP861" s="31"/>
      <c r="AQ861" s="31"/>
      <c r="AR861" s="31"/>
    </row>
    <row r="862" spans="1:44" ht="15.75" customHeight="1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  <c r="AE862" s="31"/>
      <c r="AF862" s="31"/>
      <c r="AG862" s="31"/>
      <c r="AH862" s="31"/>
      <c r="AI862" s="31"/>
      <c r="AJ862" s="31"/>
      <c r="AK862" s="31"/>
      <c r="AL862" s="31"/>
      <c r="AM862" s="31"/>
      <c r="AN862" s="31"/>
      <c r="AO862" s="31"/>
      <c r="AP862" s="31"/>
      <c r="AQ862" s="31"/>
      <c r="AR862" s="31"/>
    </row>
    <row r="863" spans="1:44" ht="15.75" customHeight="1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  <c r="AE863" s="31"/>
      <c r="AF863" s="31"/>
      <c r="AG863" s="31"/>
      <c r="AH863" s="31"/>
      <c r="AI863" s="31"/>
      <c r="AJ863" s="31"/>
      <c r="AK863" s="31"/>
      <c r="AL863" s="31"/>
      <c r="AM863" s="31"/>
      <c r="AN863" s="31"/>
      <c r="AO863" s="31"/>
      <c r="AP863" s="31"/>
      <c r="AQ863" s="31"/>
      <c r="AR863" s="31"/>
    </row>
    <row r="864" spans="1:44" ht="15.75" customHeight="1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  <c r="AE864" s="31"/>
      <c r="AF864" s="31"/>
      <c r="AG864" s="31"/>
      <c r="AH864" s="31"/>
      <c r="AI864" s="31"/>
      <c r="AJ864" s="31"/>
      <c r="AK864" s="31"/>
      <c r="AL864" s="31"/>
      <c r="AM864" s="31"/>
      <c r="AN864" s="31"/>
      <c r="AO864" s="31"/>
      <c r="AP864" s="31"/>
      <c r="AQ864" s="31"/>
      <c r="AR864" s="31"/>
    </row>
    <row r="865" spans="1:44" ht="15.75" customHeight="1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  <c r="AE865" s="31"/>
      <c r="AF865" s="31"/>
      <c r="AG865" s="31"/>
      <c r="AH865" s="31"/>
      <c r="AI865" s="31"/>
      <c r="AJ865" s="31"/>
      <c r="AK865" s="31"/>
      <c r="AL865" s="31"/>
      <c r="AM865" s="31"/>
      <c r="AN865" s="31"/>
      <c r="AO865" s="31"/>
      <c r="AP865" s="31"/>
      <c r="AQ865" s="31"/>
      <c r="AR865" s="31"/>
    </row>
    <row r="866" spans="1:44" ht="15.75" customHeight="1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  <c r="AE866" s="31"/>
      <c r="AF866" s="31"/>
      <c r="AG866" s="31"/>
      <c r="AH866" s="31"/>
      <c r="AI866" s="31"/>
      <c r="AJ866" s="31"/>
      <c r="AK866" s="31"/>
      <c r="AL866" s="31"/>
      <c r="AM866" s="31"/>
      <c r="AN866" s="31"/>
      <c r="AO866" s="31"/>
      <c r="AP866" s="31"/>
      <c r="AQ866" s="31"/>
      <c r="AR866" s="31"/>
    </row>
    <row r="867" spans="1:44" ht="15.75" customHeight="1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  <c r="AE867" s="31"/>
      <c r="AF867" s="31"/>
      <c r="AG867" s="31"/>
      <c r="AH867" s="31"/>
      <c r="AI867" s="31"/>
      <c r="AJ867" s="31"/>
      <c r="AK867" s="31"/>
      <c r="AL867" s="31"/>
      <c r="AM867" s="31"/>
      <c r="AN867" s="31"/>
      <c r="AO867" s="31"/>
      <c r="AP867" s="31"/>
      <c r="AQ867" s="31"/>
      <c r="AR867" s="31"/>
    </row>
    <row r="868" spans="1:44" ht="15.75" customHeight="1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  <c r="AE868" s="31"/>
      <c r="AF868" s="31"/>
      <c r="AG868" s="31"/>
      <c r="AH868" s="31"/>
      <c r="AI868" s="31"/>
      <c r="AJ868" s="31"/>
      <c r="AK868" s="31"/>
      <c r="AL868" s="31"/>
      <c r="AM868" s="31"/>
      <c r="AN868" s="31"/>
      <c r="AO868" s="31"/>
      <c r="AP868" s="31"/>
      <c r="AQ868" s="31"/>
      <c r="AR868" s="31"/>
    </row>
    <row r="869" spans="1:44" ht="15.75" customHeight="1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  <c r="AE869" s="31"/>
      <c r="AF869" s="31"/>
      <c r="AG869" s="31"/>
      <c r="AH869" s="31"/>
      <c r="AI869" s="31"/>
      <c r="AJ869" s="31"/>
      <c r="AK869" s="31"/>
      <c r="AL869" s="31"/>
      <c r="AM869" s="31"/>
      <c r="AN869" s="31"/>
      <c r="AO869" s="31"/>
      <c r="AP869" s="31"/>
      <c r="AQ869" s="31"/>
      <c r="AR869" s="31"/>
    </row>
    <row r="870" spans="1:44" ht="15.75" customHeight="1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  <c r="AE870" s="31"/>
      <c r="AF870" s="31"/>
      <c r="AG870" s="31"/>
      <c r="AH870" s="31"/>
      <c r="AI870" s="31"/>
      <c r="AJ870" s="31"/>
      <c r="AK870" s="31"/>
      <c r="AL870" s="31"/>
      <c r="AM870" s="31"/>
      <c r="AN870" s="31"/>
      <c r="AO870" s="31"/>
      <c r="AP870" s="31"/>
      <c r="AQ870" s="31"/>
      <c r="AR870" s="31"/>
    </row>
    <row r="871" spans="1:44" ht="15.75" customHeight="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  <c r="AF871" s="31"/>
      <c r="AG871" s="31"/>
      <c r="AH871" s="31"/>
      <c r="AI871" s="31"/>
      <c r="AJ871" s="31"/>
      <c r="AK871" s="31"/>
      <c r="AL871" s="31"/>
      <c r="AM871" s="31"/>
      <c r="AN871" s="31"/>
      <c r="AO871" s="31"/>
      <c r="AP871" s="31"/>
      <c r="AQ871" s="31"/>
      <c r="AR871" s="31"/>
    </row>
    <row r="872" spans="1:44" ht="15.75" customHeight="1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  <c r="AE872" s="31"/>
      <c r="AF872" s="31"/>
      <c r="AG872" s="31"/>
      <c r="AH872" s="31"/>
      <c r="AI872" s="31"/>
      <c r="AJ872" s="31"/>
      <c r="AK872" s="31"/>
      <c r="AL872" s="31"/>
      <c r="AM872" s="31"/>
      <c r="AN872" s="31"/>
      <c r="AO872" s="31"/>
      <c r="AP872" s="31"/>
      <c r="AQ872" s="31"/>
      <c r="AR872" s="31"/>
    </row>
    <row r="873" spans="1:44" ht="15.75" customHeight="1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  <c r="AE873" s="31"/>
      <c r="AF873" s="31"/>
      <c r="AG873" s="31"/>
      <c r="AH873" s="31"/>
      <c r="AI873" s="31"/>
      <c r="AJ873" s="31"/>
      <c r="AK873" s="31"/>
      <c r="AL873" s="31"/>
      <c r="AM873" s="31"/>
      <c r="AN873" s="31"/>
      <c r="AO873" s="31"/>
      <c r="AP873" s="31"/>
      <c r="AQ873" s="31"/>
      <c r="AR873" s="31"/>
    </row>
    <row r="874" spans="1:44" ht="15.75" customHeight="1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  <c r="AE874" s="31"/>
      <c r="AF874" s="31"/>
      <c r="AG874" s="31"/>
      <c r="AH874" s="31"/>
      <c r="AI874" s="31"/>
      <c r="AJ874" s="31"/>
      <c r="AK874" s="31"/>
      <c r="AL874" s="31"/>
      <c r="AM874" s="31"/>
      <c r="AN874" s="31"/>
      <c r="AO874" s="31"/>
      <c r="AP874" s="31"/>
      <c r="AQ874" s="31"/>
      <c r="AR874" s="31"/>
    </row>
    <row r="875" spans="1:44" ht="15.75" customHeight="1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  <c r="AE875" s="31"/>
      <c r="AF875" s="31"/>
      <c r="AG875" s="31"/>
      <c r="AH875" s="31"/>
      <c r="AI875" s="31"/>
      <c r="AJ875" s="31"/>
      <c r="AK875" s="31"/>
      <c r="AL875" s="31"/>
      <c r="AM875" s="31"/>
      <c r="AN875" s="31"/>
      <c r="AO875" s="31"/>
      <c r="AP875" s="31"/>
      <c r="AQ875" s="31"/>
      <c r="AR875" s="31"/>
    </row>
    <row r="876" spans="1:44" ht="15.75" customHeight="1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  <c r="AE876" s="31"/>
      <c r="AF876" s="31"/>
      <c r="AG876" s="31"/>
      <c r="AH876" s="31"/>
      <c r="AI876" s="31"/>
      <c r="AJ876" s="31"/>
      <c r="AK876" s="31"/>
      <c r="AL876" s="31"/>
      <c r="AM876" s="31"/>
      <c r="AN876" s="31"/>
      <c r="AO876" s="31"/>
      <c r="AP876" s="31"/>
      <c r="AQ876" s="31"/>
      <c r="AR876" s="31"/>
    </row>
    <row r="877" spans="1:44" ht="15.75" customHeight="1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  <c r="AE877" s="31"/>
      <c r="AF877" s="31"/>
      <c r="AG877" s="31"/>
      <c r="AH877" s="31"/>
      <c r="AI877" s="31"/>
      <c r="AJ877" s="31"/>
      <c r="AK877" s="31"/>
      <c r="AL877" s="31"/>
      <c r="AM877" s="31"/>
      <c r="AN877" s="31"/>
      <c r="AO877" s="31"/>
      <c r="AP877" s="31"/>
      <c r="AQ877" s="31"/>
      <c r="AR877" s="31"/>
    </row>
    <row r="878" spans="1:44" ht="15.75" customHeight="1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  <c r="AE878" s="31"/>
      <c r="AF878" s="31"/>
      <c r="AG878" s="31"/>
      <c r="AH878" s="31"/>
      <c r="AI878" s="31"/>
      <c r="AJ878" s="31"/>
      <c r="AK878" s="31"/>
      <c r="AL878" s="31"/>
      <c r="AM878" s="31"/>
      <c r="AN878" s="31"/>
      <c r="AO878" s="31"/>
      <c r="AP878" s="31"/>
      <c r="AQ878" s="31"/>
      <c r="AR878" s="31"/>
    </row>
    <row r="879" spans="1:44" ht="15.75" customHeight="1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  <c r="AE879" s="31"/>
      <c r="AF879" s="31"/>
      <c r="AG879" s="31"/>
      <c r="AH879" s="31"/>
      <c r="AI879" s="31"/>
      <c r="AJ879" s="31"/>
      <c r="AK879" s="31"/>
      <c r="AL879" s="31"/>
      <c r="AM879" s="31"/>
      <c r="AN879" s="31"/>
      <c r="AO879" s="31"/>
      <c r="AP879" s="31"/>
      <c r="AQ879" s="31"/>
      <c r="AR879" s="31"/>
    </row>
    <row r="880" spans="1:44" ht="15.75" customHeight="1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  <c r="AE880" s="31"/>
      <c r="AF880" s="31"/>
      <c r="AG880" s="31"/>
      <c r="AH880" s="31"/>
      <c r="AI880" s="31"/>
      <c r="AJ880" s="31"/>
      <c r="AK880" s="31"/>
      <c r="AL880" s="31"/>
      <c r="AM880" s="31"/>
      <c r="AN880" s="31"/>
      <c r="AO880" s="31"/>
      <c r="AP880" s="31"/>
      <c r="AQ880" s="31"/>
      <c r="AR880" s="31"/>
    </row>
    <row r="881" spans="1:44" ht="15.75" customHeight="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  <c r="AE881" s="31"/>
      <c r="AF881" s="31"/>
      <c r="AG881" s="31"/>
      <c r="AH881" s="31"/>
      <c r="AI881" s="31"/>
      <c r="AJ881" s="31"/>
      <c r="AK881" s="31"/>
      <c r="AL881" s="31"/>
      <c r="AM881" s="31"/>
      <c r="AN881" s="31"/>
      <c r="AO881" s="31"/>
      <c r="AP881" s="31"/>
      <c r="AQ881" s="31"/>
      <c r="AR881" s="31"/>
    </row>
    <row r="882" spans="1:44" ht="15.75" customHeight="1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  <c r="AE882" s="31"/>
      <c r="AF882" s="31"/>
      <c r="AG882" s="31"/>
      <c r="AH882" s="31"/>
      <c r="AI882" s="31"/>
      <c r="AJ882" s="31"/>
      <c r="AK882" s="31"/>
      <c r="AL882" s="31"/>
      <c r="AM882" s="31"/>
      <c r="AN882" s="31"/>
      <c r="AO882" s="31"/>
      <c r="AP882" s="31"/>
      <c r="AQ882" s="31"/>
      <c r="AR882" s="31"/>
    </row>
    <row r="883" spans="1:44" ht="15.75" customHeight="1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  <c r="AE883" s="31"/>
      <c r="AF883" s="31"/>
      <c r="AG883" s="31"/>
      <c r="AH883" s="31"/>
      <c r="AI883" s="31"/>
      <c r="AJ883" s="31"/>
      <c r="AK883" s="31"/>
      <c r="AL883" s="31"/>
      <c r="AM883" s="31"/>
      <c r="AN883" s="31"/>
      <c r="AO883" s="31"/>
      <c r="AP883" s="31"/>
      <c r="AQ883" s="31"/>
      <c r="AR883" s="31"/>
    </row>
    <row r="884" spans="1:44" ht="15.75" customHeight="1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  <c r="AE884" s="31"/>
      <c r="AF884" s="31"/>
      <c r="AG884" s="31"/>
      <c r="AH884" s="31"/>
      <c r="AI884" s="31"/>
      <c r="AJ884" s="31"/>
      <c r="AK884" s="31"/>
      <c r="AL884" s="31"/>
      <c r="AM884" s="31"/>
      <c r="AN884" s="31"/>
      <c r="AO884" s="31"/>
      <c r="AP884" s="31"/>
      <c r="AQ884" s="31"/>
      <c r="AR884" s="31"/>
    </row>
    <row r="885" spans="1:44" ht="15.75" customHeight="1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  <c r="AE885" s="31"/>
      <c r="AF885" s="31"/>
      <c r="AG885" s="31"/>
      <c r="AH885" s="31"/>
      <c r="AI885" s="31"/>
      <c r="AJ885" s="31"/>
      <c r="AK885" s="31"/>
      <c r="AL885" s="31"/>
      <c r="AM885" s="31"/>
      <c r="AN885" s="31"/>
      <c r="AO885" s="31"/>
      <c r="AP885" s="31"/>
      <c r="AQ885" s="31"/>
      <c r="AR885" s="31"/>
    </row>
    <row r="886" spans="1:44" ht="15.75" customHeight="1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  <c r="AE886" s="31"/>
      <c r="AF886" s="31"/>
      <c r="AG886" s="31"/>
      <c r="AH886" s="31"/>
      <c r="AI886" s="31"/>
      <c r="AJ886" s="31"/>
      <c r="AK886" s="31"/>
      <c r="AL886" s="31"/>
      <c r="AM886" s="31"/>
      <c r="AN886" s="31"/>
      <c r="AO886" s="31"/>
      <c r="AP886" s="31"/>
      <c r="AQ886" s="31"/>
      <c r="AR886" s="31"/>
    </row>
    <row r="887" spans="1:44" ht="15.75" customHeight="1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  <c r="AE887" s="31"/>
      <c r="AF887" s="31"/>
      <c r="AG887" s="31"/>
      <c r="AH887" s="31"/>
      <c r="AI887" s="31"/>
      <c r="AJ887" s="31"/>
      <c r="AK887" s="31"/>
      <c r="AL887" s="31"/>
      <c r="AM887" s="31"/>
      <c r="AN887" s="31"/>
      <c r="AO887" s="31"/>
      <c r="AP887" s="31"/>
      <c r="AQ887" s="31"/>
      <c r="AR887" s="31"/>
    </row>
    <row r="888" spans="1:44" ht="15.75" customHeight="1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  <c r="AE888" s="31"/>
      <c r="AF888" s="31"/>
      <c r="AG888" s="31"/>
      <c r="AH888" s="31"/>
      <c r="AI888" s="31"/>
      <c r="AJ888" s="31"/>
      <c r="AK888" s="31"/>
      <c r="AL888" s="31"/>
      <c r="AM888" s="31"/>
      <c r="AN888" s="31"/>
      <c r="AO888" s="31"/>
      <c r="AP888" s="31"/>
      <c r="AQ888" s="31"/>
      <c r="AR888" s="31"/>
    </row>
    <row r="889" spans="1:44" ht="15.75" customHeight="1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  <c r="AE889" s="31"/>
      <c r="AF889" s="31"/>
      <c r="AG889" s="31"/>
      <c r="AH889" s="31"/>
      <c r="AI889" s="31"/>
      <c r="AJ889" s="31"/>
      <c r="AK889" s="31"/>
      <c r="AL889" s="31"/>
      <c r="AM889" s="31"/>
      <c r="AN889" s="31"/>
      <c r="AO889" s="31"/>
      <c r="AP889" s="31"/>
      <c r="AQ889" s="31"/>
      <c r="AR889" s="31"/>
    </row>
    <row r="890" spans="1:44" ht="15.75" customHeight="1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  <c r="AE890" s="31"/>
      <c r="AF890" s="31"/>
      <c r="AG890" s="31"/>
      <c r="AH890" s="31"/>
      <c r="AI890" s="31"/>
      <c r="AJ890" s="31"/>
      <c r="AK890" s="31"/>
      <c r="AL890" s="31"/>
      <c r="AM890" s="31"/>
      <c r="AN890" s="31"/>
      <c r="AO890" s="31"/>
      <c r="AP890" s="31"/>
      <c r="AQ890" s="31"/>
      <c r="AR890" s="31"/>
    </row>
    <row r="891" spans="1:44" ht="15.75" customHeight="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  <c r="AE891" s="31"/>
      <c r="AF891" s="31"/>
      <c r="AG891" s="31"/>
      <c r="AH891" s="31"/>
      <c r="AI891" s="31"/>
      <c r="AJ891" s="31"/>
      <c r="AK891" s="31"/>
      <c r="AL891" s="31"/>
      <c r="AM891" s="31"/>
      <c r="AN891" s="31"/>
      <c r="AO891" s="31"/>
      <c r="AP891" s="31"/>
      <c r="AQ891" s="31"/>
      <c r="AR891" s="31"/>
    </row>
    <row r="892" spans="1:44" ht="15.75" customHeight="1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  <c r="AE892" s="31"/>
      <c r="AF892" s="31"/>
      <c r="AG892" s="31"/>
      <c r="AH892" s="31"/>
      <c r="AI892" s="31"/>
      <c r="AJ892" s="31"/>
      <c r="AK892" s="31"/>
      <c r="AL892" s="31"/>
      <c r="AM892" s="31"/>
      <c r="AN892" s="31"/>
      <c r="AO892" s="31"/>
      <c r="AP892" s="31"/>
      <c r="AQ892" s="31"/>
      <c r="AR892" s="31"/>
    </row>
    <row r="893" spans="1:44" ht="15.75" customHeight="1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  <c r="AE893" s="31"/>
      <c r="AF893" s="31"/>
      <c r="AG893" s="31"/>
      <c r="AH893" s="31"/>
      <c r="AI893" s="31"/>
      <c r="AJ893" s="31"/>
      <c r="AK893" s="31"/>
      <c r="AL893" s="31"/>
      <c r="AM893" s="31"/>
      <c r="AN893" s="31"/>
      <c r="AO893" s="31"/>
      <c r="AP893" s="31"/>
      <c r="AQ893" s="31"/>
      <c r="AR893" s="31"/>
    </row>
    <row r="894" spans="1:44" ht="15.75" customHeight="1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  <c r="AE894" s="31"/>
      <c r="AF894" s="31"/>
      <c r="AG894" s="31"/>
      <c r="AH894" s="31"/>
      <c r="AI894" s="31"/>
      <c r="AJ894" s="31"/>
      <c r="AK894" s="31"/>
      <c r="AL894" s="31"/>
      <c r="AM894" s="31"/>
      <c r="AN894" s="31"/>
      <c r="AO894" s="31"/>
      <c r="AP894" s="31"/>
      <c r="AQ894" s="31"/>
      <c r="AR894" s="31"/>
    </row>
    <row r="895" spans="1:44" ht="15.75" customHeight="1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  <c r="AE895" s="31"/>
      <c r="AF895" s="31"/>
      <c r="AG895" s="31"/>
      <c r="AH895" s="31"/>
      <c r="AI895" s="31"/>
      <c r="AJ895" s="31"/>
      <c r="AK895" s="31"/>
      <c r="AL895" s="31"/>
      <c r="AM895" s="31"/>
      <c r="AN895" s="31"/>
      <c r="AO895" s="31"/>
      <c r="AP895" s="31"/>
      <c r="AQ895" s="31"/>
      <c r="AR895" s="31"/>
    </row>
    <row r="896" spans="1:44" ht="15.75" customHeight="1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  <c r="AE896" s="31"/>
      <c r="AF896" s="31"/>
      <c r="AG896" s="31"/>
      <c r="AH896" s="31"/>
      <c r="AI896" s="31"/>
      <c r="AJ896" s="31"/>
      <c r="AK896" s="31"/>
      <c r="AL896" s="31"/>
      <c r="AM896" s="31"/>
      <c r="AN896" s="31"/>
      <c r="AO896" s="31"/>
      <c r="AP896" s="31"/>
      <c r="AQ896" s="31"/>
      <c r="AR896" s="31"/>
    </row>
    <row r="897" spans="1:44" ht="15.75" customHeight="1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  <c r="AE897" s="31"/>
      <c r="AF897" s="31"/>
      <c r="AG897" s="31"/>
      <c r="AH897" s="31"/>
      <c r="AI897" s="31"/>
      <c r="AJ897" s="31"/>
      <c r="AK897" s="31"/>
      <c r="AL897" s="31"/>
      <c r="AM897" s="31"/>
      <c r="AN897" s="31"/>
      <c r="AO897" s="31"/>
      <c r="AP897" s="31"/>
      <c r="AQ897" s="31"/>
      <c r="AR897" s="31"/>
    </row>
    <row r="898" spans="1:44" ht="15.75" customHeight="1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  <c r="AE898" s="31"/>
      <c r="AF898" s="31"/>
      <c r="AG898" s="31"/>
      <c r="AH898" s="31"/>
      <c r="AI898" s="31"/>
      <c r="AJ898" s="31"/>
      <c r="AK898" s="31"/>
      <c r="AL898" s="31"/>
      <c r="AM898" s="31"/>
      <c r="AN898" s="31"/>
      <c r="AO898" s="31"/>
      <c r="AP898" s="31"/>
      <c r="AQ898" s="31"/>
      <c r="AR898" s="31"/>
    </row>
    <row r="899" spans="1:44" ht="15.75" customHeight="1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  <c r="AE899" s="31"/>
      <c r="AF899" s="31"/>
      <c r="AG899" s="31"/>
      <c r="AH899" s="31"/>
      <c r="AI899" s="31"/>
      <c r="AJ899" s="31"/>
      <c r="AK899" s="31"/>
      <c r="AL899" s="31"/>
      <c r="AM899" s="31"/>
      <c r="AN899" s="31"/>
      <c r="AO899" s="31"/>
      <c r="AP899" s="31"/>
      <c r="AQ899" s="31"/>
      <c r="AR899" s="31"/>
    </row>
    <row r="900" spans="1:44" ht="15.75" customHeight="1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  <c r="AE900" s="31"/>
      <c r="AF900" s="31"/>
      <c r="AG900" s="31"/>
      <c r="AH900" s="31"/>
      <c r="AI900" s="31"/>
      <c r="AJ900" s="31"/>
      <c r="AK900" s="31"/>
      <c r="AL900" s="31"/>
      <c r="AM900" s="31"/>
      <c r="AN900" s="31"/>
      <c r="AO900" s="31"/>
      <c r="AP900" s="31"/>
      <c r="AQ900" s="31"/>
      <c r="AR900" s="31"/>
    </row>
    <row r="901" spans="1:44" ht="15.75" customHeight="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  <c r="AE901" s="31"/>
      <c r="AF901" s="31"/>
      <c r="AG901" s="31"/>
      <c r="AH901" s="31"/>
      <c r="AI901" s="31"/>
      <c r="AJ901" s="31"/>
      <c r="AK901" s="31"/>
      <c r="AL901" s="31"/>
      <c r="AM901" s="31"/>
      <c r="AN901" s="31"/>
      <c r="AO901" s="31"/>
      <c r="AP901" s="31"/>
      <c r="AQ901" s="31"/>
      <c r="AR901" s="31"/>
    </row>
    <row r="902" spans="1:44" ht="15.75" customHeight="1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  <c r="AE902" s="31"/>
      <c r="AF902" s="31"/>
      <c r="AG902" s="31"/>
      <c r="AH902" s="31"/>
      <c r="AI902" s="31"/>
      <c r="AJ902" s="31"/>
      <c r="AK902" s="31"/>
      <c r="AL902" s="31"/>
      <c r="AM902" s="31"/>
      <c r="AN902" s="31"/>
      <c r="AO902" s="31"/>
      <c r="AP902" s="31"/>
      <c r="AQ902" s="31"/>
      <c r="AR902" s="31"/>
    </row>
    <row r="903" spans="1:44" ht="15.75" customHeight="1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  <c r="AE903" s="31"/>
      <c r="AF903" s="31"/>
      <c r="AG903" s="31"/>
      <c r="AH903" s="31"/>
      <c r="AI903" s="31"/>
      <c r="AJ903" s="31"/>
      <c r="AK903" s="31"/>
      <c r="AL903" s="31"/>
      <c r="AM903" s="31"/>
      <c r="AN903" s="31"/>
      <c r="AO903" s="31"/>
      <c r="AP903" s="31"/>
      <c r="AQ903" s="31"/>
      <c r="AR903" s="31"/>
    </row>
    <row r="904" spans="1:44" ht="15.75" customHeight="1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  <c r="AE904" s="31"/>
      <c r="AF904" s="31"/>
      <c r="AG904" s="31"/>
      <c r="AH904" s="31"/>
      <c r="AI904" s="31"/>
      <c r="AJ904" s="31"/>
      <c r="AK904" s="31"/>
      <c r="AL904" s="31"/>
      <c r="AM904" s="31"/>
      <c r="AN904" s="31"/>
      <c r="AO904" s="31"/>
      <c r="AP904" s="31"/>
      <c r="AQ904" s="31"/>
      <c r="AR904" s="31"/>
    </row>
    <row r="905" spans="1:44" ht="15.75" customHeight="1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  <c r="AE905" s="31"/>
      <c r="AF905" s="31"/>
      <c r="AG905" s="31"/>
      <c r="AH905" s="31"/>
      <c r="AI905" s="31"/>
      <c r="AJ905" s="31"/>
      <c r="AK905" s="31"/>
      <c r="AL905" s="31"/>
      <c r="AM905" s="31"/>
      <c r="AN905" s="31"/>
      <c r="AO905" s="31"/>
      <c r="AP905" s="31"/>
      <c r="AQ905" s="31"/>
      <c r="AR905" s="31"/>
    </row>
    <row r="906" spans="1:44" ht="15.75" customHeight="1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  <c r="AE906" s="31"/>
      <c r="AF906" s="31"/>
      <c r="AG906" s="31"/>
      <c r="AH906" s="31"/>
      <c r="AI906" s="31"/>
      <c r="AJ906" s="31"/>
      <c r="AK906" s="31"/>
      <c r="AL906" s="31"/>
      <c r="AM906" s="31"/>
      <c r="AN906" s="31"/>
      <c r="AO906" s="31"/>
      <c r="AP906" s="31"/>
      <c r="AQ906" s="31"/>
      <c r="AR906" s="31"/>
    </row>
    <row r="907" spans="1:44" ht="15.75" customHeight="1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  <c r="AE907" s="31"/>
      <c r="AF907" s="31"/>
      <c r="AG907" s="31"/>
      <c r="AH907" s="31"/>
      <c r="AI907" s="31"/>
      <c r="AJ907" s="31"/>
      <c r="AK907" s="31"/>
      <c r="AL907" s="31"/>
      <c r="AM907" s="31"/>
      <c r="AN907" s="31"/>
      <c r="AO907" s="31"/>
      <c r="AP907" s="31"/>
      <c r="AQ907" s="31"/>
      <c r="AR907" s="31"/>
    </row>
    <row r="908" spans="1:44" ht="15.75" customHeight="1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  <c r="AE908" s="31"/>
      <c r="AF908" s="31"/>
      <c r="AG908" s="31"/>
      <c r="AH908" s="31"/>
      <c r="AI908" s="31"/>
      <c r="AJ908" s="31"/>
      <c r="AK908" s="31"/>
      <c r="AL908" s="31"/>
      <c r="AM908" s="31"/>
      <c r="AN908" s="31"/>
      <c r="AO908" s="31"/>
      <c r="AP908" s="31"/>
      <c r="AQ908" s="31"/>
      <c r="AR908" s="31"/>
    </row>
    <row r="909" spans="1:44" ht="15.75" customHeight="1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  <c r="AE909" s="31"/>
      <c r="AF909" s="31"/>
      <c r="AG909" s="31"/>
      <c r="AH909" s="31"/>
      <c r="AI909" s="31"/>
      <c r="AJ909" s="31"/>
      <c r="AK909" s="31"/>
      <c r="AL909" s="31"/>
      <c r="AM909" s="31"/>
      <c r="AN909" s="31"/>
      <c r="AO909" s="31"/>
      <c r="AP909" s="31"/>
      <c r="AQ909" s="31"/>
      <c r="AR909" s="31"/>
    </row>
    <row r="910" spans="1:44" ht="15.75" customHeight="1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  <c r="AE910" s="31"/>
      <c r="AF910" s="31"/>
      <c r="AG910" s="31"/>
      <c r="AH910" s="31"/>
      <c r="AI910" s="31"/>
      <c r="AJ910" s="31"/>
      <c r="AK910" s="31"/>
      <c r="AL910" s="31"/>
      <c r="AM910" s="31"/>
      <c r="AN910" s="31"/>
      <c r="AO910" s="31"/>
      <c r="AP910" s="31"/>
      <c r="AQ910" s="31"/>
      <c r="AR910" s="31"/>
    </row>
    <row r="911" spans="1:44" ht="15.75" customHeight="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  <c r="AE911" s="31"/>
      <c r="AF911" s="31"/>
      <c r="AG911" s="31"/>
      <c r="AH911" s="31"/>
      <c r="AI911" s="31"/>
      <c r="AJ911" s="31"/>
      <c r="AK911" s="31"/>
      <c r="AL911" s="31"/>
      <c r="AM911" s="31"/>
      <c r="AN911" s="31"/>
      <c r="AO911" s="31"/>
      <c r="AP911" s="31"/>
      <c r="AQ911" s="31"/>
      <c r="AR911" s="31"/>
    </row>
    <row r="912" spans="1:44" ht="15.75" customHeight="1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  <c r="AE912" s="31"/>
      <c r="AF912" s="31"/>
      <c r="AG912" s="31"/>
      <c r="AH912" s="31"/>
      <c r="AI912" s="31"/>
      <c r="AJ912" s="31"/>
      <c r="AK912" s="31"/>
      <c r="AL912" s="31"/>
      <c r="AM912" s="31"/>
      <c r="AN912" s="31"/>
      <c r="AO912" s="31"/>
      <c r="AP912" s="31"/>
      <c r="AQ912" s="31"/>
      <c r="AR912" s="31"/>
    </row>
    <row r="913" spans="1:44" ht="15.75" customHeight="1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  <c r="AE913" s="31"/>
      <c r="AF913" s="31"/>
      <c r="AG913" s="31"/>
      <c r="AH913" s="31"/>
      <c r="AI913" s="31"/>
      <c r="AJ913" s="31"/>
      <c r="AK913" s="31"/>
      <c r="AL913" s="31"/>
      <c r="AM913" s="31"/>
      <c r="AN913" s="31"/>
      <c r="AO913" s="31"/>
      <c r="AP913" s="31"/>
      <c r="AQ913" s="31"/>
      <c r="AR913" s="31"/>
    </row>
    <row r="914" spans="1:44" ht="15.75" customHeight="1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  <c r="AE914" s="31"/>
      <c r="AF914" s="31"/>
      <c r="AG914" s="31"/>
      <c r="AH914" s="31"/>
      <c r="AI914" s="31"/>
      <c r="AJ914" s="31"/>
      <c r="AK914" s="31"/>
      <c r="AL914" s="31"/>
      <c r="AM914" s="31"/>
      <c r="AN914" s="31"/>
      <c r="AO914" s="31"/>
      <c r="AP914" s="31"/>
      <c r="AQ914" s="31"/>
      <c r="AR914" s="31"/>
    </row>
    <row r="915" spans="1:44" ht="15.75" customHeight="1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  <c r="AE915" s="31"/>
      <c r="AF915" s="31"/>
      <c r="AG915" s="31"/>
      <c r="AH915" s="31"/>
      <c r="AI915" s="31"/>
      <c r="AJ915" s="31"/>
      <c r="AK915" s="31"/>
      <c r="AL915" s="31"/>
      <c r="AM915" s="31"/>
      <c r="AN915" s="31"/>
      <c r="AO915" s="31"/>
      <c r="AP915" s="31"/>
      <c r="AQ915" s="31"/>
      <c r="AR915" s="31"/>
    </row>
    <row r="916" spans="1:44" ht="15.75" customHeight="1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  <c r="AE916" s="31"/>
      <c r="AF916" s="31"/>
      <c r="AG916" s="31"/>
      <c r="AH916" s="31"/>
      <c r="AI916" s="31"/>
      <c r="AJ916" s="31"/>
      <c r="AK916" s="31"/>
      <c r="AL916" s="31"/>
      <c r="AM916" s="31"/>
      <c r="AN916" s="31"/>
      <c r="AO916" s="31"/>
      <c r="AP916" s="31"/>
      <c r="AQ916" s="31"/>
      <c r="AR916" s="31"/>
    </row>
    <row r="917" spans="1:44" ht="15.75" customHeight="1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  <c r="AE917" s="31"/>
      <c r="AF917" s="31"/>
      <c r="AG917" s="31"/>
      <c r="AH917" s="31"/>
      <c r="AI917" s="31"/>
      <c r="AJ917" s="31"/>
      <c r="AK917" s="31"/>
      <c r="AL917" s="31"/>
      <c r="AM917" s="31"/>
      <c r="AN917" s="31"/>
      <c r="AO917" s="31"/>
      <c r="AP917" s="31"/>
      <c r="AQ917" s="31"/>
      <c r="AR917" s="31"/>
    </row>
    <row r="918" spans="1:44" ht="15.75" customHeight="1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  <c r="AE918" s="31"/>
      <c r="AF918" s="31"/>
      <c r="AG918" s="31"/>
      <c r="AH918" s="31"/>
      <c r="AI918" s="31"/>
      <c r="AJ918" s="31"/>
      <c r="AK918" s="31"/>
      <c r="AL918" s="31"/>
      <c r="AM918" s="31"/>
      <c r="AN918" s="31"/>
      <c r="AO918" s="31"/>
      <c r="AP918" s="31"/>
      <c r="AQ918" s="31"/>
      <c r="AR918" s="31"/>
    </row>
    <row r="919" spans="1:44" ht="15.75" customHeight="1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  <c r="AE919" s="31"/>
      <c r="AF919" s="31"/>
      <c r="AG919" s="31"/>
      <c r="AH919" s="31"/>
      <c r="AI919" s="31"/>
      <c r="AJ919" s="31"/>
      <c r="AK919" s="31"/>
      <c r="AL919" s="31"/>
      <c r="AM919" s="31"/>
      <c r="AN919" s="31"/>
      <c r="AO919" s="31"/>
      <c r="AP919" s="31"/>
      <c r="AQ919" s="31"/>
      <c r="AR919" s="31"/>
    </row>
    <row r="920" spans="1:44" ht="15.75" customHeight="1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  <c r="AE920" s="31"/>
      <c r="AF920" s="31"/>
      <c r="AG920" s="31"/>
      <c r="AH920" s="31"/>
      <c r="AI920" s="31"/>
      <c r="AJ920" s="31"/>
      <c r="AK920" s="31"/>
      <c r="AL920" s="31"/>
      <c r="AM920" s="31"/>
      <c r="AN920" s="31"/>
      <c r="AO920" s="31"/>
      <c r="AP920" s="31"/>
      <c r="AQ920" s="31"/>
      <c r="AR920" s="31"/>
    </row>
    <row r="921" spans="1:44" ht="15.75" customHeight="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  <c r="AE921" s="31"/>
      <c r="AF921" s="31"/>
      <c r="AG921" s="31"/>
      <c r="AH921" s="31"/>
      <c r="AI921" s="31"/>
      <c r="AJ921" s="31"/>
      <c r="AK921" s="31"/>
      <c r="AL921" s="31"/>
      <c r="AM921" s="31"/>
      <c r="AN921" s="31"/>
      <c r="AO921" s="31"/>
      <c r="AP921" s="31"/>
      <c r="AQ921" s="31"/>
      <c r="AR921" s="31"/>
    </row>
    <row r="922" spans="1:44" ht="15.75" customHeight="1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  <c r="AE922" s="31"/>
      <c r="AF922" s="31"/>
      <c r="AG922" s="31"/>
      <c r="AH922" s="31"/>
      <c r="AI922" s="31"/>
      <c r="AJ922" s="31"/>
      <c r="AK922" s="31"/>
      <c r="AL922" s="31"/>
      <c r="AM922" s="31"/>
      <c r="AN922" s="31"/>
      <c r="AO922" s="31"/>
      <c r="AP922" s="31"/>
      <c r="AQ922" s="31"/>
      <c r="AR922" s="31"/>
    </row>
    <row r="923" spans="1:44" ht="15.75" customHeight="1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  <c r="AE923" s="31"/>
      <c r="AF923" s="31"/>
      <c r="AG923" s="31"/>
      <c r="AH923" s="31"/>
      <c r="AI923" s="31"/>
      <c r="AJ923" s="31"/>
      <c r="AK923" s="31"/>
      <c r="AL923" s="31"/>
      <c r="AM923" s="31"/>
      <c r="AN923" s="31"/>
      <c r="AO923" s="31"/>
      <c r="AP923" s="31"/>
      <c r="AQ923" s="31"/>
      <c r="AR923" s="31"/>
    </row>
    <row r="924" spans="1:44" ht="15.75" customHeight="1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  <c r="AE924" s="31"/>
      <c r="AF924" s="31"/>
      <c r="AG924" s="31"/>
      <c r="AH924" s="31"/>
      <c r="AI924" s="31"/>
      <c r="AJ924" s="31"/>
      <c r="AK924" s="31"/>
      <c r="AL924" s="31"/>
      <c r="AM924" s="31"/>
      <c r="AN924" s="31"/>
      <c r="AO924" s="31"/>
      <c r="AP924" s="31"/>
      <c r="AQ924" s="31"/>
      <c r="AR924" s="31"/>
    </row>
    <row r="925" spans="1:44" ht="15.75" customHeight="1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  <c r="AE925" s="31"/>
      <c r="AF925" s="31"/>
      <c r="AG925" s="31"/>
      <c r="AH925" s="31"/>
      <c r="AI925" s="31"/>
      <c r="AJ925" s="31"/>
      <c r="AK925" s="31"/>
      <c r="AL925" s="31"/>
      <c r="AM925" s="31"/>
      <c r="AN925" s="31"/>
      <c r="AO925" s="31"/>
      <c r="AP925" s="31"/>
      <c r="AQ925" s="31"/>
      <c r="AR925" s="31"/>
    </row>
    <row r="926" spans="1:44" ht="15.75" customHeight="1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  <c r="AE926" s="31"/>
      <c r="AF926" s="31"/>
      <c r="AG926" s="31"/>
      <c r="AH926" s="31"/>
      <c r="AI926" s="31"/>
      <c r="AJ926" s="31"/>
      <c r="AK926" s="31"/>
      <c r="AL926" s="31"/>
      <c r="AM926" s="31"/>
      <c r="AN926" s="31"/>
      <c r="AO926" s="31"/>
      <c r="AP926" s="31"/>
      <c r="AQ926" s="31"/>
      <c r="AR926" s="31"/>
    </row>
    <row r="927" spans="1:44" ht="15.75" customHeight="1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  <c r="AE927" s="31"/>
      <c r="AF927" s="31"/>
      <c r="AG927" s="31"/>
      <c r="AH927" s="31"/>
      <c r="AI927" s="31"/>
      <c r="AJ927" s="31"/>
      <c r="AK927" s="31"/>
      <c r="AL927" s="31"/>
      <c r="AM927" s="31"/>
      <c r="AN927" s="31"/>
      <c r="AO927" s="31"/>
      <c r="AP927" s="31"/>
      <c r="AQ927" s="31"/>
      <c r="AR927" s="31"/>
    </row>
    <row r="928" spans="1:44" ht="15.75" customHeight="1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  <c r="AE928" s="31"/>
      <c r="AF928" s="31"/>
      <c r="AG928" s="31"/>
      <c r="AH928" s="31"/>
      <c r="AI928" s="31"/>
      <c r="AJ928" s="31"/>
      <c r="AK928" s="31"/>
      <c r="AL928" s="31"/>
      <c r="AM928" s="31"/>
      <c r="AN928" s="31"/>
      <c r="AO928" s="31"/>
      <c r="AP928" s="31"/>
      <c r="AQ928" s="31"/>
      <c r="AR928" s="31"/>
    </row>
    <row r="929" spans="1:44" ht="15.75" customHeight="1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  <c r="AE929" s="31"/>
      <c r="AF929" s="31"/>
      <c r="AG929" s="31"/>
      <c r="AH929" s="31"/>
      <c r="AI929" s="31"/>
      <c r="AJ929" s="31"/>
      <c r="AK929" s="31"/>
      <c r="AL929" s="31"/>
      <c r="AM929" s="31"/>
      <c r="AN929" s="31"/>
      <c r="AO929" s="31"/>
      <c r="AP929" s="31"/>
      <c r="AQ929" s="31"/>
      <c r="AR929" s="31"/>
    </row>
    <row r="930" spans="1:44" ht="15.75" customHeight="1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  <c r="AE930" s="31"/>
      <c r="AF930" s="31"/>
      <c r="AG930" s="31"/>
      <c r="AH930" s="31"/>
      <c r="AI930" s="31"/>
      <c r="AJ930" s="31"/>
      <c r="AK930" s="31"/>
      <c r="AL930" s="31"/>
      <c r="AM930" s="31"/>
      <c r="AN930" s="31"/>
      <c r="AO930" s="31"/>
      <c r="AP930" s="31"/>
      <c r="AQ930" s="31"/>
      <c r="AR930" s="31"/>
    </row>
    <row r="931" spans="1:44" ht="15.75" customHeight="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  <c r="AE931" s="31"/>
      <c r="AF931" s="31"/>
      <c r="AG931" s="31"/>
      <c r="AH931" s="31"/>
      <c r="AI931" s="31"/>
      <c r="AJ931" s="31"/>
      <c r="AK931" s="31"/>
      <c r="AL931" s="31"/>
      <c r="AM931" s="31"/>
      <c r="AN931" s="31"/>
      <c r="AO931" s="31"/>
      <c r="AP931" s="31"/>
      <c r="AQ931" s="31"/>
      <c r="AR931" s="31"/>
    </row>
    <row r="932" spans="1:44" ht="15.75" customHeight="1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  <c r="AE932" s="31"/>
      <c r="AF932" s="31"/>
      <c r="AG932" s="31"/>
      <c r="AH932" s="31"/>
      <c r="AI932" s="31"/>
      <c r="AJ932" s="31"/>
      <c r="AK932" s="31"/>
      <c r="AL932" s="31"/>
      <c r="AM932" s="31"/>
      <c r="AN932" s="31"/>
      <c r="AO932" s="31"/>
      <c r="AP932" s="31"/>
      <c r="AQ932" s="31"/>
      <c r="AR932" s="31"/>
    </row>
    <row r="933" spans="1:44" ht="15.75" customHeight="1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  <c r="AE933" s="31"/>
      <c r="AF933" s="31"/>
      <c r="AG933" s="31"/>
      <c r="AH933" s="31"/>
      <c r="AI933" s="31"/>
      <c r="AJ933" s="31"/>
      <c r="AK933" s="31"/>
      <c r="AL933" s="31"/>
      <c r="AM933" s="31"/>
      <c r="AN933" s="31"/>
      <c r="AO933" s="31"/>
      <c r="AP933" s="31"/>
      <c r="AQ933" s="31"/>
      <c r="AR933" s="31"/>
    </row>
    <row r="934" spans="1:44" ht="15.75" customHeight="1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  <c r="AE934" s="31"/>
      <c r="AF934" s="31"/>
      <c r="AG934" s="31"/>
      <c r="AH934" s="31"/>
      <c r="AI934" s="31"/>
      <c r="AJ934" s="31"/>
      <c r="AK934" s="31"/>
      <c r="AL934" s="31"/>
      <c r="AM934" s="31"/>
      <c r="AN934" s="31"/>
      <c r="AO934" s="31"/>
      <c r="AP934" s="31"/>
      <c r="AQ934" s="31"/>
      <c r="AR934" s="31"/>
    </row>
    <row r="935" spans="1:44" ht="15.75" customHeight="1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  <c r="AE935" s="31"/>
      <c r="AF935" s="31"/>
      <c r="AG935" s="31"/>
      <c r="AH935" s="31"/>
      <c r="AI935" s="31"/>
      <c r="AJ935" s="31"/>
      <c r="AK935" s="31"/>
      <c r="AL935" s="31"/>
      <c r="AM935" s="31"/>
      <c r="AN935" s="31"/>
      <c r="AO935" s="31"/>
      <c r="AP935" s="31"/>
      <c r="AQ935" s="31"/>
      <c r="AR935" s="31"/>
    </row>
    <row r="936" spans="1:44" ht="15.75" customHeight="1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  <c r="AE936" s="31"/>
      <c r="AF936" s="31"/>
      <c r="AG936" s="31"/>
      <c r="AH936" s="31"/>
      <c r="AI936" s="31"/>
      <c r="AJ936" s="31"/>
      <c r="AK936" s="31"/>
      <c r="AL936" s="31"/>
      <c r="AM936" s="31"/>
      <c r="AN936" s="31"/>
      <c r="AO936" s="31"/>
      <c r="AP936" s="31"/>
      <c r="AQ936" s="31"/>
      <c r="AR936" s="31"/>
    </row>
    <row r="937" spans="1:44" ht="15.75" customHeight="1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  <c r="AE937" s="31"/>
      <c r="AF937" s="31"/>
      <c r="AG937" s="31"/>
      <c r="AH937" s="31"/>
      <c r="AI937" s="31"/>
      <c r="AJ937" s="31"/>
      <c r="AK937" s="31"/>
      <c r="AL937" s="31"/>
      <c r="AM937" s="31"/>
      <c r="AN937" s="31"/>
      <c r="AO937" s="31"/>
      <c r="AP937" s="31"/>
      <c r="AQ937" s="31"/>
      <c r="AR937" s="31"/>
    </row>
    <row r="938" spans="1:44" ht="15.75" customHeight="1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  <c r="AE938" s="31"/>
      <c r="AF938" s="31"/>
      <c r="AG938" s="31"/>
      <c r="AH938" s="31"/>
      <c r="AI938" s="31"/>
      <c r="AJ938" s="31"/>
      <c r="AK938" s="31"/>
      <c r="AL938" s="31"/>
      <c r="AM938" s="31"/>
      <c r="AN938" s="31"/>
      <c r="AO938" s="31"/>
      <c r="AP938" s="31"/>
      <c r="AQ938" s="31"/>
      <c r="AR938" s="31"/>
    </row>
    <row r="939" spans="1:44" ht="15.75" customHeight="1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  <c r="AE939" s="31"/>
      <c r="AF939" s="31"/>
      <c r="AG939" s="31"/>
      <c r="AH939" s="31"/>
      <c r="AI939" s="31"/>
      <c r="AJ939" s="31"/>
      <c r="AK939" s="31"/>
      <c r="AL939" s="31"/>
      <c r="AM939" s="31"/>
      <c r="AN939" s="31"/>
      <c r="AO939" s="31"/>
      <c r="AP939" s="31"/>
      <c r="AQ939" s="31"/>
      <c r="AR939" s="31"/>
    </row>
    <row r="940" spans="1:44" ht="15.75" customHeight="1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  <c r="AE940" s="31"/>
      <c r="AF940" s="31"/>
      <c r="AG940" s="31"/>
      <c r="AH940" s="31"/>
      <c r="AI940" s="31"/>
      <c r="AJ940" s="31"/>
      <c r="AK940" s="31"/>
      <c r="AL940" s="31"/>
      <c r="AM940" s="31"/>
      <c r="AN940" s="31"/>
      <c r="AO940" s="31"/>
      <c r="AP940" s="31"/>
      <c r="AQ940" s="31"/>
      <c r="AR940" s="31"/>
    </row>
    <row r="941" spans="1:44" ht="15.75" customHeight="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  <c r="AE941" s="31"/>
      <c r="AF941" s="31"/>
      <c r="AG941" s="31"/>
      <c r="AH941" s="31"/>
      <c r="AI941" s="31"/>
      <c r="AJ941" s="31"/>
      <c r="AK941" s="31"/>
      <c r="AL941" s="31"/>
      <c r="AM941" s="31"/>
      <c r="AN941" s="31"/>
      <c r="AO941" s="31"/>
      <c r="AP941" s="31"/>
      <c r="AQ941" s="31"/>
      <c r="AR941" s="31"/>
    </row>
    <row r="942" spans="1:44" ht="15.75" customHeight="1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  <c r="AE942" s="31"/>
      <c r="AF942" s="31"/>
      <c r="AG942" s="31"/>
      <c r="AH942" s="31"/>
      <c r="AI942" s="31"/>
      <c r="AJ942" s="31"/>
      <c r="AK942" s="31"/>
      <c r="AL942" s="31"/>
      <c r="AM942" s="31"/>
      <c r="AN942" s="31"/>
      <c r="AO942" s="31"/>
      <c r="AP942" s="31"/>
      <c r="AQ942" s="31"/>
      <c r="AR942" s="31"/>
    </row>
    <row r="943" spans="1:44" ht="15.75" customHeight="1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  <c r="AE943" s="31"/>
      <c r="AF943" s="31"/>
      <c r="AG943" s="31"/>
      <c r="AH943" s="31"/>
      <c r="AI943" s="31"/>
      <c r="AJ943" s="31"/>
      <c r="AK943" s="31"/>
      <c r="AL943" s="31"/>
      <c r="AM943" s="31"/>
      <c r="AN943" s="31"/>
      <c r="AO943" s="31"/>
      <c r="AP943" s="31"/>
      <c r="AQ943" s="31"/>
      <c r="AR943" s="31"/>
    </row>
    <row r="944" spans="1:44" ht="15.75" customHeight="1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  <c r="AE944" s="31"/>
      <c r="AF944" s="31"/>
      <c r="AG944" s="31"/>
      <c r="AH944" s="31"/>
      <c r="AI944" s="31"/>
      <c r="AJ944" s="31"/>
      <c r="AK944" s="31"/>
      <c r="AL944" s="31"/>
      <c r="AM944" s="31"/>
      <c r="AN944" s="31"/>
      <c r="AO944" s="31"/>
      <c r="AP944" s="31"/>
      <c r="AQ944" s="31"/>
      <c r="AR944" s="31"/>
    </row>
    <row r="945" spans="1:44" ht="15.75" customHeight="1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  <c r="AE945" s="31"/>
      <c r="AF945" s="31"/>
      <c r="AG945" s="31"/>
      <c r="AH945" s="31"/>
      <c r="AI945" s="31"/>
      <c r="AJ945" s="31"/>
      <c r="AK945" s="31"/>
      <c r="AL945" s="31"/>
      <c r="AM945" s="31"/>
      <c r="AN945" s="31"/>
      <c r="AO945" s="31"/>
      <c r="AP945" s="31"/>
      <c r="AQ945" s="31"/>
      <c r="AR945" s="31"/>
    </row>
    <row r="946" spans="1:44" ht="15.75" customHeight="1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  <c r="AE946" s="31"/>
      <c r="AF946" s="31"/>
      <c r="AG946" s="31"/>
      <c r="AH946" s="31"/>
      <c r="AI946" s="31"/>
      <c r="AJ946" s="31"/>
      <c r="AK946" s="31"/>
      <c r="AL946" s="31"/>
      <c r="AM946" s="31"/>
      <c r="AN946" s="31"/>
      <c r="AO946" s="31"/>
      <c r="AP946" s="31"/>
      <c r="AQ946" s="31"/>
      <c r="AR946" s="31"/>
    </row>
    <row r="947" spans="1:44" ht="15.75" customHeight="1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  <c r="AE947" s="31"/>
      <c r="AF947" s="31"/>
      <c r="AG947" s="31"/>
      <c r="AH947" s="31"/>
      <c r="AI947" s="31"/>
      <c r="AJ947" s="31"/>
      <c r="AK947" s="31"/>
      <c r="AL947" s="31"/>
      <c r="AM947" s="31"/>
      <c r="AN947" s="31"/>
      <c r="AO947" s="31"/>
      <c r="AP947" s="31"/>
      <c r="AQ947" s="31"/>
      <c r="AR947" s="31"/>
    </row>
    <row r="948" spans="1:44" ht="15.75" customHeight="1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  <c r="AE948" s="31"/>
      <c r="AF948" s="31"/>
      <c r="AG948" s="31"/>
      <c r="AH948" s="31"/>
      <c r="AI948" s="31"/>
      <c r="AJ948" s="31"/>
      <c r="AK948" s="31"/>
      <c r="AL948" s="31"/>
      <c r="AM948" s="31"/>
      <c r="AN948" s="31"/>
      <c r="AO948" s="31"/>
      <c r="AP948" s="31"/>
      <c r="AQ948" s="31"/>
      <c r="AR948" s="31"/>
    </row>
    <row r="949" spans="1:44" ht="15.75" customHeight="1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  <c r="AE949" s="31"/>
      <c r="AF949" s="31"/>
      <c r="AG949" s="31"/>
      <c r="AH949" s="31"/>
      <c r="AI949" s="31"/>
      <c r="AJ949" s="31"/>
      <c r="AK949" s="31"/>
      <c r="AL949" s="31"/>
      <c r="AM949" s="31"/>
      <c r="AN949" s="31"/>
      <c r="AO949" s="31"/>
      <c r="AP949" s="31"/>
      <c r="AQ949" s="31"/>
      <c r="AR949" s="31"/>
    </row>
    <row r="950" spans="1:44" ht="15.75" customHeight="1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  <c r="AE950" s="31"/>
      <c r="AF950" s="31"/>
      <c r="AG950" s="31"/>
      <c r="AH950" s="31"/>
      <c r="AI950" s="31"/>
      <c r="AJ950" s="31"/>
      <c r="AK950" s="31"/>
      <c r="AL950" s="31"/>
      <c r="AM950" s="31"/>
      <c r="AN950" s="31"/>
      <c r="AO950" s="31"/>
      <c r="AP950" s="31"/>
      <c r="AQ950" s="31"/>
      <c r="AR950" s="31"/>
    </row>
    <row r="951" spans="1:44" ht="15.75" customHeight="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  <c r="AE951" s="31"/>
      <c r="AF951" s="31"/>
      <c r="AG951" s="31"/>
      <c r="AH951" s="31"/>
      <c r="AI951" s="31"/>
      <c r="AJ951" s="31"/>
      <c r="AK951" s="31"/>
      <c r="AL951" s="31"/>
      <c r="AM951" s="31"/>
      <c r="AN951" s="31"/>
      <c r="AO951" s="31"/>
      <c r="AP951" s="31"/>
      <c r="AQ951" s="31"/>
      <c r="AR951" s="31"/>
    </row>
    <row r="952" spans="1:44" ht="15.75" customHeight="1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  <c r="AE952" s="31"/>
      <c r="AF952" s="31"/>
      <c r="AG952" s="31"/>
      <c r="AH952" s="31"/>
      <c r="AI952" s="31"/>
      <c r="AJ952" s="31"/>
      <c r="AK952" s="31"/>
      <c r="AL952" s="31"/>
      <c r="AM952" s="31"/>
      <c r="AN952" s="31"/>
      <c r="AO952" s="31"/>
      <c r="AP952" s="31"/>
      <c r="AQ952" s="31"/>
      <c r="AR952" s="31"/>
    </row>
    <row r="953" spans="1:44" ht="15.75" customHeight="1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  <c r="AE953" s="31"/>
      <c r="AF953" s="31"/>
      <c r="AG953" s="31"/>
      <c r="AH953" s="31"/>
      <c r="AI953" s="31"/>
      <c r="AJ953" s="31"/>
      <c r="AK953" s="31"/>
      <c r="AL953" s="31"/>
      <c r="AM953" s="31"/>
      <c r="AN953" s="31"/>
      <c r="AO953" s="31"/>
      <c r="AP953" s="31"/>
      <c r="AQ953" s="31"/>
      <c r="AR953" s="31"/>
    </row>
    <row r="954" spans="1:44" ht="15.75" customHeight="1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  <c r="AE954" s="31"/>
      <c r="AF954" s="31"/>
      <c r="AG954" s="31"/>
      <c r="AH954" s="31"/>
      <c r="AI954" s="31"/>
      <c r="AJ954" s="31"/>
      <c r="AK954" s="31"/>
      <c r="AL954" s="31"/>
      <c r="AM954" s="31"/>
      <c r="AN954" s="31"/>
      <c r="AO954" s="31"/>
      <c r="AP954" s="31"/>
      <c r="AQ954" s="31"/>
      <c r="AR954" s="31"/>
    </row>
    <row r="955" spans="1:44" ht="15.75" customHeight="1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  <c r="AE955" s="31"/>
      <c r="AF955" s="31"/>
      <c r="AG955" s="31"/>
      <c r="AH955" s="31"/>
      <c r="AI955" s="31"/>
      <c r="AJ955" s="31"/>
      <c r="AK955" s="31"/>
      <c r="AL955" s="31"/>
      <c r="AM955" s="31"/>
      <c r="AN955" s="31"/>
      <c r="AO955" s="31"/>
      <c r="AP955" s="31"/>
      <c r="AQ955" s="31"/>
      <c r="AR955" s="31"/>
    </row>
    <row r="956" spans="1:44" ht="15.75" customHeight="1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  <c r="AE956" s="31"/>
      <c r="AF956" s="31"/>
      <c r="AG956" s="31"/>
      <c r="AH956" s="31"/>
      <c r="AI956" s="31"/>
      <c r="AJ956" s="31"/>
      <c r="AK956" s="31"/>
      <c r="AL956" s="31"/>
      <c r="AM956" s="31"/>
      <c r="AN956" s="31"/>
      <c r="AO956" s="31"/>
      <c r="AP956" s="31"/>
      <c r="AQ956" s="31"/>
      <c r="AR956" s="31"/>
    </row>
    <row r="957" spans="1:44" ht="15.75" customHeight="1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  <c r="AE957" s="31"/>
      <c r="AF957" s="31"/>
      <c r="AG957" s="31"/>
      <c r="AH957" s="31"/>
      <c r="AI957" s="31"/>
      <c r="AJ957" s="31"/>
      <c r="AK957" s="31"/>
      <c r="AL957" s="31"/>
      <c r="AM957" s="31"/>
      <c r="AN957" s="31"/>
      <c r="AO957" s="31"/>
      <c r="AP957" s="31"/>
      <c r="AQ957" s="31"/>
      <c r="AR957" s="31"/>
    </row>
    <row r="958" spans="1:44" ht="15.75" customHeight="1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  <c r="AE958" s="31"/>
      <c r="AF958" s="31"/>
      <c r="AG958" s="31"/>
      <c r="AH958" s="31"/>
      <c r="AI958" s="31"/>
      <c r="AJ958" s="31"/>
      <c r="AK958" s="31"/>
      <c r="AL958" s="31"/>
      <c r="AM958" s="31"/>
      <c r="AN958" s="31"/>
      <c r="AO958" s="31"/>
      <c r="AP958" s="31"/>
      <c r="AQ958" s="31"/>
      <c r="AR958" s="31"/>
    </row>
    <row r="959" spans="1:44" ht="15.75" customHeight="1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  <c r="AE959" s="31"/>
      <c r="AF959" s="31"/>
      <c r="AG959" s="31"/>
      <c r="AH959" s="31"/>
      <c r="AI959" s="31"/>
      <c r="AJ959" s="31"/>
      <c r="AK959" s="31"/>
      <c r="AL959" s="31"/>
      <c r="AM959" s="31"/>
      <c r="AN959" s="31"/>
      <c r="AO959" s="31"/>
      <c r="AP959" s="31"/>
      <c r="AQ959" s="31"/>
      <c r="AR959" s="31"/>
    </row>
    <row r="960" spans="1:44" ht="15.75" customHeight="1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31"/>
      <c r="AE960" s="31"/>
      <c r="AF960" s="31"/>
      <c r="AG960" s="31"/>
      <c r="AH960" s="31"/>
      <c r="AI960" s="31"/>
      <c r="AJ960" s="31"/>
      <c r="AK960" s="31"/>
      <c r="AL960" s="31"/>
      <c r="AM960" s="31"/>
      <c r="AN960" s="31"/>
      <c r="AO960" s="31"/>
      <c r="AP960" s="31"/>
      <c r="AQ960" s="31"/>
      <c r="AR960" s="31"/>
    </row>
    <row r="961" spans="1:44" ht="15.75" customHeight="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  <c r="AE961" s="31"/>
      <c r="AF961" s="31"/>
      <c r="AG961" s="31"/>
      <c r="AH961" s="31"/>
      <c r="AI961" s="31"/>
      <c r="AJ961" s="31"/>
      <c r="AK961" s="31"/>
      <c r="AL961" s="31"/>
      <c r="AM961" s="31"/>
      <c r="AN961" s="31"/>
      <c r="AO961" s="31"/>
      <c r="AP961" s="31"/>
      <c r="AQ961" s="31"/>
      <c r="AR961" s="31"/>
    </row>
    <row r="962" spans="1:44" ht="15.75" customHeight="1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31"/>
      <c r="AE962" s="31"/>
      <c r="AF962" s="31"/>
      <c r="AG962" s="31"/>
      <c r="AH962" s="31"/>
      <c r="AI962" s="31"/>
      <c r="AJ962" s="31"/>
      <c r="AK962" s="31"/>
      <c r="AL962" s="31"/>
      <c r="AM962" s="31"/>
      <c r="AN962" s="31"/>
      <c r="AO962" s="31"/>
      <c r="AP962" s="31"/>
      <c r="AQ962" s="31"/>
      <c r="AR962" s="31"/>
    </row>
    <row r="963" spans="1:44" ht="15.75" customHeight="1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31"/>
      <c r="AE963" s="31"/>
      <c r="AF963" s="31"/>
      <c r="AG963" s="31"/>
      <c r="AH963" s="31"/>
      <c r="AI963" s="31"/>
      <c r="AJ963" s="31"/>
      <c r="AK963" s="31"/>
      <c r="AL963" s="31"/>
      <c r="AM963" s="31"/>
      <c r="AN963" s="31"/>
      <c r="AO963" s="31"/>
      <c r="AP963" s="31"/>
      <c r="AQ963" s="31"/>
      <c r="AR963" s="31"/>
    </row>
    <row r="964" spans="1:44" ht="15.75" customHeight="1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  <c r="AD964" s="31"/>
      <c r="AE964" s="31"/>
      <c r="AF964" s="31"/>
      <c r="AG964" s="31"/>
      <c r="AH964" s="31"/>
      <c r="AI964" s="31"/>
      <c r="AJ964" s="31"/>
      <c r="AK964" s="31"/>
      <c r="AL964" s="31"/>
      <c r="AM964" s="31"/>
      <c r="AN964" s="31"/>
      <c r="AO964" s="31"/>
      <c r="AP964" s="31"/>
      <c r="AQ964" s="31"/>
      <c r="AR964" s="31"/>
    </row>
    <row r="965" spans="1:44" ht="15.75" customHeight="1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  <c r="AD965" s="31"/>
      <c r="AE965" s="31"/>
      <c r="AF965" s="31"/>
      <c r="AG965" s="31"/>
      <c r="AH965" s="31"/>
      <c r="AI965" s="31"/>
      <c r="AJ965" s="31"/>
      <c r="AK965" s="31"/>
      <c r="AL965" s="31"/>
      <c r="AM965" s="31"/>
      <c r="AN965" s="31"/>
      <c r="AO965" s="31"/>
      <c r="AP965" s="31"/>
      <c r="AQ965" s="31"/>
      <c r="AR965" s="31"/>
    </row>
    <row r="966" spans="1:44" ht="15.75" customHeight="1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  <c r="AD966" s="31"/>
      <c r="AE966" s="31"/>
      <c r="AF966" s="31"/>
      <c r="AG966" s="31"/>
      <c r="AH966" s="31"/>
      <c r="AI966" s="31"/>
      <c r="AJ966" s="31"/>
      <c r="AK966" s="31"/>
      <c r="AL966" s="31"/>
      <c r="AM966" s="31"/>
      <c r="AN966" s="31"/>
      <c r="AO966" s="31"/>
      <c r="AP966" s="31"/>
      <c r="AQ966" s="31"/>
      <c r="AR966" s="31"/>
    </row>
    <row r="967" spans="1:44" ht="15.75" customHeight="1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31"/>
      <c r="AE967" s="31"/>
      <c r="AF967" s="31"/>
      <c r="AG967" s="31"/>
      <c r="AH967" s="31"/>
      <c r="AI967" s="31"/>
      <c r="AJ967" s="31"/>
      <c r="AK967" s="31"/>
      <c r="AL967" s="31"/>
      <c r="AM967" s="31"/>
      <c r="AN967" s="31"/>
      <c r="AO967" s="31"/>
      <c r="AP967" s="31"/>
      <c r="AQ967" s="31"/>
      <c r="AR967" s="31"/>
    </row>
    <row r="968" spans="1:44" ht="15.75" customHeight="1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  <c r="AD968" s="31"/>
      <c r="AE968" s="31"/>
      <c r="AF968" s="31"/>
      <c r="AG968" s="31"/>
      <c r="AH968" s="31"/>
      <c r="AI968" s="31"/>
      <c r="AJ968" s="31"/>
      <c r="AK968" s="31"/>
      <c r="AL968" s="31"/>
      <c r="AM968" s="31"/>
      <c r="AN968" s="31"/>
      <c r="AO968" s="31"/>
      <c r="AP968" s="31"/>
      <c r="AQ968" s="31"/>
      <c r="AR968" s="31"/>
    </row>
    <row r="969" spans="1:44" ht="15.75" customHeight="1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  <c r="AD969" s="31"/>
      <c r="AE969" s="31"/>
      <c r="AF969" s="31"/>
      <c r="AG969" s="31"/>
      <c r="AH969" s="31"/>
      <c r="AI969" s="31"/>
      <c r="AJ969" s="31"/>
      <c r="AK969" s="31"/>
      <c r="AL969" s="31"/>
      <c r="AM969" s="31"/>
      <c r="AN969" s="31"/>
      <c r="AO969" s="31"/>
      <c r="AP969" s="31"/>
      <c r="AQ969" s="31"/>
      <c r="AR969" s="31"/>
    </row>
    <row r="970" spans="1:44" ht="15.75" customHeight="1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  <c r="AD970" s="31"/>
      <c r="AE970" s="31"/>
      <c r="AF970" s="31"/>
      <c r="AG970" s="31"/>
      <c r="AH970" s="31"/>
      <c r="AI970" s="31"/>
      <c r="AJ970" s="31"/>
      <c r="AK970" s="31"/>
      <c r="AL970" s="31"/>
      <c r="AM970" s="31"/>
      <c r="AN970" s="31"/>
      <c r="AO970" s="31"/>
      <c r="AP970" s="31"/>
      <c r="AQ970" s="31"/>
      <c r="AR970" s="31"/>
    </row>
    <row r="971" spans="1:44" ht="15.75" customHeight="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  <c r="AD971" s="31"/>
      <c r="AE971" s="31"/>
      <c r="AF971" s="31"/>
      <c r="AG971" s="31"/>
      <c r="AH971" s="31"/>
      <c r="AI971" s="31"/>
      <c r="AJ971" s="31"/>
      <c r="AK971" s="31"/>
      <c r="AL971" s="31"/>
      <c r="AM971" s="31"/>
      <c r="AN971" s="31"/>
      <c r="AO971" s="31"/>
      <c r="AP971" s="31"/>
      <c r="AQ971" s="31"/>
      <c r="AR971" s="31"/>
    </row>
    <row r="972" spans="1:44" ht="15.75" customHeight="1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  <c r="AD972" s="31"/>
      <c r="AE972" s="31"/>
      <c r="AF972" s="31"/>
      <c r="AG972" s="31"/>
      <c r="AH972" s="31"/>
      <c r="AI972" s="31"/>
      <c r="AJ972" s="31"/>
      <c r="AK972" s="31"/>
      <c r="AL972" s="31"/>
      <c r="AM972" s="31"/>
      <c r="AN972" s="31"/>
      <c r="AO972" s="31"/>
      <c r="AP972" s="31"/>
      <c r="AQ972" s="31"/>
      <c r="AR972" s="31"/>
    </row>
    <row r="973" spans="1:44" ht="15.75" customHeight="1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  <c r="AD973" s="31"/>
      <c r="AE973" s="31"/>
      <c r="AF973" s="31"/>
      <c r="AG973" s="31"/>
      <c r="AH973" s="31"/>
      <c r="AI973" s="31"/>
      <c r="AJ973" s="31"/>
      <c r="AK973" s="31"/>
      <c r="AL973" s="31"/>
      <c r="AM973" s="31"/>
      <c r="AN973" s="31"/>
      <c r="AO973" s="31"/>
      <c r="AP973" s="31"/>
      <c r="AQ973" s="31"/>
      <c r="AR973" s="31"/>
    </row>
    <row r="974" spans="1:44" ht="15.75" customHeight="1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  <c r="AD974" s="31"/>
      <c r="AE974" s="31"/>
      <c r="AF974" s="31"/>
      <c r="AG974" s="31"/>
      <c r="AH974" s="31"/>
      <c r="AI974" s="31"/>
      <c r="AJ974" s="31"/>
      <c r="AK974" s="31"/>
      <c r="AL974" s="31"/>
      <c r="AM974" s="31"/>
      <c r="AN974" s="31"/>
      <c r="AO974" s="31"/>
      <c r="AP974" s="31"/>
      <c r="AQ974" s="31"/>
      <c r="AR974" s="31"/>
    </row>
    <row r="975" spans="1:44" ht="15.75" customHeight="1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  <c r="AD975" s="31"/>
      <c r="AE975" s="31"/>
      <c r="AF975" s="31"/>
      <c r="AG975" s="31"/>
      <c r="AH975" s="31"/>
      <c r="AI975" s="31"/>
      <c r="AJ975" s="31"/>
      <c r="AK975" s="31"/>
      <c r="AL975" s="31"/>
      <c r="AM975" s="31"/>
      <c r="AN975" s="31"/>
      <c r="AO975" s="31"/>
      <c r="AP975" s="31"/>
      <c r="AQ975" s="31"/>
      <c r="AR975" s="31"/>
    </row>
    <row r="976" spans="1:44" ht="15.75" customHeight="1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  <c r="AD976" s="31"/>
      <c r="AE976" s="31"/>
      <c r="AF976" s="31"/>
      <c r="AG976" s="31"/>
      <c r="AH976" s="31"/>
      <c r="AI976" s="31"/>
      <c r="AJ976" s="31"/>
      <c r="AK976" s="31"/>
      <c r="AL976" s="31"/>
      <c r="AM976" s="31"/>
      <c r="AN976" s="31"/>
      <c r="AO976" s="31"/>
      <c r="AP976" s="31"/>
      <c r="AQ976" s="31"/>
      <c r="AR976" s="31"/>
    </row>
    <row r="977" spans="1:44" ht="15.75" customHeight="1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  <c r="AD977" s="31"/>
      <c r="AE977" s="31"/>
      <c r="AF977" s="31"/>
      <c r="AG977" s="31"/>
      <c r="AH977" s="31"/>
      <c r="AI977" s="31"/>
      <c r="AJ977" s="31"/>
      <c r="AK977" s="31"/>
      <c r="AL977" s="31"/>
      <c r="AM977" s="31"/>
      <c r="AN977" s="31"/>
      <c r="AO977" s="31"/>
      <c r="AP977" s="31"/>
      <c r="AQ977" s="31"/>
      <c r="AR977" s="31"/>
    </row>
    <row r="978" spans="1:44" ht="15.75" customHeight="1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  <c r="AD978" s="31"/>
      <c r="AE978" s="31"/>
      <c r="AF978" s="31"/>
      <c r="AG978" s="31"/>
      <c r="AH978" s="31"/>
      <c r="AI978" s="31"/>
      <c r="AJ978" s="31"/>
      <c r="AK978" s="31"/>
      <c r="AL978" s="31"/>
      <c r="AM978" s="31"/>
      <c r="AN978" s="31"/>
      <c r="AO978" s="31"/>
      <c r="AP978" s="31"/>
      <c r="AQ978" s="31"/>
      <c r="AR978" s="31"/>
    </row>
    <row r="979" spans="1:44" ht="15.75" customHeight="1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  <c r="AD979" s="31"/>
      <c r="AE979" s="31"/>
      <c r="AF979" s="31"/>
      <c r="AG979" s="31"/>
      <c r="AH979" s="31"/>
      <c r="AI979" s="31"/>
      <c r="AJ979" s="31"/>
      <c r="AK979" s="31"/>
      <c r="AL979" s="31"/>
      <c r="AM979" s="31"/>
      <c r="AN979" s="31"/>
      <c r="AO979" s="31"/>
      <c r="AP979" s="31"/>
      <c r="AQ979" s="31"/>
      <c r="AR979" s="31"/>
    </row>
    <row r="980" spans="1:44" ht="15.75" customHeight="1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  <c r="AD980" s="31"/>
      <c r="AE980" s="31"/>
      <c r="AF980" s="31"/>
      <c r="AG980" s="31"/>
      <c r="AH980" s="31"/>
      <c r="AI980" s="31"/>
      <c r="AJ980" s="31"/>
      <c r="AK980" s="31"/>
      <c r="AL980" s="31"/>
      <c r="AM980" s="31"/>
      <c r="AN980" s="31"/>
      <c r="AO980" s="31"/>
      <c r="AP980" s="31"/>
      <c r="AQ980" s="31"/>
      <c r="AR980" s="31"/>
    </row>
    <row r="981" spans="1:44" ht="15.75" customHeight="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  <c r="AD981" s="31"/>
      <c r="AE981" s="31"/>
      <c r="AF981" s="31"/>
      <c r="AG981" s="31"/>
      <c r="AH981" s="31"/>
      <c r="AI981" s="31"/>
      <c r="AJ981" s="31"/>
      <c r="AK981" s="31"/>
      <c r="AL981" s="31"/>
      <c r="AM981" s="31"/>
      <c r="AN981" s="31"/>
      <c r="AO981" s="31"/>
      <c r="AP981" s="31"/>
      <c r="AQ981" s="31"/>
      <c r="AR981" s="31"/>
    </row>
    <row r="982" spans="1:44" ht="15.75" customHeight="1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1"/>
      <c r="AD982" s="31"/>
      <c r="AE982" s="31"/>
      <c r="AF982" s="31"/>
      <c r="AG982" s="31"/>
      <c r="AH982" s="31"/>
      <c r="AI982" s="31"/>
      <c r="AJ982" s="31"/>
      <c r="AK982" s="31"/>
      <c r="AL982" s="31"/>
      <c r="AM982" s="31"/>
      <c r="AN982" s="31"/>
      <c r="AO982" s="31"/>
      <c r="AP982" s="31"/>
      <c r="AQ982" s="31"/>
      <c r="AR982" s="31"/>
    </row>
    <row r="983" spans="1:44" ht="15.75" customHeight="1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  <c r="AD983" s="31"/>
      <c r="AE983" s="31"/>
      <c r="AF983" s="31"/>
      <c r="AG983" s="31"/>
      <c r="AH983" s="31"/>
      <c r="AI983" s="31"/>
      <c r="AJ983" s="31"/>
      <c r="AK983" s="31"/>
      <c r="AL983" s="31"/>
      <c r="AM983" s="31"/>
      <c r="AN983" s="31"/>
      <c r="AO983" s="31"/>
      <c r="AP983" s="31"/>
      <c r="AQ983" s="31"/>
      <c r="AR983" s="31"/>
    </row>
    <row r="984" spans="1:44" ht="15.75" customHeight="1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1"/>
      <c r="AD984" s="31"/>
      <c r="AE984" s="31"/>
      <c r="AF984" s="31"/>
      <c r="AG984" s="31"/>
      <c r="AH984" s="31"/>
      <c r="AI984" s="31"/>
      <c r="AJ984" s="31"/>
      <c r="AK984" s="31"/>
      <c r="AL984" s="31"/>
      <c r="AM984" s="31"/>
      <c r="AN984" s="31"/>
      <c r="AO984" s="31"/>
      <c r="AP984" s="31"/>
      <c r="AQ984" s="31"/>
      <c r="AR984" s="31"/>
    </row>
    <row r="985" spans="1:44" ht="15.75" customHeight="1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  <c r="AD985" s="31"/>
      <c r="AE985" s="31"/>
      <c r="AF985" s="31"/>
      <c r="AG985" s="31"/>
      <c r="AH985" s="31"/>
      <c r="AI985" s="31"/>
      <c r="AJ985" s="31"/>
      <c r="AK985" s="31"/>
      <c r="AL985" s="31"/>
      <c r="AM985" s="31"/>
      <c r="AN985" s="31"/>
      <c r="AO985" s="31"/>
      <c r="AP985" s="31"/>
      <c r="AQ985" s="31"/>
      <c r="AR985" s="31"/>
    </row>
    <row r="986" spans="1:44" ht="15.75" customHeight="1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1"/>
      <c r="AD986" s="31"/>
      <c r="AE986" s="31"/>
      <c r="AF986" s="31"/>
      <c r="AG986" s="31"/>
      <c r="AH986" s="31"/>
      <c r="AI986" s="31"/>
      <c r="AJ986" s="31"/>
      <c r="AK986" s="31"/>
      <c r="AL986" s="31"/>
      <c r="AM986" s="31"/>
      <c r="AN986" s="31"/>
      <c r="AO986" s="31"/>
      <c r="AP986" s="31"/>
      <c r="AQ986" s="31"/>
      <c r="AR986" s="31"/>
    </row>
    <row r="987" spans="1:44" ht="15.75" customHeight="1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1"/>
      <c r="AD987" s="31"/>
      <c r="AE987" s="31"/>
      <c r="AF987" s="31"/>
      <c r="AG987" s="31"/>
      <c r="AH987" s="31"/>
      <c r="AI987" s="31"/>
      <c r="AJ987" s="31"/>
      <c r="AK987" s="31"/>
      <c r="AL987" s="31"/>
      <c r="AM987" s="31"/>
      <c r="AN987" s="31"/>
      <c r="AO987" s="31"/>
      <c r="AP987" s="31"/>
      <c r="AQ987" s="31"/>
      <c r="AR987" s="31"/>
    </row>
    <row r="988" spans="1:44" ht="15.75" customHeight="1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1"/>
      <c r="AD988" s="31"/>
      <c r="AE988" s="31"/>
      <c r="AF988" s="31"/>
      <c r="AG988" s="31"/>
      <c r="AH988" s="31"/>
      <c r="AI988" s="31"/>
      <c r="AJ988" s="31"/>
      <c r="AK988" s="31"/>
      <c r="AL988" s="31"/>
      <c r="AM988" s="31"/>
      <c r="AN988" s="31"/>
      <c r="AO988" s="31"/>
      <c r="AP988" s="31"/>
      <c r="AQ988" s="31"/>
      <c r="AR988" s="31"/>
    </row>
    <row r="989" spans="1:44" ht="15.75" customHeight="1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1"/>
      <c r="AD989" s="31"/>
      <c r="AE989" s="31"/>
      <c r="AF989" s="31"/>
      <c r="AG989" s="31"/>
      <c r="AH989" s="31"/>
      <c r="AI989" s="31"/>
      <c r="AJ989" s="31"/>
      <c r="AK989" s="31"/>
      <c r="AL989" s="31"/>
      <c r="AM989" s="31"/>
      <c r="AN989" s="31"/>
      <c r="AO989" s="31"/>
      <c r="AP989" s="31"/>
      <c r="AQ989" s="31"/>
      <c r="AR989" s="31"/>
    </row>
    <row r="990" spans="1:44" ht="15.75" customHeight="1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1"/>
      <c r="AD990" s="31"/>
      <c r="AE990" s="31"/>
      <c r="AF990" s="31"/>
      <c r="AG990" s="31"/>
      <c r="AH990" s="31"/>
      <c r="AI990" s="31"/>
      <c r="AJ990" s="31"/>
      <c r="AK990" s="31"/>
      <c r="AL990" s="31"/>
      <c r="AM990" s="31"/>
      <c r="AN990" s="31"/>
      <c r="AO990" s="31"/>
      <c r="AP990" s="31"/>
      <c r="AQ990" s="31"/>
      <c r="AR990" s="31"/>
    </row>
    <row r="991" spans="1:44" ht="15.75" customHeight="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  <c r="AD991" s="31"/>
      <c r="AE991" s="31"/>
      <c r="AF991" s="31"/>
      <c r="AG991" s="31"/>
      <c r="AH991" s="31"/>
      <c r="AI991" s="31"/>
      <c r="AJ991" s="31"/>
      <c r="AK991" s="31"/>
      <c r="AL991" s="31"/>
      <c r="AM991" s="31"/>
      <c r="AN991" s="31"/>
      <c r="AO991" s="31"/>
      <c r="AP991" s="31"/>
      <c r="AQ991" s="31"/>
      <c r="AR991" s="31"/>
    </row>
    <row r="992" spans="1:44" ht="15.75" customHeight="1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  <c r="AD992" s="31"/>
      <c r="AE992" s="31"/>
      <c r="AF992" s="31"/>
      <c r="AG992" s="31"/>
      <c r="AH992" s="31"/>
      <c r="AI992" s="31"/>
      <c r="AJ992" s="31"/>
      <c r="AK992" s="31"/>
      <c r="AL992" s="31"/>
      <c r="AM992" s="31"/>
      <c r="AN992" s="31"/>
      <c r="AO992" s="31"/>
      <c r="AP992" s="31"/>
      <c r="AQ992" s="31"/>
      <c r="AR992" s="31"/>
    </row>
    <row r="993" spans="1:44" ht="15.75" customHeight="1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1"/>
      <c r="AD993" s="31"/>
      <c r="AE993" s="31"/>
      <c r="AF993" s="31"/>
      <c r="AG993" s="31"/>
      <c r="AH993" s="31"/>
      <c r="AI993" s="31"/>
      <c r="AJ993" s="31"/>
      <c r="AK993" s="31"/>
      <c r="AL993" s="31"/>
      <c r="AM993" s="31"/>
      <c r="AN993" s="31"/>
      <c r="AO993" s="31"/>
      <c r="AP993" s="31"/>
      <c r="AQ993" s="31"/>
      <c r="AR993" s="31"/>
    </row>
    <row r="994" spans="1:44" ht="15.75" customHeight="1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  <c r="AC994" s="31"/>
      <c r="AD994" s="31"/>
      <c r="AE994" s="31"/>
      <c r="AF994" s="31"/>
      <c r="AG994" s="31"/>
      <c r="AH994" s="31"/>
      <c r="AI994" s="31"/>
      <c r="AJ994" s="31"/>
      <c r="AK994" s="31"/>
      <c r="AL994" s="31"/>
      <c r="AM994" s="31"/>
      <c r="AN994" s="31"/>
      <c r="AO994" s="31"/>
      <c r="AP994" s="31"/>
      <c r="AQ994" s="31"/>
      <c r="AR994" s="31"/>
    </row>
    <row r="995" spans="1:44" ht="15.75" customHeight="1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  <c r="AC995" s="31"/>
      <c r="AD995" s="31"/>
      <c r="AE995" s="31"/>
      <c r="AF995" s="31"/>
      <c r="AG995" s="31"/>
      <c r="AH995" s="31"/>
      <c r="AI995" s="31"/>
      <c r="AJ995" s="31"/>
      <c r="AK995" s="31"/>
      <c r="AL995" s="31"/>
      <c r="AM995" s="31"/>
      <c r="AN995" s="31"/>
      <c r="AO995" s="31"/>
      <c r="AP995" s="31"/>
      <c r="AQ995" s="31"/>
      <c r="AR995" s="31"/>
    </row>
    <row r="996" spans="1:44" ht="15.75" customHeight="1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  <c r="AC996" s="31"/>
      <c r="AD996" s="31"/>
      <c r="AE996" s="31"/>
      <c r="AF996" s="31"/>
      <c r="AG996" s="31"/>
      <c r="AH996" s="31"/>
      <c r="AI996" s="31"/>
      <c r="AJ996" s="31"/>
      <c r="AK996" s="31"/>
      <c r="AL996" s="31"/>
      <c r="AM996" s="31"/>
      <c r="AN996" s="31"/>
      <c r="AO996" s="31"/>
      <c r="AP996" s="31"/>
      <c r="AQ996" s="31"/>
      <c r="AR996" s="31"/>
    </row>
    <row r="997" spans="1:44" ht="15.75" customHeight="1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  <c r="AC997" s="31"/>
      <c r="AD997" s="31"/>
      <c r="AE997" s="31"/>
      <c r="AF997" s="31"/>
      <c r="AG997" s="31"/>
      <c r="AH997" s="31"/>
      <c r="AI997" s="31"/>
      <c r="AJ997" s="31"/>
      <c r="AK997" s="31"/>
      <c r="AL997" s="31"/>
      <c r="AM997" s="31"/>
      <c r="AN997" s="31"/>
      <c r="AO997" s="31"/>
      <c r="AP997" s="31"/>
      <c r="AQ997" s="31"/>
      <c r="AR997" s="31"/>
    </row>
    <row r="998" spans="1:44" ht="15.75" customHeight="1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  <c r="AC998" s="31"/>
      <c r="AD998" s="31"/>
      <c r="AE998" s="31"/>
      <c r="AF998" s="31"/>
      <c r="AG998" s="31"/>
      <c r="AH998" s="31"/>
      <c r="AI998" s="31"/>
      <c r="AJ998" s="31"/>
      <c r="AK998" s="31"/>
      <c r="AL998" s="31"/>
      <c r="AM998" s="31"/>
      <c r="AN998" s="31"/>
      <c r="AO998" s="31"/>
      <c r="AP998" s="31"/>
      <c r="AQ998" s="31"/>
      <c r="AR998" s="31"/>
    </row>
    <row r="999" spans="1:44" ht="15.75" customHeight="1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  <c r="AB999" s="31"/>
      <c r="AC999" s="31"/>
      <c r="AD999" s="31"/>
      <c r="AE999" s="31"/>
      <c r="AF999" s="31"/>
      <c r="AG999" s="31"/>
      <c r="AH999" s="31"/>
      <c r="AI999" s="31"/>
      <c r="AJ999" s="31"/>
      <c r="AK999" s="31"/>
      <c r="AL999" s="31"/>
      <c r="AM999" s="31"/>
      <c r="AN999" s="31"/>
      <c r="AO999" s="31"/>
      <c r="AP999" s="31"/>
      <c r="AQ999" s="31"/>
      <c r="AR999" s="31"/>
    </row>
    <row r="1000" spans="1:44" ht="15.75" customHeight="1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  <c r="AB1000" s="31"/>
      <c r="AC1000" s="31"/>
      <c r="AD1000" s="31"/>
      <c r="AE1000" s="31"/>
      <c r="AF1000" s="31"/>
      <c r="AG1000" s="31"/>
      <c r="AH1000" s="31"/>
      <c r="AI1000" s="31"/>
      <c r="AJ1000" s="31"/>
      <c r="AK1000" s="31"/>
      <c r="AL1000" s="31"/>
      <c r="AM1000" s="31"/>
      <c r="AN1000" s="31"/>
      <c r="AO1000" s="31"/>
      <c r="AP1000" s="31"/>
      <c r="AQ1000" s="31"/>
      <c r="AR1000" s="31"/>
    </row>
  </sheetData>
  <autoFilter ref="A3:AK181"/>
  <mergeCells count="5">
    <mergeCell ref="B1:F2"/>
    <mergeCell ref="AM14:AN14"/>
    <mergeCell ref="AM15:AN15"/>
    <mergeCell ref="AM16:AN16"/>
    <mergeCell ref="AM17:AN17"/>
  </mergeCells>
  <conditionalFormatting sqref="AE4:AE148">
    <cfRule type="containsText" dxfId="7" priority="1" operator="containsText" text="Above Pivot">
      <formula>NOT(ISERROR(SEARCH(("Above Pivot"),(AE4))))</formula>
    </cfRule>
  </conditionalFormatting>
  <conditionalFormatting sqref="AE4:AE148">
    <cfRule type="containsText" dxfId="6" priority="2" operator="containsText" text="Below Pivot">
      <formula>NOT(ISERROR(SEARCH(("Below Pivot"),(AE4))))</formula>
    </cfRule>
  </conditionalFormatting>
  <conditionalFormatting sqref="AF4:AF148">
    <cfRule type="containsText" dxfId="5" priority="3" operator="containsText" text="Below D1 Low">
      <formula>NOT(ISERROR(SEARCH(("Below D1 Low"),(AF4))))</formula>
    </cfRule>
  </conditionalFormatting>
  <conditionalFormatting sqref="AF4:AF148">
    <cfRule type="containsText" dxfId="4" priority="4" operator="containsText" text="Above D1 High">
      <formula>NOT(ISERROR(SEARCH(("Above D1 High"),(AF4))))</formula>
    </cfRule>
  </conditionalFormatting>
  <conditionalFormatting sqref="AG4:AG148">
    <cfRule type="containsText" dxfId="3" priority="5" operator="containsText" text="Buy">
      <formula>NOT(ISERROR(SEARCH(("Buy"),(AG4))))</formula>
    </cfRule>
  </conditionalFormatting>
  <conditionalFormatting sqref="AG4:AG148">
    <cfRule type="containsText" dxfId="2" priority="6" operator="containsText" text="Sell">
      <formula>NOT(ISERROR(SEARCH(("Sell"),(AG4))))</formula>
    </cfRule>
  </conditionalFormatting>
  <conditionalFormatting sqref="AK3:AK1000">
    <cfRule type="containsText" dxfId="1" priority="7" operator="containsText" text="BUY">
      <formula>NOT(ISERROR(SEARCH(("BUY"),(AK3))))</formula>
    </cfRule>
  </conditionalFormatting>
  <conditionalFormatting sqref="AK3:AK1000">
    <cfRule type="containsText" dxfId="0" priority="8" operator="containsText" text="SELL">
      <formula>NOT(ISERROR(SEARCH(("SELL"),(AK3))))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4.42578125" defaultRowHeight="15" customHeight="1"/>
  <cols>
    <col min="1" max="1" width="15" customWidth="1"/>
    <col min="2" max="2" width="9.28515625" customWidth="1"/>
    <col min="3" max="3" width="6.7109375" customWidth="1"/>
    <col min="4" max="4" width="10.5703125" customWidth="1"/>
    <col min="5" max="5" width="8.5703125" customWidth="1"/>
    <col min="6" max="8" width="8.140625" customWidth="1"/>
    <col min="9" max="9" width="9.28515625" customWidth="1"/>
    <col min="10" max="10" width="12.42578125" customWidth="1"/>
    <col min="11" max="11" width="7.140625" customWidth="1"/>
    <col min="12" max="12" width="12.5703125" customWidth="1"/>
    <col min="13" max="13" width="7.42578125" customWidth="1"/>
    <col min="14" max="14" width="12.42578125" customWidth="1"/>
    <col min="15" max="15" width="13.7109375" customWidth="1"/>
  </cols>
  <sheetData>
    <row r="1" spans="1:26" ht="15.75" hidden="1" customHeight="1">
      <c r="A1" s="4"/>
      <c r="B1" s="7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hidden="1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hidden="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10" t="s">
        <v>16</v>
      </c>
      <c r="B4" s="10" t="s">
        <v>18</v>
      </c>
      <c r="C4" s="10" t="s">
        <v>12</v>
      </c>
      <c r="D4" s="10" t="s">
        <v>19</v>
      </c>
      <c r="E4" s="10" t="s">
        <v>20</v>
      </c>
      <c r="F4" s="10" t="s">
        <v>21</v>
      </c>
      <c r="G4" s="10" t="s">
        <v>15</v>
      </c>
      <c r="H4" s="11" t="s">
        <v>17</v>
      </c>
      <c r="I4" s="11" t="s">
        <v>22</v>
      </c>
      <c r="J4" s="11" t="s">
        <v>23</v>
      </c>
      <c r="K4" s="11" t="s">
        <v>24</v>
      </c>
      <c r="L4" s="11" t="s">
        <v>25</v>
      </c>
      <c r="M4" s="11" t="s">
        <v>26</v>
      </c>
      <c r="N4" s="11" t="s">
        <v>27</v>
      </c>
      <c r="O4" s="11" t="s">
        <v>28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12" t="s">
        <v>29</v>
      </c>
      <c r="B5" s="14">
        <f ca="1">IFERROR(__xludf.DUMMYFUNCTION("googlefinance(""nse:""&amp;A5,""price"")"),1170.1)</f>
        <v>1170.0999999999999</v>
      </c>
      <c r="C5" s="14">
        <f t="shared" ref="C5:C149" ca="1" si="0">IF(H5=F5,"BUY",IF(F5 =G5,"SELL",))</f>
        <v>0</v>
      </c>
      <c r="D5" s="14">
        <f ca="1">IFERROR(__xludf.DUMMYFUNCTION("googlefinance(""nse:""&amp;A5,""changepct"")"),4.27)</f>
        <v>4.2699999999999996</v>
      </c>
      <c r="E5" s="14">
        <f ca="1">IFERROR(__xludf.DUMMYFUNCTION("googlefinance(""nse:""&amp;A5,""change"")"),47.9)</f>
        <v>47.9</v>
      </c>
      <c r="F5" s="14">
        <f ca="1">IFERROR(__xludf.DUMMYFUNCTION("googlefinance(""nse:""&amp;A5,""priceopen"")"),1139.25)</f>
        <v>1139.25</v>
      </c>
      <c r="G5" s="14">
        <f ca="1">IFERROR(__xludf.DUMMYFUNCTION("googlefinance(""nse:""&amp;A5,""HIGH"")"),1192.8)</f>
        <v>1192.8</v>
      </c>
      <c r="H5" s="14">
        <f ca="1">IFERROR(__xludf.DUMMYFUNCTION("googlefinance(""nse:""&amp;A5,""LOW"")"),1137)</f>
        <v>1137</v>
      </c>
      <c r="I5" s="14" t="str">
        <f ca="1">IFERROR(__xludf.DUMMYFUNCTION("INDEX( GoogleFinance( ""NSE:""&amp;A5 , ""all"" , TODAY()-2) , 2, 5)"),"#N/A")</f>
        <v>#N/A</v>
      </c>
      <c r="J5" s="17">
        <f t="shared" ref="J5:J149" ca="1" si="1">G5-B5</f>
        <v>22.700000000000045</v>
      </c>
      <c r="K5" s="17">
        <f t="shared" ref="K5:K149" ca="1" si="2">G5-H5</f>
        <v>55.799999999999955</v>
      </c>
      <c r="L5" s="17">
        <f t="shared" ref="L5:L149" ca="1" si="3">F5-H5</f>
        <v>2.25</v>
      </c>
      <c r="M5" s="19" t="str">
        <f t="shared" ref="M5:M149" ca="1" si="4">IF(AND(ABS(F5-B5)&lt;B5*0.05/100,(G5-H5)&gt;B5*0.1/100),"DOJI","")</f>
        <v/>
      </c>
      <c r="N5" s="19" t="str">
        <f t="shared" ref="N5:N149" ca="1" si="5">IF(AND(M5="DOJI",L5*1.5&gt;K5),"Dragonfly Doji","")</f>
        <v/>
      </c>
      <c r="O5" s="19" t="str">
        <f t="shared" ref="O5:O149" ca="1" si="6">IF(AND(N5="DOJI",J5*1.5&gt;K5),"Gravestone Doji","")</f>
        <v/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12" t="s">
        <v>30</v>
      </c>
      <c r="B6" s="14">
        <f ca="1">IFERROR(__xludf.DUMMYFUNCTION("googlefinance(""nse:""&amp;A6,""price"")"),141.4)</f>
        <v>141.4</v>
      </c>
      <c r="C6" s="14">
        <f t="shared" ca="1" si="0"/>
        <v>0</v>
      </c>
      <c r="D6" s="14">
        <f ca="1">IFERROR(__xludf.DUMMYFUNCTION("googlefinance(""nse:""&amp;A6,""changepct"")"),1.36)</f>
        <v>1.36</v>
      </c>
      <c r="E6" s="14">
        <f ca="1">IFERROR(__xludf.DUMMYFUNCTION("googlefinance(""nse:""&amp;A6,""change"")"),1.9)</f>
        <v>1.9</v>
      </c>
      <c r="F6" s="14">
        <f ca="1">IFERROR(__xludf.DUMMYFUNCTION("googlefinance(""nse:""&amp;A6,""priceopen"")"),141.45)</f>
        <v>141.44999999999999</v>
      </c>
      <c r="G6" s="14">
        <f ca="1">IFERROR(__xludf.DUMMYFUNCTION("googlefinance(""nse:""&amp;A6,""HIGH"")"),147.45)</f>
        <v>147.44999999999999</v>
      </c>
      <c r="H6" s="14">
        <f ca="1">IFERROR(__xludf.DUMMYFUNCTION("googlefinance(""nse:""&amp;A6,""LOW"")"),140.3)</f>
        <v>140.30000000000001</v>
      </c>
      <c r="I6" s="14" t="str">
        <f ca="1">IFERROR(__xludf.DUMMYFUNCTION("INDEX( GoogleFinance( ""NSE:""&amp;A6 , ""all"" , TODAY()-2) , 2, 5)"),"#N/A")</f>
        <v>#N/A</v>
      </c>
      <c r="J6" s="17">
        <f t="shared" ca="1" si="1"/>
        <v>6.0499999999999829</v>
      </c>
      <c r="K6" s="17">
        <f t="shared" ca="1" si="2"/>
        <v>7.1499999999999773</v>
      </c>
      <c r="L6" s="17">
        <f t="shared" ca="1" si="3"/>
        <v>1.1499999999999773</v>
      </c>
      <c r="M6" s="19" t="str">
        <f t="shared" ca="1" si="4"/>
        <v>DOJI</v>
      </c>
      <c r="N6" s="19" t="str">
        <f t="shared" ca="1" si="5"/>
        <v/>
      </c>
      <c r="O6" s="19" t="str">
        <f t="shared" ca="1" si="6"/>
        <v/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12" t="s">
        <v>31</v>
      </c>
      <c r="B7" s="14">
        <f ca="1">IFERROR(__xludf.DUMMYFUNCTION("googlefinance(""nse:""&amp;A7,""price"")"),290.65)</f>
        <v>290.64999999999998</v>
      </c>
      <c r="C7" s="14">
        <f t="shared" ca="1" si="0"/>
        <v>0</v>
      </c>
      <c r="D7" s="14">
        <f ca="1">IFERROR(__xludf.DUMMYFUNCTION("googlefinance(""nse:""&amp;A7,""changepct"")"),1.04)</f>
        <v>1.04</v>
      </c>
      <c r="E7" s="14">
        <f ca="1">IFERROR(__xludf.DUMMYFUNCTION("googlefinance(""nse:""&amp;A7,""change"")"),3)</f>
        <v>3</v>
      </c>
      <c r="F7" s="14">
        <f ca="1">IFERROR(__xludf.DUMMYFUNCTION("googlefinance(""nse:""&amp;A7,""priceopen"")"),295.05)</f>
        <v>295.05</v>
      </c>
      <c r="G7" s="14">
        <f ca="1">IFERROR(__xludf.DUMMYFUNCTION("googlefinance(""nse:""&amp;A7,""HIGH"")"),296)</f>
        <v>296</v>
      </c>
      <c r="H7" s="14">
        <f ca="1">IFERROR(__xludf.DUMMYFUNCTION("googlefinance(""nse:""&amp;A7,""LOW"")"),285.1)</f>
        <v>285.10000000000002</v>
      </c>
      <c r="I7" s="14" t="str">
        <f ca="1">IFERROR(__xludf.DUMMYFUNCTION("INDEX( GoogleFinance( ""NSE:""&amp;A7 , ""all"" , TODAY()-2) , 2, 5)"),"#N/A")</f>
        <v>#N/A</v>
      </c>
      <c r="J7" s="17">
        <f t="shared" ca="1" si="1"/>
        <v>5.3500000000000227</v>
      </c>
      <c r="K7" s="17">
        <f t="shared" ca="1" si="2"/>
        <v>10.899999999999977</v>
      </c>
      <c r="L7" s="17">
        <f t="shared" ca="1" si="3"/>
        <v>9.9499999999999886</v>
      </c>
      <c r="M7" s="19" t="str">
        <f t="shared" ca="1" si="4"/>
        <v/>
      </c>
      <c r="N7" s="19" t="str">
        <f t="shared" ca="1" si="5"/>
        <v/>
      </c>
      <c r="O7" s="19" t="str">
        <f t="shared" ca="1" si="6"/>
        <v/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12" t="s">
        <v>59</v>
      </c>
      <c r="B8" s="14">
        <f ca="1">IFERROR(__xludf.DUMMYFUNCTION("googlefinance(""nse:""&amp;A8,""price"")"),31.5)</f>
        <v>31.5</v>
      </c>
      <c r="C8" s="14">
        <f t="shared" ca="1" si="0"/>
        <v>0</v>
      </c>
      <c r="D8" s="14">
        <f ca="1">IFERROR(__xludf.DUMMYFUNCTION("googlefinance(""nse:""&amp;A8,""changepct"")"),0.8)</f>
        <v>0.8</v>
      </c>
      <c r="E8" s="14">
        <f ca="1">IFERROR(__xludf.DUMMYFUNCTION("googlefinance(""nse:""&amp;A8,""change"")"),0.25)</f>
        <v>0.25</v>
      </c>
      <c r="F8" s="14">
        <f ca="1">IFERROR(__xludf.DUMMYFUNCTION("googlefinance(""nse:""&amp;A8,""priceopen"")"),31.95)</f>
        <v>31.95</v>
      </c>
      <c r="G8" s="14">
        <f ca="1">IFERROR(__xludf.DUMMYFUNCTION("googlefinance(""nse:""&amp;A8,""HIGH"")"),32.75)</f>
        <v>32.75</v>
      </c>
      <c r="H8" s="14">
        <f ca="1">IFERROR(__xludf.DUMMYFUNCTION("googlefinance(""nse:""&amp;A8,""LOW"")"),31.5)</f>
        <v>31.5</v>
      </c>
      <c r="I8" s="14" t="str">
        <f ca="1">IFERROR(__xludf.DUMMYFUNCTION("INDEX( GoogleFinance( ""NSE:""&amp;A8 , ""all"" , TODAY()-2) , 2, 5)"),"#N/A")</f>
        <v>#N/A</v>
      </c>
      <c r="J8" s="17">
        <f t="shared" ca="1" si="1"/>
        <v>1.25</v>
      </c>
      <c r="K8" s="17">
        <f t="shared" ca="1" si="2"/>
        <v>1.25</v>
      </c>
      <c r="L8" s="17">
        <f t="shared" ca="1" si="3"/>
        <v>0.44999999999999929</v>
      </c>
      <c r="M8" s="19" t="str">
        <f t="shared" ca="1" si="4"/>
        <v/>
      </c>
      <c r="N8" s="19" t="str">
        <f t="shared" ca="1" si="5"/>
        <v/>
      </c>
      <c r="O8" s="19" t="str">
        <f t="shared" ca="1" si="6"/>
        <v/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12" t="s">
        <v>60</v>
      </c>
      <c r="B9" s="14">
        <f ca="1">IFERROR(__xludf.DUMMYFUNCTION("googlefinance(""nse:""&amp;A9,""price"")"),571.95)</f>
        <v>571.95000000000005</v>
      </c>
      <c r="C9" s="14">
        <f t="shared" ca="1" si="0"/>
        <v>0</v>
      </c>
      <c r="D9" s="14">
        <f ca="1">IFERROR(__xludf.DUMMYFUNCTION("googlefinance(""nse:""&amp;A9,""changepct"")"),5.88)</f>
        <v>5.88</v>
      </c>
      <c r="E9" s="14">
        <f ca="1">IFERROR(__xludf.DUMMYFUNCTION("googlefinance(""nse:""&amp;A9,""change"")"),31.75)</f>
        <v>31.75</v>
      </c>
      <c r="F9" s="14">
        <f ca="1">IFERROR(__xludf.DUMMYFUNCTION("googlefinance(""nse:""&amp;A9,""priceopen"")"),550)</f>
        <v>550</v>
      </c>
      <c r="G9" s="14">
        <f ca="1">IFERROR(__xludf.DUMMYFUNCTION("googlefinance(""nse:""&amp;A9,""HIGH"")"),572.25)</f>
        <v>572.25</v>
      </c>
      <c r="H9" s="14">
        <f ca="1">IFERROR(__xludf.DUMMYFUNCTION("googlefinance(""nse:""&amp;A9,""LOW"")"),544)</f>
        <v>544</v>
      </c>
      <c r="I9" s="14" t="str">
        <f ca="1">IFERROR(__xludf.DUMMYFUNCTION("INDEX( GoogleFinance( ""NSE:""&amp;A9 , ""all"" , TODAY()-2) , 2, 5)"),"#N/A")</f>
        <v>#N/A</v>
      </c>
      <c r="J9" s="17">
        <f t="shared" ca="1" si="1"/>
        <v>0.29999999999995453</v>
      </c>
      <c r="K9" s="17">
        <f t="shared" ca="1" si="2"/>
        <v>28.25</v>
      </c>
      <c r="L9" s="17">
        <f t="shared" ca="1" si="3"/>
        <v>6</v>
      </c>
      <c r="M9" s="19" t="str">
        <f t="shared" ca="1" si="4"/>
        <v/>
      </c>
      <c r="N9" s="19" t="str">
        <f t="shared" ca="1" si="5"/>
        <v/>
      </c>
      <c r="O9" s="19" t="str">
        <f t="shared" ca="1" si="6"/>
        <v/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12" t="s">
        <v>61</v>
      </c>
      <c r="B10" s="14">
        <f ca="1">IFERROR(__xludf.DUMMYFUNCTION("googlefinance(""nse:""&amp;A10,""price"")"),172)</f>
        <v>172</v>
      </c>
      <c r="C10" s="14">
        <f t="shared" ca="1" si="0"/>
        <v>0</v>
      </c>
      <c r="D10" s="14">
        <f ca="1">IFERROR(__xludf.DUMMYFUNCTION("googlefinance(""nse:""&amp;A10,""changepct"")"),1.47)</f>
        <v>1.47</v>
      </c>
      <c r="E10" s="14">
        <f ca="1">IFERROR(__xludf.DUMMYFUNCTION("googlefinance(""nse:""&amp;A10,""change"")"),2.5)</f>
        <v>2.5</v>
      </c>
      <c r="F10" s="14">
        <f ca="1">IFERROR(__xludf.DUMMYFUNCTION("googlefinance(""nse:""&amp;A10,""priceopen"")"),171.2)</f>
        <v>171.2</v>
      </c>
      <c r="G10" s="14">
        <f ca="1">IFERROR(__xludf.DUMMYFUNCTION("googlefinance(""nse:""&amp;A10,""HIGH"")"),174.85)</f>
        <v>174.85</v>
      </c>
      <c r="H10" s="14">
        <f ca="1">IFERROR(__xludf.DUMMYFUNCTION("googlefinance(""nse:""&amp;A10,""LOW"")"),170.55)</f>
        <v>170.55</v>
      </c>
      <c r="I10" s="14" t="str">
        <f ca="1">IFERROR(__xludf.DUMMYFUNCTION("INDEX( GoogleFinance( ""NSE:""&amp;A10 , ""all"" , TODAY()-2) , 2, 5)"),"#N/A")</f>
        <v>#N/A</v>
      </c>
      <c r="J10" s="17">
        <f t="shared" ca="1" si="1"/>
        <v>2.8499999999999943</v>
      </c>
      <c r="K10" s="17">
        <f t="shared" ca="1" si="2"/>
        <v>4.2999999999999829</v>
      </c>
      <c r="L10" s="17">
        <f t="shared" ca="1" si="3"/>
        <v>0.64999999999997726</v>
      </c>
      <c r="M10" s="19" t="str">
        <f t="shared" ca="1" si="4"/>
        <v/>
      </c>
      <c r="N10" s="19" t="str">
        <f t="shared" ca="1" si="5"/>
        <v/>
      </c>
      <c r="O10" s="19" t="str">
        <f t="shared" ca="1" si="6"/>
        <v/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12" t="s">
        <v>62</v>
      </c>
      <c r="B11" s="14">
        <f ca="1">IFERROR(__xludf.DUMMYFUNCTION("googlefinance(""nse:""&amp;A11,""price"")"),1395.9)</f>
        <v>1395.9</v>
      </c>
      <c r="C11" s="14" t="str">
        <f t="shared" ca="1" si="0"/>
        <v>SELL</v>
      </c>
      <c r="D11" s="14">
        <f ca="1">IFERROR(__xludf.DUMMYFUNCTION("googlefinance(""nse:""&amp;A11,""changepct"")"),-1.56)</f>
        <v>-1.56</v>
      </c>
      <c r="E11" s="14">
        <f ca="1">IFERROR(__xludf.DUMMYFUNCTION("googlefinance(""nse:""&amp;A11,""change"")"),-22.05)</f>
        <v>-22.05</v>
      </c>
      <c r="F11" s="14">
        <f ca="1">IFERROR(__xludf.DUMMYFUNCTION("googlefinance(""nse:""&amp;A11,""priceopen"")"),1441.9)</f>
        <v>1441.9</v>
      </c>
      <c r="G11" s="14">
        <f ca="1">IFERROR(__xludf.DUMMYFUNCTION("googlefinance(""nse:""&amp;A11,""HIGH"")"),1441.9)</f>
        <v>1441.9</v>
      </c>
      <c r="H11" s="14">
        <f ca="1">IFERROR(__xludf.DUMMYFUNCTION("googlefinance(""nse:""&amp;A11,""LOW"")"),1387.25)</f>
        <v>1387.25</v>
      </c>
      <c r="I11" s="14" t="str">
        <f ca="1">IFERROR(__xludf.DUMMYFUNCTION("INDEX( GoogleFinance( ""NSE:""&amp;A11 , ""all"" , TODAY()-2) , 2, 5)"),"#N/A")</f>
        <v>#N/A</v>
      </c>
      <c r="J11" s="17">
        <f t="shared" ca="1" si="1"/>
        <v>46</v>
      </c>
      <c r="K11" s="17">
        <f t="shared" ca="1" si="2"/>
        <v>54.650000000000091</v>
      </c>
      <c r="L11" s="17">
        <f t="shared" ca="1" si="3"/>
        <v>54.650000000000091</v>
      </c>
      <c r="M11" s="19" t="str">
        <f t="shared" ca="1" si="4"/>
        <v/>
      </c>
      <c r="N11" s="19" t="str">
        <f t="shared" ca="1" si="5"/>
        <v/>
      </c>
      <c r="O11" s="19" t="str">
        <f t="shared" ca="1" si="6"/>
        <v/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12" t="s">
        <v>63</v>
      </c>
      <c r="B12" s="14">
        <f ca="1">IFERROR(__xludf.DUMMYFUNCTION("googlefinance(""nse:""&amp;A12,""price"")"),96.3)</f>
        <v>96.3</v>
      </c>
      <c r="C12" s="14">
        <f t="shared" ca="1" si="0"/>
        <v>0</v>
      </c>
      <c r="D12" s="14">
        <f ca="1">IFERROR(__xludf.DUMMYFUNCTION("googlefinance(""nse:""&amp;A12,""changepct"")"),0.68)</f>
        <v>0.68</v>
      </c>
      <c r="E12" s="14">
        <f ca="1">IFERROR(__xludf.DUMMYFUNCTION("googlefinance(""nse:""&amp;A12,""change"")"),0.65)</f>
        <v>0.65</v>
      </c>
      <c r="F12" s="14">
        <f ca="1">IFERROR(__xludf.DUMMYFUNCTION("googlefinance(""nse:""&amp;A12,""priceopen"")"),97.5)</f>
        <v>97.5</v>
      </c>
      <c r="G12" s="14">
        <f ca="1">IFERROR(__xludf.DUMMYFUNCTION("googlefinance(""nse:""&amp;A12,""HIGH"")"),103.3)</f>
        <v>103.3</v>
      </c>
      <c r="H12" s="14">
        <f ca="1">IFERROR(__xludf.DUMMYFUNCTION("googlefinance(""nse:""&amp;A12,""LOW"")"),95.75)</f>
        <v>95.75</v>
      </c>
      <c r="I12" s="14" t="str">
        <f ca="1">IFERROR(__xludf.DUMMYFUNCTION("INDEX( GoogleFinance( ""NSE:""&amp;A12 , ""all"" , TODAY()-2) , 2, 5)"),"#N/A")</f>
        <v>#N/A</v>
      </c>
      <c r="J12" s="17">
        <f t="shared" ca="1" si="1"/>
        <v>7</v>
      </c>
      <c r="K12" s="17">
        <f t="shared" ca="1" si="2"/>
        <v>7.5499999999999972</v>
      </c>
      <c r="L12" s="17">
        <f t="shared" ca="1" si="3"/>
        <v>1.75</v>
      </c>
      <c r="M12" s="19" t="str">
        <f t="shared" ca="1" si="4"/>
        <v/>
      </c>
      <c r="N12" s="19" t="str">
        <f t="shared" ca="1" si="5"/>
        <v/>
      </c>
      <c r="O12" s="19" t="str">
        <f t="shared" ca="1" si="6"/>
        <v/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12" t="s">
        <v>64</v>
      </c>
      <c r="B13" s="14">
        <f ca="1">IFERROR(__xludf.DUMMYFUNCTION("googlefinance(""nse:""&amp;A13,""price"")"),52.3)</f>
        <v>52.3</v>
      </c>
      <c r="C13" s="14" t="str">
        <f t="shared" ca="1" si="0"/>
        <v>BUY</v>
      </c>
      <c r="D13" s="14">
        <f ca="1">IFERROR(__xludf.DUMMYFUNCTION("googlefinance(""nse:""&amp;A13,""changepct"")"),9.07)</f>
        <v>9.07</v>
      </c>
      <c r="E13" s="14">
        <f ca="1">IFERROR(__xludf.DUMMYFUNCTION("googlefinance(""nse:""&amp;A13,""change"")"),4.35)</f>
        <v>4.3499999999999996</v>
      </c>
      <c r="F13" s="14">
        <f ca="1">IFERROR(__xludf.DUMMYFUNCTION("googlefinance(""nse:""&amp;A13,""priceopen"")"),49.1)</f>
        <v>49.1</v>
      </c>
      <c r="G13" s="14">
        <f ca="1">IFERROR(__xludf.DUMMYFUNCTION("googlefinance(""nse:""&amp;A13,""HIGH"")"),53.2)</f>
        <v>53.2</v>
      </c>
      <c r="H13" s="14">
        <f ca="1">IFERROR(__xludf.DUMMYFUNCTION("googlefinance(""nse:""&amp;A13,""LOW"")"),49.1)</f>
        <v>49.1</v>
      </c>
      <c r="I13" s="14" t="str">
        <f ca="1">IFERROR(__xludf.DUMMYFUNCTION("INDEX( GoogleFinance( ""NSE:""&amp;A13 , ""all"" , TODAY()-2) , 2, 5)"),"#N/A")</f>
        <v>#N/A</v>
      </c>
      <c r="J13" s="17">
        <f t="shared" ca="1" si="1"/>
        <v>0.90000000000000568</v>
      </c>
      <c r="K13" s="17">
        <f t="shared" ca="1" si="2"/>
        <v>4.1000000000000014</v>
      </c>
      <c r="L13" s="17">
        <f t="shared" ca="1" si="3"/>
        <v>0</v>
      </c>
      <c r="M13" s="19" t="str">
        <f t="shared" ca="1" si="4"/>
        <v/>
      </c>
      <c r="N13" s="19" t="str">
        <f t="shared" ca="1" si="5"/>
        <v/>
      </c>
      <c r="O13" s="19" t="str">
        <f t="shared" ca="1" si="6"/>
        <v/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>
      <c r="A14" s="12" t="s">
        <v>65</v>
      </c>
      <c r="B14" s="14">
        <f ca="1">IFERROR(__xludf.DUMMYFUNCTION("googlefinance(""nse:""&amp;A14,""price"")"),1762)</f>
        <v>1762</v>
      </c>
      <c r="C14" s="14">
        <f t="shared" ca="1" si="0"/>
        <v>0</v>
      </c>
      <c r="D14" s="14">
        <f ca="1">IFERROR(__xludf.DUMMYFUNCTION("googlefinance(""nse:""&amp;A14,""changepct"")"),-0.31)</f>
        <v>-0.31</v>
      </c>
      <c r="E14" s="14">
        <f ca="1">IFERROR(__xludf.DUMMYFUNCTION("googlefinance(""nse:""&amp;A14,""change"")"),-5.5)</f>
        <v>-5.5</v>
      </c>
      <c r="F14" s="14">
        <f ca="1">IFERROR(__xludf.DUMMYFUNCTION("googlefinance(""nse:""&amp;A14,""priceopen"")"),1795)</f>
        <v>1795</v>
      </c>
      <c r="G14" s="14">
        <f ca="1">IFERROR(__xludf.DUMMYFUNCTION("googlefinance(""nse:""&amp;A14,""HIGH"")"),1797)</f>
        <v>1797</v>
      </c>
      <c r="H14" s="14">
        <f ca="1">IFERROR(__xludf.DUMMYFUNCTION("googlefinance(""nse:""&amp;A14,""LOW"")"),1741)</f>
        <v>1741</v>
      </c>
      <c r="I14" s="14" t="str">
        <f ca="1">IFERROR(__xludf.DUMMYFUNCTION("INDEX( GoogleFinance( ""NSE:""&amp;A14 , ""all"" , TODAY()-2) , 2, 5)"),"#N/A")</f>
        <v>#N/A</v>
      </c>
      <c r="J14" s="17">
        <f t="shared" ca="1" si="1"/>
        <v>35</v>
      </c>
      <c r="K14" s="17">
        <f t="shared" ca="1" si="2"/>
        <v>56</v>
      </c>
      <c r="L14" s="17">
        <f t="shared" ca="1" si="3"/>
        <v>54</v>
      </c>
      <c r="M14" s="19" t="str">
        <f t="shared" ca="1" si="4"/>
        <v/>
      </c>
      <c r="N14" s="19" t="str">
        <f t="shared" ca="1" si="5"/>
        <v/>
      </c>
      <c r="O14" s="19" t="str">
        <f t="shared" ca="1" si="6"/>
        <v/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12" t="s">
        <v>66</v>
      </c>
      <c r="B15" s="14">
        <f ca="1">IFERROR(__xludf.DUMMYFUNCTION("googlefinance(""nse:""&amp;A15,""price"")"),625.8)</f>
        <v>625.79999999999995</v>
      </c>
      <c r="C15" s="14">
        <f t="shared" ca="1" si="0"/>
        <v>0</v>
      </c>
      <c r="D15" s="14">
        <f ca="1">IFERROR(__xludf.DUMMYFUNCTION("googlefinance(""nse:""&amp;A15,""changepct"")"),0.07)</f>
        <v>7.0000000000000007E-2</v>
      </c>
      <c r="E15" s="14">
        <f ca="1">IFERROR(__xludf.DUMMYFUNCTION("googlefinance(""nse:""&amp;A15,""change"")"),0.45)</f>
        <v>0.45</v>
      </c>
      <c r="F15" s="14">
        <f ca="1">IFERROR(__xludf.DUMMYFUNCTION("googlefinance(""nse:""&amp;A15,""priceopen"")"),633.05)</f>
        <v>633.04999999999995</v>
      </c>
      <c r="G15" s="14">
        <f ca="1">IFERROR(__xludf.DUMMYFUNCTION("googlefinance(""nse:""&amp;A15,""HIGH"")"),641)</f>
        <v>641</v>
      </c>
      <c r="H15" s="14">
        <f ca="1">IFERROR(__xludf.DUMMYFUNCTION("googlefinance(""nse:""&amp;A15,""LOW"")"),609.05)</f>
        <v>609.04999999999995</v>
      </c>
      <c r="I15" s="14" t="str">
        <f ca="1">IFERROR(__xludf.DUMMYFUNCTION("INDEX( GoogleFinance( ""NSE:""&amp;A15 , ""all"" , TODAY()-2) , 2, 5)"),"#N/A")</f>
        <v>#N/A</v>
      </c>
      <c r="J15" s="17">
        <f t="shared" ca="1" si="1"/>
        <v>15.200000000000045</v>
      </c>
      <c r="K15" s="17">
        <f t="shared" ca="1" si="2"/>
        <v>31.950000000000045</v>
      </c>
      <c r="L15" s="17">
        <f t="shared" ca="1" si="3"/>
        <v>24</v>
      </c>
      <c r="M15" s="19" t="str">
        <f t="shared" ca="1" si="4"/>
        <v/>
      </c>
      <c r="N15" s="19" t="str">
        <f t="shared" ca="1" si="5"/>
        <v/>
      </c>
      <c r="O15" s="19" t="str">
        <f t="shared" ca="1" si="6"/>
        <v/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12" t="s">
        <v>67</v>
      </c>
      <c r="B16" s="14">
        <f ca="1">IFERROR(__xludf.DUMMYFUNCTION("googlefinance(""nse:""&amp;A16,""price"")"),444.05)</f>
        <v>444.05</v>
      </c>
      <c r="C16" s="14">
        <f t="shared" ca="1" si="0"/>
        <v>0</v>
      </c>
      <c r="D16" s="14">
        <f ca="1">IFERROR(__xludf.DUMMYFUNCTION("googlefinance(""nse:""&amp;A16,""changepct"")"),1.13)</f>
        <v>1.1299999999999999</v>
      </c>
      <c r="E16" s="14">
        <f ca="1">IFERROR(__xludf.DUMMYFUNCTION("googlefinance(""nse:""&amp;A16,""change"")"),4.95)</f>
        <v>4.95</v>
      </c>
      <c r="F16" s="14">
        <f ca="1">IFERROR(__xludf.DUMMYFUNCTION("googlefinance(""nse:""&amp;A16,""priceopen"")"),451)</f>
        <v>451</v>
      </c>
      <c r="G16" s="14">
        <f ca="1">IFERROR(__xludf.DUMMYFUNCTION("googlefinance(""nse:""&amp;A16,""HIGH"")"),461.9)</f>
        <v>461.9</v>
      </c>
      <c r="H16" s="14">
        <f ca="1">IFERROR(__xludf.DUMMYFUNCTION("googlefinance(""nse:""&amp;A16,""LOW"")"),440.4)</f>
        <v>440.4</v>
      </c>
      <c r="I16" s="14" t="str">
        <f ca="1">IFERROR(__xludf.DUMMYFUNCTION("INDEX( GoogleFinance( ""NSE:""&amp;A16 , ""all"" , TODAY()-2) , 2, 5)"),"#N/A")</f>
        <v>#N/A</v>
      </c>
      <c r="J16" s="17">
        <f t="shared" ca="1" si="1"/>
        <v>17.849999999999966</v>
      </c>
      <c r="K16" s="17">
        <f t="shared" ca="1" si="2"/>
        <v>21.5</v>
      </c>
      <c r="L16" s="17">
        <f t="shared" ca="1" si="3"/>
        <v>10.600000000000023</v>
      </c>
      <c r="M16" s="19" t="str">
        <f t="shared" ca="1" si="4"/>
        <v/>
      </c>
      <c r="N16" s="19" t="str">
        <f t="shared" ca="1" si="5"/>
        <v/>
      </c>
      <c r="O16" s="19" t="str">
        <f t="shared" ca="1" si="6"/>
        <v/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12" t="s">
        <v>68</v>
      </c>
      <c r="B17" s="14">
        <f ca="1">IFERROR(__xludf.DUMMYFUNCTION("googlefinance(""nse:""&amp;A17,""price"")"),2623.8)</f>
        <v>2623.8</v>
      </c>
      <c r="C17" s="14">
        <f t="shared" ca="1" si="0"/>
        <v>0</v>
      </c>
      <c r="D17" s="14">
        <f ca="1">IFERROR(__xludf.DUMMYFUNCTION("googlefinance(""nse:""&amp;A17,""changepct"")"),4.99)</f>
        <v>4.99</v>
      </c>
      <c r="E17" s="14">
        <f ca="1">IFERROR(__xludf.DUMMYFUNCTION("googlefinance(""nse:""&amp;A17,""change"")"),124.65)</f>
        <v>124.65</v>
      </c>
      <c r="F17" s="14">
        <f ca="1">IFERROR(__xludf.DUMMYFUNCTION("googlefinance(""nse:""&amp;A17,""priceopen"")"),2525.1)</f>
        <v>2525.1</v>
      </c>
      <c r="G17" s="14">
        <f ca="1">IFERROR(__xludf.DUMMYFUNCTION("googlefinance(""nse:""&amp;A17,""HIGH"")"),2654)</f>
        <v>2654</v>
      </c>
      <c r="H17" s="14">
        <f ca="1">IFERROR(__xludf.DUMMYFUNCTION("googlefinance(""nse:""&amp;A17,""LOW"")"),2510.15)</f>
        <v>2510.15</v>
      </c>
      <c r="I17" s="14" t="str">
        <f ca="1">IFERROR(__xludf.DUMMYFUNCTION("INDEX( GoogleFinance( ""NSE:""&amp;A17 , ""all"" , TODAY()-2) , 2, 5)"),"#N/A")</f>
        <v>#N/A</v>
      </c>
      <c r="J17" s="17">
        <f t="shared" ca="1" si="1"/>
        <v>30.199999999999818</v>
      </c>
      <c r="K17" s="17">
        <f t="shared" ca="1" si="2"/>
        <v>143.84999999999991</v>
      </c>
      <c r="L17" s="17">
        <f t="shared" ca="1" si="3"/>
        <v>14.949999999999818</v>
      </c>
      <c r="M17" s="19" t="str">
        <f t="shared" ca="1" si="4"/>
        <v/>
      </c>
      <c r="N17" s="19" t="str">
        <f t="shared" ca="1" si="5"/>
        <v/>
      </c>
      <c r="O17" s="19" t="str">
        <f t="shared" ca="1" si="6"/>
        <v/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12" t="s">
        <v>69</v>
      </c>
      <c r="B18" s="14">
        <f ca="1">IFERROR(__xludf.DUMMYFUNCTION("googlefinance(""nse:""&amp;A18,""price"")"),5090)</f>
        <v>5090</v>
      </c>
      <c r="C18" s="14">
        <f t="shared" ca="1" si="0"/>
        <v>0</v>
      </c>
      <c r="D18" s="14">
        <f ca="1">IFERROR(__xludf.DUMMYFUNCTION("googlefinance(""nse:""&amp;A18,""changepct"")"),1.83)</f>
        <v>1.83</v>
      </c>
      <c r="E18" s="14">
        <f ca="1">IFERROR(__xludf.DUMMYFUNCTION("googlefinance(""nse:""&amp;A18,""change"")"),91.35)</f>
        <v>91.35</v>
      </c>
      <c r="F18" s="14">
        <f ca="1">IFERROR(__xludf.DUMMYFUNCTION("googlefinance(""nse:""&amp;A18,""priceopen"")"),5108)</f>
        <v>5108</v>
      </c>
      <c r="G18" s="14">
        <f ca="1">IFERROR(__xludf.DUMMYFUNCTION("googlefinance(""nse:""&amp;A18,""HIGH"")"),5175)</f>
        <v>5175</v>
      </c>
      <c r="H18" s="14">
        <f ca="1">IFERROR(__xludf.DUMMYFUNCTION("googlefinance(""nse:""&amp;A18,""LOW"")"),5050.85)</f>
        <v>5050.8500000000004</v>
      </c>
      <c r="I18" s="14" t="str">
        <f ca="1">IFERROR(__xludf.DUMMYFUNCTION("INDEX( GoogleFinance( ""NSE:""&amp;A18 , ""all"" , TODAY()-2) , 2, 5)"),"#N/A")</f>
        <v>#N/A</v>
      </c>
      <c r="J18" s="17">
        <f t="shared" ca="1" si="1"/>
        <v>85</v>
      </c>
      <c r="K18" s="17">
        <f t="shared" ca="1" si="2"/>
        <v>124.14999999999964</v>
      </c>
      <c r="L18" s="17">
        <f t="shared" ca="1" si="3"/>
        <v>57.149999999999636</v>
      </c>
      <c r="M18" s="19" t="str">
        <f t="shared" ca="1" si="4"/>
        <v/>
      </c>
      <c r="N18" s="19" t="str">
        <f t="shared" ca="1" si="5"/>
        <v/>
      </c>
      <c r="O18" s="19" t="str">
        <f t="shared" ca="1" si="6"/>
        <v/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12" t="s">
        <v>70</v>
      </c>
      <c r="B19" s="14">
        <f ca="1">IFERROR(__xludf.DUMMYFUNCTION("googlefinance(""nse:""&amp;A19,""price"")"),2318)</f>
        <v>2318</v>
      </c>
      <c r="C19" s="14">
        <f t="shared" ca="1" si="0"/>
        <v>0</v>
      </c>
      <c r="D19" s="14">
        <f ca="1">IFERROR(__xludf.DUMMYFUNCTION("googlefinance(""nse:""&amp;A19,""changepct"")"),0.94)</f>
        <v>0.94</v>
      </c>
      <c r="E19" s="14">
        <f ca="1">IFERROR(__xludf.DUMMYFUNCTION("googlefinance(""nse:""&amp;A19,""change"")"),21.55)</f>
        <v>21.55</v>
      </c>
      <c r="F19" s="14">
        <f ca="1">IFERROR(__xludf.DUMMYFUNCTION("googlefinance(""nse:""&amp;A19,""priceopen"")"),2365.05)</f>
        <v>2365.0500000000002</v>
      </c>
      <c r="G19" s="14">
        <f ca="1">IFERROR(__xludf.DUMMYFUNCTION("googlefinance(""nse:""&amp;A19,""HIGH"")"),2418.95)</f>
        <v>2418.9499999999998</v>
      </c>
      <c r="H19" s="14">
        <f ca="1">IFERROR(__xludf.DUMMYFUNCTION("googlefinance(""nse:""&amp;A19,""LOW"")"),2291.15)</f>
        <v>2291.15</v>
      </c>
      <c r="I19" s="14" t="str">
        <f ca="1">IFERROR(__xludf.DUMMYFUNCTION("INDEX( GoogleFinance( ""NSE:""&amp;A19 , ""all"" , TODAY()-2) , 2, 5)"),"#N/A")</f>
        <v>#N/A</v>
      </c>
      <c r="J19" s="17">
        <f t="shared" ca="1" si="1"/>
        <v>100.94999999999982</v>
      </c>
      <c r="K19" s="17">
        <f t="shared" ca="1" si="2"/>
        <v>127.79999999999973</v>
      </c>
      <c r="L19" s="17">
        <f t="shared" ca="1" si="3"/>
        <v>73.900000000000091</v>
      </c>
      <c r="M19" s="19" t="str">
        <f t="shared" ca="1" si="4"/>
        <v/>
      </c>
      <c r="N19" s="19" t="str">
        <f t="shared" ca="1" si="5"/>
        <v/>
      </c>
      <c r="O19" s="19" t="str">
        <f t="shared" ca="1" si="6"/>
        <v/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12" t="s">
        <v>71</v>
      </c>
      <c r="B20" s="14">
        <f ca="1">IFERROR(__xludf.DUMMYFUNCTION("googlefinance(""nse:""&amp;A20,""price"")"),930)</f>
        <v>930</v>
      </c>
      <c r="C20" s="14">
        <f t="shared" ca="1" si="0"/>
        <v>0</v>
      </c>
      <c r="D20" s="14">
        <f ca="1">IFERROR(__xludf.DUMMYFUNCTION("googlefinance(""nse:""&amp;A20,""changepct"")"),-3.16)</f>
        <v>-3.16</v>
      </c>
      <c r="E20" s="14">
        <f ca="1">IFERROR(__xludf.DUMMYFUNCTION("googlefinance(""nse:""&amp;A20,""change"")"),-30.3)</f>
        <v>-30.3</v>
      </c>
      <c r="F20" s="14">
        <f ca="1">IFERROR(__xludf.DUMMYFUNCTION("googlefinance(""nse:""&amp;A20,""priceopen"")"),990)</f>
        <v>990</v>
      </c>
      <c r="G20" s="14">
        <f ca="1">IFERROR(__xludf.DUMMYFUNCTION("googlefinance(""nse:""&amp;A20,""HIGH"")"),1006.9)</f>
        <v>1006.9</v>
      </c>
      <c r="H20" s="14">
        <f ca="1">IFERROR(__xludf.DUMMYFUNCTION("googlefinance(""nse:""&amp;A20,""LOW"")"),926)</f>
        <v>926</v>
      </c>
      <c r="I20" s="14" t="str">
        <f ca="1">IFERROR(__xludf.DUMMYFUNCTION("INDEX( GoogleFinance( ""NSE:""&amp;A20 , ""all"" , TODAY()-2) , 2, 5)"),"#N/A")</f>
        <v>#N/A</v>
      </c>
      <c r="J20" s="17">
        <f t="shared" ca="1" si="1"/>
        <v>76.899999999999977</v>
      </c>
      <c r="K20" s="17">
        <f t="shared" ca="1" si="2"/>
        <v>80.899999999999977</v>
      </c>
      <c r="L20" s="17">
        <f t="shared" ca="1" si="3"/>
        <v>64</v>
      </c>
      <c r="M20" s="19" t="str">
        <f t="shared" ca="1" si="4"/>
        <v/>
      </c>
      <c r="N20" s="19" t="str">
        <f t="shared" ca="1" si="5"/>
        <v/>
      </c>
      <c r="O20" s="19" t="str">
        <f t="shared" ca="1" si="6"/>
        <v/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12" t="s">
        <v>72</v>
      </c>
      <c r="B21" s="14">
        <f ca="1">IFERROR(__xludf.DUMMYFUNCTION("googlefinance(""nse:""&amp;A21,""price"")"),263.7)</f>
        <v>263.7</v>
      </c>
      <c r="C21" s="14" t="str">
        <f t="shared" ca="1" si="0"/>
        <v>BUY</v>
      </c>
      <c r="D21" s="14">
        <f ca="1">IFERROR(__xludf.DUMMYFUNCTION("googlefinance(""nse:""&amp;A21,""changepct"")"),12.48)</f>
        <v>12.48</v>
      </c>
      <c r="E21" s="14">
        <f ca="1">IFERROR(__xludf.DUMMYFUNCTION("googlefinance(""nse:""&amp;A21,""change"")"),29.25)</f>
        <v>29.25</v>
      </c>
      <c r="F21" s="14">
        <f ca="1">IFERROR(__xludf.DUMMYFUNCTION("googlefinance(""nse:""&amp;A21,""priceopen"")"),245.05)</f>
        <v>245.05</v>
      </c>
      <c r="G21" s="14">
        <f ca="1">IFERROR(__xludf.DUMMYFUNCTION("googlefinance(""nse:""&amp;A21,""HIGH"")"),266.45)</f>
        <v>266.45</v>
      </c>
      <c r="H21" s="14">
        <f ca="1">IFERROR(__xludf.DUMMYFUNCTION("googlefinance(""nse:""&amp;A21,""LOW"")"),245.05)</f>
        <v>245.05</v>
      </c>
      <c r="I21" s="14" t="str">
        <f ca="1">IFERROR(__xludf.DUMMYFUNCTION("INDEX( GoogleFinance( ""NSE:""&amp;A21 , ""all"" , TODAY()-2) , 2, 5)"),"#N/A")</f>
        <v>#N/A</v>
      </c>
      <c r="J21" s="17">
        <f t="shared" ca="1" si="1"/>
        <v>2.75</v>
      </c>
      <c r="K21" s="17">
        <f t="shared" ca="1" si="2"/>
        <v>21.399999999999977</v>
      </c>
      <c r="L21" s="17">
        <f t="shared" ca="1" si="3"/>
        <v>0</v>
      </c>
      <c r="M21" s="19" t="str">
        <f t="shared" ca="1" si="4"/>
        <v/>
      </c>
      <c r="N21" s="19" t="str">
        <f t="shared" ca="1" si="5"/>
        <v/>
      </c>
      <c r="O21" s="19" t="str">
        <f t="shared" ca="1" si="6"/>
        <v/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12" t="s">
        <v>73</v>
      </c>
      <c r="B22" s="14">
        <f ca="1">IFERROR(__xludf.DUMMYFUNCTION("googlefinance(""nse:""&amp;A22,""price"")"),49.25)</f>
        <v>49.25</v>
      </c>
      <c r="C22" s="14">
        <f t="shared" ca="1" si="0"/>
        <v>0</v>
      </c>
      <c r="D22" s="14">
        <f ca="1">IFERROR(__xludf.DUMMYFUNCTION("googlefinance(""nse:""&amp;A22,""changepct"")"),2.39)</f>
        <v>2.39</v>
      </c>
      <c r="E22" s="14">
        <f ca="1">IFERROR(__xludf.DUMMYFUNCTION("googlefinance(""nse:""&amp;A22,""change"")"),1.15)</f>
        <v>1.1499999999999999</v>
      </c>
      <c r="F22" s="14">
        <f ca="1">IFERROR(__xludf.DUMMYFUNCTION("googlefinance(""nse:""&amp;A22,""priceopen"")"),49)</f>
        <v>49</v>
      </c>
      <c r="G22" s="14">
        <f ca="1">IFERROR(__xludf.DUMMYFUNCTION("googlefinance(""nse:""&amp;A22,""HIGH"")"),51.25)</f>
        <v>51.25</v>
      </c>
      <c r="H22" s="14">
        <f ca="1">IFERROR(__xludf.DUMMYFUNCTION("googlefinance(""nse:""&amp;A22,""LOW"")"),48.4)</f>
        <v>48.4</v>
      </c>
      <c r="I22" s="14" t="str">
        <f ca="1">IFERROR(__xludf.DUMMYFUNCTION("INDEX( GoogleFinance( ""NSE:""&amp;A22 , ""all"" , TODAY()-2) , 2, 5)"),"#N/A")</f>
        <v>#N/A</v>
      </c>
      <c r="J22" s="17">
        <f t="shared" ca="1" si="1"/>
        <v>2</v>
      </c>
      <c r="K22" s="17">
        <f t="shared" ca="1" si="2"/>
        <v>2.8500000000000014</v>
      </c>
      <c r="L22" s="17">
        <f t="shared" ca="1" si="3"/>
        <v>0.60000000000000142</v>
      </c>
      <c r="M22" s="19" t="str">
        <f t="shared" ca="1" si="4"/>
        <v/>
      </c>
      <c r="N22" s="19" t="str">
        <f t="shared" ca="1" si="5"/>
        <v/>
      </c>
      <c r="O22" s="19" t="str">
        <f t="shared" ca="1" si="6"/>
        <v/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12" t="s">
        <v>74</v>
      </c>
      <c r="B23" s="14">
        <f ca="1">IFERROR(__xludf.DUMMYFUNCTION("googlefinance(""nse:""&amp;A23,""price"")"),1382)</f>
        <v>1382</v>
      </c>
      <c r="C23" s="14">
        <f t="shared" ca="1" si="0"/>
        <v>0</v>
      </c>
      <c r="D23" s="14">
        <f ca="1">IFERROR(__xludf.DUMMYFUNCTION("googlefinance(""nse:""&amp;A23,""changepct"")"),3.28)</f>
        <v>3.28</v>
      </c>
      <c r="E23" s="14">
        <f ca="1">IFERROR(__xludf.DUMMYFUNCTION("googlefinance(""nse:""&amp;A23,""change"")"),43.85)</f>
        <v>43.85</v>
      </c>
      <c r="F23" s="14">
        <f ca="1">IFERROR(__xludf.DUMMYFUNCTION("googlefinance(""nse:""&amp;A23,""priceopen"")"),1355)</f>
        <v>1355</v>
      </c>
      <c r="G23" s="14">
        <f ca="1">IFERROR(__xludf.DUMMYFUNCTION("googlefinance(""nse:""&amp;A23,""HIGH"")"),1382)</f>
        <v>1382</v>
      </c>
      <c r="H23" s="14">
        <f ca="1">IFERROR(__xludf.DUMMYFUNCTION("googlefinance(""nse:""&amp;A23,""LOW"")"),1320)</f>
        <v>1320</v>
      </c>
      <c r="I23" s="14" t="str">
        <f ca="1">IFERROR(__xludf.DUMMYFUNCTION("INDEX( GoogleFinance( ""NSE:""&amp;A23 , ""all"" , TODAY()-2) , 2, 5)"),"#N/A")</f>
        <v>#N/A</v>
      </c>
      <c r="J23" s="17">
        <f t="shared" ca="1" si="1"/>
        <v>0</v>
      </c>
      <c r="K23" s="17">
        <f t="shared" ca="1" si="2"/>
        <v>62</v>
      </c>
      <c r="L23" s="17">
        <f t="shared" ca="1" si="3"/>
        <v>35</v>
      </c>
      <c r="M23" s="19" t="str">
        <f t="shared" ca="1" si="4"/>
        <v/>
      </c>
      <c r="N23" s="19" t="str">
        <f t="shared" ca="1" si="5"/>
        <v/>
      </c>
      <c r="O23" s="19" t="str">
        <f t="shared" ca="1" si="6"/>
        <v/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12" t="s">
        <v>75</v>
      </c>
      <c r="B24" s="14">
        <f ca="1">IFERROR(__xludf.DUMMYFUNCTION("googlefinance(""nse:""&amp;A24,""price"")"),72.05)</f>
        <v>72.05</v>
      </c>
      <c r="C24" s="14">
        <f t="shared" ca="1" si="0"/>
        <v>0</v>
      </c>
      <c r="D24" s="14">
        <f ca="1">IFERROR(__xludf.DUMMYFUNCTION("googlefinance(""nse:""&amp;A24,""changepct"")"),-1.5)</f>
        <v>-1.5</v>
      </c>
      <c r="E24" s="14">
        <f ca="1">IFERROR(__xludf.DUMMYFUNCTION("googlefinance(""nse:""&amp;A24,""change"")"),-1.1)</f>
        <v>-1.1000000000000001</v>
      </c>
      <c r="F24" s="14">
        <f ca="1">IFERROR(__xludf.DUMMYFUNCTION("googlefinance(""nse:""&amp;A24,""priceopen"")"),74.1)</f>
        <v>74.099999999999994</v>
      </c>
      <c r="G24" s="14">
        <f ca="1">IFERROR(__xludf.DUMMYFUNCTION("googlefinance(""nse:""&amp;A24,""HIGH"")"),74.45)</f>
        <v>74.45</v>
      </c>
      <c r="H24" s="14">
        <f ca="1">IFERROR(__xludf.DUMMYFUNCTION("googlefinance(""nse:""&amp;A24,""LOW"")"),71.35)</f>
        <v>71.349999999999994</v>
      </c>
      <c r="I24" s="14" t="str">
        <f ca="1">IFERROR(__xludf.DUMMYFUNCTION("INDEX( GoogleFinance( ""NSE:""&amp;A24 , ""all"" , TODAY()-2) , 2, 5)"),"#N/A")</f>
        <v>#N/A</v>
      </c>
      <c r="J24" s="17">
        <f t="shared" ca="1" si="1"/>
        <v>2.4000000000000057</v>
      </c>
      <c r="K24" s="17">
        <f t="shared" ca="1" si="2"/>
        <v>3.1000000000000085</v>
      </c>
      <c r="L24" s="17">
        <f t="shared" ca="1" si="3"/>
        <v>2.75</v>
      </c>
      <c r="M24" s="19" t="str">
        <f t="shared" ca="1" si="4"/>
        <v/>
      </c>
      <c r="N24" s="19" t="str">
        <f t="shared" ca="1" si="5"/>
        <v/>
      </c>
      <c r="O24" s="19" t="str">
        <f t="shared" ca="1" si="6"/>
        <v/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12" t="s">
        <v>76</v>
      </c>
      <c r="B25" s="14">
        <f ca="1">IFERROR(__xludf.DUMMYFUNCTION("googlefinance(""nse:""&amp;A25,""price"")"),507)</f>
        <v>507</v>
      </c>
      <c r="C25" s="14">
        <f t="shared" ca="1" si="0"/>
        <v>0</v>
      </c>
      <c r="D25" s="14">
        <f ca="1">IFERROR(__xludf.DUMMYFUNCTION("googlefinance(""nse:""&amp;A25,""changepct"")"),-1.98)</f>
        <v>-1.98</v>
      </c>
      <c r="E25" s="14">
        <f ca="1">IFERROR(__xludf.DUMMYFUNCTION("googlefinance(""nse:""&amp;A25,""change"")"),-2)</f>
        <v>-2</v>
      </c>
      <c r="F25" s="14">
        <f ca="1">IFERROR(__xludf.DUMMYFUNCTION("googlefinance(""nse:""&amp;A25,""priceopen"")"),515)</f>
        <v>515</v>
      </c>
      <c r="G25" s="14">
        <f ca="1">IFERROR(__xludf.DUMMYFUNCTION("googlefinance(""nse:""&amp;A25,""HIGH"")"),517.25)</f>
        <v>517.25</v>
      </c>
      <c r="H25" s="14">
        <f ca="1">IFERROR(__xludf.DUMMYFUNCTION("googlefinance(""nse:""&amp;A25,""LOW"")"),502.55)</f>
        <v>502.55</v>
      </c>
      <c r="I25" s="14" t="str">
        <f ca="1">IFERROR(__xludf.DUMMYFUNCTION("INDEX( GoogleFinance( ""NSE:""&amp;A25 , ""all"" , TODAY()-2) , 2, 5)"),"#N/A")</f>
        <v>#N/A</v>
      </c>
      <c r="J25" s="17">
        <f t="shared" ca="1" si="1"/>
        <v>10.25</v>
      </c>
      <c r="K25" s="17">
        <f t="shared" ca="1" si="2"/>
        <v>14.699999999999989</v>
      </c>
      <c r="L25" s="17">
        <f t="shared" ca="1" si="3"/>
        <v>12.449999999999989</v>
      </c>
      <c r="M25" s="19" t="str">
        <f t="shared" ca="1" si="4"/>
        <v/>
      </c>
      <c r="N25" s="19" t="str">
        <f t="shared" ca="1" si="5"/>
        <v/>
      </c>
      <c r="O25" s="19" t="str">
        <f t="shared" ca="1" si="6"/>
        <v/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12" t="s">
        <v>77</v>
      </c>
      <c r="B26" s="14">
        <f ca="1">IFERROR(__xludf.DUMMYFUNCTION("googlefinance(""nse:""&amp;A26,""price"")"),308.1)</f>
        <v>308.10000000000002</v>
      </c>
      <c r="C26" s="14">
        <f t="shared" ca="1" si="0"/>
        <v>0</v>
      </c>
      <c r="D26" s="14">
        <f ca="1">IFERROR(__xludf.DUMMYFUNCTION("googlefinance(""nse:""&amp;A26,""changepct"")"),9.24)</f>
        <v>9.24</v>
      </c>
      <c r="E26" s="14">
        <f ca="1">IFERROR(__xludf.DUMMYFUNCTION("googlefinance(""nse:""&amp;A26,""change"")"),26.05)</f>
        <v>26.05</v>
      </c>
      <c r="F26" s="14">
        <f ca="1">IFERROR(__xludf.DUMMYFUNCTION("googlefinance(""nse:""&amp;A26,""priceopen"")"),290)</f>
        <v>290</v>
      </c>
      <c r="G26" s="14">
        <f ca="1">IFERROR(__xludf.DUMMYFUNCTION("googlefinance(""nse:""&amp;A26,""HIGH"")"),324.35)</f>
        <v>324.35000000000002</v>
      </c>
      <c r="H26" s="14">
        <f ca="1">IFERROR(__xludf.DUMMYFUNCTION("googlefinance(""nse:""&amp;A26,""LOW"")"),287)</f>
        <v>287</v>
      </c>
      <c r="I26" s="14" t="str">
        <f ca="1">IFERROR(__xludf.DUMMYFUNCTION("INDEX( GoogleFinance( ""NSE:""&amp;A26 , ""all"" , TODAY()-2) , 2, 5)"),"#N/A")</f>
        <v>#N/A</v>
      </c>
      <c r="J26" s="17">
        <f t="shared" ca="1" si="1"/>
        <v>16.25</v>
      </c>
      <c r="K26" s="17">
        <f t="shared" ca="1" si="2"/>
        <v>37.350000000000023</v>
      </c>
      <c r="L26" s="17">
        <f t="shared" ca="1" si="3"/>
        <v>3</v>
      </c>
      <c r="M26" s="19" t="str">
        <f t="shared" ca="1" si="4"/>
        <v/>
      </c>
      <c r="N26" s="19" t="str">
        <f t="shared" ca="1" si="5"/>
        <v/>
      </c>
      <c r="O26" s="19" t="str">
        <f t="shared" ca="1" si="6"/>
        <v/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12" t="s">
        <v>78</v>
      </c>
      <c r="B27" s="14">
        <f ca="1">IFERROR(__xludf.DUMMYFUNCTION("googlefinance(""nse:""&amp;A27,""price"")"),514.55)</f>
        <v>514.54999999999995</v>
      </c>
      <c r="C27" s="14">
        <f t="shared" ca="1" si="0"/>
        <v>0</v>
      </c>
      <c r="D27" s="14">
        <f ca="1">IFERROR(__xludf.DUMMYFUNCTION("googlefinance(""nse:""&amp;A27,""changepct"")"),3.74)</f>
        <v>3.74</v>
      </c>
      <c r="E27" s="14">
        <f ca="1">IFERROR(__xludf.DUMMYFUNCTION("googlefinance(""nse:""&amp;A27,""change"")"),18.55)</f>
        <v>18.55</v>
      </c>
      <c r="F27" s="14">
        <f ca="1">IFERROR(__xludf.DUMMYFUNCTION("googlefinance(""nse:""&amp;A27,""priceopen"")"),503.1)</f>
        <v>503.1</v>
      </c>
      <c r="G27" s="14">
        <f ca="1">IFERROR(__xludf.DUMMYFUNCTION("googlefinance(""nse:""&amp;A27,""HIGH"")"),515.95)</f>
        <v>515.95000000000005</v>
      </c>
      <c r="H27" s="14">
        <f ca="1">IFERROR(__xludf.DUMMYFUNCTION("googlefinance(""nse:""&amp;A27,""LOW"")"),495.2)</f>
        <v>495.2</v>
      </c>
      <c r="I27" s="14" t="str">
        <f ca="1">IFERROR(__xludf.DUMMYFUNCTION("INDEX( GoogleFinance( ""NSE:""&amp;A27 , ""all"" , TODAY()-2) , 2, 5)"),"#N/A")</f>
        <v>#N/A</v>
      </c>
      <c r="J27" s="17">
        <f t="shared" ca="1" si="1"/>
        <v>1.4000000000000909</v>
      </c>
      <c r="K27" s="17">
        <f t="shared" ca="1" si="2"/>
        <v>20.750000000000057</v>
      </c>
      <c r="L27" s="17">
        <f t="shared" ca="1" si="3"/>
        <v>7.9000000000000341</v>
      </c>
      <c r="M27" s="19" t="str">
        <f t="shared" ca="1" si="4"/>
        <v/>
      </c>
      <c r="N27" s="19" t="str">
        <f t="shared" ca="1" si="5"/>
        <v/>
      </c>
      <c r="O27" s="19" t="str">
        <f t="shared" ca="1" si="6"/>
        <v/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12" t="s">
        <v>79</v>
      </c>
      <c r="B28" s="14">
        <f ca="1">IFERROR(__xludf.DUMMYFUNCTION("googlefinance(""nse:""&amp;A28,""price"")"),22.6)</f>
        <v>22.6</v>
      </c>
      <c r="C28" s="14">
        <f t="shared" ca="1" si="0"/>
        <v>0</v>
      </c>
      <c r="D28" s="14">
        <f ca="1">IFERROR(__xludf.DUMMYFUNCTION("googlefinance(""nse:""&amp;A28,""changepct"")"),7.88)</f>
        <v>7.88</v>
      </c>
      <c r="E28" s="14">
        <f ca="1">IFERROR(__xludf.DUMMYFUNCTION("googlefinance(""nse:""&amp;A28,""change"")"),1.65)</f>
        <v>1.65</v>
      </c>
      <c r="F28" s="14">
        <f ca="1">IFERROR(__xludf.DUMMYFUNCTION("googlefinance(""nse:""&amp;A28,""priceopen"")"),21.3)</f>
        <v>21.3</v>
      </c>
      <c r="G28" s="14">
        <f ca="1">IFERROR(__xludf.DUMMYFUNCTION("googlefinance(""nse:""&amp;A28,""HIGH"")"),22.9)</f>
        <v>22.9</v>
      </c>
      <c r="H28" s="14">
        <f ca="1">IFERROR(__xludf.DUMMYFUNCTION("googlefinance(""nse:""&amp;A28,""LOW"")"),21.15)</f>
        <v>21.15</v>
      </c>
      <c r="I28" s="14" t="str">
        <f ca="1">IFERROR(__xludf.DUMMYFUNCTION("INDEX( GoogleFinance( ""NSE:""&amp;A28 , ""all"" , TODAY()-2) , 2, 5)"),"#N/A")</f>
        <v>#N/A</v>
      </c>
      <c r="J28" s="17">
        <f t="shared" ca="1" si="1"/>
        <v>0.29999999999999716</v>
      </c>
      <c r="K28" s="17">
        <f t="shared" ca="1" si="2"/>
        <v>1.75</v>
      </c>
      <c r="L28" s="17">
        <f t="shared" ca="1" si="3"/>
        <v>0.15000000000000213</v>
      </c>
      <c r="M28" s="19" t="str">
        <f t="shared" ca="1" si="4"/>
        <v/>
      </c>
      <c r="N28" s="19" t="str">
        <f t="shared" ca="1" si="5"/>
        <v/>
      </c>
      <c r="O28" s="19" t="str">
        <f t="shared" ca="1" si="6"/>
        <v/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12" t="s">
        <v>80</v>
      </c>
      <c r="B29" s="14">
        <f ca="1">IFERROR(__xludf.DUMMYFUNCTION("googlefinance(""nse:""&amp;A29,""price"")"),354.1)</f>
        <v>354.1</v>
      </c>
      <c r="C29" s="14" t="str">
        <f t="shared" ca="1" si="0"/>
        <v>SELL</v>
      </c>
      <c r="D29" s="14">
        <f ca="1">IFERROR(__xludf.DUMMYFUNCTION("googlefinance(""nse:""&amp;A29,""changepct"")"),0.55)</f>
        <v>0.55000000000000004</v>
      </c>
      <c r="E29" s="14">
        <f ca="1">IFERROR(__xludf.DUMMYFUNCTION("googlefinance(""nse:""&amp;A29,""change"")"),-1)</f>
        <v>-1</v>
      </c>
      <c r="F29" s="14">
        <f ca="1">IFERROR(__xludf.DUMMYFUNCTION("googlefinance(""nse:""&amp;A29,""priceopen"")"),360)</f>
        <v>360</v>
      </c>
      <c r="G29" s="14">
        <f ca="1">IFERROR(__xludf.DUMMYFUNCTION("googlefinance(""nse:""&amp;A29,""HIGH"")"),360)</f>
        <v>360</v>
      </c>
      <c r="H29" s="14">
        <f ca="1">IFERROR(__xludf.DUMMYFUNCTION("googlefinance(""nse:""&amp;A29,""LOW"")"),347.25)</f>
        <v>347.25</v>
      </c>
      <c r="I29" s="14" t="str">
        <f ca="1">IFERROR(__xludf.DUMMYFUNCTION("INDEX( GoogleFinance( ""NSE:""&amp;A29 , ""all"" , TODAY()-2) , 2, 5)"),"#N/A")</f>
        <v>#N/A</v>
      </c>
      <c r="J29" s="17">
        <f t="shared" ca="1" si="1"/>
        <v>5.8999999999999773</v>
      </c>
      <c r="K29" s="17">
        <f t="shared" ca="1" si="2"/>
        <v>12.75</v>
      </c>
      <c r="L29" s="17">
        <f t="shared" ca="1" si="3"/>
        <v>12.75</v>
      </c>
      <c r="M29" s="19" t="str">
        <f t="shared" ca="1" si="4"/>
        <v/>
      </c>
      <c r="N29" s="19" t="str">
        <f t="shared" ca="1" si="5"/>
        <v/>
      </c>
      <c r="O29" s="19" t="str">
        <f t="shared" ca="1" si="6"/>
        <v/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12" t="s">
        <v>81</v>
      </c>
      <c r="B30" s="14">
        <f ca="1">IFERROR(__xludf.DUMMYFUNCTION("googlefinance(""nse:""&amp;A30,""price"")"),10610.05)</f>
        <v>10610.05</v>
      </c>
      <c r="C30" s="14">
        <f t="shared" ca="1" si="0"/>
        <v>0</v>
      </c>
      <c r="D30" s="14">
        <f ca="1">IFERROR(__xludf.DUMMYFUNCTION("googlefinance(""nse:""&amp;A30,""changepct"")"),5.85)</f>
        <v>5.85</v>
      </c>
      <c r="E30" s="14">
        <f ca="1">IFERROR(__xludf.DUMMYFUNCTION("googlefinance(""nse:""&amp;A30,""change"")"),586.05)</f>
        <v>586.04999999999995</v>
      </c>
      <c r="F30" s="14">
        <f ca="1">IFERROR(__xludf.DUMMYFUNCTION("googlefinance(""nse:""&amp;A30,""priceopen"")"),10199)</f>
        <v>10199</v>
      </c>
      <c r="G30" s="14">
        <f ca="1">IFERROR(__xludf.DUMMYFUNCTION("googlefinance(""nse:""&amp;A30,""HIGH"")"),10760.1)</f>
        <v>10760.1</v>
      </c>
      <c r="H30" s="14">
        <f ca="1">IFERROR(__xludf.DUMMYFUNCTION("googlefinance(""nse:""&amp;A30,""LOW"")"),10113.55)</f>
        <v>10113.549999999999</v>
      </c>
      <c r="I30" s="14" t="str">
        <f ca="1">IFERROR(__xludf.DUMMYFUNCTION("INDEX( GoogleFinance( ""NSE:""&amp;A30 , ""all"" , TODAY()-2) , 2, 5)"),"#N/A")</f>
        <v>#N/A</v>
      </c>
      <c r="J30" s="17">
        <f t="shared" ca="1" si="1"/>
        <v>150.05000000000109</v>
      </c>
      <c r="K30" s="17">
        <f t="shared" ca="1" si="2"/>
        <v>646.55000000000109</v>
      </c>
      <c r="L30" s="17">
        <f t="shared" ca="1" si="3"/>
        <v>85.450000000000728</v>
      </c>
      <c r="M30" s="19" t="str">
        <f t="shared" ca="1" si="4"/>
        <v/>
      </c>
      <c r="N30" s="19" t="str">
        <f t="shared" ca="1" si="5"/>
        <v/>
      </c>
      <c r="O30" s="19" t="str">
        <f t="shared" ca="1" si="6"/>
        <v/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12" t="s">
        <v>82</v>
      </c>
      <c r="B31" s="14">
        <f ca="1">IFERROR(__xludf.DUMMYFUNCTION("googlefinance(""nse:""&amp;A31,""price"")"),371.85)</f>
        <v>371.85</v>
      </c>
      <c r="C31" s="14">
        <f t="shared" ca="1" si="0"/>
        <v>0</v>
      </c>
      <c r="D31" s="14">
        <f ca="1">IFERROR(__xludf.DUMMYFUNCTION("googlefinance(""nse:""&amp;A31,""changepct"")"),3.08)</f>
        <v>3.08</v>
      </c>
      <c r="E31" s="14">
        <f ca="1">IFERROR(__xludf.DUMMYFUNCTION("googlefinance(""nse:""&amp;A31,""change"")"),11.1)</f>
        <v>11.1</v>
      </c>
      <c r="F31" s="14">
        <f ca="1">IFERROR(__xludf.DUMMYFUNCTION("googlefinance(""nse:""&amp;A31,""priceopen"")"),364.25)</f>
        <v>364.25</v>
      </c>
      <c r="G31" s="14">
        <f ca="1">IFERROR(__xludf.DUMMYFUNCTION("googlefinance(""nse:""&amp;A31,""HIGH"")"),373.4)</f>
        <v>373.4</v>
      </c>
      <c r="H31" s="14">
        <f ca="1">IFERROR(__xludf.DUMMYFUNCTION("googlefinance(""nse:""&amp;A31,""LOW"")"),358)</f>
        <v>358</v>
      </c>
      <c r="I31" s="14" t="str">
        <f ca="1">IFERROR(__xludf.DUMMYFUNCTION("INDEX( GoogleFinance( ""NSE:""&amp;A31 , ""all"" , TODAY()-2) , 2, 5)"),"#N/A")</f>
        <v>#N/A</v>
      </c>
      <c r="J31" s="17">
        <f t="shared" ca="1" si="1"/>
        <v>1.5499999999999545</v>
      </c>
      <c r="K31" s="17">
        <f t="shared" ca="1" si="2"/>
        <v>15.399999999999977</v>
      </c>
      <c r="L31" s="17">
        <f t="shared" ca="1" si="3"/>
        <v>6.25</v>
      </c>
      <c r="M31" s="19" t="str">
        <f t="shared" ca="1" si="4"/>
        <v/>
      </c>
      <c r="N31" s="19" t="str">
        <f t="shared" ca="1" si="5"/>
        <v/>
      </c>
      <c r="O31" s="19" t="str">
        <f t="shared" ca="1" si="6"/>
        <v/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12" t="s">
        <v>83</v>
      </c>
      <c r="B32" s="14">
        <f ca="1">IFERROR(__xludf.DUMMYFUNCTION("googlefinance(""nse:""&amp;A32,""price"")"),3160.5)</f>
        <v>3160.5</v>
      </c>
      <c r="C32" s="14">
        <f t="shared" ca="1" si="0"/>
        <v>0</v>
      </c>
      <c r="D32" s="14">
        <f ca="1">IFERROR(__xludf.DUMMYFUNCTION("googlefinance(""nse:""&amp;A32,""changepct"")"),0.12)</f>
        <v>0.12</v>
      </c>
      <c r="E32" s="14">
        <f ca="1">IFERROR(__xludf.DUMMYFUNCTION("googlefinance(""nse:""&amp;A32,""change"")"),3.7)</f>
        <v>3.7</v>
      </c>
      <c r="F32" s="14">
        <f ca="1">IFERROR(__xludf.DUMMYFUNCTION("googlefinance(""nse:""&amp;A32,""priceopen"")"),3195)</f>
        <v>3195</v>
      </c>
      <c r="G32" s="14">
        <f ca="1">IFERROR(__xludf.DUMMYFUNCTION("googlefinance(""nse:""&amp;A32,""HIGH"")"),3205)</f>
        <v>3205</v>
      </c>
      <c r="H32" s="14">
        <f ca="1">IFERROR(__xludf.DUMMYFUNCTION("googlefinance(""nse:""&amp;A32,""LOW"")"),3150)</f>
        <v>3150</v>
      </c>
      <c r="I32" s="14" t="str">
        <f ca="1">IFERROR(__xludf.DUMMYFUNCTION("INDEX( GoogleFinance( ""NSE:""&amp;A32 , ""all"" , TODAY()-2) , 2, 5)"),"#N/A")</f>
        <v>#N/A</v>
      </c>
      <c r="J32" s="17">
        <f t="shared" ca="1" si="1"/>
        <v>44.5</v>
      </c>
      <c r="K32" s="17">
        <f t="shared" ca="1" si="2"/>
        <v>55</v>
      </c>
      <c r="L32" s="17">
        <f t="shared" ca="1" si="3"/>
        <v>45</v>
      </c>
      <c r="M32" s="19" t="str">
        <f t="shared" ca="1" si="4"/>
        <v/>
      </c>
      <c r="N32" s="19" t="str">
        <f t="shared" ca="1" si="5"/>
        <v/>
      </c>
      <c r="O32" s="19" t="str">
        <f t="shared" ca="1" si="6"/>
        <v/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12" t="s">
        <v>84</v>
      </c>
      <c r="B33" s="14">
        <f ca="1">IFERROR(__xludf.DUMMYFUNCTION("googlefinance(""nse:""&amp;A33,""price"")"),323.95)</f>
        <v>323.95</v>
      </c>
      <c r="C33" s="14">
        <f t="shared" ca="1" si="0"/>
        <v>0</v>
      </c>
      <c r="D33" s="14">
        <f ca="1">IFERROR(__xludf.DUMMYFUNCTION("googlefinance(""nse:""&amp;A33,""changepct"")"),-0.84)</f>
        <v>-0.84</v>
      </c>
      <c r="E33" s="14">
        <f ca="1">IFERROR(__xludf.DUMMYFUNCTION("googlefinance(""nse:""&amp;A33,""change"")"),-2.75)</f>
        <v>-2.75</v>
      </c>
      <c r="F33" s="14">
        <f ca="1">IFERROR(__xludf.DUMMYFUNCTION("googlefinance(""nse:""&amp;A33,""priceopen"")"),330.5)</f>
        <v>330.5</v>
      </c>
      <c r="G33" s="14">
        <f ca="1">IFERROR(__xludf.DUMMYFUNCTION("googlefinance(""nse:""&amp;A33,""HIGH"")"),332)</f>
        <v>332</v>
      </c>
      <c r="H33" s="14">
        <f ca="1">IFERROR(__xludf.DUMMYFUNCTION("googlefinance(""nse:""&amp;A33,""LOW"")"),321.3)</f>
        <v>321.3</v>
      </c>
      <c r="I33" s="14" t="str">
        <f ca="1">IFERROR(__xludf.DUMMYFUNCTION("INDEX( GoogleFinance( ""NSE:""&amp;A33 , ""all"" , TODAY()-2) , 2, 5)"),"#N/A")</f>
        <v>#N/A</v>
      </c>
      <c r="J33" s="17">
        <f t="shared" ca="1" si="1"/>
        <v>8.0500000000000114</v>
      </c>
      <c r="K33" s="17">
        <f t="shared" ca="1" si="2"/>
        <v>10.699999999999989</v>
      </c>
      <c r="L33" s="17">
        <f t="shared" ca="1" si="3"/>
        <v>9.1999999999999886</v>
      </c>
      <c r="M33" s="19" t="str">
        <f t="shared" ca="1" si="4"/>
        <v/>
      </c>
      <c r="N33" s="19" t="str">
        <f t="shared" ca="1" si="5"/>
        <v/>
      </c>
      <c r="O33" s="19" t="str">
        <f t="shared" ca="1" si="6"/>
        <v/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12" t="s">
        <v>85</v>
      </c>
      <c r="B34" s="14">
        <f ca="1">IFERROR(__xludf.DUMMYFUNCTION("googlefinance(""nse:""&amp;A34,""price"")"),87.75)</f>
        <v>87.75</v>
      </c>
      <c r="C34" s="14">
        <f t="shared" ca="1" si="0"/>
        <v>0</v>
      </c>
      <c r="D34" s="14">
        <f ca="1">IFERROR(__xludf.DUMMYFUNCTION("googlefinance(""nse:""&amp;A34,""changepct"")"),0.4)</f>
        <v>0.4</v>
      </c>
      <c r="E34" s="14">
        <f ca="1">IFERROR(__xludf.DUMMYFUNCTION("googlefinance(""nse:""&amp;A34,""change"")"),0.35)</f>
        <v>0.35</v>
      </c>
      <c r="F34" s="14">
        <f ca="1">IFERROR(__xludf.DUMMYFUNCTION("googlefinance(""nse:""&amp;A34,""priceopen"")"),88.45)</f>
        <v>88.45</v>
      </c>
      <c r="G34" s="14">
        <f ca="1">IFERROR(__xludf.DUMMYFUNCTION("googlefinance(""nse:""&amp;A34,""HIGH"")"),91.2)</f>
        <v>91.2</v>
      </c>
      <c r="H34" s="14">
        <f ca="1">IFERROR(__xludf.DUMMYFUNCTION("googlefinance(""nse:""&amp;A34,""LOW"")"),87.4)</f>
        <v>87.4</v>
      </c>
      <c r="I34" s="14" t="str">
        <f ca="1">IFERROR(__xludf.DUMMYFUNCTION("INDEX( GoogleFinance( ""NSE:""&amp;A34 , ""all"" , TODAY()-2) , 2, 5)"),"#N/A")</f>
        <v>#N/A</v>
      </c>
      <c r="J34" s="17">
        <f t="shared" ca="1" si="1"/>
        <v>3.4500000000000028</v>
      </c>
      <c r="K34" s="17">
        <f t="shared" ca="1" si="2"/>
        <v>3.7999999999999972</v>
      </c>
      <c r="L34" s="17">
        <f t="shared" ca="1" si="3"/>
        <v>1.0499999999999972</v>
      </c>
      <c r="M34" s="19" t="str">
        <f t="shared" ca="1" si="4"/>
        <v/>
      </c>
      <c r="N34" s="19" t="str">
        <f t="shared" ca="1" si="5"/>
        <v/>
      </c>
      <c r="O34" s="19" t="str">
        <f t="shared" ca="1" si="6"/>
        <v/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12" t="s">
        <v>86</v>
      </c>
      <c r="B35" s="14">
        <f ca="1">IFERROR(__xludf.DUMMYFUNCTION("googlefinance(""nse:""&amp;A35,""price"")"),292)</f>
        <v>292</v>
      </c>
      <c r="C35" s="14">
        <f t="shared" ca="1" si="0"/>
        <v>0</v>
      </c>
      <c r="D35" s="14">
        <f ca="1">IFERROR(__xludf.DUMMYFUNCTION("googlefinance(""nse:""&amp;A35,""changepct"")"),0.12)</f>
        <v>0.12</v>
      </c>
      <c r="E35" s="14">
        <f ca="1">IFERROR(__xludf.DUMMYFUNCTION("googlefinance(""nse:""&amp;A35,""change"")"),0.35)</f>
        <v>0.35</v>
      </c>
      <c r="F35" s="14">
        <f ca="1">IFERROR(__xludf.DUMMYFUNCTION("googlefinance(""nse:""&amp;A35,""priceopen"")"),296.5)</f>
        <v>296.5</v>
      </c>
      <c r="G35" s="14">
        <f ca="1">IFERROR(__xludf.DUMMYFUNCTION("googlefinance(""nse:""&amp;A35,""HIGH"")"),309.4)</f>
        <v>309.39999999999998</v>
      </c>
      <c r="H35" s="14">
        <f ca="1">IFERROR(__xludf.DUMMYFUNCTION("googlefinance(""nse:""&amp;A35,""LOW"")"),290.3)</f>
        <v>290.3</v>
      </c>
      <c r="I35" s="14" t="str">
        <f ca="1">IFERROR(__xludf.DUMMYFUNCTION("INDEX( GoogleFinance( ""NSE:""&amp;A35 , ""all"" , TODAY()-2) , 2, 5)"),"#N/A")</f>
        <v>#N/A</v>
      </c>
      <c r="J35" s="17">
        <f t="shared" ca="1" si="1"/>
        <v>17.399999999999977</v>
      </c>
      <c r="K35" s="17">
        <f t="shared" ca="1" si="2"/>
        <v>19.099999999999966</v>
      </c>
      <c r="L35" s="17">
        <f t="shared" ca="1" si="3"/>
        <v>6.1999999999999886</v>
      </c>
      <c r="M35" s="19" t="str">
        <f t="shared" ca="1" si="4"/>
        <v/>
      </c>
      <c r="N35" s="19" t="str">
        <f t="shared" ca="1" si="5"/>
        <v/>
      </c>
      <c r="O35" s="19" t="str">
        <f t="shared" ca="1" si="6"/>
        <v/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12" t="s">
        <v>87</v>
      </c>
      <c r="B36" s="14">
        <f ca="1">IFERROR(__xludf.DUMMYFUNCTION("googlefinance(""nse:""&amp;A36,""price"")"),650.1)</f>
        <v>650.1</v>
      </c>
      <c r="C36" s="14">
        <f t="shared" ca="1" si="0"/>
        <v>0</v>
      </c>
      <c r="D36" s="14">
        <f ca="1">IFERROR(__xludf.DUMMYFUNCTION("googlefinance(""nse:""&amp;A36,""changepct"")"),4.44)</f>
        <v>4.4400000000000004</v>
      </c>
      <c r="E36" s="14">
        <f ca="1">IFERROR(__xludf.DUMMYFUNCTION("googlefinance(""nse:""&amp;A36,""change"")"),27.65)</f>
        <v>27.65</v>
      </c>
      <c r="F36" s="14">
        <f ca="1">IFERROR(__xludf.DUMMYFUNCTION("googlefinance(""nse:""&amp;A36,""priceopen"")"),640)</f>
        <v>640</v>
      </c>
      <c r="G36" s="14">
        <f ca="1">IFERROR(__xludf.DUMMYFUNCTION("googlefinance(""nse:""&amp;A36,""HIGH"")"),668.3)</f>
        <v>668.3</v>
      </c>
      <c r="H36" s="14">
        <f ca="1">IFERROR(__xludf.DUMMYFUNCTION("googlefinance(""nse:""&amp;A36,""LOW"")"),625.15)</f>
        <v>625.15</v>
      </c>
      <c r="I36" s="14" t="str">
        <f ca="1">IFERROR(__xludf.DUMMYFUNCTION("INDEX( GoogleFinance( ""NSE:""&amp;A36 , ""all"" , TODAY()-2) , 2, 5)"),"#N/A")</f>
        <v>#N/A</v>
      </c>
      <c r="J36" s="17">
        <f t="shared" ca="1" si="1"/>
        <v>18.199999999999932</v>
      </c>
      <c r="K36" s="17">
        <f t="shared" ca="1" si="2"/>
        <v>43.149999999999977</v>
      </c>
      <c r="L36" s="17">
        <f t="shared" ca="1" si="3"/>
        <v>14.850000000000023</v>
      </c>
      <c r="M36" s="19" t="str">
        <f t="shared" ca="1" si="4"/>
        <v/>
      </c>
      <c r="N36" s="19" t="str">
        <f t="shared" ca="1" si="5"/>
        <v/>
      </c>
      <c r="O36" s="19" t="str">
        <f t="shared" ca="1" si="6"/>
        <v/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12" t="s">
        <v>88</v>
      </c>
      <c r="B37" s="14">
        <f ca="1">IFERROR(__xludf.DUMMYFUNCTION("googlefinance(""nse:""&amp;A37,""price"")"),159)</f>
        <v>159</v>
      </c>
      <c r="C37" s="14">
        <f t="shared" ca="1" si="0"/>
        <v>0</v>
      </c>
      <c r="D37" s="14">
        <f ca="1">IFERROR(__xludf.DUMMYFUNCTION("googlefinance(""nse:""&amp;A37,""changepct"")"),5.54)</f>
        <v>5.54</v>
      </c>
      <c r="E37" s="14">
        <f ca="1">IFERROR(__xludf.DUMMYFUNCTION("googlefinance(""nse:""&amp;A37,""change"")"),8.35)</f>
        <v>8.35</v>
      </c>
      <c r="F37" s="14">
        <f ca="1">IFERROR(__xludf.DUMMYFUNCTION("googlefinance(""nse:""&amp;A37,""priceopen"")"),154.8)</f>
        <v>154.80000000000001</v>
      </c>
      <c r="G37" s="14">
        <f ca="1">IFERROR(__xludf.DUMMYFUNCTION("googlefinance(""nse:""&amp;A37,""HIGH"")"),170.6)</f>
        <v>170.6</v>
      </c>
      <c r="H37" s="14">
        <f ca="1">IFERROR(__xludf.DUMMYFUNCTION("googlefinance(""nse:""&amp;A37,""LOW"")"),153.35)</f>
        <v>153.35</v>
      </c>
      <c r="I37" s="14" t="str">
        <f ca="1">IFERROR(__xludf.DUMMYFUNCTION("INDEX( GoogleFinance( ""NSE:""&amp;A37 , ""all"" , TODAY()-2) , 2, 5)"),"#N/A")</f>
        <v>#N/A</v>
      </c>
      <c r="J37" s="17">
        <f t="shared" ca="1" si="1"/>
        <v>11.599999999999994</v>
      </c>
      <c r="K37" s="17">
        <f t="shared" ca="1" si="2"/>
        <v>17.25</v>
      </c>
      <c r="L37" s="17">
        <f t="shared" ca="1" si="3"/>
        <v>1.4500000000000171</v>
      </c>
      <c r="M37" s="19" t="str">
        <f t="shared" ca="1" si="4"/>
        <v/>
      </c>
      <c r="N37" s="19" t="str">
        <f t="shared" ca="1" si="5"/>
        <v/>
      </c>
      <c r="O37" s="19" t="str">
        <f t="shared" ca="1" si="6"/>
        <v/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12" t="s">
        <v>89</v>
      </c>
      <c r="B38" s="14">
        <f ca="1">IFERROR(__xludf.DUMMYFUNCTION("googlefinance(""nse:""&amp;A38,""price"")"),590)</f>
        <v>590</v>
      </c>
      <c r="C38" s="14">
        <f t="shared" ca="1" si="0"/>
        <v>0</v>
      </c>
      <c r="D38" s="14">
        <f ca="1">IFERROR(__xludf.DUMMYFUNCTION("googlefinance(""nse:""&amp;A38,""changepct"")"),-1.05)</f>
        <v>-1.05</v>
      </c>
      <c r="E38" s="14">
        <f ca="1">IFERROR(__xludf.DUMMYFUNCTION("googlefinance(""nse:""&amp;A38,""change"")"),-6.25)</f>
        <v>-6.25</v>
      </c>
      <c r="F38" s="14">
        <f ca="1">IFERROR(__xludf.DUMMYFUNCTION("googlefinance(""nse:""&amp;A38,""priceopen"")"),607.9)</f>
        <v>607.9</v>
      </c>
      <c r="G38" s="14">
        <f ca="1">IFERROR(__xludf.DUMMYFUNCTION("googlefinance(""nse:""&amp;A38,""HIGH"")"),611.45)</f>
        <v>611.45000000000005</v>
      </c>
      <c r="H38" s="14">
        <f ca="1">IFERROR(__xludf.DUMMYFUNCTION("googlefinance(""nse:""&amp;A38,""LOW"")"),586.1)</f>
        <v>586.1</v>
      </c>
      <c r="I38" s="14" t="str">
        <f ca="1">IFERROR(__xludf.DUMMYFUNCTION("INDEX( GoogleFinance( ""NSE:""&amp;A38 , ""all"" , TODAY()-2) , 2, 5)"),"#N/A")</f>
        <v>#N/A</v>
      </c>
      <c r="J38" s="17">
        <f t="shared" ca="1" si="1"/>
        <v>21.450000000000045</v>
      </c>
      <c r="K38" s="17">
        <f t="shared" ca="1" si="2"/>
        <v>25.350000000000023</v>
      </c>
      <c r="L38" s="17">
        <f t="shared" ca="1" si="3"/>
        <v>21.799999999999955</v>
      </c>
      <c r="M38" s="19" t="str">
        <f t="shared" ca="1" si="4"/>
        <v/>
      </c>
      <c r="N38" s="19" t="str">
        <f t="shared" ca="1" si="5"/>
        <v/>
      </c>
      <c r="O38" s="19" t="str">
        <f t="shared" ca="1" si="6"/>
        <v/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12" t="s">
        <v>90</v>
      </c>
      <c r="B39" s="14">
        <f ca="1">IFERROR(__xludf.DUMMYFUNCTION("googlefinance(""nse:""&amp;A39,""price"")"),148.8)</f>
        <v>148.80000000000001</v>
      </c>
      <c r="C39" s="14">
        <f t="shared" ca="1" si="0"/>
        <v>0</v>
      </c>
      <c r="D39" s="14">
        <f ca="1">IFERROR(__xludf.DUMMYFUNCTION("googlefinance(""nse:""&amp;A39,""changepct"")"),6.4)</f>
        <v>6.4</v>
      </c>
      <c r="E39" s="14">
        <f ca="1">IFERROR(__xludf.DUMMYFUNCTION("googlefinance(""nse:""&amp;A39,""change"")"),8.95)</f>
        <v>8.9499999999999993</v>
      </c>
      <c r="F39" s="14">
        <f ca="1">IFERROR(__xludf.DUMMYFUNCTION("googlefinance(""nse:""&amp;A39,""priceopen"")"),141.5)</f>
        <v>141.5</v>
      </c>
      <c r="G39" s="14">
        <f ca="1">IFERROR(__xludf.DUMMYFUNCTION("googlefinance(""nse:""&amp;A39,""HIGH"")"),149.45)</f>
        <v>149.44999999999999</v>
      </c>
      <c r="H39" s="14">
        <f ca="1">IFERROR(__xludf.DUMMYFUNCTION("googlefinance(""nse:""&amp;A39,""LOW"")"),141.35)</f>
        <v>141.35</v>
      </c>
      <c r="I39" s="14" t="str">
        <f ca="1">IFERROR(__xludf.DUMMYFUNCTION("INDEX( GoogleFinance( ""NSE:""&amp;A39 , ""all"" , TODAY()-2) , 2, 5)"),"#N/A")</f>
        <v>#N/A</v>
      </c>
      <c r="J39" s="17">
        <f t="shared" ca="1" si="1"/>
        <v>0.64999999999997726</v>
      </c>
      <c r="K39" s="17">
        <f t="shared" ca="1" si="2"/>
        <v>8.0999999999999943</v>
      </c>
      <c r="L39" s="17">
        <f t="shared" ca="1" si="3"/>
        <v>0.15000000000000568</v>
      </c>
      <c r="M39" s="19" t="str">
        <f t="shared" ca="1" si="4"/>
        <v/>
      </c>
      <c r="N39" s="19" t="str">
        <f t="shared" ca="1" si="5"/>
        <v/>
      </c>
      <c r="O39" s="19" t="str">
        <f t="shared" ca="1" si="6"/>
        <v/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12" t="s">
        <v>91</v>
      </c>
      <c r="B40" s="14">
        <f ca="1">IFERROR(__xludf.DUMMYFUNCTION("googlefinance(""nse:""&amp;A40,""price"")"),1464)</f>
        <v>1464</v>
      </c>
      <c r="C40" s="14" t="str">
        <f t="shared" ca="1" si="0"/>
        <v>SELL</v>
      </c>
      <c r="D40" s="14">
        <f ca="1">IFERROR(__xludf.DUMMYFUNCTION("googlefinance(""nse:""&amp;A40,""changepct"")"),-0.65)</f>
        <v>-0.65</v>
      </c>
      <c r="E40" s="14">
        <f ca="1">IFERROR(__xludf.DUMMYFUNCTION("googlefinance(""nse:""&amp;A40,""change"")"),-9.6)</f>
        <v>-9.6</v>
      </c>
      <c r="F40" s="14">
        <f ca="1">IFERROR(__xludf.DUMMYFUNCTION("googlefinance(""nse:""&amp;A40,""priceopen"")"),1485.2)</f>
        <v>1485.2</v>
      </c>
      <c r="G40" s="14">
        <f ca="1">IFERROR(__xludf.DUMMYFUNCTION("googlefinance(""nse:""&amp;A40,""HIGH"")"),1485.2)</f>
        <v>1485.2</v>
      </c>
      <c r="H40" s="14">
        <f ca="1">IFERROR(__xludf.DUMMYFUNCTION("googlefinance(""nse:""&amp;A40,""LOW"")"),1442.5)</f>
        <v>1442.5</v>
      </c>
      <c r="I40" s="14" t="str">
        <f ca="1">IFERROR(__xludf.DUMMYFUNCTION("INDEX( GoogleFinance( ""NSE:""&amp;A40 , ""all"" , TODAY()-2) , 2, 5)"),"#N/A")</f>
        <v>#N/A</v>
      </c>
      <c r="J40" s="17">
        <f t="shared" ca="1" si="1"/>
        <v>21.200000000000045</v>
      </c>
      <c r="K40" s="17">
        <f t="shared" ca="1" si="2"/>
        <v>42.700000000000045</v>
      </c>
      <c r="L40" s="17">
        <f t="shared" ca="1" si="3"/>
        <v>42.700000000000045</v>
      </c>
      <c r="M40" s="19" t="str">
        <f t="shared" ca="1" si="4"/>
        <v/>
      </c>
      <c r="N40" s="19" t="str">
        <f t="shared" ca="1" si="5"/>
        <v/>
      </c>
      <c r="O40" s="19" t="str">
        <f t="shared" ca="1" si="6"/>
        <v/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12" t="s">
        <v>92</v>
      </c>
      <c r="B41" s="14">
        <f ca="1">IFERROR(__xludf.DUMMYFUNCTION("googlefinance(""nse:""&amp;A41,""price"")"),374)</f>
        <v>374</v>
      </c>
      <c r="C41" s="14">
        <f t="shared" ca="1" si="0"/>
        <v>0</v>
      </c>
      <c r="D41" s="14">
        <f ca="1">IFERROR(__xludf.DUMMYFUNCTION("googlefinance(""nse:""&amp;A41,""changepct"")"),2.16)</f>
        <v>2.16</v>
      </c>
      <c r="E41" s="14">
        <f ca="1">IFERROR(__xludf.DUMMYFUNCTION("googlefinance(""nse:""&amp;A41,""change"")"),7.9)</f>
        <v>7.9</v>
      </c>
      <c r="F41" s="14">
        <f ca="1">IFERROR(__xludf.DUMMYFUNCTION("googlefinance(""nse:""&amp;A41,""priceopen"")"),371)</f>
        <v>371</v>
      </c>
      <c r="G41" s="14">
        <f ca="1">IFERROR(__xludf.DUMMYFUNCTION("googlefinance(""nse:""&amp;A41,""HIGH"")"),381.9)</f>
        <v>381.9</v>
      </c>
      <c r="H41" s="14">
        <f ca="1">IFERROR(__xludf.DUMMYFUNCTION("googlefinance(""nse:""&amp;A41,""LOW"")"),369.1)</f>
        <v>369.1</v>
      </c>
      <c r="I41" s="14" t="str">
        <f ca="1">IFERROR(__xludf.DUMMYFUNCTION("INDEX( GoogleFinance( ""NSE:""&amp;A41 , ""all"" , TODAY()-2) , 2, 5)"),"#N/A")</f>
        <v>#N/A</v>
      </c>
      <c r="J41" s="17">
        <f t="shared" ca="1" si="1"/>
        <v>7.8999999999999773</v>
      </c>
      <c r="K41" s="17">
        <f t="shared" ca="1" si="2"/>
        <v>12.799999999999955</v>
      </c>
      <c r="L41" s="17">
        <f t="shared" ca="1" si="3"/>
        <v>1.8999999999999773</v>
      </c>
      <c r="M41" s="19" t="str">
        <f t="shared" ca="1" si="4"/>
        <v/>
      </c>
      <c r="N41" s="19" t="str">
        <f t="shared" ca="1" si="5"/>
        <v/>
      </c>
      <c r="O41" s="19" t="str">
        <f t="shared" ca="1" si="6"/>
        <v/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12" t="s">
        <v>93</v>
      </c>
      <c r="B42" s="14">
        <f ca="1">IFERROR(__xludf.DUMMYFUNCTION("googlefinance(""nse:""&amp;A42,""price"")"),376.05)</f>
        <v>376.05</v>
      </c>
      <c r="C42" s="14">
        <f t="shared" ca="1" si="0"/>
        <v>0</v>
      </c>
      <c r="D42" s="14">
        <f ca="1">IFERROR(__xludf.DUMMYFUNCTION("googlefinance(""nse:""&amp;A42,""changepct"")"),-0.77)</f>
        <v>-0.77</v>
      </c>
      <c r="E42" s="14">
        <f ca="1">IFERROR(__xludf.DUMMYFUNCTION("googlefinance(""nse:""&amp;A42,""change"")"),-2.9)</f>
        <v>-2.9</v>
      </c>
      <c r="F42" s="14">
        <f ca="1">IFERROR(__xludf.DUMMYFUNCTION("googlefinance(""nse:""&amp;A42,""priceopen"")"),379)</f>
        <v>379</v>
      </c>
      <c r="G42" s="14">
        <f ca="1">IFERROR(__xludf.DUMMYFUNCTION("googlefinance(""nse:""&amp;A42,""HIGH"")"),382)</f>
        <v>382</v>
      </c>
      <c r="H42" s="14">
        <f ca="1">IFERROR(__xludf.DUMMYFUNCTION("googlefinance(""nse:""&amp;A42,""LOW"")"),371)</f>
        <v>371</v>
      </c>
      <c r="I42" s="14" t="str">
        <f ca="1">IFERROR(__xludf.DUMMYFUNCTION("INDEX( GoogleFinance( ""NSE:""&amp;A42 , ""all"" , TODAY()-2) , 2, 5)"),"#N/A")</f>
        <v>#N/A</v>
      </c>
      <c r="J42" s="17">
        <f t="shared" ca="1" si="1"/>
        <v>5.9499999999999886</v>
      </c>
      <c r="K42" s="17">
        <f t="shared" ca="1" si="2"/>
        <v>11</v>
      </c>
      <c r="L42" s="17">
        <f t="shared" ca="1" si="3"/>
        <v>8</v>
      </c>
      <c r="M42" s="19" t="str">
        <f t="shared" ca="1" si="4"/>
        <v/>
      </c>
      <c r="N42" s="19" t="str">
        <f t="shared" ca="1" si="5"/>
        <v/>
      </c>
      <c r="O42" s="19" t="str">
        <f t="shared" ca="1" si="6"/>
        <v/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12" t="s">
        <v>94</v>
      </c>
      <c r="B43" s="14">
        <f ca="1">IFERROR(__xludf.DUMMYFUNCTION("googlefinance(""nse:""&amp;A43,""price"")"),490)</f>
        <v>490</v>
      </c>
      <c r="C43" s="14">
        <f t="shared" ca="1" si="0"/>
        <v>0</v>
      </c>
      <c r="D43" s="14">
        <f ca="1">IFERROR(__xludf.DUMMYFUNCTION("googlefinance(""nse:""&amp;A43,""changepct"")"),2.46)</f>
        <v>2.46</v>
      </c>
      <c r="E43" s="14">
        <f ca="1">IFERROR(__xludf.DUMMYFUNCTION("googlefinance(""nse:""&amp;A43,""change"")"),-2)</f>
        <v>-2</v>
      </c>
      <c r="F43" s="14">
        <f ca="1">IFERROR(__xludf.DUMMYFUNCTION("googlefinance(""nse:""&amp;A43,""priceopen"")"),485)</f>
        <v>485</v>
      </c>
      <c r="G43" s="14">
        <f ca="1">IFERROR(__xludf.DUMMYFUNCTION("googlefinance(""nse:""&amp;A43,""HIGH"")"),495.35)</f>
        <v>495.35</v>
      </c>
      <c r="H43" s="14">
        <f ca="1">IFERROR(__xludf.DUMMYFUNCTION("googlefinance(""nse:""&amp;A43,""LOW"")"),478.25)</f>
        <v>478.25</v>
      </c>
      <c r="I43" s="14" t="str">
        <f ca="1">IFERROR(__xludf.DUMMYFUNCTION("INDEX( GoogleFinance( ""NSE:""&amp;A43 , ""all"" , TODAY()-2) , 2, 5)"),"#N/A")</f>
        <v>#N/A</v>
      </c>
      <c r="J43" s="17">
        <f t="shared" ca="1" si="1"/>
        <v>5.3500000000000227</v>
      </c>
      <c r="K43" s="17">
        <f t="shared" ca="1" si="2"/>
        <v>17.100000000000023</v>
      </c>
      <c r="L43" s="17">
        <f t="shared" ca="1" si="3"/>
        <v>6.75</v>
      </c>
      <c r="M43" s="19" t="str">
        <f t="shared" ca="1" si="4"/>
        <v/>
      </c>
      <c r="N43" s="19" t="str">
        <f t="shared" ca="1" si="5"/>
        <v/>
      </c>
      <c r="O43" s="19" t="str">
        <f t="shared" ca="1" si="6"/>
        <v/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12" t="s">
        <v>95</v>
      </c>
      <c r="B44" s="14">
        <f ca="1">IFERROR(__xludf.DUMMYFUNCTION("googlefinance(""nse:""&amp;A44,""price"")"),2333)</f>
        <v>2333</v>
      </c>
      <c r="C44" s="14">
        <f t="shared" ca="1" si="0"/>
        <v>0</v>
      </c>
      <c r="D44" s="14">
        <f ca="1">IFERROR(__xludf.DUMMYFUNCTION("googlefinance(""nse:""&amp;A44,""changepct"")"),-1.55)</f>
        <v>-1.55</v>
      </c>
      <c r="E44" s="14">
        <f ca="1">IFERROR(__xludf.DUMMYFUNCTION("googlefinance(""nse:""&amp;A44,""change"")"),-36.85)</f>
        <v>-36.85</v>
      </c>
      <c r="F44" s="14">
        <f ca="1">IFERROR(__xludf.DUMMYFUNCTION("googlefinance(""nse:""&amp;A44,""priceopen"")"),2365)</f>
        <v>2365</v>
      </c>
      <c r="G44" s="14">
        <f ca="1">IFERROR(__xludf.DUMMYFUNCTION("googlefinance(""nse:""&amp;A44,""HIGH"")"),2372.7)</f>
        <v>2372.6999999999998</v>
      </c>
      <c r="H44" s="14">
        <f ca="1">IFERROR(__xludf.DUMMYFUNCTION("googlefinance(""nse:""&amp;A44,""LOW"")"),2300.7)</f>
        <v>2300.6999999999998</v>
      </c>
      <c r="I44" s="14" t="str">
        <f ca="1">IFERROR(__xludf.DUMMYFUNCTION("INDEX( GoogleFinance( ""NSE:""&amp;A44 , ""all"" , TODAY()-2) , 2, 5)"),"#N/A")</f>
        <v>#N/A</v>
      </c>
      <c r="J44" s="17">
        <f t="shared" ca="1" si="1"/>
        <v>39.699999999999818</v>
      </c>
      <c r="K44" s="17">
        <f t="shared" ca="1" si="2"/>
        <v>72</v>
      </c>
      <c r="L44" s="17">
        <f t="shared" ca="1" si="3"/>
        <v>64.300000000000182</v>
      </c>
      <c r="M44" s="19" t="str">
        <f t="shared" ca="1" si="4"/>
        <v/>
      </c>
      <c r="N44" s="19" t="str">
        <f t="shared" ca="1" si="5"/>
        <v/>
      </c>
      <c r="O44" s="19" t="str">
        <f t="shared" ca="1" si="6"/>
        <v/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12" t="s">
        <v>96</v>
      </c>
      <c r="B45" s="14">
        <f ca="1">IFERROR(__xludf.DUMMYFUNCTION("googlefinance(""nse:""&amp;A45,""price"")"),146.75)</f>
        <v>146.75</v>
      </c>
      <c r="C45" s="14">
        <f t="shared" ca="1" si="0"/>
        <v>0</v>
      </c>
      <c r="D45" s="14">
        <f ca="1">IFERROR(__xludf.DUMMYFUNCTION("googlefinance(""nse:""&amp;A45,""changepct"")"),3.6)</f>
        <v>3.6</v>
      </c>
      <c r="E45" s="14">
        <f ca="1">IFERROR(__xludf.DUMMYFUNCTION("googlefinance(""nse:""&amp;A45,""change"")"),5.1)</f>
        <v>5.0999999999999996</v>
      </c>
      <c r="F45" s="14">
        <f ca="1">IFERROR(__xludf.DUMMYFUNCTION("googlefinance(""nse:""&amp;A45,""priceopen"")"),143.65)</f>
        <v>143.65</v>
      </c>
      <c r="G45" s="14">
        <f ca="1">IFERROR(__xludf.DUMMYFUNCTION("googlefinance(""nse:""&amp;A45,""HIGH"")"),152.25)</f>
        <v>152.25</v>
      </c>
      <c r="H45" s="14">
        <f ca="1">IFERROR(__xludf.DUMMYFUNCTION("googlefinance(""nse:""&amp;A45,""LOW"")"),142.25)</f>
        <v>142.25</v>
      </c>
      <c r="I45" s="14" t="str">
        <f ca="1">IFERROR(__xludf.DUMMYFUNCTION("INDEX( GoogleFinance( ""NSE:""&amp;A45 , ""all"" , TODAY()-2) , 2, 5)"),"#N/A")</f>
        <v>#N/A</v>
      </c>
      <c r="J45" s="17">
        <f t="shared" ca="1" si="1"/>
        <v>5.5</v>
      </c>
      <c r="K45" s="17">
        <f t="shared" ca="1" si="2"/>
        <v>10</v>
      </c>
      <c r="L45" s="17">
        <f t="shared" ca="1" si="3"/>
        <v>1.4000000000000057</v>
      </c>
      <c r="M45" s="19" t="str">
        <f t="shared" ca="1" si="4"/>
        <v/>
      </c>
      <c r="N45" s="19" t="str">
        <f t="shared" ca="1" si="5"/>
        <v/>
      </c>
      <c r="O45" s="19" t="str">
        <f t="shared" ca="1" si="6"/>
        <v/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12" t="s">
        <v>97</v>
      </c>
      <c r="B46" s="14">
        <f ca="1">IFERROR(__xludf.DUMMYFUNCTION("googlefinance(""nse:""&amp;A46,""price"")"),3931)</f>
        <v>3931</v>
      </c>
      <c r="C46" s="14">
        <f t="shared" ca="1" si="0"/>
        <v>0</v>
      </c>
      <c r="D46" s="14">
        <f ca="1">IFERROR(__xludf.DUMMYFUNCTION("googlefinance(""nse:""&amp;A46,""changepct"")"),1.3)</f>
        <v>1.3</v>
      </c>
      <c r="E46" s="14">
        <f ca="1">IFERROR(__xludf.DUMMYFUNCTION("googlefinance(""nse:""&amp;A46,""change"")"),50.3)</f>
        <v>50.3</v>
      </c>
      <c r="F46" s="14">
        <f ca="1">IFERROR(__xludf.DUMMYFUNCTION("googlefinance(""nse:""&amp;A46,""priceopen"")"),3933.1)</f>
        <v>3933.1</v>
      </c>
      <c r="G46" s="14">
        <f ca="1">IFERROR(__xludf.DUMMYFUNCTION("googlefinance(""nse:""&amp;A46,""HIGH"")"),4093.75)</f>
        <v>4093.75</v>
      </c>
      <c r="H46" s="14">
        <f ca="1">IFERROR(__xludf.DUMMYFUNCTION("googlefinance(""nse:""&amp;A46,""LOW"")"),3895.05)</f>
        <v>3895.05</v>
      </c>
      <c r="I46" s="14" t="str">
        <f ca="1">IFERROR(__xludf.DUMMYFUNCTION("INDEX( GoogleFinance( ""NSE:""&amp;A46 , ""all"" , TODAY()-2) , 2, 5)"),"#N/A")</f>
        <v>#N/A</v>
      </c>
      <c r="J46" s="17">
        <f t="shared" ca="1" si="1"/>
        <v>162.75</v>
      </c>
      <c r="K46" s="17">
        <f t="shared" ca="1" si="2"/>
        <v>198.69999999999982</v>
      </c>
      <c r="L46" s="17">
        <f t="shared" ca="1" si="3"/>
        <v>38.049999999999727</v>
      </c>
      <c r="M46" s="19" t="str">
        <f t="shared" ca="1" si="4"/>
        <v/>
      </c>
      <c r="N46" s="19" t="str">
        <f t="shared" ca="1" si="5"/>
        <v/>
      </c>
      <c r="O46" s="19" t="str">
        <f t="shared" ca="1" si="6"/>
        <v/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12" t="s">
        <v>98</v>
      </c>
      <c r="B47" s="14">
        <f ca="1">IFERROR(__xludf.DUMMYFUNCTION("googlefinance(""nse:""&amp;A47,""price"")"),14650)</f>
        <v>14650</v>
      </c>
      <c r="C47" s="14">
        <f t="shared" ca="1" si="0"/>
        <v>0</v>
      </c>
      <c r="D47" s="14">
        <f ca="1">IFERROR(__xludf.DUMMYFUNCTION("googlefinance(""nse:""&amp;A47,""changepct"")"),2.33)</f>
        <v>2.33</v>
      </c>
      <c r="E47" s="14">
        <f ca="1">IFERROR(__xludf.DUMMYFUNCTION("googlefinance(""nse:""&amp;A47,""change"")"),334.25)</f>
        <v>334.25</v>
      </c>
      <c r="F47" s="14">
        <f ca="1">IFERROR(__xludf.DUMMYFUNCTION("googlefinance(""nse:""&amp;A47,""priceopen"")"),14580.2)</f>
        <v>14580.2</v>
      </c>
      <c r="G47" s="14">
        <f ca="1">IFERROR(__xludf.DUMMYFUNCTION("googlefinance(""nse:""&amp;A47,""HIGH"")"),14900)</f>
        <v>14900</v>
      </c>
      <c r="H47" s="14">
        <f ca="1">IFERROR(__xludf.DUMMYFUNCTION("googlefinance(""nse:""&amp;A47,""LOW"")"),14402)</f>
        <v>14402</v>
      </c>
      <c r="I47" s="14" t="str">
        <f ca="1">IFERROR(__xludf.DUMMYFUNCTION("INDEX( GoogleFinance( ""NSE:""&amp;A47 , ""all"" , TODAY()-2) , 2, 5)"),"#N/A")</f>
        <v>#N/A</v>
      </c>
      <c r="J47" s="17">
        <f t="shared" ca="1" si="1"/>
        <v>250</v>
      </c>
      <c r="K47" s="17">
        <f t="shared" ca="1" si="2"/>
        <v>498</v>
      </c>
      <c r="L47" s="17">
        <f t="shared" ca="1" si="3"/>
        <v>178.20000000000073</v>
      </c>
      <c r="M47" s="19" t="str">
        <f t="shared" ca="1" si="4"/>
        <v/>
      </c>
      <c r="N47" s="19" t="str">
        <f t="shared" ca="1" si="5"/>
        <v/>
      </c>
      <c r="O47" s="19" t="str">
        <f t="shared" ca="1" si="6"/>
        <v/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12" t="s">
        <v>99</v>
      </c>
      <c r="B48" s="14">
        <f ca="1">IFERROR(__xludf.DUMMYFUNCTION("googlefinance(""nse:""&amp;A48,""price"")"),51.6)</f>
        <v>51.6</v>
      </c>
      <c r="C48" s="14">
        <f t="shared" ca="1" si="0"/>
        <v>0</v>
      </c>
      <c r="D48" s="14">
        <f ca="1">IFERROR(__xludf.DUMMYFUNCTION("googlefinance(""nse:""&amp;A48,""changepct"")"),-1.34)</f>
        <v>-1.34</v>
      </c>
      <c r="E48" s="14">
        <f ca="1">IFERROR(__xludf.DUMMYFUNCTION("googlefinance(""nse:""&amp;A48,""change"")"),-0.7)</f>
        <v>-0.7</v>
      </c>
      <c r="F48" s="14">
        <f ca="1">IFERROR(__xludf.DUMMYFUNCTION("googlefinance(""nse:""&amp;A48,""priceopen"")"),53.9)</f>
        <v>53.9</v>
      </c>
      <c r="G48" s="14">
        <f ca="1">IFERROR(__xludf.DUMMYFUNCTION("googlefinance(""nse:""&amp;A48,""HIGH"")"),54.4)</f>
        <v>54.4</v>
      </c>
      <c r="H48" s="14">
        <f ca="1">IFERROR(__xludf.DUMMYFUNCTION("googlefinance(""nse:""&amp;A48,""LOW"")"),50.8)</f>
        <v>50.8</v>
      </c>
      <c r="I48" s="14" t="str">
        <f ca="1">IFERROR(__xludf.DUMMYFUNCTION("INDEX( GoogleFinance( ""NSE:""&amp;A48 , ""all"" , TODAY()-2) , 2, 5)"),"#N/A")</f>
        <v>#N/A</v>
      </c>
      <c r="J48" s="17">
        <f t="shared" ca="1" si="1"/>
        <v>2.7999999999999972</v>
      </c>
      <c r="K48" s="17">
        <f t="shared" ca="1" si="2"/>
        <v>3.6000000000000014</v>
      </c>
      <c r="L48" s="17">
        <f t="shared" ca="1" si="3"/>
        <v>3.1000000000000014</v>
      </c>
      <c r="M48" s="19" t="str">
        <f t="shared" ca="1" si="4"/>
        <v/>
      </c>
      <c r="N48" s="19" t="str">
        <f t="shared" ca="1" si="5"/>
        <v/>
      </c>
      <c r="O48" s="19" t="str">
        <f t="shared" ca="1" si="6"/>
        <v/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12" t="s">
        <v>100</v>
      </c>
      <c r="B49" s="14">
        <f ca="1">IFERROR(__xludf.DUMMYFUNCTION("googlefinance(""nse:""&amp;A49,""price"")"),710.3)</f>
        <v>710.3</v>
      </c>
      <c r="C49" s="14">
        <f t="shared" ca="1" si="0"/>
        <v>0</v>
      </c>
      <c r="D49" s="14">
        <f ca="1">IFERROR(__xludf.DUMMYFUNCTION("googlefinance(""nse:""&amp;A49,""changepct"")"),-0.66)</f>
        <v>-0.66</v>
      </c>
      <c r="E49" s="14">
        <f ca="1">IFERROR(__xludf.DUMMYFUNCTION("googlefinance(""nse:""&amp;A49,""change"")"),-4.7)</f>
        <v>-4.7</v>
      </c>
      <c r="F49" s="14">
        <f ca="1">IFERROR(__xludf.DUMMYFUNCTION("googlefinance(""nse:""&amp;A49,""priceopen"")"),728.8)</f>
        <v>728.8</v>
      </c>
      <c r="G49" s="14">
        <f ca="1">IFERROR(__xludf.DUMMYFUNCTION("googlefinance(""nse:""&amp;A49,""HIGH"")"),738.75)</f>
        <v>738.75</v>
      </c>
      <c r="H49" s="14">
        <f ca="1">IFERROR(__xludf.DUMMYFUNCTION("googlefinance(""nse:""&amp;A49,""LOW"")"),708.5)</f>
        <v>708.5</v>
      </c>
      <c r="I49" s="14" t="str">
        <f ca="1">IFERROR(__xludf.DUMMYFUNCTION("INDEX( GoogleFinance( ""NSE:""&amp;A49 , ""all"" , TODAY()-2) , 2, 5)"),"#N/A")</f>
        <v>#N/A</v>
      </c>
      <c r="J49" s="17">
        <f t="shared" ca="1" si="1"/>
        <v>28.450000000000045</v>
      </c>
      <c r="K49" s="17">
        <f t="shared" ca="1" si="2"/>
        <v>30.25</v>
      </c>
      <c r="L49" s="17">
        <f t="shared" ca="1" si="3"/>
        <v>20.299999999999955</v>
      </c>
      <c r="M49" s="19" t="str">
        <f t="shared" ca="1" si="4"/>
        <v/>
      </c>
      <c r="N49" s="19" t="str">
        <f t="shared" ca="1" si="5"/>
        <v/>
      </c>
      <c r="O49" s="19" t="str">
        <f t="shared" ca="1" si="6"/>
        <v/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12" t="s">
        <v>101</v>
      </c>
      <c r="B50" s="14">
        <f ca="1">IFERROR(__xludf.DUMMYFUNCTION("googlefinance(""nse:""&amp;A50,""price"")"),157.55)</f>
        <v>157.55000000000001</v>
      </c>
      <c r="C50" s="14">
        <f t="shared" ca="1" si="0"/>
        <v>0</v>
      </c>
      <c r="D50" s="14">
        <f ca="1">IFERROR(__xludf.DUMMYFUNCTION("googlefinance(""nse:""&amp;A50,""changepct"")"),1.48)</f>
        <v>1.48</v>
      </c>
      <c r="E50" s="14">
        <f ca="1">IFERROR(__xludf.DUMMYFUNCTION("googlefinance(""nse:""&amp;A50,""change"")"),2.3)</f>
        <v>2.2999999999999998</v>
      </c>
      <c r="F50" s="14">
        <f ca="1">IFERROR(__xludf.DUMMYFUNCTION("googlefinance(""nse:""&amp;A50,""priceopen"")"),160)</f>
        <v>160</v>
      </c>
      <c r="G50" s="14">
        <f ca="1">IFERROR(__xludf.DUMMYFUNCTION("googlefinance(""nse:""&amp;A50,""HIGH"")"),163.35)</f>
        <v>163.35</v>
      </c>
      <c r="H50" s="14">
        <f ca="1">IFERROR(__xludf.DUMMYFUNCTION("googlefinance(""nse:""&amp;A50,""LOW"")"),155.25)</f>
        <v>155.25</v>
      </c>
      <c r="I50" s="14" t="str">
        <f ca="1">IFERROR(__xludf.DUMMYFUNCTION("INDEX( GoogleFinance( ""NSE:""&amp;A50 , ""all"" , TODAY()-2) , 2, 5)"),"#N/A")</f>
        <v>#N/A</v>
      </c>
      <c r="J50" s="17">
        <f t="shared" ca="1" si="1"/>
        <v>5.7999999999999829</v>
      </c>
      <c r="K50" s="17">
        <f t="shared" ca="1" si="2"/>
        <v>8.0999999999999943</v>
      </c>
      <c r="L50" s="17">
        <f t="shared" ca="1" si="3"/>
        <v>4.75</v>
      </c>
      <c r="M50" s="19" t="str">
        <f t="shared" ca="1" si="4"/>
        <v/>
      </c>
      <c r="N50" s="19" t="str">
        <f t="shared" ca="1" si="5"/>
        <v/>
      </c>
      <c r="O50" s="19" t="str">
        <f t="shared" ca="1" si="6"/>
        <v/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12" t="s">
        <v>102</v>
      </c>
      <c r="B51" s="14">
        <f ca="1">IFERROR(__xludf.DUMMYFUNCTION("googlefinance(""nse:""&amp;A51,""price"")"),48.65)</f>
        <v>48.65</v>
      </c>
      <c r="C51" s="14">
        <f t="shared" ca="1" si="0"/>
        <v>0</v>
      </c>
      <c r="D51" s="14">
        <f ca="1">IFERROR(__xludf.DUMMYFUNCTION("googlefinance(""nse:""&amp;A51,""changepct"")"),4.62)</f>
        <v>4.62</v>
      </c>
      <c r="E51" s="14">
        <f ca="1">IFERROR(__xludf.DUMMYFUNCTION("googlefinance(""nse:""&amp;A51,""change"")"),2.15)</f>
        <v>2.15</v>
      </c>
      <c r="F51" s="14">
        <f ca="1">IFERROR(__xludf.DUMMYFUNCTION("googlefinance(""nse:""&amp;A51,""priceopen"")"),47.05)</f>
        <v>47.05</v>
      </c>
      <c r="G51" s="14">
        <f ca="1">IFERROR(__xludf.DUMMYFUNCTION("googlefinance(""nse:""&amp;A51,""HIGH"")"),50.75)</f>
        <v>50.75</v>
      </c>
      <c r="H51" s="14">
        <f ca="1">IFERROR(__xludf.DUMMYFUNCTION("googlefinance(""nse:""&amp;A51,""LOW"")"),46.6)</f>
        <v>46.6</v>
      </c>
      <c r="I51" s="14" t="str">
        <f ca="1">IFERROR(__xludf.DUMMYFUNCTION("INDEX( GoogleFinance( ""NSE:""&amp;A51 , ""all"" , TODAY()-2) , 2, 5)"),"#N/A")</f>
        <v>#N/A</v>
      </c>
      <c r="J51" s="17">
        <f t="shared" ca="1" si="1"/>
        <v>2.1000000000000014</v>
      </c>
      <c r="K51" s="17">
        <f t="shared" ca="1" si="2"/>
        <v>4.1499999999999986</v>
      </c>
      <c r="L51" s="17">
        <f t="shared" ca="1" si="3"/>
        <v>0.44999999999999574</v>
      </c>
      <c r="M51" s="19" t="str">
        <f t="shared" ca="1" si="4"/>
        <v/>
      </c>
      <c r="N51" s="19" t="str">
        <f t="shared" ca="1" si="5"/>
        <v/>
      </c>
      <c r="O51" s="19" t="str">
        <f t="shared" ca="1" si="6"/>
        <v/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12" t="s">
        <v>104</v>
      </c>
      <c r="B52" s="14">
        <f ca="1">IFERROR(__xludf.DUMMYFUNCTION("googlefinance(""nse:""&amp;A52,""price"")"),94.85)</f>
        <v>94.85</v>
      </c>
      <c r="C52" s="14">
        <f t="shared" ca="1" si="0"/>
        <v>0</v>
      </c>
      <c r="D52" s="14">
        <f ca="1">IFERROR(__xludf.DUMMYFUNCTION("googlefinance(""nse:""&amp;A52,""changepct"")"),6.45)</f>
        <v>6.45</v>
      </c>
      <c r="E52" s="14">
        <f ca="1">IFERROR(__xludf.DUMMYFUNCTION("googlefinance(""nse:""&amp;A52,""change"")"),5.75)</f>
        <v>5.75</v>
      </c>
      <c r="F52" s="14">
        <f ca="1">IFERROR(__xludf.DUMMYFUNCTION("googlefinance(""nse:""&amp;A52,""priceopen"")"),91.5)</f>
        <v>91.5</v>
      </c>
      <c r="G52" s="14">
        <f ca="1">IFERROR(__xludf.DUMMYFUNCTION("googlefinance(""nse:""&amp;A52,""HIGH"")"),96.55)</f>
        <v>96.55</v>
      </c>
      <c r="H52" s="14">
        <f ca="1">IFERROR(__xludf.DUMMYFUNCTION("googlefinance(""nse:""&amp;A52,""LOW"")"),91.3)</f>
        <v>91.3</v>
      </c>
      <c r="I52" s="14" t="str">
        <f ca="1">IFERROR(__xludf.DUMMYFUNCTION("INDEX( GoogleFinance( ""NSE:""&amp;A52 , ""all"" , TODAY()-2) , 2, 5)"),"#N/A")</f>
        <v>#N/A</v>
      </c>
      <c r="J52" s="17">
        <f t="shared" ca="1" si="1"/>
        <v>1.7000000000000028</v>
      </c>
      <c r="K52" s="17">
        <f t="shared" ca="1" si="2"/>
        <v>5.25</v>
      </c>
      <c r="L52" s="17">
        <f t="shared" ca="1" si="3"/>
        <v>0.20000000000000284</v>
      </c>
      <c r="M52" s="19" t="str">
        <f t="shared" ca="1" si="4"/>
        <v/>
      </c>
      <c r="N52" s="19" t="str">
        <f t="shared" ca="1" si="5"/>
        <v/>
      </c>
      <c r="O52" s="19" t="str">
        <f t="shared" ca="1" si="6"/>
        <v/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12" t="s">
        <v>105</v>
      </c>
      <c r="B53" s="14">
        <f ca="1">IFERROR(__xludf.DUMMYFUNCTION("googlefinance(""nse:""&amp;A53,""price"")"),337.5)</f>
        <v>337.5</v>
      </c>
      <c r="C53" s="14">
        <f t="shared" ca="1" si="0"/>
        <v>0</v>
      </c>
      <c r="D53" s="14">
        <f ca="1">IFERROR(__xludf.DUMMYFUNCTION("googlefinance(""nse:""&amp;A53,""changepct"")"),2.37)</f>
        <v>2.37</v>
      </c>
      <c r="E53" s="14">
        <f ca="1">IFERROR(__xludf.DUMMYFUNCTION("googlefinance(""nse:""&amp;A53,""change"")"),7.8)</f>
        <v>7.8</v>
      </c>
      <c r="F53" s="14">
        <f ca="1">IFERROR(__xludf.DUMMYFUNCTION("googlefinance(""nse:""&amp;A53,""priceopen"")"),354)</f>
        <v>354</v>
      </c>
      <c r="G53" s="14">
        <f ca="1">IFERROR(__xludf.DUMMYFUNCTION("googlefinance(""nse:""&amp;A53,""HIGH"")"),359)</f>
        <v>359</v>
      </c>
      <c r="H53" s="14">
        <f ca="1">IFERROR(__xludf.DUMMYFUNCTION("googlefinance(""nse:""&amp;A53,""LOW"")"),335.8)</f>
        <v>335.8</v>
      </c>
      <c r="I53" s="14" t="str">
        <f ca="1">IFERROR(__xludf.DUMMYFUNCTION("INDEX( GoogleFinance( ""NSE:""&amp;A53 , ""all"" , TODAY()-2) , 2, 5)"),"#N/A")</f>
        <v>#N/A</v>
      </c>
      <c r="J53" s="17">
        <f t="shared" ca="1" si="1"/>
        <v>21.5</v>
      </c>
      <c r="K53" s="17">
        <f t="shared" ca="1" si="2"/>
        <v>23.199999999999989</v>
      </c>
      <c r="L53" s="17">
        <f t="shared" ca="1" si="3"/>
        <v>18.199999999999989</v>
      </c>
      <c r="M53" s="19" t="str">
        <f t="shared" ca="1" si="4"/>
        <v/>
      </c>
      <c r="N53" s="19" t="str">
        <f t="shared" ca="1" si="5"/>
        <v/>
      </c>
      <c r="O53" s="19" t="str">
        <f t="shared" ca="1" si="6"/>
        <v/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12" t="s">
        <v>107</v>
      </c>
      <c r="B54" s="14">
        <f ca="1">IFERROR(__xludf.DUMMYFUNCTION("googlefinance(""nse:""&amp;A54,""price"")"),17.05)</f>
        <v>17.05</v>
      </c>
      <c r="C54" s="14">
        <f t="shared" ca="1" si="0"/>
        <v>0</v>
      </c>
      <c r="D54" s="14">
        <f ca="1">IFERROR(__xludf.DUMMYFUNCTION("googlefinance(""nse:""&amp;A54,""changepct"")"),0.59)</f>
        <v>0.59</v>
      </c>
      <c r="E54" s="14">
        <f ca="1">IFERROR(__xludf.DUMMYFUNCTION("googlefinance(""nse:""&amp;A54,""change"")"),0.1)</f>
        <v>0.1</v>
      </c>
      <c r="F54" s="14">
        <f ca="1">IFERROR(__xludf.DUMMYFUNCTION("googlefinance(""nse:""&amp;A54,""priceopen"")"),17.2)</f>
        <v>17.2</v>
      </c>
      <c r="G54" s="14">
        <f ca="1">IFERROR(__xludf.DUMMYFUNCTION("googlefinance(""nse:""&amp;A54,""HIGH"")"),17.6)</f>
        <v>17.600000000000001</v>
      </c>
      <c r="H54" s="14">
        <f ca="1">IFERROR(__xludf.DUMMYFUNCTION("googlefinance(""nse:""&amp;A54,""LOW"")"),17)</f>
        <v>17</v>
      </c>
      <c r="I54" s="14" t="str">
        <f ca="1">IFERROR(__xludf.DUMMYFUNCTION("INDEX( GoogleFinance( ""NSE:""&amp;A54 , ""all"" , TODAY()-2) , 2, 5)"),"#N/A")</f>
        <v>#N/A</v>
      </c>
      <c r="J54" s="17">
        <f t="shared" ca="1" si="1"/>
        <v>0.55000000000000071</v>
      </c>
      <c r="K54" s="17">
        <f t="shared" ca="1" si="2"/>
        <v>0.60000000000000142</v>
      </c>
      <c r="L54" s="17">
        <f t="shared" ca="1" si="3"/>
        <v>0.19999999999999929</v>
      </c>
      <c r="M54" s="19" t="str">
        <f t="shared" ca="1" si="4"/>
        <v/>
      </c>
      <c r="N54" s="19" t="str">
        <f t="shared" ca="1" si="5"/>
        <v/>
      </c>
      <c r="O54" s="19" t="str">
        <f t="shared" ca="1" si="6"/>
        <v/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12" t="s">
        <v>109</v>
      </c>
      <c r="B55" s="14">
        <f ca="1">IFERROR(__xludf.DUMMYFUNCTION("googlefinance(""nse:""&amp;A55,""price"")"),543)</f>
        <v>543</v>
      </c>
      <c r="C55" s="14">
        <f t="shared" ca="1" si="0"/>
        <v>0</v>
      </c>
      <c r="D55" s="14">
        <f ca="1">IFERROR(__xludf.DUMMYFUNCTION("googlefinance(""nse:""&amp;A55,""changepct"")"),1.22)</f>
        <v>1.22</v>
      </c>
      <c r="E55" s="14">
        <f ca="1">IFERROR(__xludf.DUMMYFUNCTION("googlefinance(""nse:""&amp;A55,""change"")"),6.55)</f>
        <v>6.55</v>
      </c>
      <c r="F55" s="14">
        <f ca="1">IFERROR(__xludf.DUMMYFUNCTION("googlefinance(""nse:""&amp;A55,""priceopen"")"),540.55)</f>
        <v>540.54999999999995</v>
      </c>
      <c r="G55" s="14">
        <f ca="1">IFERROR(__xludf.DUMMYFUNCTION("googlefinance(""nse:""&amp;A55,""HIGH"")"),546.9)</f>
        <v>546.9</v>
      </c>
      <c r="H55" s="14">
        <f ca="1">IFERROR(__xludf.DUMMYFUNCTION("googlefinance(""nse:""&amp;A55,""LOW"")"),528)</f>
        <v>528</v>
      </c>
      <c r="I55" s="14" t="str">
        <f ca="1">IFERROR(__xludf.DUMMYFUNCTION("INDEX( GoogleFinance( ""NSE:""&amp;A55 , ""all"" , TODAY()-2) , 2, 5)"),"#N/A")</f>
        <v>#N/A</v>
      </c>
      <c r="J55" s="17">
        <f t="shared" ca="1" si="1"/>
        <v>3.8999999999999773</v>
      </c>
      <c r="K55" s="17">
        <f t="shared" ca="1" si="2"/>
        <v>18.899999999999977</v>
      </c>
      <c r="L55" s="17">
        <f t="shared" ca="1" si="3"/>
        <v>12.549999999999955</v>
      </c>
      <c r="M55" s="19" t="str">
        <f t="shared" ca="1" si="4"/>
        <v/>
      </c>
      <c r="N55" s="19" t="str">
        <f t="shared" ca="1" si="5"/>
        <v/>
      </c>
      <c r="O55" s="19" t="str">
        <f t="shared" ca="1" si="6"/>
        <v/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12" t="s">
        <v>110</v>
      </c>
      <c r="B56" s="14">
        <f ca="1">IFERROR(__xludf.DUMMYFUNCTION("googlefinance(""nse:""&amp;A56,""price"")"),673.3)</f>
        <v>673.3</v>
      </c>
      <c r="C56" s="14" t="str">
        <f t="shared" ca="1" si="0"/>
        <v>BUY</v>
      </c>
      <c r="D56" s="14">
        <f ca="1">IFERROR(__xludf.DUMMYFUNCTION("googlefinance(""nse:""&amp;A56,""changepct"")"),1.64)</f>
        <v>1.64</v>
      </c>
      <c r="E56" s="14">
        <f ca="1">IFERROR(__xludf.DUMMYFUNCTION("googlefinance(""nse:""&amp;A56,""change"")"),10.85)</f>
        <v>10.85</v>
      </c>
      <c r="F56" s="14">
        <f ca="1">IFERROR(__xludf.DUMMYFUNCTION("googlefinance(""nse:""&amp;A56,""priceopen"")"),668)</f>
        <v>668</v>
      </c>
      <c r="G56" s="14">
        <f ca="1">IFERROR(__xludf.DUMMYFUNCTION("googlefinance(""nse:""&amp;A56,""HIGH"")"),699.5)</f>
        <v>699.5</v>
      </c>
      <c r="H56" s="14">
        <f ca="1">IFERROR(__xludf.DUMMYFUNCTION("googlefinance(""nse:""&amp;A56,""LOW"")"),668)</f>
        <v>668</v>
      </c>
      <c r="I56" s="14" t="str">
        <f ca="1">IFERROR(__xludf.DUMMYFUNCTION("INDEX( GoogleFinance( ""NSE:""&amp;A56 , ""all"" , TODAY()-2) , 2, 5)"),"#N/A")</f>
        <v>#N/A</v>
      </c>
      <c r="J56" s="17">
        <f t="shared" ca="1" si="1"/>
        <v>26.200000000000045</v>
      </c>
      <c r="K56" s="17">
        <f t="shared" ca="1" si="2"/>
        <v>31.5</v>
      </c>
      <c r="L56" s="17">
        <f t="shared" ca="1" si="3"/>
        <v>0</v>
      </c>
      <c r="M56" s="19" t="str">
        <f t="shared" ca="1" si="4"/>
        <v/>
      </c>
      <c r="N56" s="19" t="str">
        <f t="shared" ca="1" si="5"/>
        <v/>
      </c>
      <c r="O56" s="19" t="str">
        <f t="shared" ca="1" si="6"/>
        <v/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12" t="s">
        <v>112</v>
      </c>
      <c r="B57" s="14">
        <f ca="1">IFERROR(__xludf.DUMMYFUNCTION("googlefinance(""nse:""&amp;A57,""price"")"),507.95)</f>
        <v>507.95</v>
      </c>
      <c r="C57" s="14">
        <f t="shared" ca="1" si="0"/>
        <v>0</v>
      </c>
      <c r="D57" s="14">
        <f ca="1">IFERROR(__xludf.DUMMYFUNCTION("googlefinance(""nse:""&amp;A57,""changepct"")"),1.2)</f>
        <v>1.2</v>
      </c>
      <c r="E57" s="14">
        <f ca="1">IFERROR(__xludf.DUMMYFUNCTION("googlefinance(""nse:""&amp;A57,""change"")"),6)</f>
        <v>6</v>
      </c>
      <c r="F57" s="14">
        <f ca="1">IFERROR(__xludf.DUMMYFUNCTION("googlefinance(""nse:""&amp;A57,""priceopen"")"),505)</f>
        <v>505</v>
      </c>
      <c r="G57" s="14">
        <f ca="1">IFERROR(__xludf.DUMMYFUNCTION("googlefinance(""nse:""&amp;A57,""HIGH"")"),515)</f>
        <v>515</v>
      </c>
      <c r="H57" s="14">
        <f ca="1">IFERROR(__xludf.DUMMYFUNCTION("googlefinance(""nse:""&amp;A57,""LOW"")"),501.3)</f>
        <v>501.3</v>
      </c>
      <c r="I57" s="14" t="str">
        <f ca="1">IFERROR(__xludf.DUMMYFUNCTION("INDEX( GoogleFinance( ""NSE:""&amp;A57 , ""all"" , TODAY()-2) , 2, 5)"),"#N/A")</f>
        <v>#N/A</v>
      </c>
      <c r="J57" s="17">
        <f t="shared" ca="1" si="1"/>
        <v>7.0500000000000114</v>
      </c>
      <c r="K57" s="17">
        <f t="shared" ca="1" si="2"/>
        <v>13.699999999999989</v>
      </c>
      <c r="L57" s="17">
        <f t="shared" ca="1" si="3"/>
        <v>3.6999999999999886</v>
      </c>
      <c r="M57" s="19" t="str">
        <f t="shared" ca="1" si="4"/>
        <v/>
      </c>
      <c r="N57" s="19" t="str">
        <f t="shared" ca="1" si="5"/>
        <v/>
      </c>
      <c r="O57" s="19" t="str">
        <f t="shared" ca="1" si="6"/>
        <v/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12" t="s">
        <v>114</v>
      </c>
      <c r="B58" s="14">
        <f ca="1">IFERROR(__xludf.DUMMYFUNCTION("googlefinance(""nse:""&amp;A58,""price"")"),563)</f>
        <v>563</v>
      </c>
      <c r="C58" s="14">
        <f t="shared" ca="1" si="0"/>
        <v>0</v>
      </c>
      <c r="D58" s="14">
        <f ca="1">IFERROR(__xludf.DUMMYFUNCTION("googlefinance(""nse:""&amp;A58,""changepct"")"),3.71)</f>
        <v>3.71</v>
      </c>
      <c r="E58" s="14">
        <f ca="1">IFERROR(__xludf.DUMMYFUNCTION("googlefinance(""nse:""&amp;A58,""change"")"),20.15)</f>
        <v>20.149999999999999</v>
      </c>
      <c r="F58" s="14">
        <f ca="1">IFERROR(__xludf.DUMMYFUNCTION("googlefinance(""nse:""&amp;A58,""priceopen"")"),552.25)</f>
        <v>552.25</v>
      </c>
      <c r="G58" s="14">
        <f ca="1">IFERROR(__xludf.DUMMYFUNCTION("googlefinance(""nse:""&amp;A58,""HIGH"")"),565.75)</f>
        <v>565.75</v>
      </c>
      <c r="H58" s="14">
        <f ca="1">IFERROR(__xludf.DUMMYFUNCTION("googlefinance(""nse:""&amp;A58,""LOW"")"),544.7)</f>
        <v>544.70000000000005</v>
      </c>
      <c r="I58" s="14" t="str">
        <f ca="1">IFERROR(__xludf.DUMMYFUNCTION("INDEX( GoogleFinance( ""NSE:""&amp;A58 , ""all"" , TODAY()-2) , 2, 5)"),"#N/A")</f>
        <v>#N/A</v>
      </c>
      <c r="J58" s="17">
        <f t="shared" ca="1" si="1"/>
        <v>2.75</v>
      </c>
      <c r="K58" s="17">
        <f t="shared" ca="1" si="2"/>
        <v>21.049999999999955</v>
      </c>
      <c r="L58" s="17">
        <f t="shared" ca="1" si="3"/>
        <v>7.5499999999999545</v>
      </c>
      <c r="M58" s="19" t="str">
        <f t="shared" ca="1" si="4"/>
        <v/>
      </c>
      <c r="N58" s="19" t="str">
        <f t="shared" ca="1" si="5"/>
        <v/>
      </c>
      <c r="O58" s="19" t="str">
        <f t="shared" ca="1" si="6"/>
        <v/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12" t="s">
        <v>115</v>
      </c>
      <c r="B59" s="14">
        <f ca="1">IFERROR(__xludf.DUMMYFUNCTION("googlefinance(""nse:""&amp;A59,""price"")"),545)</f>
        <v>545</v>
      </c>
      <c r="C59" s="14">
        <f t="shared" ca="1" si="0"/>
        <v>0</v>
      </c>
      <c r="D59" s="14">
        <f ca="1">IFERROR(__xludf.DUMMYFUNCTION("googlefinance(""nse:""&amp;A59,""changepct"")"),10.83)</f>
        <v>10.83</v>
      </c>
      <c r="E59" s="14">
        <f ca="1">IFERROR(__xludf.DUMMYFUNCTION("googlefinance(""nse:""&amp;A59,""change"")"),53.25)</f>
        <v>53.25</v>
      </c>
      <c r="F59" s="14">
        <f ca="1">IFERROR(__xludf.DUMMYFUNCTION("googlefinance(""nse:""&amp;A59,""priceopen"")"),506.5)</f>
        <v>506.5</v>
      </c>
      <c r="G59" s="14">
        <f ca="1">IFERROR(__xludf.DUMMYFUNCTION("googlefinance(""nse:""&amp;A59,""HIGH"")"),565.5)</f>
        <v>565.5</v>
      </c>
      <c r="H59" s="14">
        <f ca="1">IFERROR(__xludf.DUMMYFUNCTION("googlefinance(""nse:""&amp;A59,""LOW"")"),501)</f>
        <v>501</v>
      </c>
      <c r="I59" s="14" t="str">
        <f ca="1">IFERROR(__xludf.DUMMYFUNCTION("INDEX( GoogleFinance( ""NSE:""&amp;A59 , ""all"" , TODAY()-2) , 2, 5)"),"#N/A")</f>
        <v>#N/A</v>
      </c>
      <c r="J59" s="17">
        <f t="shared" ca="1" si="1"/>
        <v>20.5</v>
      </c>
      <c r="K59" s="17">
        <f t="shared" ca="1" si="2"/>
        <v>64.5</v>
      </c>
      <c r="L59" s="17">
        <f t="shared" ca="1" si="3"/>
        <v>5.5</v>
      </c>
      <c r="M59" s="19" t="str">
        <f t="shared" ca="1" si="4"/>
        <v/>
      </c>
      <c r="N59" s="19" t="str">
        <f t="shared" ca="1" si="5"/>
        <v/>
      </c>
      <c r="O59" s="19" t="str">
        <f t="shared" ca="1" si="6"/>
        <v/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12" t="s">
        <v>116</v>
      </c>
      <c r="B60" s="14">
        <f ca="1">IFERROR(__xludf.DUMMYFUNCTION("googlefinance(""nse:""&amp;A60,""price"")"),1916.15)</f>
        <v>1916.15</v>
      </c>
      <c r="C60" s="14">
        <f t="shared" ca="1" si="0"/>
        <v>0</v>
      </c>
      <c r="D60" s="14">
        <f ca="1">IFERROR(__xludf.DUMMYFUNCTION("googlefinance(""nse:""&amp;A60,""changepct"")"),4.32)</f>
        <v>4.32</v>
      </c>
      <c r="E60" s="14">
        <f ca="1">IFERROR(__xludf.DUMMYFUNCTION("googlefinance(""nse:""&amp;A60,""change"")"),79.4)</f>
        <v>79.400000000000006</v>
      </c>
      <c r="F60" s="14">
        <f ca="1">IFERROR(__xludf.DUMMYFUNCTION("googlefinance(""nse:""&amp;A60,""priceopen"")"),1857)</f>
        <v>1857</v>
      </c>
      <c r="G60" s="14">
        <f ca="1">IFERROR(__xludf.DUMMYFUNCTION("googlefinance(""nse:""&amp;A60,""HIGH"")"),1927)</f>
        <v>1927</v>
      </c>
      <c r="H60" s="14">
        <f ca="1">IFERROR(__xludf.DUMMYFUNCTION("googlefinance(""nse:""&amp;A60,""LOW"")"),1855.5)</f>
        <v>1855.5</v>
      </c>
      <c r="I60" s="14" t="str">
        <f ca="1">IFERROR(__xludf.DUMMYFUNCTION("INDEX( GoogleFinance( ""NSE:""&amp;A60 , ""all"" , TODAY()-2) , 2, 5)"),"#N/A")</f>
        <v>#N/A</v>
      </c>
      <c r="J60" s="17">
        <f t="shared" ca="1" si="1"/>
        <v>10.849999999999909</v>
      </c>
      <c r="K60" s="17">
        <f t="shared" ca="1" si="2"/>
        <v>71.5</v>
      </c>
      <c r="L60" s="17">
        <f t="shared" ca="1" si="3"/>
        <v>1.5</v>
      </c>
      <c r="M60" s="19" t="str">
        <f t="shared" ca="1" si="4"/>
        <v/>
      </c>
      <c r="N60" s="19" t="str">
        <f t="shared" ca="1" si="5"/>
        <v/>
      </c>
      <c r="O60" s="19" t="str">
        <f t="shared" ca="1" si="6"/>
        <v/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12" t="s">
        <v>117</v>
      </c>
      <c r="B61" s="14">
        <f ca="1">IFERROR(__xludf.DUMMYFUNCTION("googlefinance(""nse:""&amp;A61,""price"")"),1000)</f>
        <v>1000</v>
      </c>
      <c r="C61" s="14">
        <f t="shared" ca="1" si="0"/>
        <v>0</v>
      </c>
      <c r="D61" s="14">
        <f ca="1">IFERROR(__xludf.DUMMYFUNCTION("googlefinance(""nse:""&amp;A61,""changepct"")"),2.34)</f>
        <v>2.34</v>
      </c>
      <c r="E61" s="14">
        <f ca="1">IFERROR(__xludf.DUMMYFUNCTION("googlefinance(""nse:""&amp;A61,""change"")"),22.9)</f>
        <v>22.9</v>
      </c>
      <c r="F61" s="14">
        <f ca="1">IFERROR(__xludf.DUMMYFUNCTION("googlefinance(""nse:""&amp;A61,""priceopen"")"),1001.4)</f>
        <v>1001.4</v>
      </c>
      <c r="G61" s="14">
        <f ca="1">IFERROR(__xludf.DUMMYFUNCTION("googlefinance(""nse:""&amp;A61,""HIGH"")"),1019)</f>
        <v>1019</v>
      </c>
      <c r="H61" s="14">
        <f ca="1">IFERROR(__xludf.DUMMYFUNCTION("googlefinance(""nse:""&amp;A61,""LOW"")"),992.1)</f>
        <v>992.1</v>
      </c>
      <c r="I61" s="14" t="str">
        <f ca="1">IFERROR(__xludf.DUMMYFUNCTION("INDEX( GoogleFinance( ""NSE:""&amp;A61 , ""all"" , TODAY()-2) , 2, 5)"),"#N/A")</f>
        <v>#N/A</v>
      </c>
      <c r="J61" s="17">
        <f t="shared" ca="1" si="1"/>
        <v>19</v>
      </c>
      <c r="K61" s="17">
        <f t="shared" ca="1" si="2"/>
        <v>26.899999999999977</v>
      </c>
      <c r="L61" s="17">
        <f t="shared" ca="1" si="3"/>
        <v>9.2999999999999545</v>
      </c>
      <c r="M61" s="19" t="str">
        <f t="shared" ca="1" si="4"/>
        <v/>
      </c>
      <c r="N61" s="19" t="str">
        <f t="shared" ca="1" si="5"/>
        <v/>
      </c>
      <c r="O61" s="19" t="str">
        <f t="shared" ca="1" si="6"/>
        <v/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12" t="s">
        <v>118</v>
      </c>
      <c r="B62" s="14">
        <f ca="1">IFERROR(__xludf.DUMMYFUNCTION("googlefinance(""nse:""&amp;A62,""price"")"),499.25)</f>
        <v>499.25</v>
      </c>
      <c r="C62" s="14">
        <f t="shared" ca="1" si="0"/>
        <v>0</v>
      </c>
      <c r="D62" s="14">
        <f ca="1">IFERROR(__xludf.DUMMYFUNCTION("googlefinance(""nse:""&amp;A62,""changepct"")"),1.3)</f>
        <v>1.3</v>
      </c>
      <c r="E62" s="14">
        <f ca="1">IFERROR(__xludf.DUMMYFUNCTION("googlefinance(""nse:""&amp;A62,""change"")"),-2)</f>
        <v>-2</v>
      </c>
      <c r="F62" s="14">
        <f ca="1">IFERROR(__xludf.DUMMYFUNCTION("googlefinance(""nse:""&amp;A62,""priceopen"")"),500)</f>
        <v>500</v>
      </c>
      <c r="G62" s="14">
        <f ca="1">IFERROR(__xludf.DUMMYFUNCTION("googlefinance(""nse:""&amp;A62,""HIGH"")"),510.7)</f>
        <v>510.7</v>
      </c>
      <c r="H62" s="14">
        <f ca="1">IFERROR(__xludf.DUMMYFUNCTION("googlefinance(""nse:""&amp;A62,""LOW"")"),493.15)</f>
        <v>493.15</v>
      </c>
      <c r="I62" s="14" t="str">
        <f ca="1">IFERROR(__xludf.DUMMYFUNCTION("INDEX( GoogleFinance( ""NSE:""&amp;A62 , ""all"" , TODAY()-2) , 2, 5)"),"#N/A")</f>
        <v>#N/A</v>
      </c>
      <c r="J62" s="17">
        <f t="shared" ca="1" si="1"/>
        <v>11.449999999999989</v>
      </c>
      <c r="K62" s="17">
        <f t="shared" ca="1" si="2"/>
        <v>17.550000000000011</v>
      </c>
      <c r="L62" s="17">
        <f t="shared" ca="1" si="3"/>
        <v>6.8500000000000227</v>
      </c>
      <c r="M62" s="19" t="str">
        <f t="shared" ca="1" si="4"/>
        <v/>
      </c>
      <c r="N62" s="19" t="str">
        <f t="shared" ca="1" si="5"/>
        <v/>
      </c>
      <c r="O62" s="19" t="str">
        <f t="shared" ca="1" si="6"/>
        <v/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12" t="s">
        <v>120</v>
      </c>
      <c r="B63" s="14">
        <f ca="1">IFERROR(__xludf.DUMMYFUNCTION("googlefinance(""nse:""&amp;A63,""price"")"),2153)</f>
        <v>2153</v>
      </c>
      <c r="C63" s="14">
        <f t="shared" ca="1" si="0"/>
        <v>0</v>
      </c>
      <c r="D63" s="14">
        <f ca="1">IFERROR(__xludf.DUMMYFUNCTION("googlefinance(""nse:""&amp;A63,""changepct"")"),9.28)</f>
        <v>9.2799999999999994</v>
      </c>
      <c r="E63" s="14">
        <f ca="1">IFERROR(__xludf.DUMMYFUNCTION("googlefinance(""nse:""&amp;A63,""change"")"),182.75)</f>
        <v>182.75</v>
      </c>
      <c r="F63" s="14">
        <f ca="1">IFERROR(__xludf.DUMMYFUNCTION("googlefinance(""nse:""&amp;A63,""priceopen"")"),2017.1)</f>
        <v>2017.1</v>
      </c>
      <c r="G63" s="14">
        <f ca="1">IFERROR(__xludf.DUMMYFUNCTION("googlefinance(""nse:""&amp;A63,""HIGH"")"),2198.1)</f>
        <v>2198.1</v>
      </c>
      <c r="H63" s="14">
        <f ca="1">IFERROR(__xludf.DUMMYFUNCTION("googlefinance(""nse:""&amp;A63,""LOW"")"),1975)</f>
        <v>1975</v>
      </c>
      <c r="I63" s="14" t="str">
        <f ca="1">IFERROR(__xludf.DUMMYFUNCTION("INDEX( GoogleFinance( ""NSE:""&amp;A63 , ""all"" , TODAY()-2) , 2, 5)"),"#N/A")</f>
        <v>#N/A</v>
      </c>
      <c r="J63" s="17">
        <f t="shared" ca="1" si="1"/>
        <v>45.099999999999909</v>
      </c>
      <c r="K63" s="17">
        <f t="shared" ca="1" si="2"/>
        <v>223.09999999999991</v>
      </c>
      <c r="L63" s="17">
        <f t="shared" ca="1" si="3"/>
        <v>42.099999999999909</v>
      </c>
      <c r="M63" s="19" t="str">
        <f t="shared" ca="1" si="4"/>
        <v/>
      </c>
      <c r="N63" s="19" t="str">
        <f t="shared" ca="1" si="5"/>
        <v/>
      </c>
      <c r="O63" s="19" t="str">
        <f t="shared" ca="1" si="6"/>
        <v/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12" t="s">
        <v>122</v>
      </c>
      <c r="B64" s="14">
        <f ca="1">IFERROR(__xludf.DUMMYFUNCTION("googlefinance(""nse:""&amp;A64,""price"")"),130)</f>
        <v>130</v>
      </c>
      <c r="C64" s="14">
        <f t="shared" ca="1" si="0"/>
        <v>0</v>
      </c>
      <c r="D64" s="14">
        <f ca="1">IFERROR(__xludf.DUMMYFUNCTION("googlefinance(""nse:""&amp;A64,""changepct"")"),11.78)</f>
        <v>11.78</v>
      </c>
      <c r="E64" s="14">
        <f ca="1">IFERROR(__xludf.DUMMYFUNCTION("googlefinance(""nse:""&amp;A64,""change"")"),13.7)</f>
        <v>13.7</v>
      </c>
      <c r="F64" s="14">
        <f ca="1">IFERROR(__xludf.DUMMYFUNCTION("googlefinance(""nse:""&amp;A64,""priceopen"")"),120)</f>
        <v>120</v>
      </c>
      <c r="G64" s="14">
        <f ca="1">IFERROR(__xludf.DUMMYFUNCTION("googlefinance(""nse:""&amp;A64,""HIGH"")"),132.2)</f>
        <v>132.19999999999999</v>
      </c>
      <c r="H64" s="14">
        <f ca="1">IFERROR(__xludf.DUMMYFUNCTION("googlefinance(""nse:""&amp;A64,""LOW"")"),119.5)</f>
        <v>119.5</v>
      </c>
      <c r="I64" s="14" t="str">
        <f ca="1">IFERROR(__xludf.DUMMYFUNCTION("INDEX( GoogleFinance( ""NSE:""&amp;A64 , ""all"" , TODAY()-2) , 2, 5)"),"#N/A")</f>
        <v>#N/A</v>
      </c>
      <c r="J64" s="17">
        <f t="shared" ca="1" si="1"/>
        <v>2.1999999999999886</v>
      </c>
      <c r="K64" s="17">
        <f t="shared" ca="1" si="2"/>
        <v>12.699999999999989</v>
      </c>
      <c r="L64" s="17">
        <f t="shared" ca="1" si="3"/>
        <v>0.5</v>
      </c>
      <c r="M64" s="19" t="str">
        <f t="shared" ca="1" si="4"/>
        <v/>
      </c>
      <c r="N64" s="19" t="str">
        <f t="shared" ca="1" si="5"/>
        <v/>
      </c>
      <c r="O64" s="19" t="str">
        <f t="shared" ca="1" si="6"/>
        <v/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12" t="s">
        <v>123</v>
      </c>
      <c r="B65" s="14">
        <f ca="1">IFERROR(__xludf.DUMMYFUNCTION("googlefinance(""nse:""&amp;A65,""price"")"),219.35)</f>
        <v>219.35</v>
      </c>
      <c r="C65" s="14">
        <f t="shared" ca="1" si="0"/>
        <v>0</v>
      </c>
      <c r="D65" s="14">
        <f ca="1">IFERROR(__xludf.DUMMYFUNCTION("googlefinance(""nse:""&amp;A65,""changepct"")"),5.28)</f>
        <v>5.28</v>
      </c>
      <c r="E65" s="14">
        <f ca="1">IFERROR(__xludf.DUMMYFUNCTION("googlefinance(""nse:""&amp;A65,""change"")"),11)</f>
        <v>11</v>
      </c>
      <c r="F65" s="14">
        <f ca="1">IFERROR(__xludf.DUMMYFUNCTION("googlefinance(""nse:""&amp;A65,""priceopen"")"),211.05)</f>
        <v>211.05</v>
      </c>
      <c r="G65" s="14">
        <f ca="1">IFERROR(__xludf.DUMMYFUNCTION("googlefinance(""nse:""&amp;A65,""HIGH"")"),224.4)</f>
        <v>224.4</v>
      </c>
      <c r="H65" s="14">
        <f ca="1">IFERROR(__xludf.DUMMYFUNCTION("googlefinance(""nse:""&amp;A65,""LOW"")"),206.7)</f>
        <v>206.7</v>
      </c>
      <c r="I65" s="14" t="str">
        <f ca="1">IFERROR(__xludf.DUMMYFUNCTION("INDEX( GoogleFinance( ""NSE:""&amp;A65 , ""all"" , TODAY()-2) , 2, 5)"),"#N/A")</f>
        <v>#N/A</v>
      </c>
      <c r="J65" s="17">
        <f t="shared" ca="1" si="1"/>
        <v>5.0500000000000114</v>
      </c>
      <c r="K65" s="17">
        <f t="shared" ca="1" si="2"/>
        <v>17.700000000000017</v>
      </c>
      <c r="L65" s="17">
        <f t="shared" ca="1" si="3"/>
        <v>4.3500000000000227</v>
      </c>
      <c r="M65" s="19" t="str">
        <f t="shared" ca="1" si="4"/>
        <v/>
      </c>
      <c r="N65" s="19" t="str">
        <f t="shared" ca="1" si="5"/>
        <v/>
      </c>
      <c r="O65" s="19" t="str">
        <f t="shared" ca="1" si="6"/>
        <v/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12" t="s">
        <v>126</v>
      </c>
      <c r="B66" s="14">
        <f ca="1">IFERROR(__xludf.DUMMYFUNCTION("googlefinance(""nse:""&amp;A66,""price"")"),2205)</f>
        <v>2205</v>
      </c>
      <c r="C66" s="14" t="str">
        <f t="shared" ca="1" si="0"/>
        <v>SELL</v>
      </c>
      <c r="D66" s="14">
        <f ca="1">IFERROR(__xludf.DUMMYFUNCTION("googlefinance(""nse:""&amp;A66,""changepct"")"),-1.2)</f>
        <v>-1.2</v>
      </c>
      <c r="E66" s="14">
        <f ca="1">IFERROR(__xludf.DUMMYFUNCTION("googlefinance(""nse:""&amp;A66,""change"")"),-26.75)</f>
        <v>-26.75</v>
      </c>
      <c r="F66" s="14">
        <f ca="1">IFERROR(__xludf.DUMMYFUNCTION("googlefinance(""nse:""&amp;A66,""priceopen"")"),2272)</f>
        <v>2272</v>
      </c>
      <c r="G66" s="14">
        <f ca="1">IFERROR(__xludf.DUMMYFUNCTION("googlefinance(""nse:""&amp;A66,""HIGH"")"),2272)</f>
        <v>2272</v>
      </c>
      <c r="H66" s="14">
        <f ca="1">IFERROR(__xludf.DUMMYFUNCTION("googlefinance(""nse:""&amp;A66,""LOW"")"),2160)</f>
        <v>2160</v>
      </c>
      <c r="I66" s="14" t="str">
        <f ca="1">IFERROR(__xludf.DUMMYFUNCTION("INDEX( GoogleFinance( ""NSE:""&amp;A66 , ""all"" , TODAY()-2) , 2, 5)"),"#N/A")</f>
        <v>#N/A</v>
      </c>
      <c r="J66" s="17">
        <f t="shared" ca="1" si="1"/>
        <v>67</v>
      </c>
      <c r="K66" s="17">
        <f t="shared" ca="1" si="2"/>
        <v>112</v>
      </c>
      <c r="L66" s="17">
        <f t="shared" ca="1" si="3"/>
        <v>112</v>
      </c>
      <c r="M66" s="19" t="str">
        <f t="shared" ca="1" si="4"/>
        <v/>
      </c>
      <c r="N66" s="19" t="str">
        <f t="shared" ca="1" si="5"/>
        <v/>
      </c>
      <c r="O66" s="19" t="str">
        <f t="shared" ca="1" si="6"/>
        <v/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12" t="s">
        <v>127</v>
      </c>
      <c r="B67" s="14">
        <f ca="1">IFERROR(__xludf.DUMMYFUNCTION("googlefinance(""nse:""&amp;A67,""price"")"),133.5)</f>
        <v>133.5</v>
      </c>
      <c r="C67" s="14">
        <f t="shared" ca="1" si="0"/>
        <v>0</v>
      </c>
      <c r="D67" s="14">
        <f ca="1">IFERROR(__xludf.DUMMYFUNCTION("googlefinance(""nse:""&amp;A67,""changepct"")"),5.2)</f>
        <v>5.2</v>
      </c>
      <c r="E67" s="14">
        <f ca="1">IFERROR(__xludf.DUMMYFUNCTION("googlefinance(""nse:""&amp;A67,""change"")"),6.6)</f>
        <v>6.6</v>
      </c>
      <c r="F67" s="14">
        <f ca="1">IFERROR(__xludf.DUMMYFUNCTION("googlefinance(""nse:""&amp;A67,""priceopen"")"),130.7)</f>
        <v>130.69999999999999</v>
      </c>
      <c r="G67" s="14">
        <f ca="1">IFERROR(__xludf.DUMMYFUNCTION("googlefinance(""nse:""&amp;A67,""HIGH"")"),134.9)</f>
        <v>134.9</v>
      </c>
      <c r="H67" s="14">
        <f ca="1">IFERROR(__xludf.DUMMYFUNCTION("googlefinance(""nse:""&amp;A67,""LOW"")"),127.4)</f>
        <v>127.4</v>
      </c>
      <c r="I67" s="14" t="str">
        <f ca="1">IFERROR(__xludf.DUMMYFUNCTION("INDEX( GoogleFinance( ""NSE:""&amp;A67 , ""all"" , TODAY()-2) , 2, 5)"),"#N/A")</f>
        <v>#N/A</v>
      </c>
      <c r="J67" s="17">
        <f t="shared" ca="1" si="1"/>
        <v>1.4000000000000057</v>
      </c>
      <c r="K67" s="17">
        <f t="shared" ca="1" si="2"/>
        <v>7.5</v>
      </c>
      <c r="L67" s="17">
        <f t="shared" ca="1" si="3"/>
        <v>3.2999999999999829</v>
      </c>
      <c r="M67" s="19" t="str">
        <f t="shared" ca="1" si="4"/>
        <v/>
      </c>
      <c r="N67" s="19" t="str">
        <f t="shared" ca="1" si="5"/>
        <v/>
      </c>
      <c r="O67" s="19" t="str">
        <f t="shared" ca="1" si="6"/>
        <v/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12" t="s">
        <v>129</v>
      </c>
      <c r="B68" s="14">
        <f ca="1">IFERROR(__xludf.DUMMYFUNCTION("googlefinance(""nse:""&amp;A68,""price"")"),377.7)</f>
        <v>377.7</v>
      </c>
      <c r="C68" s="14">
        <f t="shared" ca="1" si="0"/>
        <v>0</v>
      </c>
      <c r="D68" s="14">
        <f ca="1">IFERROR(__xludf.DUMMYFUNCTION("googlefinance(""nse:""&amp;A68,""changepct"")"),1.96)</f>
        <v>1.96</v>
      </c>
      <c r="E68" s="14">
        <f ca="1">IFERROR(__xludf.DUMMYFUNCTION("googlefinance(""nse:""&amp;A68,""change"")"),7.25)</f>
        <v>7.25</v>
      </c>
      <c r="F68" s="14">
        <f ca="1">IFERROR(__xludf.DUMMYFUNCTION("googlefinance(""nse:""&amp;A68,""priceopen"")"),382)</f>
        <v>382</v>
      </c>
      <c r="G68" s="14">
        <f ca="1">IFERROR(__xludf.DUMMYFUNCTION("googlefinance(""nse:""&amp;A68,""HIGH"")"),392.95)</f>
        <v>392.95</v>
      </c>
      <c r="H68" s="14">
        <f ca="1">IFERROR(__xludf.DUMMYFUNCTION("googlefinance(""nse:""&amp;A68,""LOW"")"),374.15)</f>
        <v>374.15</v>
      </c>
      <c r="I68" s="14" t="str">
        <f ca="1">IFERROR(__xludf.DUMMYFUNCTION("INDEX( GoogleFinance( ""NSE:""&amp;A68 , ""all"" , TODAY()-2) , 2, 5)"),"#N/A")</f>
        <v>#N/A</v>
      </c>
      <c r="J68" s="17">
        <f t="shared" ca="1" si="1"/>
        <v>15.25</v>
      </c>
      <c r="K68" s="17">
        <f t="shared" ca="1" si="2"/>
        <v>18.800000000000011</v>
      </c>
      <c r="L68" s="17">
        <f t="shared" ca="1" si="3"/>
        <v>7.8500000000000227</v>
      </c>
      <c r="M68" s="19" t="str">
        <f t="shared" ca="1" si="4"/>
        <v/>
      </c>
      <c r="N68" s="19" t="str">
        <f t="shared" ca="1" si="5"/>
        <v/>
      </c>
      <c r="O68" s="19" t="str">
        <f t="shared" ca="1" si="6"/>
        <v/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12" t="s">
        <v>130</v>
      </c>
      <c r="B69" s="14">
        <f ca="1">IFERROR(__xludf.DUMMYFUNCTION("googlefinance(""nse:""&amp;A69,""price"")"),410.6)</f>
        <v>410.6</v>
      </c>
      <c r="C69" s="14">
        <f t="shared" ca="1" si="0"/>
        <v>0</v>
      </c>
      <c r="D69" s="14">
        <f ca="1">IFERROR(__xludf.DUMMYFUNCTION("googlefinance(""nse:""&amp;A69,""changepct"")"),2.04)</f>
        <v>2.04</v>
      </c>
      <c r="E69" s="14">
        <f ca="1">IFERROR(__xludf.DUMMYFUNCTION("googlefinance(""nse:""&amp;A69,""change"")"),8.2)</f>
        <v>8.1999999999999993</v>
      </c>
      <c r="F69" s="14">
        <f ca="1">IFERROR(__xludf.DUMMYFUNCTION("googlefinance(""nse:""&amp;A69,""priceopen"")"),405.9)</f>
        <v>405.9</v>
      </c>
      <c r="G69" s="14">
        <f ca="1">IFERROR(__xludf.DUMMYFUNCTION("googlefinance(""nse:""&amp;A69,""HIGH"")"),416.1)</f>
        <v>416.1</v>
      </c>
      <c r="H69" s="14">
        <f ca="1">IFERROR(__xludf.DUMMYFUNCTION("googlefinance(""nse:""&amp;A69,""LOW"")"),405.1)</f>
        <v>405.1</v>
      </c>
      <c r="I69" s="14" t="str">
        <f ca="1">IFERROR(__xludf.DUMMYFUNCTION("INDEX( GoogleFinance( ""NSE:""&amp;A69 , ""all"" , TODAY()-2) , 2, 5)"),"#N/A")</f>
        <v>#N/A</v>
      </c>
      <c r="J69" s="17">
        <f t="shared" ca="1" si="1"/>
        <v>5.5</v>
      </c>
      <c r="K69" s="17">
        <f t="shared" ca="1" si="2"/>
        <v>11</v>
      </c>
      <c r="L69" s="17">
        <f t="shared" ca="1" si="3"/>
        <v>0.79999999999995453</v>
      </c>
      <c r="M69" s="19" t="str">
        <f t="shared" ca="1" si="4"/>
        <v/>
      </c>
      <c r="N69" s="19" t="str">
        <f t="shared" ca="1" si="5"/>
        <v/>
      </c>
      <c r="O69" s="19" t="str">
        <f t="shared" ca="1" si="6"/>
        <v/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12" t="s">
        <v>132</v>
      </c>
      <c r="B70" s="14">
        <f ca="1">IFERROR(__xludf.DUMMYFUNCTION("googlefinance(""nse:""&amp;A70,""price"")"),4.2)</f>
        <v>4.2</v>
      </c>
      <c r="C70" s="14">
        <f t="shared" ca="1" si="0"/>
        <v>0</v>
      </c>
      <c r="D70" s="14">
        <f ca="1">IFERROR(__xludf.DUMMYFUNCTION("googlefinance(""nse:""&amp;A70,""changepct"")"),0)</f>
        <v>0</v>
      </c>
      <c r="E70" s="14">
        <f ca="1">IFERROR(__xludf.DUMMYFUNCTION("googlefinance(""nse:""&amp;A70,""change"")"),0)</f>
        <v>0</v>
      </c>
      <c r="F70" s="14">
        <f ca="1">IFERROR(__xludf.DUMMYFUNCTION("googlefinance(""nse:""&amp;A70,""priceopen"")"),4.35)</f>
        <v>4.3499999999999996</v>
      </c>
      <c r="G70" s="14">
        <f ca="1">IFERROR(__xludf.DUMMYFUNCTION("googlefinance(""nse:""&amp;A70,""HIGH"")"),4.4)</f>
        <v>4.4000000000000004</v>
      </c>
      <c r="H70" s="14">
        <f ca="1">IFERROR(__xludf.DUMMYFUNCTION("googlefinance(""nse:""&amp;A70,""LOW"")"),4.1)</f>
        <v>4.0999999999999996</v>
      </c>
      <c r="I70" s="14" t="str">
        <f ca="1">IFERROR(__xludf.DUMMYFUNCTION("INDEX( GoogleFinance( ""NSE:""&amp;A70 , ""all"" , TODAY()-2) , 2, 5)"),"#N/A")</f>
        <v>#N/A</v>
      </c>
      <c r="J70" s="17">
        <f t="shared" ca="1" si="1"/>
        <v>0.20000000000000018</v>
      </c>
      <c r="K70" s="17">
        <f t="shared" ca="1" si="2"/>
        <v>0.30000000000000071</v>
      </c>
      <c r="L70" s="17">
        <f t="shared" ca="1" si="3"/>
        <v>0.25</v>
      </c>
      <c r="M70" s="19" t="str">
        <f t="shared" ca="1" si="4"/>
        <v/>
      </c>
      <c r="N70" s="19" t="str">
        <f t="shared" ca="1" si="5"/>
        <v/>
      </c>
      <c r="O70" s="19" t="str">
        <f t="shared" ca="1" si="6"/>
        <v/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12" t="s">
        <v>133</v>
      </c>
      <c r="B71" s="14">
        <f ca="1">IFERROR(__xludf.DUMMYFUNCTION("googlefinance(""nse:""&amp;A71,""price"")"),21.85)</f>
        <v>21.85</v>
      </c>
      <c r="C71" s="14">
        <f t="shared" ca="1" si="0"/>
        <v>0</v>
      </c>
      <c r="D71" s="14">
        <f ca="1">IFERROR(__xludf.DUMMYFUNCTION("googlefinance(""nse:""&amp;A71,""changepct"")"),-0.68)</f>
        <v>-0.68</v>
      </c>
      <c r="E71" s="14">
        <f ca="1">IFERROR(__xludf.DUMMYFUNCTION("googlefinance(""nse:""&amp;A71,""change"")"),-6)</f>
        <v>-6</v>
      </c>
      <c r="F71" s="14">
        <f ca="1">IFERROR(__xludf.DUMMYFUNCTION("googlefinance(""nse:""&amp;A71,""priceopen"")"),22.4)</f>
        <v>22.4</v>
      </c>
      <c r="G71" s="14">
        <f ca="1">IFERROR(__xludf.DUMMYFUNCTION("googlefinance(""nse:""&amp;A71,""HIGH"")"),22.75)</f>
        <v>22.75</v>
      </c>
      <c r="H71" s="14">
        <f ca="1">IFERROR(__xludf.DUMMYFUNCTION("googlefinance(""nse:""&amp;A71,""LOW"")"),21.7)</f>
        <v>21.7</v>
      </c>
      <c r="I71" s="14" t="str">
        <f ca="1">IFERROR(__xludf.DUMMYFUNCTION("INDEX( GoogleFinance( ""NSE:""&amp;A71 , ""all"" , TODAY()-2) , 2, 5)"),"#N/A")</f>
        <v>#N/A</v>
      </c>
      <c r="J71" s="17">
        <f t="shared" ca="1" si="1"/>
        <v>0.89999999999999858</v>
      </c>
      <c r="K71" s="17">
        <f t="shared" ca="1" si="2"/>
        <v>1.0500000000000007</v>
      </c>
      <c r="L71" s="17">
        <f t="shared" ca="1" si="3"/>
        <v>0.69999999999999929</v>
      </c>
      <c r="M71" s="19" t="str">
        <f t="shared" ca="1" si="4"/>
        <v/>
      </c>
      <c r="N71" s="19" t="str">
        <f t="shared" ca="1" si="5"/>
        <v/>
      </c>
      <c r="O71" s="19" t="str">
        <f t="shared" ca="1" si="6"/>
        <v/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12" t="s">
        <v>136</v>
      </c>
      <c r="B72" s="14">
        <f ca="1">IFERROR(__xludf.DUMMYFUNCTION("googlefinance(""nse:""&amp;A72,""price"")"),476.65)</f>
        <v>476.65</v>
      </c>
      <c r="C72" s="14">
        <f t="shared" ca="1" si="0"/>
        <v>0</v>
      </c>
      <c r="D72" s="14">
        <f ca="1">IFERROR(__xludf.DUMMYFUNCTION("googlefinance(""nse:""&amp;A72,""changepct"")"),0.15)</f>
        <v>0.15</v>
      </c>
      <c r="E72" s="14">
        <f ca="1">IFERROR(__xludf.DUMMYFUNCTION("googlefinance(""nse:""&amp;A72,""change"")"),0.7)</f>
        <v>0.7</v>
      </c>
      <c r="F72" s="14">
        <f ca="1">IFERROR(__xludf.DUMMYFUNCTION("googlefinance(""nse:""&amp;A72,""priceopen"")"),481)</f>
        <v>481</v>
      </c>
      <c r="G72" s="14">
        <f ca="1">IFERROR(__xludf.DUMMYFUNCTION("googlefinance(""nse:""&amp;A72,""HIGH"")"),485)</f>
        <v>485</v>
      </c>
      <c r="H72" s="14">
        <f ca="1">IFERROR(__xludf.DUMMYFUNCTION("googlefinance(""nse:""&amp;A72,""LOW"")"),470.6)</f>
        <v>470.6</v>
      </c>
      <c r="I72" s="14" t="str">
        <f ca="1">IFERROR(__xludf.DUMMYFUNCTION("INDEX( GoogleFinance( ""NSE:""&amp;A72 , ""all"" , TODAY()-2) , 2, 5)"),"#N/A")</f>
        <v>#N/A</v>
      </c>
      <c r="J72" s="17">
        <f t="shared" ca="1" si="1"/>
        <v>8.3500000000000227</v>
      </c>
      <c r="K72" s="17">
        <f t="shared" ca="1" si="2"/>
        <v>14.399999999999977</v>
      </c>
      <c r="L72" s="17">
        <f t="shared" ca="1" si="3"/>
        <v>10.399999999999977</v>
      </c>
      <c r="M72" s="19" t="str">
        <f t="shared" ca="1" si="4"/>
        <v/>
      </c>
      <c r="N72" s="19" t="str">
        <f t="shared" ca="1" si="5"/>
        <v/>
      </c>
      <c r="O72" s="19" t="str">
        <f t="shared" ca="1" si="6"/>
        <v/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12" t="s">
        <v>137</v>
      </c>
      <c r="B73" s="14">
        <f ca="1">IFERROR(__xludf.DUMMYFUNCTION("googlefinance(""nse:""&amp;A73,""price"")"),993)</f>
        <v>993</v>
      </c>
      <c r="C73" s="14">
        <f t="shared" ca="1" si="0"/>
        <v>0</v>
      </c>
      <c r="D73" s="14">
        <f ca="1">IFERROR(__xludf.DUMMYFUNCTION("googlefinance(""nse:""&amp;A73,""changepct"")"),7.78)</f>
        <v>7.78</v>
      </c>
      <c r="E73" s="14">
        <f ca="1">IFERROR(__xludf.DUMMYFUNCTION("googlefinance(""nse:""&amp;A73,""change"")"),71.7)</f>
        <v>71.7</v>
      </c>
      <c r="F73" s="14">
        <f ca="1">IFERROR(__xludf.DUMMYFUNCTION("googlefinance(""nse:""&amp;A73,""priceopen"")"),949)</f>
        <v>949</v>
      </c>
      <c r="G73" s="14">
        <f ca="1">IFERROR(__xludf.DUMMYFUNCTION("googlefinance(""nse:""&amp;A73,""HIGH"")"),1037.85)</f>
        <v>1037.8499999999999</v>
      </c>
      <c r="H73" s="14">
        <f ca="1">IFERROR(__xludf.DUMMYFUNCTION("googlefinance(""nse:""&amp;A73,""LOW"")"),930.05)</f>
        <v>930.05</v>
      </c>
      <c r="I73" s="14" t="str">
        <f ca="1">IFERROR(__xludf.DUMMYFUNCTION("INDEX( GoogleFinance( ""NSE:""&amp;A73 , ""all"" , TODAY()-2) , 2, 5)"),"#N/A")</f>
        <v>#N/A</v>
      </c>
      <c r="J73" s="17">
        <f t="shared" ca="1" si="1"/>
        <v>44.849999999999909</v>
      </c>
      <c r="K73" s="17">
        <f t="shared" ca="1" si="2"/>
        <v>107.79999999999995</v>
      </c>
      <c r="L73" s="17">
        <f t="shared" ca="1" si="3"/>
        <v>18.950000000000045</v>
      </c>
      <c r="M73" s="19" t="str">
        <f t="shared" ca="1" si="4"/>
        <v/>
      </c>
      <c r="N73" s="19" t="str">
        <f t="shared" ca="1" si="5"/>
        <v/>
      </c>
      <c r="O73" s="19" t="str">
        <f t="shared" ca="1" si="6"/>
        <v/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12" t="s">
        <v>138</v>
      </c>
      <c r="B74" s="14">
        <f ca="1">IFERROR(__xludf.DUMMYFUNCTION("googlefinance(""nse:""&amp;A74,""price"")"),468)</f>
        <v>468</v>
      </c>
      <c r="C74" s="14">
        <f t="shared" ca="1" si="0"/>
        <v>0</v>
      </c>
      <c r="D74" s="14">
        <f ca="1">IFERROR(__xludf.DUMMYFUNCTION("googlefinance(""nse:""&amp;A74,""changepct"")"),-0.66)</f>
        <v>-0.66</v>
      </c>
      <c r="E74" s="14">
        <f ca="1">IFERROR(__xludf.DUMMYFUNCTION("googlefinance(""nse:""&amp;A74,""change"")"),-3.1)</f>
        <v>-3.1</v>
      </c>
      <c r="F74" s="14">
        <f ca="1">IFERROR(__xludf.DUMMYFUNCTION("googlefinance(""nse:""&amp;A74,""priceopen"")"),486.25)</f>
        <v>486.25</v>
      </c>
      <c r="G74" s="14">
        <f ca="1">IFERROR(__xludf.DUMMYFUNCTION("googlefinance(""nse:""&amp;A74,""HIGH"")"),491.85)</f>
        <v>491.85</v>
      </c>
      <c r="H74" s="14">
        <f ca="1">IFERROR(__xludf.DUMMYFUNCTION("googlefinance(""nse:""&amp;A74,""LOW"")"),461.6)</f>
        <v>461.6</v>
      </c>
      <c r="I74" s="14" t="str">
        <f ca="1">IFERROR(__xludf.DUMMYFUNCTION("INDEX( GoogleFinance( ""NSE:""&amp;A74 , ""all"" , TODAY()-2) , 2, 5)"),"#N/A")</f>
        <v>#N/A</v>
      </c>
      <c r="J74" s="17">
        <f t="shared" ca="1" si="1"/>
        <v>23.850000000000023</v>
      </c>
      <c r="K74" s="17">
        <f t="shared" ca="1" si="2"/>
        <v>30.25</v>
      </c>
      <c r="L74" s="17">
        <f t="shared" ca="1" si="3"/>
        <v>24.649999999999977</v>
      </c>
      <c r="M74" s="19" t="str">
        <f t="shared" ca="1" si="4"/>
        <v/>
      </c>
      <c r="N74" s="19" t="str">
        <f t="shared" ca="1" si="5"/>
        <v/>
      </c>
      <c r="O74" s="19" t="str">
        <f t="shared" ca="1" si="6"/>
        <v/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12" t="s">
        <v>139</v>
      </c>
      <c r="B75" s="14">
        <f ca="1">IFERROR(__xludf.DUMMYFUNCTION("googlefinance(""nse:""&amp;A75,""price"")"),174.25)</f>
        <v>174.25</v>
      </c>
      <c r="C75" s="14">
        <f t="shared" ca="1" si="0"/>
        <v>0</v>
      </c>
      <c r="D75" s="14">
        <f ca="1">IFERROR(__xludf.DUMMYFUNCTION("googlefinance(""nse:""&amp;A75,""changepct"")"),6.9)</f>
        <v>6.9</v>
      </c>
      <c r="E75" s="14">
        <f ca="1">IFERROR(__xludf.DUMMYFUNCTION("googlefinance(""nse:""&amp;A75,""change"")"),11.25)</f>
        <v>11.25</v>
      </c>
      <c r="F75" s="14">
        <f ca="1">IFERROR(__xludf.DUMMYFUNCTION("googlefinance(""nse:""&amp;A75,""priceopen"")"),163)</f>
        <v>163</v>
      </c>
      <c r="G75" s="14">
        <f ca="1">IFERROR(__xludf.DUMMYFUNCTION("googlefinance(""nse:""&amp;A75,""HIGH"")"),175.8)</f>
        <v>175.8</v>
      </c>
      <c r="H75" s="14">
        <f ca="1">IFERROR(__xludf.DUMMYFUNCTION("googlefinance(""nse:""&amp;A75,""LOW"")"),162.15)</f>
        <v>162.15</v>
      </c>
      <c r="I75" s="14" t="str">
        <f ca="1">IFERROR(__xludf.DUMMYFUNCTION("INDEX( GoogleFinance( ""NSE:""&amp;A75 , ""all"" , TODAY()-2) , 2, 5)"),"#N/A")</f>
        <v>#N/A</v>
      </c>
      <c r="J75" s="17">
        <f t="shared" ca="1" si="1"/>
        <v>1.5500000000000114</v>
      </c>
      <c r="K75" s="17">
        <f t="shared" ca="1" si="2"/>
        <v>13.650000000000006</v>
      </c>
      <c r="L75" s="17">
        <f t="shared" ca="1" si="3"/>
        <v>0.84999999999999432</v>
      </c>
      <c r="M75" s="19" t="str">
        <f t="shared" ca="1" si="4"/>
        <v/>
      </c>
      <c r="N75" s="19" t="str">
        <f t="shared" ca="1" si="5"/>
        <v/>
      </c>
      <c r="O75" s="19" t="str">
        <f t="shared" ca="1" si="6"/>
        <v/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12" t="s">
        <v>140</v>
      </c>
      <c r="B76" s="14">
        <f ca="1">IFERROR(__xludf.DUMMYFUNCTION("googlefinance(""nse:""&amp;A76,""price"")"),715.05)</f>
        <v>715.05</v>
      </c>
      <c r="C76" s="14">
        <f t="shared" ca="1" si="0"/>
        <v>0</v>
      </c>
      <c r="D76" s="14">
        <f ca="1">IFERROR(__xludf.DUMMYFUNCTION("googlefinance(""nse:""&amp;A76,""changepct"")"),5.69)</f>
        <v>5.69</v>
      </c>
      <c r="E76" s="14">
        <f ca="1">IFERROR(__xludf.DUMMYFUNCTION("googlefinance(""nse:""&amp;A76,""change"")"),38.5)</f>
        <v>38.5</v>
      </c>
      <c r="F76" s="14">
        <f ca="1">IFERROR(__xludf.DUMMYFUNCTION("googlefinance(""nse:""&amp;A76,""priceopen"")"),700)</f>
        <v>700</v>
      </c>
      <c r="G76" s="14">
        <f ca="1">IFERROR(__xludf.DUMMYFUNCTION("googlefinance(""nse:""&amp;A76,""HIGH"")"),720)</f>
        <v>720</v>
      </c>
      <c r="H76" s="14">
        <f ca="1">IFERROR(__xludf.DUMMYFUNCTION("googlefinance(""nse:""&amp;A76,""LOW"")"),698.1)</f>
        <v>698.1</v>
      </c>
      <c r="I76" s="14" t="str">
        <f ca="1">IFERROR(__xludf.DUMMYFUNCTION("INDEX( GoogleFinance( ""NSE:""&amp;A76 , ""all"" , TODAY()-2) , 2, 5)"),"#N/A")</f>
        <v>#N/A</v>
      </c>
      <c r="J76" s="17">
        <f t="shared" ca="1" si="1"/>
        <v>4.9500000000000455</v>
      </c>
      <c r="K76" s="17">
        <f t="shared" ca="1" si="2"/>
        <v>21.899999999999977</v>
      </c>
      <c r="L76" s="17">
        <f t="shared" ca="1" si="3"/>
        <v>1.8999999999999773</v>
      </c>
      <c r="M76" s="19" t="str">
        <f t="shared" ca="1" si="4"/>
        <v/>
      </c>
      <c r="N76" s="19" t="str">
        <f t="shared" ca="1" si="5"/>
        <v/>
      </c>
      <c r="O76" s="19" t="str">
        <f t="shared" ca="1" si="6"/>
        <v/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12" t="s">
        <v>141</v>
      </c>
      <c r="B77" s="14">
        <f ca="1">IFERROR(__xludf.DUMMYFUNCTION("googlefinance(""nse:""&amp;A77,""price"")"),84.15)</f>
        <v>84.15</v>
      </c>
      <c r="C77" s="14">
        <f t="shared" ca="1" si="0"/>
        <v>0</v>
      </c>
      <c r="D77" s="14">
        <f ca="1">IFERROR(__xludf.DUMMYFUNCTION("googlefinance(""nse:""&amp;A77,""changepct"")"),4.53)</f>
        <v>4.53</v>
      </c>
      <c r="E77" s="14">
        <f ca="1">IFERROR(__xludf.DUMMYFUNCTION("googlefinance(""nse:""&amp;A77,""change"")"),3.65)</f>
        <v>3.65</v>
      </c>
      <c r="F77" s="14">
        <f ca="1">IFERROR(__xludf.DUMMYFUNCTION("googlefinance(""nse:""&amp;A77,""priceopen"")"),81.55)</f>
        <v>81.55</v>
      </c>
      <c r="G77" s="14">
        <f ca="1">IFERROR(__xludf.DUMMYFUNCTION("googlefinance(""nse:""&amp;A77,""HIGH"")"),84.5)</f>
        <v>84.5</v>
      </c>
      <c r="H77" s="14">
        <f ca="1">IFERROR(__xludf.DUMMYFUNCTION("googlefinance(""nse:""&amp;A77,""LOW"")"),81.3)</f>
        <v>81.3</v>
      </c>
      <c r="I77" s="14" t="str">
        <f ca="1">IFERROR(__xludf.DUMMYFUNCTION("INDEX( GoogleFinance( ""NSE:""&amp;A77 , ""all"" , TODAY()-2) , 2, 5)"),"#N/A")</f>
        <v>#N/A</v>
      </c>
      <c r="J77" s="17">
        <f t="shared" ca="1" si="1"/>
        <v>0.34999999999999432</v>
      </c>
      <c r="K77" s="17">
        <f t="shared" ca="1" si="2"/>
        <v>3.2000000000000028</v>
      </c>
      <c r="L77" s="17">
        <f t="shared" ca="1" si="3"/>
        <v>0.25</v>
      </c>
      <c r="M77" s="19" t="str">
        <f t="shared" ca="1" si="4"/>
        <v/>
      </c>
      <c r="N77" s="19" t="str">
        <f t="shared" ca="1" si="5"/>
        <v/>
      </c>
      <c r="O77" s="19" t="str">
        <f t="shared" ca="1" si="6"/>
        <v/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12" t="s">
        <v>142</v>
      </c>
      <c r="B78" s="14">
        <f ca="1">IFERROR(__xludf.DUMMYFUNCTION("googlefinance(""nse:""&amp;A78,""price"")"),181.05)</f>
        <v>181.05</v>
      </c>
      <c r="C78" s="14" t="str">
        <f t="shared" ca="1" si="0"/>
        <v>SELL</v>
      </c>
      <c r="D78" s="14">
        <f ca="1">IFERROR(__xludf.DUMMYFUNCTION("googlefinance(""nse:""&amp;A78,""changepct"")"),-0.6)</f>
        <v>-0.6</v>
      </c>
      <c r="E78" s="14">
        <f ca="1">IFERROR(__xludf.DUMMYFUNCTION("googlefinance(""nse:""&amp;A78,""change"")"),-9)</f>
        <v>-9</v>
      </c>
      <c r="F78" s="14">
        <f ca="1">IFERROR(__xludf.DUMMYFUNCTION("googlefinance(""nse:""&amp;A78,""priceopen"")"),184.9)</f>
        <v>184.9</v>
      </c>
      <c r="G78" s="14">
        <f ca="1">IFERROR(__xludf.DUMMYFUNCTION("googlefinance(""nse:""&amp;A78,""HIGH"")"),184.9)</f>
        <v>184.9</v>
      </c>
      <c r="H78" s="14">
        <f ca="1">IFERROR(__xludf.DUMMYFUNCTION("googlefinance(""nse:""&amp;A78,""LOW"")"),180.45)</f>
        <v>180.45</v>
      </c>
      <c r="I78" s="14" t="str">
        <f ca="1">IFERROR(__xludf.DUMMYFUNCTION("INDEX( GoogleFinance( ""NSE:""&amp;A78 , ""all"" , TODAY()-2) , 2, 5)"),"#N/A")</f>
        <v>#N/A</v>
      </c>
      <c r="J78" s="17">
        <f t="shared" ca="1" si="1"/>
        <v>3.8499999999999943</v>
      </c>
      <c r="K78" s="17">
        <f t="shared" ca="1" si="2"/>
        <v>4.4500000000000171</v>
      </c>
      <c r="L78" s="17">
        <f t="shared" ca="1" si="3"/>
        <v>4.4500000000000171</v>
      </c>
      <c r="M78" s="19" t="str">
        <f t="shared" ca="1" si="4"/>
        <v/>
      </c>
      <c r="N78" s="19" t="str">
        <f t="shared" ca="1" si="5"/>
        <v/>
      </c>
      <c r="O78" s="19" t="str">
        <f t="shared" ca="1" si="6"/>
        <v/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12" t="s">
        <v>143</v>
      </c>
      <c r="B79" s="14">
        <f ca="1">IFERROR(__xludf.DUMMYFUNCTION("googlefinance(""nse:""&amp;A79,""price"")"),94.45)</f>
        <v>94.45</v>
      </c>
      <c r="C79" s="14">
        <f t="shared" ca="1" si="0"/>
        <v>0</v>
      </c>
      <c r="D79" s="14">
        <f ca="1">IFERROR(__xludf.DUMMYFUNCTION("googlefinance(""nse:""&amp;A79,""changepct"")"),6.42)</f>
        <v>6.42</v>
      </c>
      <c r="E79" s="14">
        <f ca="1">IFERROR(__xludf.DUMMYFUNCTION("googlefinance(""nse:""&amp;A79,""change"")"),5.7)</f>
        <v>5.7</v>
      </c>
      <c r="F79" s="14">
        <f ca="1">IFERROR(__xludf.DUMMYFUNCTION("googlefinance(""nse:""&amp;A79,""priceopen"")"),91)</f>
        <v>91</v>
      </c>
      <c r="G79" s="14">
        <f ca="1">IFERROR(__xludf.DUMMYFUNCTION("googlefinance(""nse:""&amp;A79,""HIGH"")"),96.15)</f>
        <v>96.15</v>
      </c>
      <c r="H79" s="14">
        <f ca="1">IFERROR(__xludf.DUMMYFUNCTION("googlefinance(""nse:""&amp;A79,""LOW"")"),89.7)</f>
        <v>89.7</v>
      </c>
      <c r="I79" s="14" t="str">
        <f ca="1">IFERROR(__xludf.DUMMYFUNCTION("INDEX( GoogleFinance( ""NSE:""&amp;A79 , ""all"" , TODAY()-2) , 2, 5)"),"#N/A")</f>
        <v>#N/A</v>
      </c>
      <c r="J79" s="17">
        <f t="shared" ca="1" si="1"/>
        <v>1.7000000000000028</v>
      </c>
      <c r="K79" s="17">
        <f t="shared" ca="1" si="2"/>
        <v>6.4500000000000028</v>
      </c>
      <c r="L79" s="17">
        <f t="shared" ca="1" si="3"/>
        <v>1.2999999999999972</v>
      </c>
      <c r="M79" s="19" t="str">
        <f t="shared" ca="1" si="4"/>
        <v/>
      </c>
      <c r="N79" s="19" t="str">
        <f t="shared" ca="1" si="5"/>
        <v/>
      </c>
      <c r="O79" s="19" t="str">
        <f t="shared" ca="1" si="6"/>
        <v/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12" t="s">
        <v>144</v>
      </c>
      <c r="B80" s="14">
        <f ca="1">IFERROR(__xludf.DUMMYFUNCTION("googlefinance(""nse:""&amp;A80,""price"")"),182)</f>
        <v>182</v>
      </c>
      <c r="C80" s="14">
        <f t="shared" ca="1" si="0"/>
        <v>0</v>
      </c>
      <c r="D80" s="14">
        <f ca="1">IFERROR(__xludf.DUMMYFUNCTION("googlefinance(""nse:""&amp;A80,""changepct"")"),10.91)</f>
        <v>10.91</v>
      </c>
      <c r="E80" s="14">
        <f ca="1">IFERROR(__xludf.DUMMYFUNCTION("googlefinance(""nse:""&amp;A80,""change"")"),17.9)</f>
        <v>17.899999999999999</v>
      </c>
      <c r="F80" s="14">
        <f ca="1">IFERROR(__xludf.DUMMYFUNCTION("googlefinance(""nse:""&amp;A80,""priceopen"")"),168.6)</f>
        <v>168.6</v>
      </c>
      <c r="G80" s="14">
        <f ca="1">IFERROR(__xludf.DUMMYFUNCTION("googlefinance(""nse:""&amp;A80,""HIGH"")"),188.7)</f>
        <v>188.7</v>
      </c>
      <c r="H80" s="14">
        <f ca="1">IFERROR(__xludf.DUMMYFUNCTION("googlefinance(""nse:""&amp;A80,""LOW"")"),167.5)</f>
        <v>167.5</v>
      </c>
      <c r="I80" s="14" t="str">
        <f ca="1">IFERROR(__xludf.DUMMYFUNCTION("INDEX( GoogleFinance( ""NSE:""&amp;A80 , ""all"" , TODAY()-2) , 2, 5)"),"#N/A")</f>
        <v>#N/A</v>
      </c>
      <c r="J80" s="17">
        <f t="shared" ca="1" si="1"/>
        <v>6.6999999999999886</v>
      </c>
      <c r="K80" s="17">
        <f t="shared" ca="1" si="2"/>
        <v>21.199999999999989</v>
      </c>
      <c r="L80" s="17">
        <f t="shared" ca="1" si="3"/>
        <v>1.0999999999999943</v>
      </c>
      <c r="M80" s="19" t="str">
        <f t="shared" ca="1" si="4"/>
        <v/>
      </c>
      <c r="N80" s="19" t="str">
        <f t="shared" ca="1" si="5"/>
        <v/>
      </c>
      <c r="O80" s="19" t="str">
        <f t="shared" ca="1" si="6"/>
        <v/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12" t="s">
        <v>145</v>
      </c>
      <c r="B81" s="14">
        <f ca="1">IFERROR(__xludf.DUMMYFUNCTION("googlefinance(""nse:""&amp;A81,""price"")"),1617.05)</f>
        <v>1617.05</v>
      </c>
      <c r="C81" s="14" t="str">
        <f t="shared" ca="1" si="0"/>
        <v>BUY</v>
      </c>
      <c r="D81" s="14">
        <f ca="1">IFERROR(__xludf.DUMMYFUNCTION("googlefinance(""nse:""&amp;A81,""changepct"")"),4.09)</f>
        <v>4.09</v>
      </c>
      <c r="E81" s="14">
        <f ca="1">IFERROR(__xludf.DUMMYFUNCTION("googlefinance(""nse:""&amp;A81,""change"")"),63.5)</f>
        <v>63.5</v>
      </c>
      <c r="F81" s="14">
        <f ca="1">IFERROR(__xludf.DUMMYFUNCTION("googlefinance(""nse:""&amp;A81,""priceopen"")"),1576)</f>
        <v>1576</v>
      </c>
      <c r="G81" s="14">
        <f ca="1">IFERROR(__xludf.DUMMYFUNCTION("googlefinance(""nse:""&amp;A81,""HIGH"")"),1647)</f>
        <v>1647</v>
      </c>
      <c r="H81" s="14">
        <f ca="1">IFERROR(__xludf.DUMMYFUNCTION("googlefinance(""nse:""&amp;A81,""LOW"")"),1576)</f>
        <v>1576</v>
      </c>
      <c r="I81" s="14" t="str">
        <f ca="1">IFERROR(__xludf.DUMMYFUNCTION("INDEX( GoogleFinance( ""NSE:""&amp;A81 , ""all"" , TODAY()-2) , 2, 5)"),"#N/A")</f>
        <v>#N/A</v>
      </c>
      <c r="J81" s="17">
        <f t="shared" ca="1" si="1"/>
        <v>29.950000000000045</v>
      </c>
      <c r="K81" s="17">
        <f t="shared" ca="1" si="2"/>
        <v>71</v>
      </c>
      <c r="L81" s="17">
        <f t="shared" ca="1" si="3"/>
        <v>0</v>
      </c>
      <c r="M81" s="19" t="str">
        <f t="shared" ca="1" si="4"/>
        <v/>
      </c>
      <c r="N81" s="19" t="str">
        <f t="shared" ca="1" si="5"/>
        <v/>
      </c>
      <c r="O81" s="19" t="str">
        <f t="shared" ca="1" si="6"/>
        <v/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12" t="s">
        <v>146</v>
      </c>
      <c r="B82" s="14">
        <f ca="1">IFERROR(__xludf.DUMMYFUNCTION("googlefinance(""nse:""&amp;A82,""price"")"),402.5)</f>
        <v>402.5</v>
      </c>
      <c r="C82" s="14">
        <f t="shared" ca="1" si="0"/>
        <v>0</v>
      </c>
      <c r="D82" s="14">
        <f ca="1">IFERROR(__xludf.DUMMYFUNCTION("googlefinance(""nse:""&amp;A82,""changepct"")"),3.21)</f>
        <v>3.21</v>
      </c>
      <c r="E82" s="14">
        <f ca="1">IFERROR(__xludf.DUMMYFUNCTION("googlefinance(""nse:""&amp;A82,""change"")"),12.5)</f>
        <v>12.5</v>
      </c>
      <c r="F82" s="14">
        <f ca="1">IFERROR(__xludf.DUMMYFUNCTION("googlefinance(""nse:""&amp;A82,""priceopen"")"),404)</f>
        <v>404</v>
      </c>
      <c r="G82" s="14">
        <f ca="1">IFERROR(__xludf.DUMMYFUNCTION("googlefinance(""nse:""&amp;A82,""HIGH"")"),425)</f>
        <v>425</v>
      </c>
      <c r="H82" s="14">
        <f ca="1">IFERROR(__xludf.DUMMYFUNCTION("googlefinance(""nse:""&amp;A82,""LOW"")"),388.9)</f>
        <v>388.9</v>
      </c>
      <c r="I82" s="14" t="str">
        <f ca="1">IFERROR(__xludf.DUMMYFUNCTION("INDEX( GoogleFinance( ""NSE:""&amp;A82 , ""all"" , TODAY()-2) , 2, 5)"),"#N/A")</f>
        <v>#N/A</v>
      </c>
      <c r="J82" s="17">
        <f t="shared" ca="1" si="1"/>
        <v>22.5</v>
      </c>
      <c r="K82" s="17">
        <f t="shared" ca="1" si="2"/>
        <v>36.100000000000023</v>
      </c>
      <c r="L82" s="17">
        <f t="shared" ca="1" si="3"/>
        <v>15.100000000000023</v>
      </c>
      <c r="M82" s="19" t="str">
        <f t="shared" ca="1" si="4"/>
        <v/>
      </c>
      <c r="N82" s="19" t="str">
        <f t="shared" ca="1" si="5"/>
        <v/>
      </c>
      <c r="O82" s="19" t="str">
        <f t="shared" ca="1" si="6"/>
        <v/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12" t="s">
        <v>147</v>
      </c>
      <c r="B83" s="14">
        <f ca="1">IFERROR(__xludf.DUMMYFUNCTION("googlefinance(""nse:""&amp;A83,""price"")"),1355.5)</f>
        <v>1355.5</v>
      </c>
      <c r="C83" s="14">
        <f t="shared" ca="1" si="0"/>
        <v>0</v>
      </c>
      <c r="D83" s="14">
        <f ca="1">IFERROR(__xludf.DUMMYFUNCTION("googlefinance(""nse:""&amp;A83,""changepct"")"),2.08)</f>
        <v>2.08</v>
      </c>
      <c r="E83" s="14">
        <f ca="1">IFERROR(__xludf.DUMMYFUNCTION("googlefinance(""nse:""&amp;A83,""change"")"),27.65)</f>
        <v>27.65</v>
      </c>
      <c r="F83" s="14">
        <f ca="1">IFERROR(__xludf.DUMMYFUNCTION("googlefinance(""nse:""&amp;A83,""priceopen"")"),1340)</f>
        <v>1340</v>
      </c>
      <c r="G83" s="14">
        <f ca="1">IFERROR(__xludf.DUMMYFUNCTION("googlefinance(""nse:""&amp;A83,""HIGH"")"),1380)</f>
        <v>1380</v>
      </c>
      <c r="H83" s="14">
        <f ca="1">IFERROR(__xludf.DUMMYFUNCTION("googlefinance(""nse:""&amp;A83,""LOW"")"),1334.05)</f>
        <v>1334.05</v>
      </c>
      <c r="I83" s="14" t="str">
        <f ca="1">IFERROR(__xludf.DUMMYFUNCTION("INDEX( GoogleFinance( ""NSE:""&amp;A83 , ""all"" , TODAY()-2) , 2, 5)"),"#N/A")</f>
        <v>#N/A</v>
      </c>
      <c r="J83" s="17">
        <f t="shared" ca="1" si="1"/>
        <v>24.5</v>
      </c>
      <c r="K83" s="17">
        <f t="shared" ca="1" si="2"/>
        <v>45.950000000000045</v>
      </c>
      <c r="L83" s="17">
        <f t="shared" ca="1" si="3"/>
        <v>5.9500000000000455</v>
      </c>
      <c r="M83" s="19" t="str">
        <f t="shared" ca="1" si="4"/>
        <v/>
      </c>
      <c r="N83" s="19" t="str">
        <f t="shared" ca="1" si="5"/>
        <v/>
      </c>
      <c r="O83" s="19" t="str">
        <f t="shared" ca="1" si="6"/>
        <v/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12" t="s">
        <v>148</v>
      </c>
      <c r="B84" s="14">
        <f ca="1">IFERROR(__xludf.DUMMYFUNCTION("googlefinance(""nse:""&amp;A84,""price"")"),65.65)</f>
        <v>65.650000000000006</v>
      </c>
      <c r="C84" s="14">
        <f t="shared" ca="1" si="0"/>
        <v>0</v>
      </c>
      <c r="D84" s="14">
        <f ca="1">IFERROR(__xludf.DUMMYFUNCTION("googlefinance(""nse:""&amp;A84,""changepct"")"),1.63)</f>
        <v>1.63</v>
      </c>
      <c r="E84" s="14">
        <f ca="1">IFERROR(__xludf.DUMMYFUNCTION("googlefinance(""nse:""&amp;A84,""change"")"),1.05)</f>
        <v>1.05</v>
      </c>
      <c r="F84" s="14">
        <f ca="1">IFERROR(__xludf.DUMMYFUNCTION("googlefinance(""nse:""&amp;A84,""priceopen"")"),65.9)</f>
        <v>65.900000000000006</v>
      </c>
      <c r="G84" s="14">
        <f ca="1">IFERROR(__xludf.DUMMYFUNCTION("googlefinance(""nse:""&amp;A84,""HIGH"")"),67.5)</f>
        <v>67.5</v>
      </c>
      <c r="H84" s="14">
        <f ca="1">IFERROR(__xludf.DUMMYFUNCTION("googlefinance(""nse:""&amp;A84,""LOW"")"),65)</f>
        <v>65</v>
      </c>
      <c r="I84" s="14" t="str">
        <f ca="1">IFERROR(__xludf.DUMMYFUNCTION("INDEX( GoogleFinance( ""NSE:""&amp;A84 , ""all"" , TODAY()-2) , 2, 5)"),"#N/A")</f>
        <v>#N/A</v>
      </c>
      <c r="J84" s="17">
        <f t="shared" ca="1" si="1"/>
        <v>1.8499999999999943</v>
      </c>
      <c r="K84" s="17">
        <f t="shared" ca="1" si="2"/>
        <v>2.5</v>
      </c>
      <c r="L84" s="17">
        <f t="shared" ca="1" si="3"/>
        <v>0.90000000000000568</v>
      </c>
      <c r="M84" s="19" t="str">
        <f t="shared" ca="1" si="4"/>
        <v/>
      </c>
      <c r="N84" s="19" t="str">
        <f t="shared" ca="1" si="5"/>
        <v/>
      </c>
      <c r="O84" s="19" t="str">
        <f t="shared" ca="1" si="6"/>
        <v/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12" t="s">
        <v>149</v>
      </c>
      <c r="B85" s="14">
        <f ca="1">IFERROR(__xludf.DUMMYFUNCTION("googlefinance(""nse:""&amp;A85,""price"")"),283.25)</f>
        <v>283.25</v>
      </c>
      <c r="C85" s="14">
        <f t="shared" ca="1" si="0"/>
        <v>0</v>
      </c>
      <c r="D85" s="14">
        <f ca="1">IFERROR(__xludf.DUMMYFUNCTION("googlefinance(""nse:""&amp;A85,""changepct"")"),-0.47)</f>
        <v>-0.47</v>
      </c>
      <c r="E85" s="14">
        <f ca="1">IFERROR(__xludf.DUMMYFUNCTION("googlefinance(""nse:""&amp;A85,""change"")"),-1.35)</f>
        <v>-1.35</v>
      </c>
      <c r="F85" s="14">
        <f ca="1">IFERROR(__xludf.DUMMYFUNCTION("googlefinance(""nse:""&amp;A85,""priceopen"")"),287.45)</f>
        <v>287.45</v>
      </c>
      <c r="G85" s="14">
        <f ca="1">IFERROR(__xludf.DUMMYFUNCTION("googlefinance(""nse:""&amp;A85,""HIGH"")"),296.85)</f>
        <v>296.85000000000002</v>
      </c>
      <c r="H85" s="14">
        <f ca="1">IFERROR(__xludf.DUMMYFUNCTION("googlefinance(""nse:""&amp;A85,""LOW"")"),281.3)</f>
        <v>281.3</v>
      </c>
      <c r="I85" s="14" t="str">
        <f ca="1">IFERROR(__xludf.DUMMYFUNCTION("INDEX( GoogleFinance( ""NSE:""&amp;A85 , ""all"" , TODAY()-2) , 2, 5)"),"#N/A")</f>
        <v>#N/A</v>
      </c>
      <c r="J85" s="17">
        <f t="shared" ca="1" si="1"/>
        <v>13.600000000000023</v>
      </c>
      <c r="K85" s="17">
        <f t="shared" ca="1" si="2"/>
        <v>15.550000000000011</v>
      </c>
      <c r="L85" s="17">
        <f t="shared" ca="1" si="3"/>
        <v>6.1499999999999773</v>
      </c>
      <c r="M85" s="19" t="str">
        <f t="shared" ca="1" si="4"/>
        <v/>
      </c>
      <c r="N85" s="19" t="str">
        <f t="shared" ca="1" si="5"/>
        <v/>
      </c>
      <c r="O85" s="19" t="str">
        <f t="shared" ca="1" si="6"/>
        <v/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12" t="s">
        <v>150</v>
      </c>
      <c r="B86" s="14">
        <f ca="1">IFERROR(__xludf.DUMMYFUNCTION("googlefinance(""nse:""&amp;A86,""price"")"),897.95)</f>
        <v>897.95</v>
      </c>
      <c r="C86" s="14">
        <f t="shared" ca="1" si="0"/>
        <v>0</v>
      </c>
      <c r="D86" s="14">
        <f ca="1">IFERROR(__xludf.DUMMYFUNCTION("googlefinance(""nse:""&amp;A86,""changepct"")"),2.58)</f>
        <v>2.58</v>
      </c>
      <c r="E86" s="14">
        <f ca="1">IFERROR(__xludf.DUMMYFUNCTION("googlefinance(""nse:""&amp;A86,""change"")"),22.6)</f>
        <v>22.6</v>
      </c>
      <c r="F86" s="14">
        <f ca="1">IFERROR(__xludf.DUMMYFUNCTION("googlefinance(""nse:""&amp;A86,""priceopen"")"),890.2)</f>
        <v>890.2</v>
      </c>
      <c r="G86" s="14">
        <f ca="1">IFERROR(__xludf.DUMMYFUNCTION("googlefinance(""nse:""&amp;A86,""HIGH"")"),916.8)</f>
        <v>916.8</v>
      </c>
      <c r="H86" s="14">
        <f ca="1">IFERROR(__xludf.DUMMYFUNCTION("googlefinance(""nse:""&amp;A86,""LOW"")"),884.1)</f>
        <v>884.1</v>
      </c>
      <c r="I86" s="14" t="str">
        <f ca="1">IFERROR(__xludf.DUMMYFUNCTION("INDEX( GoogleFinance( ""NSE:""&amp;A86 , ""all"" , TODAY()-2) , 2, 5)"),"#N/A")</f>
        <v>#N/A</v>
      </c>
      <c r="J86" s="17">
        <f t="shared" ca="1" si="1"/>
        <v>18.849999999999909</v>
      </c>
      <c r="K86" s="17">
        <f t="shared" ca="1" si="2"/>
        <v>32.699999999999932</v>
      </c>
      <c r="L86" s="17">
        <f t="shared" ca="1" si="3"/>
        <v>6.1000000000000227</v>
      </c>
      <c r="M86" s="19" t="str">
        <f t="shared" ca="1" si="4"/>
        <v/>
      </c>
      <c r="N86" s="19" t="str">
        <f t="shared" ca="1" si="5"/>
        <v/>
      </c>
      <c r="O86" s="19" t="str">
        <f t="shared" ca="1" si="6"/>
        <v/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12" t="s">
        <v>151</v>
      </c>
      <c r="B87" s="14">
        <f ca="1">IFERROR(__xludf.DUMMYFUNCTION("googlefinance(""nse:""&amp;A87,""price"")"),833.8)</f>
        <v>833.8</v>
      </c>
      <c r="C87" s="14">
        <f t="shared" ca="1" si="0"/>
        <v>0</v>
      </c>
      <c r="D87" s="14">
        <f ca="1">IFERROR(__xludf.DUMMYFUNCTION("googlefinance(""nse:""&amp;A87,""changepct"")"),-2.41)</f>
        <v>-2.41</v>
      </c>
      <c r="E87" s="14">
        <f ca="1">IFERROR(__xludf.DUMMYFUNCTION("googlefinance(""nse:""&amp;A87,""change"")"),-20.6)</f>
        <v>-20.6</v>
      </c>
      <c r="F87" s="14">
        <f ca="1">IFERROR(__xludf.DUMMYFUNCTION("googlefinance(""nse:""&amp;A87,""priceopen"")"),874.9)</f>
        <v>874.9</v>
      </c>
      <c r="G87" s="14">
        <f ca="1">IFERROR(__xludf.DUMMYFUNCTION("googlefinance(""nse:""&amp;A87,""HIGH"")"),878.2)</f>
        <v>878.2</v>
      </c>
      <c r="H87" s="14">
        <f ca="1">IFERROR(__xludf.DUMMYFUNCTION("googlefinance(""nse:""&amp;A87,""LOW"")"),811.55)</f>
        <v>811.55</v>
      </c>
      <c r="I87" s="14" t="str">
        <f ca="1">IFERROR(__xludf.DUMMYFUNCTION("INDEX( GoogleFinance( ""NSE:""&amp;A87 , ""all"" , TODAY()-2) , 2, 5)"),"#N/A")</f>
        <v>#N/A</v>
      </c>
      <c r="J87" s="17">
        <f t="shared" ca="1" si="1"/>
        <v>44.400000000000091</v>
      </c>
      <c r="K87" s="17">
        <f t="shared" ca="1" si="2"/>
        <v>66.650000000000091</v>
      </c>
      <c r="L87" s="17">
        <f t="shared" ca="1" si="3"/>
        <v>63.350000000000023</v>
      </c>
      <c r="M87" s="19" t="str">
        <f t="shared" ca="1" si="4"/>
        <v/>
      </c>
      <c r="N87" s="19" t="str">
        <f t="shared" ca="1" si="5"/>
        <v/>
      </c>
      <c r="O87" s="19" t="str">
        <f t="shared" ca="1" si="6"/>
        <v/>
      </c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12" t="s">
        <v>152</v>
      </c>
      <c r="B88" s="14">
        <f ca="1">IFERROR(__xludf.DUMMYFUNCTION("googlefinance(""nse:""&amp;A88,""price"")"),367.55)</f>
        <v>367.55</v>
      </c>
      <c r="C88" s="14">
        <f t="shared" ca="1" si="0"/>
        <v>0</v>
      </c>
      <c r="D88" s="14">
        <f ca="1">IFERROR(__xludf.DUMMYFUNCTION("googlefinance(""nse:""&amp;A88,""changepct"")"),5.62)</f>
        <v>5.62</v>
      </c>
      <c r="E88" s="14">
        <f ca="1">IFERROR(__xludf.DUMMYFUNCTION("googlefinance(""nse:""&amp;A88,""change"")"),19.55)</f>
        <v>19.55</v>
      </c>
      <c r="F88" s="14">
        <f ca="1">IFERROR(__xludf.DUMMYFUNCTION("googlefinance(""nse:""&amp;A88,""priceopen"")"),355.65)</f>
        <v>355.65</v>
      </c>
      <c r="G88" s="14">
        <f ca="1">IFERROR(__xludf.DUMMYFUNCTION("googlefinance(""nse:""&amp;A88,""HIGH"")"),368)</f>
        <v>368</v>
      </c>
      <c r="H88" s="14">
        <f ca="1">IFERROR(__xludf.DUMMYFUNCTION("googlefinance(""nse:""&amp;A88,""LOW"")"),355)</f>
        <v>355</v>
      </c>
      <c r="I88" s="14" t="str">
        <f ca="1">IFERROR(__xludf.DUMMYFUNCTION("INDEX( GoogleFinance( ""NSE:""&amp;A88 , ""all"" , TODAY()-2) , 2, 5)"),"#N/A")</f>
        <v>#N/A</v>
      </c>
      <c r="J88" s="17">
        <f t="shared" ca="1" si="1"/>
        <v>0.44999999999998863</v>
      </c>
      <c r="K88" s="17">
        <f t="shared" ca="1" si="2"/>
        <v>13</v>
      </c>
      <c r="L88" s="17">
        <f t="shared" ca="1" si="3"/>
        <v>0.64999999999997726</v>
      </c>
      <c r="M88" s="19" t="str">
        <f t="shared" ca="1" si="4"/>
        <v/>
      </c>
      <c r="N88" s="19" t="str">
        <f t="shared" ca="1" si="5"/>
        <v/>
      </c>
      <c r="O88" s="19" t="str">
        <f t="shared" ca="1" si="6"/>
        <v/>
      </c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12" t="s">
        <v>153</v>
      </c>
      <c r="B89" s="14">
        <f ca="1">IFERROR(__xludf.DUMMYFUNCTION("googlefinance(""nse:""&amp;A89,""price"")"),166.45)</f>
        <v>166.45</v>
      </c>
      <c r="C89" s="14">
        <f t="shared" ca="1" si="0"/>
        <v>0</v>
      </c>
      <c r="D89" s="14">
        <f ca="1">IFERROR(__xludf.DUMMYFUNCTION("googlefinance(""nse:""&amp;A89,""changepct"")"),6.09)</f>
        <v>6.09</v>
      </c>
      <c r="E89" s="14">
        <f ca="1">IFERROR(__xludf.DUMMYFUNCTION("googlefinance(""nse:""&amp;A89,""change"")"),9.55)</f>
        <v>9.5500000000000007</v>
      </c>
      <c r="F89" s="14">
        <f ca="1">IFERROR(__xludf.DUMMYFUNCTION("googlefinance(""nse:""&amp;A89,""priceopen"")"),161.95)</f>
        <v>161.94999999999999</v>
      </c>
      <c r="G89" s="14">
        <f ca="1">IFERROR(__xludf.DUMMYFUNCTION("googlefinance(""nse:""&amp;A89,""HIGH"")"),167.95)</f>
        <v>167.95</v>
      </c>
      <c r="H89" s="14">
        <f ca="1">IFERROR(__xludf.DUMMYFUNCTION("googlefinance(""nse:""&amp;A89,""LOW"")"),160.1)</f>
        <v>160.1</v>
      </c>
      <c r="I89" s="14" t="str">
        <f ca="1">IFERROR(__xludf.DUMMYFUNCTION("INDEX( GoogleFinance( ""NSE:""&amp;A89 , ""all"" , TODAY()-2) , 2, 5)"),"#N/A")</f>
        <v>#N/A</v>
      </c>
      <c r="J89" s="17">
        <f t="shared" ca="1" si="1"/>
        <v>1.5</v>
      </c>
      <c r="K89" s="17">
        <f t="shared" ca="1" si="2"/>
        <v>7.8499999999999943</v>
      </c>
      <c r="L89" s="17">
        <f t="shared" ca="1" si="3"/>
        <v>1.8499999999999943</v>
      </c>
      <c r="M89" s="19" t="str">
        <f t="shared" ca="1" si="4"/>
        <v/>
      </c>
      <c r="N89" s="19" t="str">
        <f t="shared" ca="1" si="5"/>
        <v/>
      </c>
      <c r="O89" s="19" t="str">
        <f t="shared" ca="1" si="6"/>
        <v/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12" t="s">
        <v>154</v>
      </c>
      <c r="B90" s="14">
        <f ca="1">IFERROR(__xludf.DUMMYFUNCTION("googlefinance(""nse:""&amp;A90,""price"")"),133.9)</f>
        <v>133.9</v>
      </c>
      <c r="C90" s="14">
        <f t="shared" ca="1" si="0"/>
        <v>0</v>
      </c>
      <c r="D90" s="14">
        <f ca="1">IFERROR(__xludf.DUMMYFUNCTION("googlefinance(""nse:""&amp;A90,""changepct"")"),6.27)</f>
        <v>6.27</v>
      </c>
      <c r="E90" s="14">
        <f ca="1">IFERROR(__xludf.DUMMYFUNCTION("googlefinance(""nse:""&amp;A90,""change"")"),7.9)</f>
        <v>7.9</v>
      </c>
      <c r="F90" s="14">
        <f ca="1">IFERROR(__xludf.DUMMYFUNCTION("googlefinance(""nse:""&amp;A90,""priceopen"")"),126.7)</f>
        <v>126.7</v>
      </c>
      <c r="G90" s="14">
        <f ca="1">IFERROR(__xludf.DUMMYFUNCTION("googlefinance(""nse:""&amp;A90,""HIGH"")"),135.3)</f>
        <v>135.30000000000001</v>
      </c>
      <c r="H90" s="14">
        <f ca="1">IFERROR(__xludf.DUMMYFUNCTION("googlefinance(""nse:""&amp;A90,""LOW"")"),126.6)</f>
        <v>126.6</v>
      </c>
      <c r="I90" s="14" t="str">
        <f ca="1">IFERROR(__xludf.DUMMYFUNCTION("INDEX( GoogleFinance( ""NSE:""&amp;A90 , ""all"" , TODAY()-2) , 2, 5)"),"#N/A")</f>
        <v>#N/A</v>
      </c>
      <c r="J90" s="17">
        <f t="shared" ca="1" si="1"/>
        <v>1.4000000000000057</v>
      </c>
      <c r="K90" s="17">
        <f t="shared" ca="1" si="2"/>
        <v>8.7000000000000171</v>
      </c>
      <c r="L90" s="17">
        <f t="shared" ca="1" si="3"/>
        <v>0.10000000000000853</v>
      </c>
      <c r="M90" s="19" t="str">
        <f t="shared" ca="1" si="4"/>
        <v/>
      </c>
      <c r="N90" s="19" t="str">
        <f t="shared" ca="1" si="5"/>
        <v/>
      </c>
      <c r="O90" s="19" t="str">
        <f t="shared" ca="1" si="6"/>
        <v/>
      </c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12" t="s">
        <v>155</v>
      </c>
      <c r="B91" s="14">
        <f ca="1">IFERROR(__xludf.DUMMYFUNCTION("googlefinance(""nse:""&amp;A91,""price"")"),287.9)</f>
        <v>287.89999999999998</v>
      </c>
      <c r="C91" s="14" t="str">
        <f t="shared" ca="1" si="0"/>
        <v>SELL</v>
      </c>
      <c r="D91" s="14">
        <f ca="1">IFERROR(__xludf.DUMMYFUNCTION("googlefinance(""nse:""&amp;A91,""changepct"")"),-0.6)</f>
        <v>-0.6</v>
      </c>
      <c r="E91" s="14">
        <f ca="1">IFERROR(__xludf.DUMMYFUNCTION("googlefinance(""nse:""&amp;A91,""change"")"),-1.75)</f>
        <v>-1.75</v>
      </c>
      <c r="F91" s="14">
        <f ca="1">IFERROR(__xludf.DUMMYFUNCTION("googlefinance(""nse:""&amp;A91,""priceopen"")"),295)</f>
        <v>295</v>
      </c>
      <c r="G91" s="14">
        <f ca="1">IFERROR(__xludf.DUMMYFUNCTION("googlefinance(""nse:""&amp;A91,""HIGH"")"),295)</f>
        <v>295</v>
      </c>
      <c r="H91" s="14">
        <f ca="1">IFERROR(__xludf.DUMMYFUNCTION("googlefinance(""nse:""&amp;A91,""LOW"")"),283.15)</f>
        <v>283.14999999999998</v>
      </c>
      <c r="I91" s="14" t="str">
        <f ca="1">IFERROR(__xludf.DUMMYFUNCTION("INDEX( GoogleFinance( ""NSE:""&amp;A91 , ""all"" , TODAY()-2) , 2, 5)"),"#N/A")</f>
        <v>#N/A</v>
      </c>
      <c r="J91" s="17">
        <f t="shared" ca="1" si="1"/>
        <v>7.1000000000000227</v>
      </c>
      <c r="K91" s="17">
        <f t="shared" ca="1" si="2"/>
        <v>11.850000000000023</v>
      </c>
      <c r="L91" s="17">
        <f t="shared" ca="1" si="3"/>
        <v>11.850000000000023</v>
      </c>
      <c r="M91" s="19" t="str">
        <f t="shared" ca="1" si="4"/>
        <v/>
      </c>
      <c r="N91" s="19" t="str">
        <f t="shared" ca="1" si="5"/>
        <v/>
      </c>
      <c r="O91" s="19" t="str">
        <f t="shared" ca="1" si="6"/>
        <v/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12" t="s">
        <v>156</v>
      </c>
      <c r="B92" s="14">
        <f ca="1">IFERROR(__xludf.DUMMYFUNCTION("googlefinance(""nse:""&amp;A92,""price"")"),5343)</f>
        <v>5343</v>
      </c>
      <c r="C92" s="14" t="str">
        <f t="shared" ca="1" si="0"/>
        <v>BUY</v>
      </c>
      <c r="D92" s="14">
        <f ca="1">IFERROR(__xludf.DUMMYFUNCTION("googlefinance(""nse:""&amp;A92,""changepct"")"),5.42)</f>
        <v>5.42</v>
      </c>
      <c r="E92" s="14">
        <f ca="1">IFERROR(__xludf.DUMMYFUNCTION("googlefinance(""nse:""&amp;A92,""change"")"),274.55)</f>
        <v>274.55</v>
      </c>
      <c r="F92" s="14">
        <f ca="1">IFERROR(__xludf.DUMMYFUNCTION("googlefinance(""nse:""&amp;A92,""priceopen"")"),5122)</f>
        <v>5122</v>
      </c>
      <c r="G92" s="14">
        <f ca="1">IFERROR(__xludf.DUMMYFUNCTION("googlefinance(""nse:""&amp;A92,""HIGH"")"),5425)</f>
        <v>5425</v>
      </c>
      <c r="H92" s="14">
        <f ca="1">IFERROR(__xludf.DUMMYFUNCTION("googlefinance(""nse:""&amp;A92,""LOW"")"),5122)</f>
        <v>5122</v>
      </c>
      <c r="I92" s="14" t="str">
        <f ca="1">IFERROR(__xludf.DUMMYFUNCTION("INDEX( GoogleFinance( ""NSE:""&amp;A92 , ""all"" , TODAY()-2) , 2, 5)"),"#N/A")</f>
        <v>#N/A</v>
      </c>
      <c r="J92" s="17">
        <f t="shared" ca="1" si="1"/>
        <v>82</v>
      </c>
      <c r="K92" s="17">
        <f t="shared" ca="1" si="2"/>
        <v>303</v>
      </c>
      <c r="L92" s="17">
        <f t="shared" ca="1" si="3"/>
        <v>0</v>
      </c>
      <c r="M92" s="19" t="str">
        <f t="shared" ca="1" si="4"/>
        <v/>
      </c>
      <c r="N92" s="19" t="str">
        <f t="shared" ca="1" si="5"/>
        <v/>
      </c>
      <c r="O92" s="19" t="str">
        <f t="shared" ca="1" si="6"/>
        <v/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12" t="s">
        <v>157</v>
      </c>
      <c r="B93" s="14">
        <f ca="1">IFERROR(__xludf.DUMMYFUNCTION("googlefinance(""nse:""&amp;A93,""price"")"),535.9)</f>
        <v>535.9</v>
      </c>
      <c r="C93" s="14">
        <f t="shared" ca="1" si="0"/>
        <v>0</v>
      </c>
      <c r="D93" s="14">
        <f ca="1">IFERROR(__xludf.DUMMYFUNCTION("googlefinance(""nse:""&amp;A93,""changepct"")"),0.68)</f>
        <v>0.68</v>
      </c>
      <c r="E93" s="14">
        <f ca="1">IFERROR(__xludf.DUMMYFUNCTION("googlefinance(""nse:""&amp;A93,""change"")"),3.6)</f>
        <v>3.6</v>
      </c>
      <c r="F93" s="14">
        <f ca="1">IFERROR(__xludf.DUMMYFUNCTION("googlefinance(""nse:""&amp;A93,""priceopen"")"),536.15)</f>
        <v>536.15</v>
      </c>
      <c r="G93" s="14">
        <f ca="1">IFERROR(__xludf.DUMMYFUNCTION("googlefinance(""nse:""&amp;A93,""HIGH"")"),545.5)</f>
        <v>545.5</v>
      </c>
      <c r="H93" s="14">
        <f ca="1">IFERROR(__xludf.DUMMYFUNCTION("googlefinance(""nse:""&amp;A93,""LOW"")"),527.1)</f>
        <v>527.1</v>
      </c>
      <c r="I93" s="14" t="str">
        <f ca="1">IFERROR(__xludf.DUMMYFUNCTION("INDEX( GoogleFinance( ""NSE:""&amp;A93 , ""all"" , TODAY()-2) , 2, 5)"),"#N/A")</f>
        <v>#N/A</v>
      </c>
      <c r="J93" s="17">
        <f t="shared" ca="1" si="1"/>
        <v>9.6000000000000227</v>
      </c>
      <c r="K93" s="17">
        <f t="shared" ca="1" si="2"/>
        <v>18.399999999999977</v>
      </c>
      <c r="L93" s="17">
        <f t="shared" ca="1" si="3"/>
        <v>9.0499999999999545</v>
      </c>
      <c r="M93" s="19" t="str">
        <f t="shared" ca="1" si="4"/>
        <v>DOJI</v>
      </c>
      <c r="N93" s="19" t="str">
        <f t="shared" ca="1" si="5"/>
        <v/>
      </c>
      <c r="O93" s="19" t="str">
        <f t="shared" ca="1" si="6"/>
        <v/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12" t="s">
        <v>158</v>
      </c>
      <c r="B94" s="14">
        <f ca="1">IFERROR(__xludf.DUMMYFUNCTION("googlefinance(""nse:""&amp;A94,""price"")"),466.3)</f>
        <v>466.3</v>
      </c>
      <c r="C94" s="14">
        <f t="shared" ca="1" si="0"/>
        <v>0</v>
      </c>
      <c r="D94" s="14">
        <f ca="1">IFERROR(__xludf.DUMMYFUNCTION("googlefinance(""nse:""&amp;A94,""changepct"")"),-1.42)</f>
        <v>-1.42</v>
      </c>
      <c r="E94" s="14">
        <f ca="1">IFERROR(__xludf.DUMMYFUNCTION("googlefinance(""nse:""&amp;A94,""change"")"),-6.7)</f>
        <v>-6.7</v>
      </c>
      <c r="F94" s="14">
        <f ca="1">IFERROR(__xludf.DUMMYFUNCTION("googlefinance(""nse:""&amp;A94,""priceopen"")"),477.9)</f>
        <v>477.9</v>
      </c>
      <c r="G94" s="14">
        <f ca="1">IFERROR(__xludf.DUMMYFUNCTION("googlefinance(""nse:""&amp;A94,""HIGH"")"),489.85)</f>
        <v>489.85</v>
      </c>
      <c r="H94" s="14">
        <f ca="1">IFERROR(__xludf.DUMMYFUNCTION("googlefinance(""nse:""&amp;A94,""LOW"")"),460.25)</f>
        <v>460.25</v>
      </c>
      <c r="I94" s="14" t="str">
        <f ca="1">IFERROR(__xludf.DUMMYFUNCTION("INDEX( GoogleFinance( ""NSE:""&amp;A94 , ""all"" , TODAY()-2) , 2, 5)"),"#N/A")</f>
        <v>#N/A</v>
      </c>
      <c r="J94" s="17">
        <f t="shared" ca="1" si="1"/>
        <v>23.550000000000011</v>
      </c>
      <c r="K94" s="17">
        <f t="shared" ca="1" si="2"/>
        <v>29.600000000000023</v>
      </c>
      <c r="L94" s="17">
        <f t="shared" ca="1" si="3"/>
        <v>17.649999999999977</v>
      </c>
      <c r="M94" s="19" t="str">
        <f t="shared" ca="1" si="4"/>
        <v/>
      </c>
      <c r="N94" s="19" t="str">
        <f t="shared" ca="1" si="5"/>
        <v/>
      </c>
      <c r="O94" s="19" t="str">
        <f t="shared" ca="1" si="6"/>
        <v/>
      </c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12" t="s">
        <v>159</v>
      </c>
      <c r="B95" s="14">
        <f ca="1">IFERROR(__xludf.DUMMYFUNCTION("googlefinance(""nse:""&amp;A95,""price"")"),965.5)</f>
        <v>965.5</v>
      </c>
      <c r="C95" s="14" t="str">
        <f t="shared" ca="1" si="0"/>
        <v>BUY</v>
      </c>
      <c r="D95" s="14">
        <f ca="1">IFERROR(__xludf.DUMMYFUNCTION("googlefinance(""nse:""&amp;A95,""changepct"")"),2.04)</f>
        <v>2.04</v>
      </c>
      <c r="E95" s="14">
        <f ca="1">IFERROR(__xludf.DUMMYFUNCTION("googlefinance(""nse:""&amp;A95,""change"")"),19.3)</f>
        <v>19.3</v>
      </c>
      <c r="F95" s="14">
        <f ca="1">IFERROR(__xludf.DUMMYFUNCTION("googlefinance(""nse:""&amp;A95,""priceopen"")"),955)</f>
        <v>955</v>
      </c>
      <c r="G95" s="14">
        <f ca="1">IFERROR(__xludf.DUMMYFUNCTION("googlefinance(""nse:""&amp;A95,""HIGH"")"),978.1)</f>
        <v>978.1</v>
      </c>
      <c r="H95" s="14">
        <f ca="1">IFERROR(__xludf.DUMMYFUNCTION("googlefinance(""nse:""&amp;A95,""LOW"")"),955)</f>
        <v>955</v>
      </c>
      <c r="I95" s="14" t="str">
        <f ca="1">IFERROR(__xludf.DUMMYFUNCTION("INDEX( GoogleFinance( ""NSE:""&amp;A95 , ""all"" , TODAY()-2) , 2, 5)"),"#N/A")</f>
        <v>#N/A</v>
      </c>
      <c r="J95" s="17">
        <f t="shared" ca="1" si="1"/>
        <v>12.600000000000023</v>
      </c>
      <c r="K95" s="17">
        <f t="shared" ca="1" si="2"/>
        <v>23.100000000000023</v>
      </c>
      <c r="L95" s="17">
        <f t="shared" ca="1" si="3"/>
        <v>0</v>
      </c>
      <c r="M95" s="19" t="str">
        <f t="shared" ca="1" si="4"/>
        <v/>
      </c>
      <c r="N95" s="19" t="str">
        <f t="shared" ca="1" si="5"/>
        <v/>
      </c>
      <c r="O95" s="19" t="str">
        <f t="shared" ca="1" si="6"/>
        <v/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12" t="s">
        <v>160</v>
      </c>
      <c r="B96" s="14">
        <f ca="1">IFERROR(__xludf.DUMMYFUNCTION("googlefinance(""nse:""&amp;A96,""price"")"),914.95)</f>
        <v>914.95</v>
      </c>
      <c r="C96" s="14">
        <f t="shared" ca="1" si="0"/>
        <v>0</v>
      </c>
      <c r="D96" s="14">
        <f ca="1">IFERROR(__xludf.DUMMYFUNCTION("googlefinance(""nse:""&amp;A96,""changepct"")"),3.78)</f>
        <v>3.78</v>
      </c>
      <c r="E96" s="14">
        <f ca="1">IFERROR(__xludf.DUMMYFUNCTION("googlefinance(""nse:""&amp;A96,""change"")"),33.35)</f>
        <v>33.35</v>
      </c>
      <c r="F96" s="14">
        <f ca="1">IFERROR(__xludf.DUMMYFUNCTION("googlefinance(""nse:""&amp;A96,""priceopen"")"),891)</f>
        <v>891</v>
      </c>
      <c r="G96" s="14">
        <f ca="1">IFERROR(__xludf.DUMMYFUNCTION("googlefinance(""nse:""&amp;A96,""HIGH"")"),921.8)</f>
        <v>921.8</v>
      </c>
      <c r="H96" s="14">
        <f ca="1">IFERROR(__xludf.DUMMYFUNCTION("googlefinance(""nse:""&amp;A96,""LOW"")"),883)</f>
        <v>883</v>
      </c>
      <c r="I96" s="14" t="str">
        <f ca="1">IFERROR(__xludf.DUMMYFUNCTION("INDEX( GoogleFinance( ""NSE:""&amp;A96 , ""all"" , TODAY()-2) , 2, 5)"),"#N/A")</f>
        <v>#N/A</v>
      </c>
      <c r="J96" s="17">
        <f t="shared" ca="1" si="1"/>
        <v>6.8499999999999091</v>
      </c>
      <c r="K96" s="17">
        <f t="shared" ca="1" si="2"/>
        <v>38.799999999999955</v>
      </c>
      <c r="L96" s="17">
        <f t="shared" ca="1" si="3"/>
        <v>8</v>
      </c>
      <c r="M96" s="19" t="str">
        <f t="shared" ca="1" si="4"/>
        <v/>
      </c>
      <c r="N96" s="19" t="str">
        <f t="shared" ca="1" si="5"/>
        <v/>
      </c>
      <c r="O96" s="19" t="str">
        <f t="shared" ca="1" si="6"/>
        <v/>
      </c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12" t="s">
        <v>161</v>
      </c>
      <c r="B97" s="14">
        <f ca="1">IFERROR(__xludf.DUMMYFUNCTION("googlefinance(""nse:""&amp;A97,""price"")"),88.5)</f>
        <v>88.5</v>
      </c>
      <c r="C97" s="14">
        <f t="shared" ca="1" si="0"/>
        <v>0</v>
      </c>
      <c r="D97" s="14">
        <f ca="1">IFERROR(__xludf.DUMMYFUNCTION("googlefinance(""nse:""&amp;A97,""changepct"")"),8.72)</f>
        <v>8.7200000000000006</v>
      </c>
      <c r="E97" s="14">
        <f ca="1">IFERROR(__xludf.DUMMYFUNCTION("googlefinance(""nse:""&amp;A97,""change"")"),7.1)</f>
        <v>7.1</v>
      </c>
      <c r="F97" s="14">
        <f ca="1">IFERROR(__xludf.DUMMYFUNCTION("googlefinance(""nse:""&amp;A97,""priceopen"")"),85.5)</f>
        <v>85.5</v>
      </c>
      <c r="G97" s="14">
        <f ca="1">IFERROR(__xludf.DUMMYFUNCTION("googlefinance(""nse:""&amp;A97,""HIGH"")"),92)</f>
        <v>92</v>
      </c>
      <c r="H97" s="14">
        <f ca="1">IFERROR(__xludf.DUMMYFUNCTION("googlefinance(""nse:""&amp;A97,""LOW"")"),85.3)</f>
        <v>85.3</v>
      </c>
      <c r="I97" s="14" t="str">
        <f ca="1">IFERROR(__xludf.DUMMYFUNCTION("INDEX( GoogleFinance( ""NSE:""&amp;A97 , ""all"" , TODAY()-2) , 2, 5)"),"#N/A")</f>
        <v>#N/A</v>
      </c>
      <c r="J97" s="17">
        <f t="shared" ca="1" si="1"/>
        <v>3.5</v>
      </c>
      <c r="K97" s="17">
        <f t="shared" ca="1" si="2"/>
        <v>6.7000000000000028</v>
      </c>
      <c r="L97" s="17">
        <f t="shared" ca="1" si="3"/>
        <v>0.20000000000000284</v>
      </c>
      <c r="M97" s="19" t="str">
        <f t="shared" ca="1" si="4"/>
        <v/>
      </c>
      <c r="N97" s="19" t="str">
        <f t="shared" ca="1" si="5"/>
        <v/>
      </c>
      <c r="O97" s="19" t="str">
        <f t="shared" ca="1" si="6"/>
        <v/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12" t="s">
        <v>162</v>
      </c>
      <c r="B98" s="14">
        <f ca="1">IFERROR(__xludf.DUMMYFUNCTION("googlefinance(""nse:""&amp;A98,""price"")"),59910)</f>
        <v>59910</v>
      </c>
      <c r="C98" s="14">
        <f t="shared" ca="1" si="0"/>
        <v>0</v>
      </c>
      <c r="D98" s="14">
        <f ca="1">IFERROR(__xludf.DUMMYFUNCTION("googlefinance(""nse:""&amp;A98,""changepct"")"),1.19)</f>
        <v>1.19</v>
      </c>
      <c r="E98" s="14">
        <f ca="1">IFERROR(__xludf.DUMMYFUNCTION("googlefinance(""nse:""&amp;A98,""change"")"),706.3)</f>
        <v>706.3</v>
      </c>
      <c r="F98" s="14">
        <f ca="1">IFERROR(__xludf.DUMMYFUNCTION("googlefinance(""nse:""&amp;A98,""priceopen"")"),59800)</f>
        <v>59800</v>
      </c>
      <c r="G98" s="14">
        <f ca="1">IFERROR(__xludf.DUMMYFUNCTION("googlefinance(""nse:""&amp;A98,""HIGH"")"),61800)</f>
        <v>61800</v>
      </c>
      <c r="H98" s="14">
        <f ca="1">IFERROR(__xludf.DUMMYFUNCTION("googlefinance(""nse:""&amp;A98,""LOW"")"),59499.95)</f>
        <v>59499.95</v>
      </c>
      <c r="I98" s="14" t="str">
        <f ca="1">IFERROR(__xludf.DUMMYFUNCTION("INDEX( GoogleFinance( ""NSE:""&amp;A98 , ""all"" , TODAY()-2) , 2, 5)"),"#N/A")</f>
        <v>#N/A</v>
      </c>
      <c r="J98" s="17">
        <f t="shared" ca="1" si="1"/>
        <v>1890</v>
      </c>
      <c r="K98" s="17">
        <f t="shared" ca="1" si="2"/>
        <v>2300.0500000000029</v>
      </c>
      <c r="L98" s="17">
        <f t="shared" ca="1" si="3"/>
        <v>300.05000000000291</v>
      </c>
      <c r="M98" s="19" t="str">
        <f t="shared" ca="1" si="4"/>
        <v/>
      </c>
      <c r="N98" s="19" t="str">
        <f t="shared" ca="1" si="5"/>
        <v/>
      </c>
      <c r="O98" s="19" t="str">
        <f t="shared" ca="1" si="6"/>
        <v/>
      </c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12" t="s">
        <v>163</v>
      </c>
      <c r="B99" s="14">
        <f ca="1">IFERROR(__xludf.DUMMYFUNCTION("googlefinance(""nse:""&amp;A99,""price"")"),867.2)</f>
        <v>867.2</v>
      </c>
      <c r="C99" s="14">
        <f t="shared" ca="1" si="0"/>
        <v>0</v>
      </c>
      <c r="D99" s="14">
        <f ca="1">IFERROR(__xludf.DUMMYFUNCTION("googlefinance(""nse:""&amp;A99,""changepct"")"),5.22)</f>
        <v>5.22</v>
      </c>
      <c r="E99" s="14">
        <f ca="1">IFERROR(__xludf.DUMMYFUNCTION("googlefinance(""nse:""&amp;A99,""change"")"),43)</f>
        <v>43</v>
      </c>
      <c r="F99" s="14">
        <f ca="1">IFERROR(__xludf.DUMMYFUNCTION("googlefinance(""nse:""&amp;A99,""priceopen"")"),829)</f>
        <v>829</v>
      </c>
      <c r="G99" s="14">
        <f ca="1">IFERROR(__xludf.DUMMYFUNCTION("googlefinance(""nse:""&amp;A99,""HIGH"")"),875)</f>
        <v>875</v>
      </c>
      <c r="H99" s="14">
        <f ca="1">IFERROR(__xludf.DUMMYFUNCTION("googlefinance(""nse:""&amp;A99,""LOW"")"),823.25)</f>
        <v>823.25</v>
      </c>
      <c r="I99" s="14" t="str">
        <f ca="1">IFERROR(__xludf.DUMMYFUNCTION("INDEX( GoogleFinance( ""NSE:""&amp;A99 , ""all"" , TODAY()-2) , 2, 5)"),"#N/A")</f>
        <v>#N/A</v>
      </c>
      <c r="J99" s="17">
        <f t="shared" ca="1" si="1"/>
        <v>7.7999999999999545</v>
      </c>
      <c r="K99" s="17">
        <f t="shared" ca="1" si="2"/>
        <v>51.75</v>
      </c>
      <c r="L99" s="17">
        <f t="shared" ca="1" si="3"/>
        <v>5.75</v>
      </c>
      <c r="M99" s="19" t="str">
        <f t="shared" ca="1" si="4"/>
        <v/>
      </c>
      <c r="N99" s="19" t="str">
        <f t="shared" ca="1" si="5"/>
        <v/>
      </c>
      <c r="O99" s="19" t="str">
        <f t="shared" ca="1" si="6"/>
        <v/>
      </c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12" t="s">
        <v>164</v>
      </c>
      <c r="B100" s="14">
        <f ca="1">IFERROR(__xludf.DUMMYFUNCTION("googlefinance(""nse:""&amp;A100,""price"")"),31.75)</f>
        <v>31.75</v>
      </c>
      <c r="C100" s="14">
        <f t="shared" ca="1" si="0"/>
        <v>0</v>
      </c>
      <c r="D100" s="14">
        <f ca="1">IFERROR(__xludf.DUMMYFUNCTION("googlefinance(""nse:""&amp;A100,""changepct"")"),2.75)</f>
        <v>2.75</v>
      </c>
      <c r="E100" s="14">
        <f ca="1">IFERROR(__xludf.DUMMYFUNCTION("googlefinance(""nse:""&amp;A100,""change"")"),0.85)</f>
        <v>0.85</v>
      </c>
      <c r="F100" s="14">
        <f ca="1">IFERROR(__xludf.DUMMYFUNCTION("googlefinance(""nse:""&amp;A100,""priceopen"")"),31.5)</f>
        <v>31.5</v>
      </c>
      <c r="G100" s="14">
        <f ca="1">IFERROR(__xludf.DUMMYFUNCTION("googlefinance(""nse:""&amp;A100,""HIGH"")"),32.2)</f>
        <v>32.200000000000003</v>
      </c>
      <c r="H100" s="14">
        <f ca="1">IFERROR(__xludf.DUMMYFUNCTION("googlefinance(""nse:""&amp;A100,""LOW"")"),31.2)</f>
        <v>31.2</v>
      </c>
      <c r="I100" s="14" t="str">
        <f ca="1">IFERROR(__xludf.DUMMYFUNCTION("INDEX( GoogleFinance( ""NSE:""&amp;A100 , ""all"" , TODAY()-2) , 2, 5)"),"#N/A")</f>
        <v>#N/A</v>
      </c>
      <c r="J100" s="17">
        <f t="shared" ca="1" si="1"/>
        <v>0.45000000000000284</v>
      </c>
      <c r="K100" s="17">
        <f t="shared" ca="1" si="2"/>
        <v>1.0000000000000036</v>
      </c>
      <c r="L100" s="17">
        <f t="shared" ca="1" si="3"/>
        <v>0.30000000000000071</v>
      </c>
      <c r="M100" s="19" t="str">
        <f t="shared" ca="1" si="4"/>
        <v/>
      </c>
      <c r="N100" s="19" t="str">
        <f t="shared" ca="1" si="5"/>
        <v/>
      </c>
      <c r="O100" s="19" t="str">
        <f t="shared" ca="1" si="6"/>
        <v/>
      </c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12" t="s">
        <v>165</v>
      </c>
      <c r="B101" s="14">
        <f ca="1">IFERROR(__xludf.DUMMYFUNCTION("googlefinance(""nse:""&amp;A101,""price"")"),2575.95)</f>
        <v>2575.9499999999998</v>
      </c>
      <c r="C101" s="14">
        <f t="shared" ca="1" si="0"/>
        <v>0</v>
      </c>
      <c r="D101" s="14">
        <f ca="1">IFERROR(__xludf.DUMMYFUNCTION("googlefinance(""nse:""&amp;A101,""changepct"")"),5.8)</f>
        <v>5.8</v>
      </c>
      <c r="E101" s="14">
        <f ca="1">IFERROR(__xludf.DUMMYFUNCTION("googlefinance(""nse:""&amp;A101,""change"")"),141.2)</f>
        <v>141.19999999999999</v>
      </c>
      <c r="F101" s="14">
        <f ca="1">IFERROR(__xludf.DUMMYFUNCTION("googlefinance(""nse:""&amp;A101,""priceopen"")"),2472.45)</f>
        <v>2472.4499999999998</v>
      </c>
      <c r="G101" s="14">
        <f ca="1">IFERROR(__xludf.DUMMYFUNCTION("googlefinance(""nse:""&amp;A101,""HIGH"")"),2577.5)</f>
        <v>2577.5</v>
      </c>
      <c r="H101" s="14">
        <f ca="1">IFERROR(__xludf.DUMMYFUNCTION("googlefinance(""nse:""&amp;A101,""LOW"")"),2419)</f>
        <v>2419</v>
      </c>
      <c r="I101" s="14" t="str">
        <f ca="1">IFERROR(__xludf.DUMMYFUNCTION("INDEX( GoogleFinance( ""NSE:""&amp;A101 , ""all"" , TODAY()-2) , 2, 5)"),"#N/A")</f>
        <v>#N/A</v>
      </c>
      <c r="J101" s="17">
        <f t="shared" ca="1" si="1"/>
        <v>1.5500000000001819</v>
      </c>
      <c r="K101" s="17">
        <f t="shared" ca="1" si="2"/>
        <v>158.5</v>
      </c>
      <c r="L101" s="17">
        <f t="shared" ca="1" si="3"/>
        <v>53.449999999999818</v>
      </c>
      <c r="M101" s="19" t="str">
        <f t="shared" ca="1" si="4"/>
        <v/>
      </c>
      <c r="N101" s="19" t="str">
        <f t="shared" ca="1" si="5"/>
        <v/>
      </c>
      <c r="O101" s="19" t="str">
        <f t="shared" ca="1" si="6"/>
        <v/>
      </c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12" t="s">
        <v>166</v>
      </c>
      <c r="B102" s="14">
        <f ca="1">IFERROR(__xludf.DUMMYFUNCTION("googlefinance(""nse:""&amp;A102,""price"")"),25.95)</f>
        <v>25.95</v>
      </c>
      <c r="C102" s="14">
        <f t="shared" ca="1" si="0"/>
        <v>0</v>
      </c>
      <c r="D102" s="14">
        <f ca="1">IFERROR(__xludf.DUMMYFUNCTION("googlefinance(""nse:""&amp;A102,""changepct"")"),0.97)</f>
        <v>0.97</v>
      </c>
      <c r="E102" s="14">
        <f ca="1">IFERROR(__xludf.DUMMYFUNCTION("googlefinance(""nse:""&amp;A102,""change"")"),0.25)</f>
        <v>0.25</v>
      </c>
      <c r="F102" s="14">
        <f ca="1">IFERROR(__xludf.DUMMYFUNCTION("googlefinance(""nse:""&amp;A102,""priceopen"")"),26.45)</f>
        <v>26.45</v>
      </c>
      <c r="G102" s="14">
        <f ca="1">IFERROR(__xludf.DUMMYFUNCTION("googlefinance(""nse:""&amp;A102,""HIGH"")"),27.3)</f>
        <v>27.3</v>
      </c>
      <c r="H102" s="14">
        <f ca="1">IFERROR(__xludf.DUMMYFUNCTION("googlefinance(""nse:""&amp;A102,""LOW"")"),25.8)</f>
        <v>25.8</v>
      </c>
      <c r="I102" s="14" t="str">
        <f ca="1">IFERROR(__xludf.DUMMYFUNCTION("INDEX( GoogleFinance( ""NSE:""&amp;A102 , ""all"" , TODAY()-2) , 2, 5)"),"#N/A")</f>
        <v>#N/A</v>
      </c>
      <c r="J102" s="17">
        <f t="shared" ca="1" si="1"/>
        <v>1.3500000000000014</v>
      </c>
      <c r="K102" s="17">
        <f t="shared" ca="1" si="2"/>
        <v>1.5</v>
      </c>
      <c r="L102" s="17">
        <f t="shared" ca="1" si="3"/>
        <v>0.64999999999999858</v>
      </c>
      <c r="M102" s="19" t="str">
        <f t="shared" ca="1" si="4"/>
        <v/>
      </c>
      <c r="N102" s="19" t="str">
        <f t="shared" ca="1" si="5"/>
        <v/>
      </c>
      <c r="O102" s="19" t="str">
        <f t="shared" ca="1" si="6"/>
        <v/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12" t="s">
        <v>167</v>
      </c>
      <c r="B103" s="14">
        <f ca="1">IFERROR(__xludf.DUMMYFUNCTION("googlefinance(""nse:""&amp;A103,""price"")"),17899)</f>
        <v>17899</v>
      </c>
      <c r="C103" s="14">
        <f t="shared" ca="1" si="0"/>
        <v>0</v>
      </c>
      <c r="D103" s="14">
        <f ca="1">IFERROR(__xludf.DUMMYFUNCTION("googlefinance(""nse:""&amp;A103,""changepct"")"),2.34)</f>
        <v>2.34</v>
      </c>
      <c r="E103" s="14">
        <f ca="1">IFERROR(__xludf.DUMMYFUNCTION("googlefinance(""nse:""&amp;A103,""change"")"),409.3)</f>
        <v>409.3</v>
      </c>
      <c r="F103" s="14">
        <f ca="1">IFERROR(__xludf.DUMMYFUNCTION("googlefinance(""nse:""&amp;A103,""priceopen"")"),17700)</f>
        <v>17700</v>
      </c>
      <c r="G103" s="14">
        <f ca="1">IFERROR(__xludf.DUMMYFUNCTION("googlefinance(""nse:""&amp;A103,""HIGH"")"),18000)</f>
        <v>18000</v>
      </c>
      <c r="H103" s="14">
        <f ca="1">IFERROR(__xludf.DUMMYFUNCTION("googlefinance(""nse:""&amp;A103,""LOW"")"),17512)</f>
        <v>17512</v>
      </c>
      <c r="I103" s="14" t="str">
        <f ca="1">IFERROR(__xludf.DUMMYFUNCTION("INDEX( GoogleFinance( ""NSE:""&amp;A103 , ""all"" , TODAY()-2) , 2, 5)"),"#N/A")</f>
        <v>#N/A</v>
      </c>
      <c r="J103" s="17">
        <f t="shared" ca="1" si="1"/>
        <v>101</v>
      </c>
      <c r="K103" s="17">
        <f t="shared" ca="1" si="2"/>
        <v>488</v>
      </c>
      <c r="L103" s="17">
        <f t="shared" ca="1" si="3"/>
        <v>188</v>
      </c>
      <c r="M103" s="19" t="str">
        <f t="shared" ca="1" si="4"/>
        <v/>
      </c>
      <c r="N103" s="19" t="str">
        <f t="shared" ca="1" si="5"/>
        <v/>
      </c>
      <c r="O103" s="19" t="str">
        <f t="shared" ca="1" si="6"/>
        <v/>
      </c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12" t="s">
        <v>168</v>
      </c>
      <c r="B104" s="14">
        <f ca="1">IFERROR(__xludf.DUMMYFUNCTION("googlefinance(""nse:""&amp;A104,""price"")"),1205)</f>
        <v>1205</v>
      </c>
      <c r="C104" s="14">
        <f t="shared" ca="1" si="0"/>
        <v>0</v>
      </c>
      <c r="D104" s="14">
        <f ca="1">IFERROR(__xludf.DUMMYFUNCTION("googlefinance(""nse:""&amp;A104,""changepct"")"),1.96)</f>
        <v>1.96</v>
      </c>
      <c r="E104" s="14">
        <f ca="1">IFERROR(__xludf.DUMMYFUNCTION("googlefinance(""nse:""&amp;A104,""change"")"),23.15)</f>
        <v>23.15</v>
      </c>
      <c r="F104" s="14">
        <f ca="1">IFERROR(__xludf.DUMMYFUNCTION("googlefinance(""nse:""&amp;A104,""priceopen"")"),1205)</f>
        <v>1205</v>
      </c>
      <c r="G104" s="14">
        <f ca="1">IFERROR(__xludf.DUMMYFUNCTION("googlefinance(""nse:""&amp;A104,""HIGH"")"),1245.45)</f>
        <v>1245.45</v>
      </c>
      <c r="H104" s="14">
        <f ca="1">IFERROR(__xludf.DUMMYFUNCTION("googlefinance(""nse:""&amp;A104,""LOW"")"),1192.9)</f>
        <v>1192.9000000000001</v>
      </c>
      <c r="I104" s="14" t="str">
        <f ca="1">IFERROR(__xludf.DUMMYFUNCTION("INDEX( GoogleFinance( ""NSE:""&amp;A104 , ""all"" , TODAY()-2) , 2, 5)"),"#N/A")</f>
        <v>#N/A</v>
      </c>
      <c r="J104" s="17">
        <f t="shared" ca="1" si="1"/>
        <v>40.450000000000045</v>
      </c>
      <c r="K104" s="17">
        <f t="shared" ca="1" si="2"/>
        <v>52.549999999999955</v>
      </c>
      <c r="L104" s="17">
        <f t="shared" ca="1" si="3"/>
        <v>12.099999999999909</v>
      </c>
      <c r="M104" s="19" t="str">
        <f t="shared" ca="1" si="4"/>
        <v>DOJI</v>
      </c>
      <c r="N104" s="19" t="str">
        <f t="shared" ca="1" si="5"/>
        <v/>
      </c>
      <c r="O104" s="19" t="str">
        <f t="shared" ca="1" si="6"/>
        <v/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12" t="s">
        <v>169</v>
      </c>
      <c r="B105" s="14">
        <f ca="1">IFERROR(__xludf.DUMMYFUNCTION("googlefinance(""nse:""&amp;A105,""price"")"),80.6)</f>
        <v>80.599999999999994</v>
      </c>
      <c r="C105" s="14">
        <f t="shared" ca="1" si="0"/>
        <v>0</v>
      </c>
      <c r="D105" s="14">
        <f ca="1">IFERROR(__xludf.DUMMYFUNCTION("googlefinance(""nse:""&amp;A105,""changepct"")"),6.9)</f>
        <v>6.9</v>
      </c>
      <c r="E105" s="14">
        <f ca="1">IFERROR(__xludf.DUMMYFUNCTION("googlefinance(""nse:""&amp;A105,""change"")"),5.2)</f>
        <v>5.2</v>
      </c>
      <c r="F105" s="14">
        <f ca="1">IFERROR(__xludf.DUMMYFUNCTION("googlefinance(""nse:""&amp;A105,""priceopen"")"),76.8)</f>
        <v>76.8</v>
      </c>
      <c r="G105" s="14">
        <f ca="1">IFERROR(__xludf.DUMMYFUNCTION("googlefinance(""nse:""&amp;A105,""HIGH"")"),81.55)</f>
        <v>81.55</v>
      </c>
      <c r="H105" s="14">
        <f ca="1">IFERROR(__xludf.DUMMYFUNCTION("googlefinance(""nse:""&amp;A105,""LOW"")"),75.95)</f>
        <v>75.95</v>
      </c>
      <c r="I105" s="14" t="str">
        <f ca="1">IFERROR(__xludf.DUMMYFUNCTION("INDEX( GoogleFinance( ""NSE:""&amp;A105 , ""all"" , TODAY()-2) , 2, 5)"),"#N/A")</f>
        <v>#N/A</v>
      </c>
      <c r="J105" s="17">
        <f t="shared" ca="1" si="1"/>
        <v>0.95000000000000284</v>
      </c>
      <c r="K105" s="17">
        <f t="shared" ca="1" si="2"/>
        <v>5.5999999999999943</v>
      </c>
      <c r="L105" s="17">
        <f t="shared" ca="1" si="3"/>
        <v>0.84999999999999432</v>
      </c>
      <c r="M105" s="19" t="str">
        <f t="shared" ca="1" si="4"/>
        <v/>
      </c>
      <c r="N105" s="19" t="str">
        <f t="shared" ca="1" si="5"/>
        <v/>
      </c>
      <c r="O105" s="19" t="str">
        <f t="shared" ca="1" si="6"/>
        <v/>
      </c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12" t="s">
        <v>170</v>
      </c>
      <c r="B106" s="14">
        <f ca="1">IFERROR(__xludf.DUMMYFUNCTION("googlefinance(""nse:""&amp;A106,""price"")"),95.95)</f>
        <v>95.95</v>
      </c>
      <c r="C106" s="14">
        <f t="shared" ca="1" si="0"/>
        <v>0</v>
      </c>
      <c r="D106" s="14">
        <f ca="1">IFERROR(__xludf.DUMMYFUNCTION("googlefinance(""nse:""&amp;A106,""changepct"")"),6.37)</f>
        <v>6.37</v>
      </c>
      <c r="E106" s="14">
        <f ca="1">IFERROR(__xludf.DUMMYFUNCTION("googlefinance(""nse:""&amp;A106,""change"")"),5.75)</f>
        <v>5.75</v>
      </c>
      <c r="F106" s="14">
        <f ca="1">IFERROR(__xludf.DUMMYFUNCTION("googlefinance(""nse:""&amp;A106,""priceopen"")"),91.35)</f>
        <v>91.35</v>
      </c>
      <c r="G106" s="14">
        <f ca="1">IFERROR(__xludf.DUMMYFUNCTION("googlefinance(""nse:""&amp;A106,""HIGH"")"),97)</f>
        <v>97</v>
      </c>
      <c r="H106" s="14">
        <f ca="1">IFERROR(__xludf.DUMMYFUNCTION("googlefinance(""nse:""&amp;A106,""LOW"")"),90.4)</f>
        <v>90.4</v>
      </c>
      <c r="I106" s="14" t="str">
        <f ca="1">IFERROR(__xludf.DUMMYFUNCTION("INDEX( GoogleFinance( ""NSE:""&amp;A106 , ""all"" , TODAY()-2) , 2, 5)"),"#N/A")</f>
        <v>#N/A</v>
      </c>
      <c r="J106" s="17">
        <f t="shared" ca="1" si="1"/>
        <v>1.0499999999999972</v>
      </c>
      <c r="K106" s="17">
        <f t="shared" ca="1" si="2"/>
        <v>6.5999999999999943</v>
      </c>
      <c r="L106" s="17">
        <f t="shared" ca="1" si="3"/>
        <v>0.94999999999998863</v>
      </c>
      <c r="M106" s="19" t="str">
        <f t="shared" ca="1" si="4"/>
        <v/>
      </c>
      <c r="N106" s="19" t="str">
        <f t="shared" ca="1" si="5"/>
        <v/>
      </c>
      <c r="O106" s="19" t="str">
        <f t="shared" ca="1" si="6"/>
        <v/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12" t="s">
        <v>171</v>
      </c>
      <c r="B107" s="14">
        <f ca="1">IFERROR(__xludf.DUMMYFUNCTION("googlefinance(""nse:""&amp;A107,""price"")"),79.75)</f>
        <v>79.75</v>
      </c>
      <c r="C107" s="14">
        <f t="shared" ca="1" si="0"/>
        <v>0</v>
      </c>
      <c r="D107" s="14">
        <f ca="1">IFERROR(__xludf.DUMMYFUNCTION("googlefinance(""nse:""&amp;A107,""changepct"")"),13.12)</f>
        <v>13.12</v>
      </c>
      <c r="E107" s="14">
        <f ca="1">IFERROR(__xludf.DUMMYFUNCTION("googlefinance(""nse:""&amp;A107,""change"")"),9.25)</f>
        <v>9.25</v>
      </c>
      <c r="F107" s="14">
        <f ca="1">IFERROR(__xludf.DUMMYFUNCTION("googlefinance(""nse:""&amp;A107,""priceopen"")"),72.6)</f>
        <v>72.599999999999994</v>
      </c>
      <c r="G107" s="14">
        <f ca="1">IFERROR(__xludf.DUMMYFUNCTION("googlefinance(""nse:""&amp;A107,""HIGH"")"),81.05)</f>
        <v>81.05</v>
      </c>
      <c r="H107" s="14">
        <f ca="1">IFERROR(__xludf.DUMMYFUNCTION("googlefinance(""nse:""&amp;A107,""LOW"")"),71.5)</f>
        <v>71.5</v>
      </c>
      <c r="I107" s="14" t="str">
        <f ca="1">IFERROR(__xludf.DUMMYFUNCTION("INDEX( GoogleFinance( ""NSE:""&amp;A107 , ""all"" , TODAY()-2) , 2, 5)"),"#N/A")</f>
        <v>#N/A</v>
      </c>
      <c r="J107" s="17">
        <f t="shared" ca="1" si="1"/>
        <v>1.2999999999999972</v>
      </c>
      <c r="K107" s="17">
        <f t="shared" ca="1" si="2"/>
        <v>9.5499999999999972</v>
      </c>
      <c r="L107" s="17">
        <f t="shared" ca="1" si="3"/>
        <v>1.0999999999999943</v>
      </c>
      <c r="M107" s="19" t="str">
        <f t="shared" ca="1" si="4"/>
        <v/>
      </c>
      <c r="N107" s="19" t="str">
        <f t="shared" ca="1" si="5"/>
        <v/>
      </c>
      <c r="O107" s="19" t="str">
        <f t="shared" ca="1" si="6"/>
        <v/>
      </c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12" t="s">
        <v>172</v>
      </c>
      <c r="B108" s="14">
        <f ca="1">IFERROR(__xludf.DUMMYFUNCTION("googlefinance(""nse:""&amp;A108,""price"")"),18244)</f>
        <v>18244</v>
      </c>
      <c r="C108" s="14">
        <f t="shared" ca="1" si="0"/>
        <v>0</v>
      </c>
      <c r="D108" s="14">
        <f ca="1">IFERROR(__xludf.DUMMYFUNCTION("googlefinance(""nse:""&amp;A108,""changepct"")"),1.39)</f>
        <v>1.39</v>
      </c>
      <c r="E108" s="14">
        <f ca="1">IFERROR(__xludf.DUMMYFUNCTION("googlefinance(""nse:""&amp;A108,""change"")"),250.15)</f>
        <v>250.15</v>
      </c>
      <c r="F108" s="14">
        <f ca="1">IFERROR(__xludf.DUMMYFUNCTION("googlefinance(""nse:""&amp;A108,""priceopen"")"),18300)</f>
        <v>18300</v>
      </c>
      <c r="G108" s="14">
        <f ca="1">IFERROR(__xludf.DUMMYFUNCTION("googlefinance(""nse:""&amp;A108,""HIGH"")"),18632.6)</f>
        <v>18632.599999999999</v>
      </c>
      <c r="H108" s="14">
        <f ca="1">IFERROR(__xludf.DUMMYFUNCTION("googlefinance(""nse:""&amp;A108,""LOW"")"),17965.1)</f>
        <v>17965.099999999999</v>
      </c>
      <c r="I108" s="14" t="str">
        <f ca="1">IFERROR(__xludf.DUMMYFUNCTION("INDEX( GoogleFinance( ""NSE:""&amp;A108 , ""all"" , TODAY()-2) , 2, 5)"),"#N/A")</f>
        <v>#N/A</v>
      </c>
      <c r="J108" s="17">
        <f t="shared" ca="1" si="1"/>
        <v>388.59999999999854</v>
      </c>
      <c r="K108" s="17">
        <f t="shared" ca="1" si="2"/>
        <v>667.5</v>
      </c>
      <c r="L108" s="17">
        <f t="shared" ca="1" si="3"/>
        <v>334.90000000000146</v>
      </c>
      <c r="M108" s="19" t="str">
        <f t="shared" ca="1" si="4"/>
        <v/>
      </c>
      <c r="N108" s="19" t="str">
        <f t="shared" ca="1" si="5"/>
        <v/>
      </c>
      <c r="O108" s="19" t="str">
        <f t="shared" ca="1" si="6"/>
        <v/>
      </c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12" t="s">
        <v>173</v>
      </c>
      <c r="B109" s="14">
        <f ca="1">IFERROR(__xludf.DUMMYFUNCTION("googlefinance(""nse:""&amp;A109,""price"")"),982.15)</f>
        <v>982.15</v>
      </c>
      <c r="C109" s="14">
        <f t="shared" ca="1" si="0"/>
        <v>0</v>
      </c>
      <c r="D109" s="14">
        <f ca="1">IFERROR(__xludf.DUMMYFUNCTION("googlefinance(""nse:""&amp;A109,""changepct"")"),2.89)</f>
        <v>2.89</v>
      </c>
      <c r="E109" s="14">
        <f ca="1">IFERROR(__xludf.DUMMYFUNCTION("googlefinance(""nse:""&amp;A109,""change"")"),27.55)</f>
        <v>27.55</v>
      </c>
      <c r="F109" s="14">
        <f ca="1">IFERROR(__xludf.DUMMYFUNCTION("googlefinance(""nse:""&amp;A109,""priceopen"")"),963.1)</f>
        <v>963.1</v>
      </c>
      <c r="G109" s="14">
        <f ca="1">IFERROR(__xludf.DUMMYFUNCTION("googlefinance(""nse:""&amp;A109,""HIGH"")"),997.5)</f>
        <v>997.5</v>
      </c>
      <c r="H109" s="14">
        <f ca="1">IFERROR(__xludf.DUMMYFUNCTION("googlefinance(""nse:""&amp;A109,""LOW"")"),960.6)</f>
        <v>960.6</v>
      </c>
      <c r="I109" s="14" t="str">
        <f ca="1">IFERROR(__xludf.DUMMYFUNCTION("INDEX( GoogleFinance( ""NSE:""&amp;A109 , ""all"" , TODAY()-2) , 2, 5)"),"#N/A")</f>
        <v>#N/A</v>
      </c>
      <c r="J109" s="17">
        <f t="shared" ca="1" si="1"/>
        <v>15.350000000000023</v>
      </c>
      <c r="K109" s="17">
        <f t="shared" ca="1" si="2"/>
        <v>36.899999999999977</v>
      </c>
      <c r="L109" s="17">
        <f t="shared" ca="1" si="3"/>
        <v>2.5</v>
      </c>
      <c r="M109" s="19" t="str">
        <f t="shared" ca="1" si="4"/>
        <v/>
      </c>
      <c r="N109" s="19" t="str">
        <f t="shared" ca="1" si="5"/>
        <v/>
      </c>
      <c r="O109" s="19" t="str">
        <f t="shared" ca="1" si="6"/>
        <v/>
      </c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12" t="s">
        <v>174</v>
      </c>
      <c r="B110" s="14">
        <f ca="1">IFERROR(__xludf.DUMMYFUNCTION("googlefinance(""nse:""&amp;A110,""price"")"),242.3)</f>
        <v>242.3</v>
      </c>
      <c r="C110" s="14">
        <f t="shared" ca="1" si="0"/>
        <v>0</v>
      </c>
      <c r="D110" s="14">
        <f ca="1">IFERROR(__xludf.DUMMYFUNCTION("googlefinance(""nse:""&amp;A110,""changepct"")"),2.89)</f>
        <v>2.89</v>
      </c>
      <c r="E110" s="14">
        <f ca="1">IFERROR(__xludf.DUMMYFUNCTION("googlefinance(""nse:""&amp;A110,""change"")"),6.8)</f>
        <v>6.8</v>
      </c>
      <c r="F110" s="14">
        <f ca="1">IFERROR(__xludf.DUMMYFUNCTION("googlefinance(""nse:""&amp;A110,""priceopen"")"),237.9)</f>
        <v>237.9</v>
      </c>
      <c r="G110" s="14">
        <f ca="1">IFERROR(__xludf.DUMMYFUNCTION("googlefinance(""nse:""&amp;A110,""HIGH"")"),245)</f>
        <v>245</v>
      </c>
      <c r="H110" s="14">
        <f ca="1">IFERROR(__xludf.DUMMYFUNCTION("googlefinance(""nse:""&amp;A110,""LOW"")"),236)</f>
        <v>236</v>
      </c>
      <c r="I110" s="14" t="str">
        <f ca="1">IFERROR(__xludf.DUMMYFUNCTION("INDEX( GoogleFinance( ""NSE:""&amp;A110 , ""all"" , TODAY()-2) , 2, 5)"),"#N/A")</f>
        <v>#N/A</v>
      </c>
      <c r="J110" s="17">
        <f t="shared" ca="1" si="1"/>
        <v>2.6999999999999886</v>
      </c>
      <c r="K110" s="17">
        <f t="shared" ca="1" si="2"/>
        <v>9</v>
      </c>
      <c r="L110" s="17">
        <f t="shared" ca="1" si="3"/>
        <v>1.9000000000000057</v>
      </c>
      <c r="M110" s="19" t="str">
        <f t="shared" ca="1" si="4"/>
        <v/>
      </c>
      <c r="N110" s="19" t="str">
        <f t="shared" ca="1" si="5"/>
        <v/>
      </c>
      <c r="O110" s="19" t="str">
        <f t="shared" ca="1" si="6"/>
        <v/>
      </c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12" t="s">
        <v>175</v>
      </c>
      <c r="B111" s="14">
        <f ca="1">IFERROR(__xludf.DUMMYFUNCTION("googlefinance(""nse:""&amp;A111,""price"")"),95.5)</f>
        <v>95.5</v>
      </c>
      <c r="C111" s="14">
        <f t="shared" ca="1" si="0"/>
        <v>0</v>
      </c>
      <c r="D111" s="14">
        <f ca="1">IFERROR(__xludf.DUMMYFUNCTION("googlefinance(""nse:""&amp;A111,""changepct"")"),0.69)</f>
        <v>0.69</v>
      </c>
      <c r="E111" s="14">
        <f ca="1">IFERROR(__xludf.DUMMYFUNCTION("googlefinance(""nse:""&amp;A111,""change"")"),0.65)</f>
        <v>0.65</v>
      </c>
      <c r="F111" s="14">
        <f ca="1">IFERROR(__xludf.DUMMYFUNCTION("googlefinance(""nse:""&amp;A111,""priceopen"")"),95.85)</f>
        <v>95.85</v>
      </c>
      <c r="G111" s="14">
        <f ca="1">IFERROR(__xludf.DUMMYFUNCTION("googlefinance(""nse:""&amp;A111,""HIGH"")"),96.6)</f>
        <v>96.6</v>
      </c>
      <c r="H111" s="14">
        <f ca="1">IFERROR(__xludf.DUMMYFUNCTION("googlefinance(""nse:""&amp;A111,""LOW"")"),93.1)</f>
        <v>93.1</v>
      </c>
      <c r="I111" s="14" t="str">
        <f ca="1">IFERROR(__xludf.DUMMYFUNCTION("INDEX( GoogleFinance( ""NSE:""&amp;A111 , ""all"" , TODAY()-2) , 2, 5)"),"#N/A")</f>
        <v>#N/A</v>
      </c>
      <c r="J111" s="17">
        <f t="shared" ca="1" si="1"/>
        <v>1.0999999999999943</v>
      </c>
      <c r="K111" s="17">
        <f t="shared" ca="1" si="2"/>
        <v>3.5</v>
      </c>
      <c r="L111" s="17">
        <f t="shared" ca="1" si="3"/>
        <v>2.75</v>
      </c>
      <c r="M111" s="19" t="str">
        <f t="shared" ca="1" si="4"/>
        <v/>
      </c>
      <c r="N111" s="19" t="str">
        <f t="shared" ca="1" si="5"/>
        <v/>
      </c>
      <c r="O111" s="19" t="str">
        <f t="shared" ca="1" si="6"/>
        <v/>
      </c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12" t="s">
        <v>176</v>
      </c>
      <c r="B112" s="14">
        <f ca="1">IFERROR(__xludf.DUMMYFUNCTION("googlefinance(""nse:""&amp;A112,""price"")"),1523)</f>
        <v>1523</v>
      </c>
      <c r="C112" s="14">
        <f t="shared" ca="1" si="0"/>
        <v>0</v>
      </c>
      <c r="D112" s="14">
        <f ca="1">IFERROR(__xludf.DUMMYFUNCTION("googlefinance(""nse:""&amp;A112,""changepct"")"),0.34)</f>
        <v>0.34</v>
      </c>
      <c r="E112" s="14">
        <f ca="1">IFERROR(__xludf.DUMMYFUNCTION("googlefinance(""nse:""&amp;A112,""change"")"),5.2)</f>
        <v>5.2</v>
      </c>
      <c r="F112" s="14">
        <f ca="1">IFERROR(__xludf.DUMMYFUNCTION("googlefinance(""nse:""&amp;A112,""priceopen"")"),1540)</f>
        <v>1540</v>
      </c>
      <c r="G112" s="14">
        <f ca="1">IFERROR(__xludf.DUMMYFUNCTION("googlefinance(""nse:""&amp;A112,""HIGH"")"),1542.65)</f>
        <v>1542.65</v>
      </c>
      <c r="H112" s="14">
        <f ca="1">IFERROR(__xludf.DUMMYFUNCTION("googlefinance(""nse:""&amp;A112,""LOW"")"),1506.45)</f>
        <v>1506.45</v>
      </c>
      <c r="I112" s="14" t="str">
        <f ca="1">IFERROR(__xludf.DUMMYFUNCTION("INDEX( GoogleFinance( ""NSE:""&amp;A112 , ""all"" , TODAY()-2) , 2, 5)"),"#N/A")</f>
        <v>#N/A</v>
      </c>
      <c r="J112" s="17">
        <f t="shared" ca="1" si="1"/>
        <v>19.650000000000091</v>
      </c>
      <c r="K112" s="17">
        <f t="shared" ca="1" si="2"/>
        <v>36.200000000000045</v>
      </c>
      <c r="L112" s="17">
        <f t="shared" ca="1" si="3"/>
        <v>33.549999999999955</v>
      </c>
      <c r="M112" s="19" t="str">
        <f t="shared" ca="1" si="4"/>
        <v/>
      </c>
      <c r="N112" s="19" t="str">
        <f t="shared" ca="1" si="5"/>
        <v/>
      </c>
      <c r="O112" s="19" t="str">
        <f t="shared" ca="1" si="6"/>
        <v/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12" t="s">
        <v>177</v>
      </c>
      <c r="B113" s="14">
        <f ca="1">IFERROR(__xludf.DUMMYFUNCTION("googlefinance(""nse:""&amp;A113,""price"")"),32.4)</f>
        <v>32.4</v>
      </c>
      <c r="C113" s="14">
        <f t="shared" ca="1" si="0"/>
        <v>0</v>
      </c>
      <c r="D113" s="14">
        <f ca="1">IFERROR(__xludf.DUMMYFUNCTION("googlefinance(""nse:""&amp;A113,""changepct"")"),0.31)</f>
        <v>0.31</v>
      </c>
      <c r="E113" s="14">
        <f ca="1">IFERROR(__xludf.DUMMYFUNCTION("googlefinance(""nse:""&amp;A113,""change"")"),0.1)</f>
        <v>0.1</v>
      </c>
      <c r="F113" s="14">
        <f ca="1">IFERROR(__xludf.DUMMYFUNCTION("googlefinance(""nse:""&amp;A113,""priceopen"")"),32.7)</f>
        <v>32.700000000000003</v>
      </c>
      <c r="G113" s="14">
        <f ca="1">IFERROR(__xludf.DUMMYFUNCTION("googlefinance(""nse:""&amp;A113,""HIGH"")"),33.7)</f>
        <v>33.700000000000003</v>
      </c>
      <c r="H113" s="14">
        <f ca="1">IFERROR(__xludf.DUMMYFUNCTION("googlefinance(""nse:""&amp;A113,""LOW"")"),32.1)</f>
        <v>32.1</v>
      </c>
      <c r="I113" s="14" t="str">
        <f ca="1">IFERROR(__xludf.DUMMYFUNCTION("INDEX( GoogleFinance( ""NSE:""&amp;A113 , ""all"" , TODAY()-2) , 2, 5)"),"#N/A")</f>
        <v>#N/A</v>
      </c>
      <c r="J113" s="17">
        <f t="shared" ca="1" si="1"/>
        <v>1.3000000000000043</v>
      </c>
      <c r="K113" s="17">
        <f t="shared" ca="1" si="2"/>
        <v>1.6000000000000014</v>
      </c>
      <c r="L113" s="17">
        <f t="shared" ca="1" si="3"/>
        <v>0.60000000000000142</v>
      </c>
      <c r="M113" s="19" t="str">
        <f t="shared" ca="1" si="4"/>
        <v/>
      </c>
      <c r="N113" s="19" t="str">
        <f t="shared" ca="1" si="5"/>
        <v/>
      </c>
      <c r="O113" s="19" t="str">
        <f t="shared" ca="1" si="6"/>
        <v/>
      </c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12" t="s">
        <v>178</v>
      </c>
      <c r="B114" s="14">
        <f ca="1">IFERROR(__xludf.DUMMYFUNCTION("googlefinance(""nse:""&amp;A114,""price"")"),162.9)</f>
        <v>162.9</v>
      </c>
      <c r="C114" s="14">
        <f t="shared" ca="1" si="0"/>
        <v>0</v>
      </c>
      <c r="D114" s="14">
        <f ca="1">IFERROR(__xludf.DUMMYFUNCTION("googlefinance(""nse:""&amp;A114,""changepct"")"),3.07)</f>
        <v>3.07</v>
      </c>
      <c r="E114" s="14">
        <f ca="1">IFERROR(__xludf.DUMMYFUNCTION("googlefinance(""nse:""&amp;A114,""change"")"),4.85)</f>
        <v>4.8499999999999996</v>
      </c>
      <c r="F114" s="14">
        <f ca="1">IFERROR(__xludf.DUMMYFUNCTION("googlefinance(""nse:""&amp;A114,""priceopen"")"),159.6)</f>
        <v>159.6</v>
      </c>
      <c r="G114" s="14">
        <f ca="1">IFERROR(__xludf.DUMMYFUNCTION("googlefinance(""nse:""&amp;A114,""HIGH"")"),163.45)</f>
        <v>163.44999999999999</v>
      </c>
      <c r="H114" s="14">
        <f ca="1">IFERROR(__xludf.DUMMYFUNCTION("googlefinance(""nse:""&amp;A114,""LOW"")"),157.2)</f>
        <v>157.19999999999999</v>
      </c>
      <c r="I114" s="14" t="str">
        <f ca="1">IFERROR(__xludf.DUMMYFUNCTION("INDEX( GoogleFinance( ""NSE:""&amp;A114 , ""all"" , TODAY()-2) , 2, 5)"),"#N/A")</f>
        <v>#N/A</v>
      </c>
      <c r="J114" s="17">
        <f t="shared" ca="1" si="1"/>
        <v>0.54999999999998295</v>
      </c>
      <c r="K114" s="17">
        <f t="shared" ca="1" si="2"/>
        <v>6.25</v>
      </c>
      <c r="L114" s="17">
        <f t="shared" ca="1" si="3"/>
        <v>2.4000000000000057</v>
      </c>
      <c r="M114" s="19" t="str">
        <f t="shared" ca="1" si="4"/>
        <v/>
      </c>
      <c r="N114" s="19" t="str">
        <f t="shared" ca="1" si="5"/>
        <v/>
      </c>
      <c r="O114" s="19" t="str">
        <f t="shared" ca="1" si="6"/>
        <v/>
      </c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12" t="s">
        <v>179</v>
      </c>
      <c r="B115" s="14">
        <f ca="1">IFERROR(__xludf.DUMMYFUNCTION("googlefinance(""nse:""&amp;A115,""price"")"),1005.05)</f>
        <v>1005.05</v>
      </c>
      <c r="C115" s="14">
        <f t="shared" ca="1" si="0"/>
        <v>0</v>
      </c>
      <c r="D115" s="14">
        <f ca="1">IFERROR(__xludf.DUMMYFUNCTION("googlefinance(""nse:""&amp;A115,""changepct"")"),-0.42)</f>
        <v>-0.42</v>
      </c>
      <c r="E115" s="14">
        <f ca="1">IFERROR(__xludf.DUMMYFUNCTION("googlefinance(""nse:""&amp;A115,""change"")"),-4.25)</f>
        <v>-4.25</v>
      </c>
      <c r="F115" s="14">
        <f ca="1">IFERROR(__xludf.DUMMYFUNCTION("googlefinance(""nse:""&amp;A115,""priceopen"")"),1030)</f>
        <v>1030</v>
      </c>
      <c r="G115" s="14">
        <f ca="1">IFERROR(__xludf.DUMMYFUNCTION("googlefinance(""nse:""&amp;A115,""HIGH"")"),1059.95)</f>
        <v>1059.95</v>
      </c>
      <c r="H115" s="14">
        <f ca="1">IFERROR(__xludf.DUMMYFUNCTION("googlefinance(""nse:""&amp;A115,""LOW"")"),1000.55)</f>
        <v>1000.55</v>
      </c>
      <c r="I115" s="14" t="str">
        <f ca="1">IFERROR(__xludf.DUMMYFUNCTION("INDEX( GoogleFinance( ""NSE:""&amp;A115 , ""all"" , TODAY()-2) , 2, 5)"),"#N/A")</f>
        <v>#N/A</v>
      </c>
      <c r="J115" s="17">
        <f t="shared" ca="1" si="1"/>
        <v>54.900000000000091</v>
      </c>
      <c r="K115" s="17">
        <f t="shared" ca="1" si="2"/>
        <v>59.400000000000091</v>
      </c>
      <c r="L115" s="17">
        <f t="shared" ca="1" si="3"/>
        <v>29.450000000000045</v>
      </c>
      <c r="M115" s="19" t="str">
        <f t="shared" ca="1" si="4"/>
        <v/>
      </c>
      <c r="N115" s="19" t="str">
        <f t="shared" ca="1" si="5"/>
        <v/>
      </c>
      <c r="O115" s="19" t="str">
        <f t="shared" ca="1" si="6"/>
        <v/>
      </c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12" t="s">
        <v>180</v>
      </c>
      <c r="B116" s="14">
        <f ca="1">IFERROR(__xludf.DUMMYFUNCTION("googlefinance(""nse:""&amp;A116,""price"")"),554.85)</f>
        <v>554.85</v>
      </c>
      <c r="C116" s="14">
        <f t="shared" ca="1" si="0"/>
        <v>0</v>
      </c>
      <c r="D116" s="14">
        <f ca="1">IFERROR(__xludf.DUMMYFUNCTION("googlefinance(""nse:""&amp;A116,""changepct"")"),1.28)</f>
        <v>1.28</v>
      </c>
      <c r="E116" s="14">
        <f ca="1">IFERROR(__xludf.DUMMYFUNCTION("googlefinance(""nse:""&amp;A116,""change"")"),7)</f>
        <v>7</v>
      </c>
      <c r="F116" s="14">
        <f ca="1">IFERROR(__xludf.DUMMYFUNCTION("googlefinance(""nse:""&amp;A116,""priceopen"")"),555)</f>
        <v>555</v>
      </c>
      <c r="G116" s="14">
        <f ca="1">IFERROR(__xludf.DUMMYFUNCTION("googlefinance(""nse:""&amp;A116,""HIGH"")"),577.3)</f>
        <v>577.29999999999995</v>
      </c>
      <c r="H116" s="14">
        <f ca="1">IFERROR(__xludf.DUMMYFUNCTION("googlefinance(""nse:""&amp;A116,""LOW"")"),546.75)</f>
        <v>546.75</v>
      </c>
      <c r="I116" s="14" t="str">
        <f ca="1">IFERROR(__xludf.DUMMYFUNCTION("INDEX( GoogleFinance( ""NSE:""&amp;A116 , ""all"" , TODAY()-2) , 2, 5)"),"#N/A")</f>
        <v>#N/A</v>
      </c>
      <c r="J116" s="17">
        <f t="shared" ca="1" si="1"/>
        <v>22.449999999999932</v>
      </c>
      <c r="K116" s="17">
        <f t="shared" ca="1" si="2"/>
        <v>30.549999999999955</v>
      </c>
      <c r="L116" s="17">
        <f t="shared" ca="1" si="3"/>
        <v>8.25</v>
      </c>
      <c r="M116" s="19" t="str">
        <f t="shared" ca="1" si="4"/>
        <v>DOJI</v>
      </c>
      <c r="N116" s="19" t="str">
        <f t="shared" ca="1" si="5"/>
        <v/>
      </c>
      <c r="O116" s="19" t="str">
        <f t="shared" ca="1" si="6"/>
        <v/>
      </c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12" t="s">
        <v>181</v>
      </c>
      <c r="B117" s="14">
        <f ca="1">IFERROR(__xludf.DUMMYFUNCTION("googlefinance(""nse:""&amp;A117,""price"")"),131.7)</f>
        <v>131.69999999999999</v>
      </c>
      <c r="C117" s="14" t="str">
        <f t="shared" ca="1" si="0"/>
        <v>BUY</v>
      </c>
      <c r="D117" s="14">
        <f ca="1">IFERROR(__xludf.DUMMYFUNCTION("googlefinance(""nse:""&amp;A117,""changepct"")"),4.65)</f>
        <v>4.6500000000000004</v>
      </c>
      <c r="E117" s="14">
        <f ca="1">IFERROR(__xludf.DUMMYFUNCTION("googlefinance(""nse:""&amp;A117,""change"")"),5.85)</f>
        <v>5.85</v>
      </c>
      <c r="F117" s="14">
        <f ca="1">IFERROR(__xludf.DUMMYFUNCTION("googlefinance(""nse:""&amp;A117,""priceopen"")"),130)</f>
        <v>130</v>
      </c>
      <c r="G117" s="14">
        <f ca="1">IFERROR(__xludf.DUMMYFUNCTION("googlefinance(""nse:""&amp;A117,""HIGH"")"),136.5)</f>
        <v>136.5</v>
      </c>
      <c r="H117" s="14">
        <f ca="1">IFERROR(__xludf.DUMMYFUNCTION("googlefinance(""nse:""&amp;A117,""LOW"")"),130)</f>
        <v>130</v>
      </c>
      <c r="I117" s="14" t="str">
        <f ca="1">IFERROR(__xludf.DUMMYFUNCTION("INDEX( GoogleFinance( ""NSE:""&amp;A117 , ""all"" , TODAY()-2) , 2, 5)"),"#N/A")</f>
        <v>#N/A</v>
      </c>
      <c r="J117" s="17">
        <f t="shared" ca="1" si="1"/>
        <v>4.8000000000000114</v>
      </c>
      <c r="K117" s="17">
        <f t="shared" ca="1" si="2"/>
        <v>6.5</v>
      </c>
      <c r="L117" s="17">
        <f t="shared" ca="1" si="3"/>
        <v>0</v>
      </c>
      <c r="M117" s="19" t="str">
        <f t="shared" ca="1" si="4"/>
        <v/>
      </c>
      <c r="N117" s="19" t="str">
        <f t="shared" ca="1" si="5"/>
        <v/>
      </c>
      <c r="O117" s="19" t="str">
        <f t="shared" ca="1" si="6"/>
        <v/>
      </c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12" t="s">
        <v>182</v>
      </c>
      <c r="B118" s="14">
        <f ca="1">IFERROR(__xludf.DUMMYFUNCTION("googlefinance(""nse:""&amp;A118,""price"")"),95.5)</f>
        <v>95.5</v>
      </c>
      <c r="C118" s="14">
        <f t="shared" ca="1" si="0"/>
        <v>0</v>
      </c>
      <c r="D118" s="14">
        <f ca="1">IFERROR(__xludf.DUMMYFUNCTION("googlefinance(""nse:""&amp;A118,""changepct"")"),2.41)</f>
        <v>2.41</v>
      </c>
      <c r="E118" s="14">
        <f ca="1">IFERROR(__xludf.DUMMYFUNCTION("googlefinance(""nse:""&amp;A118,""change"")"),2.25)</f>
        <v>2.25</v>
      </c>
      <c r="F118" s="14">
        <f ca="1">IFERROR(__xludf.DUMMYFUNCTION("googlefinance(""nse:""&amp;A118,""priceopen"")"),94.65)</f>
        <v>94.65</v>
      </c>
      <c r="G118" s="14">
        <f ca="1">IFERROR(__xludf.DUMMYFUNCTION("googlefinance(""nse:""&amp;A118,""HIGH"")"),96.25)</f>
        <v>96.25</v>
      </c>
      <c r="H118" s="14">
        <f ca="1">IFERROR(__xludf.DUMMYFUNCTION("googlefinance(""nse:""&amp;A118,""LOW"")"),93.25)</f>
        <v>93.25</v>
      </c>
      <c r="I118" s="14" t="str">
        <f ca="1">IFERROR(__xludf.DUMMYFUNCTION("INDEX( GoogleFinance( ""NSE:""&amp;A118 , ""all"" , TODAY()-2) , 2, 5)"),"#N/A")</f>
        <v>#N/A</v>
      </c>
      <c r="J118" s="17">
        <f t="shared" ca="1" si="1"/>
        <v>0.75</v>
      </c>
      <c r="K118" s="17">
        <f t="shared" ca="1" si="2"/>
        <v>3</v>
      </c>
      <c r="L118" s="17">
        <f t="shared" ca="1" si="3"/>
        <v>1.4000000000000057</v>
      </c>
      <c r="M118" s="19" t="str">
        <f t="shared" ca="1" si="4"/>
        <v/>
      </c>
      <c r="N118" s="19" t="str">
        <f t="shared" ca="1" si="5"/>
        <v/>
      </c>
      <c r="O118" s="19" t="str">
        <f t="shared" ca="1" si="6"/>
        <v/>
      </c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12" t="s">
        <v>183</v>
      </c>
      <c r="B119" s="14">
        <f ca="1">IFERROR(__xludf.DUMMYFUNCTION("googlefinance(""nse:""&amp;A119,""price"")"),1464)</f>
        <v>1464</v>
      </c>
      <c r="C119" s="14">
        <f t="shared" ca="1" si="0"/>
        <v>0</v>
      </c>
      <c r="D119" s="14">
        <f ca="1">IFERROR(__xludf.DUMMYFUNCTION("googlefinance(""nse:""&amp;A119,""changepct"")"),2.6)</f>
        <v>2.6</v>
      </c>
      <c r="E119" s="14">
        <f ca="1">IFERROR(__xludf.DUMMYFUNCTION("googlefinance(""nse:""&amp;A119,""change"")"),37.05)</f>
        <v>37.049999999999997</v>
      </c>
      <c r="F119" s="14">
        <f ca="1">IFERROR(__xludf.DUMMYFUNCTION("googlefinance(""nse:""&amp;A119,""priceopen"")"),1453.95)</f>
        <v>1453.95</v>
      </c>
      <c r="G119" s="14">
        <f ca="1">IFERROR(__xludf.DUMMYFUNCTION("googlefinance(""nse:""&amp;A119,""HIGH"")"),1494.95)</f>
        <v>1494.95</v>
      </c>
      <c r="H119" s="14">
        <f ca="1">IFERROR(__xludf.DUMMYFUNCTION("googlefinance(""nse:""&amp;A119,""LOW"")"),1438.05)</f>
        <v>1438.05</v>
      </c>
      <c r="I119" s="14" t="str">
        <f ca="1">IFERROR(__xludf.DUMMYFUNCTION("INDEX( GoogleFinance( ""NSE:""&amp;A119 , ""all"" , TODAY()-2) , 2, 5)"),"#N/A")</f>
        <v>#N/A</v>
      </c>
      <c r="J119" s="17">
        <f t="shared" ca="1" si="1"/>
        <v>30.950000000000045</v>
      </c>
      <c r="K119" s="17">
        <f t="shared" ca="1" si="2"/>
        <v>56.900000000000091</v>
      </c>
      <c r="L119" s="17">
        <f t="shared" ca="1" si="3"/>
        <v>15.900000000000091</v>
      </c>
      <c r="M119" s="19" t="str">
        <f t="shared" ca="1" si="4"/>
        <v/>
      </c>
      <c r="N119" s="19" t="str">
        <f t="shared" ca="1" si="5"/>
        <v/>
      </c>
      <c r="O119" s="19" t="str">
        <f t="shared" ca="1" si="6"/>
        <v/>
      </c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12" t="s">
        <v>184</v>
      </c>
      <c r="B120" s="14">
        <f ca="1">IFERROR(__xludf.DUMMYFUNCTION("googlefinance(""nse:""&amp;A120,""price"")"),31.9)</f>
        <v>31.9</v>
      </c>
      <c r="C120" s="14" t="str">
        <f t="shared" ca="1" si="0"/>
        <v>BUY</v>
      </c>
      <c r="D120" s="14">
        <f ca="1">IFERROR(__xludf.DUMMYFUNCTION("googlefinance(""nse:""&amp;A120,""changepct"")"),5.63)</f>
        <v>5.63</v>
      </c>
      <c r="E120" s="14">
        <f ca="1">IFERROR(__xludf.DUMMYFUNCTION("googlefinance(""nse:""&amp;A120,""change"")"),1.7)</f>
        <v>1.7</v>
      </c>
      <c r="F120" s="14">
        <f ca="1">IFERROR(__xludf.DUMMYFUNCTION("googlefinance(""nse:""&amp;A120,""priceopen"")"),30.6)</f>
        <v>30.6</v>
      </c>
      <c r="G120" s="14">
        <f ca="1">IFERROR(__xludf.DUMMYFUNCTION("googlefinance(""nse:""&amp;A120,""HIGH"")"),32.25)</f>
        <v>32.25</v>
      </c>
      <c r="H120" s="14">
        <f ca="1">IFERROR(__xludf.DUMMYFUNCTION("googlefinance(""nse:""&amp;A120,""LOW"")"),30.6)</f>
        <v>30.6</v>
      </c>
      <c r="I120" s="14" t="str">
        <f ca="1">IFERROR(__xludf.DUMMYFUNCTION("INDEX( GoogleFinance( ""NSE:""&amp;A120 , ""all"" , TODAY()-2) , 2, 5)"),"#N/A")</f>
        <v>#N/A</v>
      </c>
      <c r="J120" s="17">
        <f t="shared" ca="1" si="1"/>
        <v>0.35000000000000142</v>
      </c>
      <c r="K120" s="17">
        <f t="shared" ca="1" si="2"/>
        <v>1.6499999999999986</v>
      </c>
      <c r="L120" s="17">
        <f t="shared" ca="1" si="3"/>
        <v>0</v>
      </c>
      <c r="M120" s="19" t="str">
        <f t="shared" ca="1" si="4"/>
        <v/>
      </c>
      <c r="N120" s="19" t="str">
        <f t="shared" ca="1" si="5"/>
        <v/>
      </c>
      <c r="O120" s="19" t="str">
        <f t="shared" ca="1" si="6"/>
        <v/>
      </c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12" t="s">
        <v>185</v>
      </c>
      <c r="B121" s="14">
        <f ca="1">IFERROR(__xludf.DUMMYFUNCTION("googlefinance(""nse:""&amp;A121,""price"")"),190.2)</f>
        <v>190.2</v>
      </c>
      <c r="C121" s="14">
        <f t="shared" ca="1" si="0"/>
        <v>0</v>
      </c>
      <c r="D121" s="14">
        <f ca="1">IFERROR(__xludf.DUMMYFUNCTION("googlefinance(""nse:""&amp;A121,""changepct"")"),0.05)</f>
        <v>0.05</v>
      </c>
      <c r="E121" s="14">
        <f ca="1">IFERROR(__xludf.DUMMYFUNCTION("googlefinance(""nse:""&amp;A121,""change"")"),0.1)</f>
        <v>0.1</v>
      </c>
      <c r="F121" s="14">
        <f ca="1">IFERROR(__xludf.DUMMYFUNCTION("googlefinance(""nse:""&amp;A121,""priceopen"")"),193.5)</f>
        <v>193.5</v>
      </c>
      <c r="G121" s="14">
        <f ca="1">IFERROR(__xludf.DUMMYFUNCTION("googlefinance(""nse:""&amp;A121,""HIGH"")"),195.9)</f>
        <v>195.9</v>
      </c>
      <c r="H121" s="14">
        <f ca="1">IFERROR(__xludf.DUMMYFUNCTION("googlefinance(""nse:""&amp;A121,""LOW"")"),189.7)</f>
        <v>189.7</v>
      </c>
      <c r="I121" s="14" t="str">
        <f ca="1">IFERROR(__xludf.DUMMYFUNCTION("INDEX( GoogleFinance( ""NSE:""&amp;A121 , ""all"" , TODAY()-2) , 2, 5)"),"#N/A")</f>
        <v>#N/A</v>
      </c>
      <c r="J121" s="17">
        <f t="shared" ca="1" si="1"/>
        <v>5.7000000000000171</v>
      </c>
      <c r="K121" s="17">
        <f t="shared" ca="1" si="2"/>
        <v>6.2000000000000171</v>
      </c>
      <c r="L121" s="17">
        <f t="shared" ca="1" si="3"/>
        <v>3.8000000000000114</v>
      </c>
      <c r="M121" s="19" t="str">
        <f t="shared" ca="1" si="4"/>
        <v/>
      </c>
      <c r="N121" s="19" t="str">
        <f t="shared" ca="1" si="5"/>
        <v/>
      </c>
      <c r="O121" s="19" t="str">
        <f t="shared" ca="1" si="6"/>
        <v/>
      </c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12" t="s">
        <v>186</v>
      </c>
      <c r="B122" s="14">
        <f ca="1">IFERROR(__xludf.DUMMYFUNCTION("googlefinance(""nse:""&amp;A122,""price"")"),19610)</f>
        <v>19610</v>
      </c>
      <c r="C122" s="14">
        <f t="shared" ca="1" si="0"/>
        <v>0</v>
      </c>
      <c r="D122" s="14">
        <f ca="1">IFERROR(__xludf.DUMMYFUNCTION("googlefinance(""nse:""&amp;A122,""changepct"")"),2.29)</f>
        <v>2.29</v>
      </c>
      <c r="E122" s="14">
        <f ca="1">IFERROR(__xludf.DUMMYFUNCTION("googlefinance(""nse:""&amp;A122,""change"")"),438.55)</f>
        <v>438.55</v>
      </c>
      <c r="F122" s="14">
        <f ca="1">IFERROR(__xludf.DUMMYFUNCTION("googlefinance(""nse:""&amp;A122,""priceopen"")"),19300)</f>
        <v>19300</v>
      </c>
      <c r="G122" s="14">
        <f ca="1">IFERROR(__xludf.DUMMYFUNCTION("googlefinance(""nse:""&amp;A122,""HIGH"")"),19890)</f>
        <v>19890</v>
      </c>
      <c r="H122" s="14">
        <f ca="1">IFERROR(__xludf.DUMMYFUNCTION("googlefinance(""nse:""&amp;A122,""LOW"")"),19118.45)</f>
        <v>19118.45</v>
      </c>
      <c r="I122" s="14" t="str">
        <f ca="1">IFERROR(__xludf.DUMMYFUNCTION("INDEX( GoogleFinance( ""NSE:""&amp;A122 , ""all"" , TODAY()-2) , 2, 5)"),"#N/A")</f>
        <v>#N/A</v>
      </c>
      <c r="J122" s="17">
        <f t="shared" ca="1" si="1"/>
        <v>280</v>
      </c>
      <c r="K122" s="17">
        <f t="shared" ca="1" si="2"/>
        <v>771.54999999999927</v>
      </c>
      <c r="L122" s="17">
        <f t="shared" ca="1" si="3"/>
        <v>181.54999999999927</v>
      </c>
      <c r="M122" s="19" t="str">
        <f t="shared" ca="1" si="4"/>
        <v/>
      </c>
      <c r="N122" s="19" t="str">
        <f t="shared" ca="1" si="5"/>
        <v/>
      </c>
      <c r="O122" s="19" t="str">
        <f t="shared" ca="1" si="6"/>
        <v/>
      </c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12" t="s">
        <v>187</v>
      </c>
      <c r="B123" s="14">
        <f ca="1">IFERROR(__xludf.DUMMYFUNCTION("googlefinance(""nse:""&amp;A123,""price"")"),1137)</f>
        <v>1137</v>
      </c>
      <c r="C123" s="14">
        <f t="shared" ca="1" si="0"/>
        <v>0</v>
      </c>
      <c r="D123" s="14">
        <f ca="1">IFERROR(__xludf.DUMMYFUNCTION("googlefinance(""nse:""&amp;A123,""changepct"")"),0.87)</f>
        <v>0.87</v>
      </c>
      <c r="E123" s="14">
        <f ca="1">IFERROR(__xludf.DUMMYFUNCTION("googlefinance(""nse:""&amp;A123,""change"")"),9.85)</f>
        <v>9.85</v>
      </c>
      <c r="F123" s="14">
        <f ca="1">IFERROR(__xludf.DUMMYFUNCTION("googlefinance(""nse:""&amp;A123,""priceopen"")"),1148)</f>
        <v>1148</v>
      </c>
      <c r="G123" s="14">
        <f ca="1">IFERROR(__xludf.DUMMYFUNCTION("googlefinance(""nse:""&amp;A123,""HIGH"")"),1179)</f>
        <v>1179</v>
      </c>
      <c r="H123" s="14">
        <f ca="1">IFERROR(__xludf.DUMMYFUNCTION("googlefinance(""nse:""&amp;A123,""LOW"")"),1132.95)</f>
        <v>1132.95</v>
      </c>
      <c r="I123" s="14" t="str">
        <f ca="1">IFERROR(__xludf.DUMMYFUNCTION("INDEX( GoogleFinance( ""NSE:""&amp;A123 , ""all"" , TODAY()-2) , 2, 5)"),"#N/A")</f>
        <v>#N/A</v>
      </c>
      <c r="J123" s="17">
        <f t="shared" ca="1" si="1"/>
        <v>42</v>
      </c>
      <c r="K123" s="17">
        <f t="shared" ca="1" si="2"/>
        <v>46.049999999999955</v>
      </c>
      <c r="L123" s="17">
        <f t="shared" ca="1" si="3"/>
        <v>15.049999999999955</v>
      </c>
      <c r="M123" s="19" t="str">
        <f t="shared" ca="1" si="4"/>
        <v/>
      </c>
      <c r="N123" s="19" t="str">
        <f t="shared" ca="1" si="5"/>
        <v/>
      </c>
      <c r="O123" s="19" t="str">
        <f t="shared" ca="1" si="6"/>
        <v/>
      </c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12" t="s">
        <v>188</v>
      </c>
      <c r="B124" s="14">
        <f ca="1">IFERROR(__xludf.DUMMYFUNCTION("googlefinance(""nse:""&amp;A124,""price"")"),3709.8)</f>
        <v>3709.8</v>
      </c>
      <c r="C124" s="14" t="str">
        <f t="shared" ca="1" si="0"/>
        <v>BUY</v>
      </c>
      <c r="D124" s="14">
        <f ca="1">IFERROR(__xludf.DUMMYFUNCTION("googlefinance(""nse:""&amp;A124,""changepct"")"),1.21)</f>
        <v>1.21</v>
      </c>
      <c r="E124" s="14">
        <f ca="1">IFERROR(__xludf.DUMMYFUNCTION("googlefinance(""nse:""&amp;A124,""change"")"),44.2)</f>
        <v>44.2</v>
      </c>
      <c r="F124" s="14">
        <f ca="1">IFERROR(__xludf.DUMMYFUNCTION("googlefinance(""nse:""&amp;A124,""priceopen"")"),3686.75)</f>
        <v>3686.75</v>
      </c>
      <c r="G124" s="14">
        <f ca="1">IFERROR(__xludf.DUMMYFUNCTION("googlefinance(""nse:""&amp;A124,""HIGH"")"),3772)</f>
        <v>3772</v>
      </c>
      <c r="H124" s="14">
        <f ca="1">IFERROR(__xludf.DUMMYFUNCTION("googlefinance(""nse:""&amp;A124,""LOW"")"),3686.75)</f>
        <v>3686.75</v>
      </c>
      <c r="I124" s="14" t="str">
        <f ca="1">IFERROR(__xludf.DUMMYFUNCTION("INDEX( GoogleFinance( ""NSE:""&amp;A124 , ""all"" , TODAY()-2) , 2, 5)"),"#N/A")</f>
        <v>#N/A</v>
      </c>
      <c r="J124" s="17">
        <f t="shared" ca="1" si="1"/>
        <v>62.199999999999818</v>
      </c>
      <c r="K124" s="17">
        <f t="shared" ca="1" si="2"/>
        <v>85.25</v>
      </c>
      <c r="L124" s="17">
        <f t="shared" ca="1" si="3"/>
        <v>0</v>
      </c>
      <c r="M124" s="19" t="str">
        <f t="shared" ca="1" si="4"/>
        <v/>
      </c>
      <c r="N124" s="19" t="str">
        <f t="shared" ca="1" si="5"/>
        <v/>
      </c>
      <c r="O124" s="19" t="str">
        <f t="shared" ca="1" si="6"/>
        <v/>
      </c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12" t="s">
        <v>189</v>
      </c>
      <c r="B125" s="14">
        <f ca="1">IFERROR(__xludf.DUMMYFUNCTION("googlefinance(""nse:""&amp;A125,""price"")"),790)</f>
        <v>790</v>
      </c>
      <c r="C125" s="14">
        <f t="shared" ca="1" si="0"/>
        <v>0</v>
      </c>
      <c r="D125" s="14">
        <f ca="1">IFERROR(__xludf.DUMMYFUNCTION("googlefinance(""nse:""&amp;A125,""changepct"")"),13.32)</f>
        <v>13.32</v>
      </c>
      <c r="E125" s="14">
        <f ca="1">IFERROR(__xludf.DUMMYFUNCTION("googlefinance(""nse:""&amp;A125,""change"")"),92.85)</f>
        <v>92.85</v>
      </c>
      <c r="F125" s="14">
        <f ca="1">IFERROR(__xludf.DUMMYFUNCTION("googlefinance(""nse:""&amp;A125,""priceopen"")"),715.1)</f>
        <v>715.1</v>
      </c>
      <c r="G125" s="14">
        <f ca="1">IFERROR(__xludf.DUMMYFUNCTION("googlefinance(""nse:""&amp;A125,""HIGH"")"),799.55)</f>
        <v>799.55</v>
      </c>
      <c r="H125" s="14">
        <f ca="1">IFERROR(__xludf.DUMMYFUNCTION("googlefinance(""nse:""&amp;A125,""LOW"")"),710)</f>
        <v>710</v>
      </c>
      <c r="I125" s="14" t="str">
        <f ca="1">IFERROR(__xludf.DUMMYFUNCTION("INDEX( GoogleFinance( ""NSE:""&amp;A125 , ""all"" , TODAY()-2) , 2, 5)"),"#N/A")</f>
        <v>#N/A</v>
      </c>
      <c r="J125" s="17">
        <f t="shared" ca="1" si="1"/>
        <v>9.5499999999999545</v>
      </c>
      <c r="K125" s="17">
        <f t="shared" ca="1" si="2"/>
        <v>89.549999999999955</v>
      </c>
      <c r="L125" s="17">
        <f t="shared" ca="1" si="3"/>
        <v>5.1000000000000227</v>
      </c>
      <c r="M125" s="19" t="str">
        <f t="shared" ca="1" si="4"/>
        <v/>
      </c>
      <c r="N125" s="19" t="str">
        <f t="shared" ca="1" si="5"/>
        <v/>
      </c>
      <c r="O125" s="19" t="str">
        <f t="shared" ca="1" si="6"/>
        <v/>
      </c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12" t="s">
        <v>190</v>
      </c>
      <c r="B126" s="14">
        <f ca="1">IFERROR(__xludf.DUMMYFUNCTION("googlefinance(""nse:""&amp;A126,""price"")"),466)</f>
        <v>466</v>
      </c>
      <c r="C126" s="14">
        <f t="shared" ca="1" si="0"/>
        <v>0</v>
      </c>
      <c r="D126" s="14">
        <f ca="1">IFERROR(__xludf.DUMMYFUNCTION("googlefinance(""nse:""&amp;A126,""changepct"")"),-2.44)</f>
        <v>-2.44</v>
      </c>
      <c r="E126" s="14">
        <f ca="1">IFERROR(__xludf.DUMMYFUNCTION("googlefinance(""nse:""&amp;A126,""change"")"),-11.65)</f>
        <v>-11.65</v>
      </c>
      <c r="F126" s="14">
        <f ca="1">IFERROR(__xludf.DUMMYFUNCTION("googlefinance(""nse:""&amp;A126,""priceopen"")"),484)</f>
        <v>484</v>
      </c>
      <c r="G126" s="14">
        <f ca="1">IFERROR(__xludf.DUMMYFUNCTION("googlefinance(""nse:""&amp;A126,""HIGH"")"),485)</f>
        <v>485</v>
      </c>
      <c r="H126" s="14">
        <f ca="1">IFERROR(__xludf.DUMMYFUNCTION("googlefinance(""nse:""&amp;A126,""LOW"")"),458.4)</f>
        <v>458.4</v>
      </c>
      <c r="I126" s="14" t="str">
        <f ca="1">IFERROR(__xludf.DUMMYFUNCTION("INDEX( GoogleFinance( ""NSE:""&amp;A126 , ""all"" , TODAY()-2) , 2, 5)"),"#N/A")</f>
        <v>#N/A</v>
      </c>
      <c r="J126" s="17">
        <f t="shared" ca="1" si="1"/>
        <v>19</v>
      </c>
      <c r="K126" s="17">
        <f t="shared" ca="1" si="2"/>
        <v>26.600000000000023</v>
      </c>
      <c r="L126" s="17">
        <f t="shared" ca="1" si="3"/>
        <v>25.600000000000023</v>
      </c>
      <c r="M126" s="19" t="str">
        <f t="shared" ca="1" si="4"/>
        <v/>
      </c>
      <c r="N126" s="19" t="str">
        <f t="shared" ca="1" si="5"/>
        <v/>
      </c>
      <c r="O126" s="19" t="str">
        <f t="shared" ca="1" si="6"/>
        <v/>
      </c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12" t="s">
        <v>191</v>
      </c>
      <c r="B127" s="14">
        <f ca="1">IFERROR(__xludf.DUMMYFUNCTION("googlefinance(""nse:""&amp;A127,""price"")"),384.95)</f>
        <v>384.95</v>
      </c>
      <c r="C127" s="14">
        <f t="shared" ca="1" si="0"/>
        <v>0</v>
      </c>
      <c r="D127" s="14">
        <f ca="1">IFERROR(__xludf.DUMMYFUNCTION("googlefinance(""nse:""&amp;A127,""changepct"")"),-2.12)</f>
        <v>-2.12</v>
      </c>
      <c r="E127" s="14">
        <f ca="1">IFERROR(__xludf.DUMMYFUNCTION("googlefinance(""nse:""&amp;A127,""change"")"),-8.35)</f>
        <v>-8.35</v>
      </c>
      <c r="F127" s="14">
        <f ca="1">IFERROR(__xludf.DUMMYFUNCTION("googlefinance(""nse:""&amp;A127,""priceopen"")"),399)</f>
        <v>399</v>
      </c>
      <c r="G127" s="14">
        <f ca="1">IFERROR(__xludf.DUMMYFUNCTION("googlefinance(""nse:""&amp;A127,""HIGH"")"),401.85)</f>
        <v>401.85</v>
      </c>
      <c r="H127" s="14">
        <f ca="1">IFERROR(__xludf.DUMMYFUNCTION("googlefinance(""nse:""&amp;A127,""LOW"")"),382)</f>
        <v>382</v>
      </c>
      <c r="I127" s="14" t="str">
        <f ca="1">IFERROR(__xludf.DUMMYFUNCTION("INDEX( GoogleFinance( ""NSE:""&amp;A127 , ""all"" , TODAY()-2) , 2, 5)"),"#N/A")</f>
        <v>#N/A</v>
      </c>
      <c r="J127" s="17">
        <f t="shared" ca="1" si="1"/>
        <v>16.900000000000034</v>
      </c>
      <c r="K127" s="17">
        <f t="shared" ca="1" si="2"/>
        <v>19.850000000000023</v>
      </c>
      <c r="L127" s="17">
        <f t="shared" ca="1" si="3"/>
        <v>17</v>
      </c>
      <c r="M127" s="19" t="str">
        <f t="shared" ca="1" si="4"/>
        <v/>
      </c>
      <c r="N127" s="19" t="str">
        <f t="shared" ca="1" si="5"/>
        <v/>
      </c>
      <c r="O127" s="19" t="str">
        <f t="shared" ca="1" si="6"/>
        <v/>
      </c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12" t="s">
        <v>192</v>
      </c>
      <c r="B128" s="14">
        <f ca="1">IFERROR(__xludf.DUMMYFUNCTION("googlefinance(""nse:""&amp;A128,""price"")"),282.75)</f>
        <v>282.75</v>
      </c>
      <c r="C128" s="14" t="str">
        <f t="shared" ca="1" si="0"/>
        <v>SELL</v>
      </c>
      <c r="D128" s="14">
        <f ca="1">IFERROR(__xludf.DUMMYFUNCTION("googlefinance(""nse:""&amp;A128,""changepct"")"),-0.81)</f>
        <v>-0.81</v>
      </c>
      <c r="E128" s="14">
        <f ca="1">IFERROR(__xludf.DUMMYFUNCTION("googlefinance(""nse:""&amp;A128,""change"")"),-2.3)</f>
        <v>-2.2999999999999998</v>
      </c>
      <c r="F128" s="14">
        <f ca="1">IFERROR(__xludf.DUMMYFUNCTION("googlefinance(""nse:""&amp;A128,""priceopen"")"),290)</f>
        <v>290</v>
      </c>
      <c r="G128" s="14">
        <f ca="1">IFERROR(__xludf.DUMMYFUNCTION("googlefinance(""nse:""&amp;A128,""HIGH"")"),290)</f>
        <v>290</v>
      </c>
      <c r="H128" s="14">
        <f ca="1">IFERROR(__xludf.DUMMYFUNCTION("googlefinance(""nse:""&amp;A128,""LOW"")"),281)</f>
        <v>281</v>
      </c>
      <c r="I128" s="14" t="str">
        <f ca="1">IFERROR(__xludf.DUMMYFUNCTION("INDEX( GoogleFinance( ""NSE:""&amp;A128 , ""all"" , TODAY()-2) , 2, 5)"),"#N/A")</f>
        <v>#N/A</v>
      </c>
      <c r="J128" s="17">
        <f t="shared" ca="1" si="1"/>
        <v>7.25</v>
      </c>
      <c r="K128" s="17">
        <f t="shared" ca="1" si="2"/>
        <v>9</v>
      </c>
      <c r="L128" s="17">
        <f t="shared" ca="1" si="3"/>
        <v>9</v>
      </c>
      <c r="M128" s="19" t="str">
        <f t="shared" ca="1" si="4"/>
        <v/>
      </c>
      <c r="N128" s="19" t="str">
        <f t="shared" ca="1" si="5"/>
        <v/>
      </c>
      <c r="O128" s="19" t="str">
        <f t="shared" ca="1" si="6"/>
        <v/>
      </c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12" t="s">
        <v>193</v>
      </c>
      <c r="B129" s="14">
        <f ca="1">IFERROR(__xludf.DUMMYFUNCTION("googlefinance(""nse:""&amp;A129,""price"")"),350.75)</f>
        <v>350.75</v>
      </c>
      <c r="C129" s="14">
        <f t="shared" ca="1" si="0"/>
        <v>0</v>
      </c>
      <c r="D129" s="14">
        <f ca="1">IFERROR(__xludf.DUMMYFUNCTION("googlefinance(""nse:""&amp;A129,""changepct"")"),-0.92)</f>
        <v>-0.92</v>
      </c>
      <c r="E129" s="14">
        <f ca="1">IFERROR(__xludf.DUMMYFUNCTION("googlefinance(""nse:""&amp;A129,""change"")"),-3.25)</f>
        <v>-3.25</v>
      </c>
      <c r="F129" s="14">
        <f ca="1">IFERROR(__xludf.DUMMYFUNCTION("googlefinance(""nse:""&amp;A129,""priceopen"")"),359.95)</f>
        <v>359.95</v>
      </c>
      <c r="G129" s="14">
        <f ca="1">IFERROR(__xludf.DUMMYFUNCTION("googlefinance(""nse:""&amp;A129,""HIGH"")"),361.4)</f>
        <v>361.4</v>
      </c>
      <c r="H129" s="14">
        <f ca="1">IFERROR(__xludf.DUMMYFUNCTION("googlefinance(""nse:""&amp;A129,""LOW"")"),349.85)</f>
        <v>349.85</v>
      </c>
      <c r="I129" s="14" t="str">
        <f ca="1">IFERROR(__xludf.DUMMYFUNCTION("INDEX( GoogleFinance( ""NSE:""&amp;A129 , ""all"" , TODAY()-2) , 2, 5)"),"#N/A")</f>
        <v>#N/A</v>
      </c>
      <c r="J129" s="17">
        <f t="shared" ca="1" si="1"/>
        <v>10.649999999999977</v>
      </c>
      <c r="K129" s="17">
        <f t="shared" ca="1" si="2"/>
        <v>11.549999999999955</v>
      </c>
      <c r="L129" s="17">
        <f t="shared" ca="1" si="3"/>
        <v>10.099999999999966</v>
      </c>
      <c r="M129" s="19" t="str">
        <f t="shared" ca="1" si="4"/>
        <v/>
      </c>
      <c r="N129" s="19" t="str">
        <f t="shared" ca="1" si="5"/>
        <v/>
      </c>
      <c r="O129" s="19" t="str">
        <f t="shared" ca="1" si="6"/>
        <v/>
      </c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12" t="s">
        <v>194</v>
      </c>
      <c r="B130" s="14">
        <f ca="1">IFERROR(__xludf.DUMMYFUNCTION("googlefinance(""nse:""&amp;A130,""price"")"),93.75)</f>
        <v>93.75</v>
      </c>
      <c r="C130" s="14" t="str">
        <f t="shared" ca="1" si="0"/>
        <v>BUY</v>
      </c>
      <c r="D130" s="14">
        <f ca="1">IFERROR(__xludf.DUMMYFUNCTION("googlefinance(""nse:""&amp;A130,""changepct"")"),19.96)</f>
        <v>19.96</v>
      </c>
      <c r="E130" s="14">
        <f ca="1">IFERROR(__xludf.DUMMYFUNCTION("googlefinance(""nse:""&amp;A130,""change"")"),15.6)</f>
        <v>15.6</v>
      </c>
      <c r="F130" s="14">
        <f ca="1">IFERROR(__xludf.DUMMYFUNCTION("googlefinance(""nse:""&amp;A130,""priceopen"")"),85.95)</f>
        <v>85.95</v>
      </c>
      <c r="G130" s="14">
        <f ca="1">IFERROR(__xludf.DUMMYFUNCTION("googlefinance(""nse:""&amp;A130,""HIGH"")"),93.75)</f>
        <v>93.75</v>
      </c>
      <c r="H130" s="14">
        <f ca="1">IFERROR(__xludf.DUMMYFUNCTION("googlefinance(""nse:""&amp;A130,""LOW"")"),85.95)</f>
        <v>85.95</v>
      </c>
      <c r="I130" s="14" t="str">
        <f ca="1">IFERROR(__xludf.DUMMYFUNCTION("INDEX( GoogleFinance( ""NSE:""&amp;A130 , ""all"" , TODAY()-2) , 2, 5)"),"#N/A")</f>
        <v>#N/A</v>
      </c>
      <c r="J130" s="17">
        <f t="shared" ca="1" si="1"/>
        <v>0</v>
      </c>
      <c r="K130" s="17">
        <f t="shared" ca="1" si="2"/>
        <v>7.7999999999999972</v>
      </c>
      <c r="L130" s="17">
        <f t="shared" ca="1" si="3"/>
        <v>0</v>
      </c>
      <c r="M130" s="19" t="str">
        <f t="shared" ca="1" si="4"/>
        <v/>
      </c>
      <c r="N130" s="19" t="str">
        <f t="shared" ca="1" si="5"/>
        <v/>
      </c>
      <c r="O130" s="19" t="str">
        <f t="shared" ca="1" si="6"/>
        <v/>
      </c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12" t="s">
        <v>195</v>
      </c>
      <c r="B131" s="14">
        <f ca="1">IFERROR(__xludf.DUMMYFUNCTION("googlefinance(""nse:""&amp;A131,""price"")"),32.1)</f>
        <v>32.1</v>
      </c>
      <c r="C131" s="14">
        <f t="shared" ca="1" si="0"/>
        <v>0</v>
      </c>
      <c r="D131" s="14">
        <f ca="1">IFERROR(__xludf.DUMMYFUNCTION("googlefinance(""nse:""&amp;A131,""changepct"")"),3.22)</f>
        <v>3.22</v>
      </c>
      <c r="E131" s="14">
        <f ca="1">IFERROR(__xludf.DUMMYFUNCTION("googlefinance(""nse:""&amp;A131,""change"")"),1)</f>
        <v>1</v>
      </c>
      <c r="F131" s="14">
        <f ca="1">IFERROR(__xludf.DUMMYFUNCTION("googlefinance(""nse:""&amp;A131,""priceopen"")"),31.4)</f>
        <v>31.4</v>
      </c>
      <c r="G131" s="14">
        <f ca="1">IFERROR(__xludf.DUMMYFUNCTION("googlefinance(""nse:""&amp;A131,""HIGH"")"),32.15)</f>
        <v>32.15</v>
      </c>
      <c r="H131" s="14">
        <f ca="1">IFERROR(__xludf.DUMMYFUNCTION("googlefinance(""nse:""&amp;A131,""LOW"")"),31.05)</f>
        <v>31.05</v>
      </c>
      <c r="I131" s="14" t="str">
        <f ca="1">IFERROR(__xludf.DUMMYFUNCTION("INDEX( GoogleFinance( ""NSE:""&amp;A131 , ""all"" , TODAY()-2) , 2, 5)"),"#N/A")</f>
        <v>#N/A</v>
      </c>
      <c r="J131" s="17">
        <f t="shared" ca="1" si="1"/>
        <v>4.9999999999997158E-2</v>
      </c>
      <c r="K131" s="17">
        <f t="shared" ca="1" si="2"/>
        <v>1.0999999999999979</v>
      </c>
      <c r="L131" s="17">
        <f t="shared" ca="1" si="3"/>
        <v>0.34999999999999787</v>
      </c>
      <c r="M131" s="19" t="str">
        <f t="shared" ca="1" si="4"/>
        <v/>
      </c>
      <c r="N131" s="19" t="str">
        <f t="shared" ca="1" si="5"/>
        <v/>
      </c>
      <c r="O131" s="19" t="str">
        <f t="shared" ca="1" si="6"/>
        <v/>
      </c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12" t="s">
        <v>196</v>
      </c>
      <c r="B132" s="14">
        <f ca="1">IFERROR(__xludf.DUMMYFUNCTION("googlefinance(""nse:""&amp;A132,""price"")"),297.55)</f>
        <v>297.55</v>
      </c>
      <c r="C132" s="14">
        <f t="shared" ca="1" si="0"/>
        <v>0</v>
      </c>
      <c r="D132" s="14">
        <f ca="1">IFERROR(__xludf.DUMMYFUNCTION("googlefinance(""nse:""&amp;A132,""changepct"")"),5.27)</f>
        <v>5.27</v>
      </c>
      <c r="E132" s="14">
        <f ca="1">IFERROR(__xludf.DUMMYFUNCTION("googlefinance(""nse:""&amp;A132,""change"")"),14.9)</f>
        <v>14.9</v>
      </c>
      <c r="F132" s="14">
        <f ca="1">IFERROR(__xludf.DUMMYFUNCTION("googlefinance(""nse:""&amp;A132,""priceopen"")"),289.95)</f>
        <v>289.95</v>
      </c>
      <c r="G132" s="14">
        <f ca="1">IFERROR(__xludf.DUMMYFUNCTION("googlefinance(""nse:""&amp;A132,""HIGH"")"),304.5)</f>
        <v>304.5</v>
      </c>
      <c r="H132" s="14">
        <f ca="1">IFERROR(__xludf.DUMMYFUNCTION("googlefinance(""nse:""&amp;A132,""LOW"")"),288.7)</f>
        <v>288.7</v>
      </c>
      <c r="I132" s="14" t="str">
        <f ca="1">IFERROR(__xludf.DUMMYFUNCTION("INDEX( GoogleFinance( ""NSE:""&amp;A132 , ""all"" , TODAY()-2) , 2, 5)"),"#N/A")</f>
        <v>#N/A</v>
      </c>
      <c r="J132" s="17">
        <f t="shared" ca="1" si="1"/>
        <v>6.9499999999999886</v>
      </c>
      <c r="K132" s="17">
        <f t="shared" ca="1" si="2"/>
        <v>15.800000000000011</v>
      </c>
      <c r="L132" s="17">
        <f t="shared" ca="1" si="3"/>
        <v>1.25</v>
      </c>
      <c r="M132" s="19" t="str">
        <f t="shared" ca="1" si="4"/>
        <v/>
      </c>
      <c r="N132" s="19" t="str">
        <f t="shared" ca="1" si="5"/>
        <v/>
      </c>
      <c r="O132" s="19" t="str">
        <f t="shared" ca="1" si="6"/>
        <v/>
      </c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12" t="s">
        <v>197</v>
      </c>
      <c r="B133" s="14">
        <f ca="1">IFERROR(__xludf.DUMMYFUNCTION("googlefinance(""nse:""&amp;A133,""price"")"),2019.55)</f>
        <v>2019.55</v>
      </c>
      <c r="C133" s="14">
        <f t="shared" ca="1" si="0"/>
        <v>0</v>
      </c>
      <c r="D133" s="14">
        <f ca="1">IFERROR(__xludf.DUMMYFUNCTION("googlefinance(""nse:""&amp;A133,""changepct"")"),5.98)</f>
        <v>5.98</v>
      </c>
      <c r="E133" s="14">
        <f ca="1">IFERROR(__xludf.DUMMYFUNCTION("googlefinance(""nse:""&amp;A133,""change"")"),113.9)</f>
        <v>113.9</v>
      </c>
      <c r="F133" s="14">
        <f ca="1">IFERROR(__xludf.DUMMYFUNCTION("googlefinance(""nse:""&amp;A133,""priceopen"")"),1980)</f>
        <v>1980</v>
      </c>
      <c r="G133" s="14">
        <f ca="1">IFERROR(__xludf.DUMMYFUNCTION("googlefinance(""nse:""&amp;A133,""HIGH"")"),2032)</f>
        <v>2032</v>
      </c>
      <c r="H133" s="14">
        <f ca="1">IFERROR(__xludf.DUMMYFUNCTION("googlefinance(""nse:""&amp;A133,""LOW"")"),1942.2)</f>
        <v>1942.2</v>
      </c>
      <c r="I133" s="14" t="str">
        <f ca="1">IFERROR(__xludf.DUMMYFUNCTION("INDEX( GoogleFinance( ""NSE:""&amp;A133 , ""all"" , TODAY()-2) , 2, 5)"),"#N/A")</f>
        <v>#N/A</v>
      </c>
      <c r="J133" s="17">
        <f t="shared" ca="1" si="1"/>
        <v>12.450000000000045</v>
      </c>
      <c r="K133" s="17">
        <f t="shared" ca="1" si="2"/>
        <v>89.799999999999955</v>
      </c>
      <c r="L133" s="17">
        <f t="shared" ca="1" si="3"/>
        <v>37.799999999999955</v>
      </c>
      <c r="M133" s="19" t="str">
        <f t="shared" ca="1" si="4"/>
        <v/>
      </c>
      <c r="N133" s="19" t="str">
        <f t="shared" ca="1" si="5"/>
        <v/>
      </c>
      <c r="O133" s="19" t="str">
        <f t="shared" ca="1" si="6"/>
        <v/>
      </c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12" t="s">
        <v>198</v>
      </c>
      <c r="B134" s="14">
        <f ca="1">IFERROR(__xludf.DUMMYFUNCTION("googlefinance(""nse:""&amp;A134,""price"")"),545.95)</f>
        <v>545.95000000000005</v>
      </c>
      <c r="C134" s="14">
        <f t="shared" ca="1" si="0"/>
        <v>0</v>
      </c>
      <c r="D134" s="14">
        <f ca="1">IFERROR(__xludf.DUMMYFUNCTION("googlefinance(""nse:""&amp;A134,""changepct"")"),3.26)</f>
        <v>3.26</v>
      </c>
      <c r="E134" s="14">
        <f ca="1">IFERROR(__xludf.DUMMYFUNCTION("googlefinance(""nse:""&amp;A134,""change"")"),17.25)</f>
        <v>17.25</v>
      </c>
      <c r="F134" s="14">
        <f ca="1">IFERROR(__xludf.DUMMYFUNCTION("googlefinance(""nse:""&amp;A134,""priceopen"")"),541)</f>
        <v>541</v>
      </c>
      <c r="G134" s="14">
        <f ca="1">IFERROR(__xludf.DUMMYFUNCTION("googlefinance(""nse:""&amp;A134,""HIGH"")"),552.9)</f>
        <v>552.9</v>
      </c>
      <c r="H134" s="14">
        <f ca="1">IFERROR(__xludf.DUMMYFUNCTION("googlefinance(""nse:""&amp;A134,""LOW"")"),532.35)</f>
        <v>532.35</v>
      </c>
      <c r="I134" s="14" t="str">
        <f ca="1">IFERROR(__xludf.DUMMYFUNCTION("INDEX( GoogleFinance( ""NSE:""&amp;A134 , ""all"" , TODAY()-2) , 2, 5)"),"#N/A")</f>
        <v>#N/A</v>
      </c>
      <c r="J134" s="17">
        <f t="shared" ca="1" si="1"/>
        <v>6.9499999999999318</v>
      </c>
      <c r="K134" s="17">
        <f t="shared" ca="1" si="2"/>
        <v>20.549999999999955</v>
      </c>
      <c r="L134" s="17">
        <f t="shared" ca="1" si="3"/>
        <v>8.6499999999999773</v>
      </c>
      <c r="M134" s="19" t="str">
        <f t="shared" ca="1" si="4"/>
        <v/>
      </c>
      <c r="N134" s="19" t="str">
        <f t="shared" ca="1" si="5"/>
        <v/>
      </c>
      <c r="O134" s="19" t="str">
        <f t="shared" ca="1" si="6"/>
        <v/>
      </c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12" t="s">
        <v>199</v>
      </c>
      <c r="B135" s="14">
        <f ca="1">IFERROR(__xludf.DUMMYFUNCTION("googlefinance(""nse:""&amp;A135,""price"")"),967.8)</f>
        <v>967.8</v>
      </c>
      <c r="C135" s="14">
        <f t="shared" ca="1" si="0"/>
        <v>0</v>
      </c>
      <c r="D135" s="14">
        <f ca="1">IFERROR(__xludf.DUMMYFUNCTION("googlefinance(""nse:""&amp;A135,""changepct"")"),4.58)</f>
        <v>4.58</v>
      </c>
      <c r="E135" s="14">
        <f ca="1">IFERROR(__xludf.DUMMYFUNCTION("googlefinance(""nse:""&amp;A135,""change"")"),42.4)</f>
        <v>42.4</v>
      </c>
      <c r="F135" s="14">
        <f ca="1">IFERROR(__xludf.DUMMYFUNCTION("googlefinance(""nse:""&amp;A135,""priceopen"")"),935.2)</f>
        <v>935.2</v>
      </c>
      <c r="G135" s="14">
        <f ca="1">IFERROR(__xludf.DUMMYFUNCTION("googlefinance(""nse:""&amp;A135,""HIGH"")"),978.95)</f>
        <v>978.95</v>
      </c>
      <c r="H135" s="14">
        <f ca="1">IFERROR(__xludf.DUMMYFUNCTION("googlefinance(""nse:""&amp;A135,""LOW"")"),929)</f>
        <v>929</v>
      </c>
      <c r="I135" s="14" t="str">
        <f ca="1">IFERROR(__xludf.DUMMYFUNCTION("INDEX( GoogleFinance( ""NSE:""&amp;A135 , ""all"" , TODAY()-2) , 2, 5)"),"#N/A")</f>
        <v>#N/A</v>
      </c>
      <c r="J135" s="17">
        <f t="shared" ca="1" si="1"/>
        <v>11.150000000000091</v>
      </c>
      <c r="K135" s="17">
        <f t="shared" ca="1" si="2"/>
        <v>49.950000000000045</v>
      </c>
      <c r="L135" s="17">
        <f t="shared" ca="1" si="3"/>
        <v>6.2000000000000455</v>
      </c>
      <c r="M135" s="19" t="str">
        <f t="shared" ca="1" si="4"/>
        <v/>
      </c>
      <c r="N135" s="19" t="str">
        <f t="shared" ca="1" si="5"/>
        <v/>
      </c>
      <c r="O135" s="19" t="str">
        <f t="shared" ca="1" si="6"/>
        <v/>
      </c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12" t="s">
        <v>200</v>
      </c>
      <c r="B136" s="14">
        <f ca="1">IFERROR(__xludf.DUMMYFUNCTION("googlefinance(""nse:""&amp;A136,""price"")"),2347)</f>
        <v>2347</v>
      </c>
      <c r="C136" s="14">
        <f t="shared" ca="1" si="0"/>
        <v>0</v>
      </c>
      <c r="D136" s="14">
        <f ca="1">IFERROR(__xludf.DUMMYFUNCTION("googlefinance(""nse:""&amp;A136,""changepct"")"),-3.03)</f>
        <v>-3.03</v>
      </c>
      <c r="E136" s="14">
        <f ca="1">IFERROR(__xludf.DUMMYFUNCTION("googlefinance(""nse:""&amp;A136,""change"")"),-73.35)</f>
        <v>-73.349999999999994</v>
      </c>
      <c r="F136" s="14">
        <f ca="1">IFERROR(__xludf.DUMMYFUNCTION("googlefinance(""nse:""&amp;A136,""priceopen"")"),2460.1)</f>
        <v>2460.1</v>
      </c>
      <c r="G136" s="14">
        <f ca="1">IFERROR(__xludf.DUMMYFUNCTION("googlefinance(""nse:""&amp;A136,""HIGH"")"),2472)</f>
        <v>2472</v>
      </c>
      <c r="H136" s="14">
        <f ca="1">IFERROR(__xludf.DUMMYFUNCTION("googlefinance(""nse:""&amp;A136,""LOW"")"),2320.45)</f>
        <v>2320.4499999999998</v>
      </c>
      <c r="I136" s="14" t="str">
        <f ca="1">IFERROR(__xludf.DUMMYFUNCTION("INDEX( GoogleFinance( ""NSE:""&amp;A136 , ""all"" , TODAY()-2) , 2, 5)"),"#N/A")</f>
        <v>#N/A</v>
      </c>
      <c r="J136" s="17">
        <f t="shared" ca="1" si="1"/>
        <v>125</v>
      </c>
      <c r="K136" s="17">
        <f t="shared" ca="1" si="2"/>
        <v>151.55000000000018</v>
      </c>
      <c r="L136" s="17">
        <f t="shared" ca="1" si="3"/>
        <v>139.65000000000009</v>
      </c>
      <c r="M136" s="19" t="str">
        <f t="shared" ca="1" si="4"/>
        <v/>
      </c>
      <c r="N136" s="19" t="str">
        <f t="shared" ca="1" si="5"/>
        <v/>
      </c>
      <c r="O136" s="19" t="str">
        <f t="shared" ca="1" si="6"/>
        <v/>
      </c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12" t="s">
        <v>201</v>
      </c>
      <c r="B137" s="14">
        <f ca="1">IFERROR(__xludf.DUMMYFUNCTION("googlefinance(""nse:""&amp;A137,""price"")"),331.8)</f>
        <v>331.8</v>
      </c>
      <c r="C137" s="14">
        <f t="shared" ca="1" si="0"/>
        <v>0</v>
      </c>
      <c r="D137" s="14">
        <f ca="1">IFERROR(__xludf.DUMMYFUNCTION("googlefinance(""nse:""&amp;A137,""changepct"")"),2.87)</f>
        <v>2.87</v>
      </c>
      <c r="E137" s="14">
        <f ca="1">IFERROR(__xludf.DUMMYFUNCTION("googlefinance(""nse:""&amp;A137,""change"")"),9.25)</f>
        <v>9.25</v>
      </c>
      <c r="F137" s="14">
        <f ca="1">IFERROR(__xludf.DUMMYFUNCTION("googlefinance(""nse:""&amp;A137,""priceopen"")"),326)</f>
        <v>326</v>
      </c>
      <c r="G137" s="14">
        <f ca="1">IFERROR(__xludf.DUMMYFUNCTION("googlefinance(""nse:""&amp;A137,""HIGH"")"),335.65)</f>
        <v>335.65</v>
      </c>
      <c r="H137" s="14">
        <f ca="1">IFERROR(__xludf.DUMMYFUNCTION("googlefinance(""nse:""&amp;A137,""LOW"")"),325)</f>
        <v>325</v>
      </c>
      <c r="I137" s="14" t="str">
        <f ca="1">IFERROR(__xludf.DUMMYFUNCTION("INDEX( GoogleFinance( ""NSE:""&amp;A137 , ""all"" , TODAY()-2) , 2, 5)"),"#N/A")</f>
        <v>#N/A</v>
      </c>
      <c r="J137" s="17">
        <f t="shared" ca="1" si="1"/>
        <v>3.8499999999999659</v>
      </c>
      <c r="K137" s="17">
        <f t="shared" ca="1" si="2"/>
        <v>10.649999999999977</v>
      </c>
      <c r="L137" s="17">
        <f t="shared" ca="1" si="3"/>
        <v>1</v>
      </c>
      <c r="M137" s="19" t="str">
        <f t="shared" ca="1" si="4"/>
        <v/>
      </c>
      <c r="N137" s="19" t="str">
        <f t="shared" ca="1" si="5"/>
        <v/>
      </c>
      <c r="O137" s="19" t="str">
        <f t="shared" ca="1" si="6"/>
        <v/>
      </c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12" t="s">
        <v>202</v>
      </c>
      <c r="B138" s="14">
        <f ca="1">IFERROR(__xludf.DUMMYFUNCTION("googlefinance(""nse:""&amp;A138,""price"")"),326.5)</f>
        <v>326.5</v>
      </c>
      <c r="C138" s="14">
        <f t="shared" ca="1" si="0"/>
        <v>0</v>
      </c>
      <c r="D138" s="14">
        <f ca="1">IFERROR(__xludf.DUMMYFUNCTION("googlefinance(""nse:""&amp;A138,""changepct"")"),6.04)</f>
        <v>6.04</v>
      </c>
      <c r="E138" s="14">
        <f ca="1">IFERROR(__xludf.DUMMYFUNCTION("googlefinance(""nse:""&amp;A138,""change"")"),18.6)</f>
        <v>18.600000000000001</v>
      </c>
      <c r="F138" s="14">
        <f ca="1">IFERROR(__xludf.DUMMYFUNCTION("googlefinance(""nse:""&amp;A138,""priceopen"")"),313.5)</f>
        <v>313.5</v>
      </c>
      <c r="G138" s="14">
        <f ca="1">IFERROR(__xludf.DUMMYFUNCTION("googlefinance(""nse:""&amp;A138,""HIGH"")"),334.1)</f>
        <v>334.1</v>
      </c>
      <c r="H138" s="14">
        <f ca="1">IFERROR(__xludf.DUMMYFUNCTION("googlefinance(""nse:""&amp;A138,""LOW"")"),311.2)</f>
        <v>311.2</v>
      </c>
      <c r="I138" s="14" t="str">
        <f ca="1">IFERROR(__xludf.DUMMYFUNCTION("INDEX( GoogleFinance( ""NSE:""&amp;A138 , ""all"" , TODAY()-2) , 2, 5)"),"#N/A")</f>
        <v>#N/A</v>
      </c>
      <c r="J138" s="17">
        <f t="shared" ca="1" si="1"/>
        <v>7.6000000000000227</v>
      </c>
      <c r="K138" s="17">
        <f t="shared" ca="1" si="2"/>
        <v>22.900000000000034</v>
      </c>
      <c r="L138" s="17">
        <f t="shared" ca="1" si="3"/>
        <v>2.3000000000000114</v>
      </c>
      <c r="M138" s="19" t="str">
        <f t="shared" ca="1" si="4"/>
        <v/>
      </c>
      <c r="N138" s="19" t="str">
        <f t="shared" ca="1" si="5"/>
        <v/>
      </c>
      <c r="O138" s="19" t="str">
        <f t="shared" ca="1" si="6"/>
        <v/>
      </c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12" t="s">
        <v>203</v>
      </c>
      <c r="B139" s="14">
        <f ca="1">IFERROR(__xludf.DUMMYFUNCTION("googlefinance(""nse:""&amp;A139,""price"")"),940)</f>
        <v>940</v>
      </c>
      <c r="C139" s="14" t="str">
        <f t="shared" ca="1" si="0"/>
        <v>SELL</v>
      </c>
      <c r="D139" s="14">
        <f ca="1">IFERROR(__xludf.DUMMYFUNCTION("googlefinance(""nse:""&amp;A139,""changepct"")"),-0.41)</f>
        <v>-0.41</v>
      </c>
      <c r="E139" s="14">
        <f ca="1">IFERROR(__xludf.DUMMYFUNCTION("googlefinance(""nse:""&amp;A139,""change"")"),-3.85)</f>
        <v>-3.85</v>
      </c>
      <c r="F139" s="14">
        <f ca="1">IFERROR(__xludf.DUMMYFUNCTION("googlefinance(""nse:""&amp;A139,""priceopen"")"),961)</f>
        <v>961</v>
      </c>
      <c r="G139" s="14">
        <f ca="1">IFERROR(__xludf.DUMMYFUNCTION("googlefinance(""nse:""&amp;A139,""HIGH"")"),961)</f>
        <v>961</v>
      </c>
      <c r="H139" s="14">
        <f ca="1">IFERROR(__xludf.DUMMYFUNCTION("googlefinance(""nse:""&amp;A139,""LOW"")"),925.1)</f>
        <v>925.1</v>
      </c>
      <c r="I139" s="14" t="str">
        <f ca="1">IFERROR(__xludf.DUMMYFUNCTION("INDEX( GoogleFinance( ""NSE:""&amp;A139 , ""all"" , TODAY()-2) , 2, 5)"),"#N/A")</f>
        <v>#N/A</v>
      </c>
      <c r="J139" s="17">
        <f t="shared" ca="1" si="1"/>
        <v>21</v>
      </c>
      <c r="K139" s="17">
        <f t="shared" ca="1" si="2"/>
        <v>35.899999999999977</v>
      </c>
      <c r="L139" s="17">
        <f t="shared" ca="1" si="3"/>
        <v>35.899999999999977</v>
      </c>
      <c r="M139" s="19" t="str">
        <f t="shared" ca="1" si="4"/>
        <v/>
      </c>
      <c r="N139" s="19" t="str">
        <f t="shared" ca="1" si="5"/>
        <v/>
      </c>
      <c r="O139" s="19" t="str">
        <f t="shared" ca="1" si="6"/>
        <v/>
      </c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12" t="s">
        <v>204</v>
      </c>
      <c r="B140" s="14">
        <f ca="1">IFERROR(__xludf.DUMMYFUNCTION("googlefinance(""nse:""&amp;A140,""price"")"),175.85)</f>
        <v>175.85</v>
      </c>
      <c r="C140" s="14">
        <f t="shared" ca="1" si="0"/>
        <v>0</v>
      </c>
      <c r="D140" s="14">
        <f ca="1">IFERROR(__xludf.DUMMYFUNCTION("googlefinance(""nse:""&amp;A140,""changepct"")"),-0.03)</f>
        <v>-0.03</v>
      </c>
      <c r="E140" s="14">
        <f ca="1">IFERROR(__xludf.DUMMYFUNCTION("googlefinance(""nse:""&amp;A140,""change"")"),-0.05)</f>
        <v>-0.05</v>
      </c>
      <c r="F140" s="14">
        <f ca="1">IFERROR(__xludf.DUMMYFUNCTION("googlefinance(""nse:""&amp;A140,""priceopen"")"),180)</f>
        <v>180</v>
      </c>
      <c r="G140" s="14">
        <f ca="1">IFERROR(__xludf.DUMMYFUNCTION("googlefinance(""nse:""&amp;A140,""HIGH"")"),183.8)</f>
        <v>183.8</v>
      </c>
      <c r="H140" s="14">
        <f ca="1">IFERROR(__xludf.DUMMYFUNCTION("googlefinance(""nse:""&amp;A140,""LOW"")"),174.5)</f>
        <v>174.5</v>
      </c>
      <c r="I140" s="14" t="str">
        <f ca="1">IFERROR(__xludf.DUMMYFUNCTION("INDEX( GoogleFinance( ""NSE:""&amp;A140 , ""all"" , TODAY()-2) , 2, 5)"),"#N/A")</f>
        <v>#N/A</v>
      </c>
      <c r="J140" s="17">
        <f t="shared" ca="1" si="1"/>
        <v>7.9500000000000171</v>
      </c>
      <c r="K140" s="17">
        <f t="shared" ca="1" si="2"/>
        <v>9.3000000000000114</v>
      </c>
      <c r="L140" s="17">
        <f t="shared" ca="1" si="3"/>
        <v>5.5</v>
      </c>
      <c r="M140" s="19" t="str">
        <f t="shared" ca="1" si="4"/>
        <v/>
      </c>
      <c r="N140" s="19" t="str">
        <f t="shared" ca="1" si="5"/>
        <v/>
      </c>
      <c r="O140" s="19" t="str">
        <f t="shared" ca="1" si="6"/>
        <v/>
      </c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12" t="s">
        <v>205</v>
      </c>
      <c r="B141" s="14">
        <f ca="1">IFERROR(__xludf.DUMMYFUNCTION("googlefinance(""nse:""&amp;A141,""price"")"),3532)</f>
        <v>3532</v>
      </c>
      <c r="C141" s="14">
        <f t="shared" ca="1" si="0"/>
        <v>0</v>
      </c>
      <c r="D141" s="14">
        <f ca="1">IFERROR(__xludf.DUMMYFUNCTION("googlefinance(""nse:""&amp;A141,""changepct"")"),2.84)</f>
        <v>2.84</v>
      </c>
      <c r="E141" s="14">
        <f ca="1">IFERROR(__xludf.DUMMYFUNCTION("googlefinance(""nse:""&amp;A141,""change"")"),97.65)</f>
        <v>97.65</v>
      </c>
      <c r="F141" s="14">
        <f ca="1">IFERROR(__xludf.DUMMYFUNCTION("googlefinance(""nse:""&amp;A141,""priceopen"")"),3470)</f>
        <v>3470</v>
      </c>
      <c r="G141" s="14">
        <f ca="1">IFERROR(__xludf.DUMMYFUNCTION("googlefinance(""nse:""&amp;A141,""HIGH"")"),3565.95)</f>
        <v>3565.95</v>
      </c>
      <c r="H141" s="14">
        <f ca="1">IFERROR(__xludf.DUMMYFUNCTION("googlefinance(""nse:""&amp;A141,""LOW"")"),3446.15)</f>
        <v>3446.15</v>
      </c>
      <c r="I141" s="14" t="str">
        <f ca="1">IFERROR(__xludf.DUMMYFUNCTION("INDEX( GoogleFinance( ""NSE:""&amp;A141 , ""all"" , TODAY()-2) , 2, 5)"),"#N/A")</f>
        <v>#N/A</v>
      </c>
      <c r="J141" s="17">
        <f t="shared" ca="1" si="1"/>
        <v>33.949999999999818</v>
      </c>
      <c r="K141" s="17">
        <f t="shared" ca="1" si="2"/>
        <v>119.79999999999973</v>
      </c>
      <c r="L141" s="17">
        <f t="shared" ca="1" si="3"/>
        <v>23.849999999999909</v>
      </c>
      <c r="M141" s="19" t="str">
        <f t="shared" ca="1" si="4"/>
        <v/>
      </c>
      <c r="N141" s="19" t="str">
        <f t="shared" ca="1" si="5"/>
        <v/>
      </c>
      <c r="O141" s="19" t="str">
        <f t="shared" ca="1" si="6"/>
        <v/>
      </c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12" t="s">
        <v>206</v>
      </c>
      <c r="B142" s="14">
        <f ca="1">IFERROR(__xludf.DUMMYFUNCTION("googlefinance(""nse:""&amp;A142,""price"")"),413)</f>
        <v>413</v>
      </c>
      <c r="C142" s="14">
        <f t="shared" ca="1" si="0"/>
        <v>0</v>
      </c>
      <c r="D142" s="14">
        <f ca="1">IFERROR(__xludf.DUMMYFUNCTION("googlefinance(""nse:""&amp;A142,""changepct"")"),14.53)</f>
        <v>14.53</v>
      </c>
      <c r="E142" s="14">
        <f ca="1">IFERROR(__xludf.DUMMYFUNCTION("googlefinance(""nse:""&amp;A142,""change"")"),52.4)</f>
        <v>52.4</v>
      </c>
      <c r="F142" s="14">
        <f ca="1">IFERROR(__xludf.DUMMYFUNCTION("googlefinance(""nse:""&amp;A142,""priceopen"")"),367.25)</f>
        <v>367.25</v>
      </c>
      <c r="G142" s="14">
        <f ca="1">IFERROR(__xludf.DUMMYFUNCTION("googlefinance(""nse:""&amp;A142,""HIGH"")"),429.35)</f>
        <v>429.35</v>
      </c>
      <c r="H142" s="14">
        <f ca="1">IFERROR(__xludf.DUMMYFUNCTION("googlefinance(""nse:""&amp;A142,""LOW"")"),364.05)</f>
        <v>364.05</v>
      </c>
      <c r="I142" s="14" t="str">
        <f ca="1">IFERROR(__xludf.DUMMYFUNCTION("INDEX( GoogleFinance( ""NSE:""&amp;A142 , ""all"" , TODAY()-2) , 2, 5)"),"#N/A")</f>
        <v>#N/A</v>
      </c>
      <c r="J142" s="17">
        <f t="shared" ca="1" si="1"/>
        <v>16.350000000000023</v>
      </c>
      <c r="K142" s="17">
        <f t="shared" ca="1" si="2"/>
        <v>65.300000000000011</v>
      </c>
      <c r="L142" s="17">
        <f t="shared" ca="1" si="3"/>
        <v>3.1999999999999886</v>
      </c>
      <c r="M142" s="19" t="str">
        <f t="shared" ca="1" si="4"/>
        <v/>
      </c>
      <c r="N142" s="19" t="str">
        <f t="shared" ca="1" si="5"/>
        <v/>
      </c>
      <c r="O142" s="19" t="str">
        <f t="shared" ca="1" si="6"/>
        <v/>
      </c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12" t="s">
        <v>207</v>
      </c>
      <c r="B143" s="14">
        <f ca="1">IFERROR(__xludf.DUMMYFUNCTION("googlefinance(""nse:""&amp;A143,""price"")"),88.8)</f>
        <v>88.8</v>
      </c>
      <c r="C143" s="14">
        <f t="shared" ca="1" si="0"/>
        <v>0</v>
      </c>
      <c r="D143" s="14">
        <f ca="1">IFERROR(__xludf.DUMMYFUNCTION("googlefinance(""nse:""&amp;A143,""changepct"")"),12.19)</f>
        <v>12.19</v>
      </c>
      <c r="E143" s="14">
        <f ca="1">IFERROR(__xludf.DUMMYFUNCTION("googlefinance(""nse:""&amp;A143,""change"")"),9.65)</f>
        <v>9.65</v>
      </c>
      <c r="F143" s="14">
        <f ca="1">IFERROR(__xludf.DUMMYFUNCTION("googlefinance(""nse:""&amp;A143,""priceopen"")"),82)</f>
        <v>82</v>
      </c>
      <c r="G143" s="14">
        <f ca="1">IFERROR(__xludf.DUMMYFUNCTION("googlefinance(""nse:""&amp;A143,""HIGH"")"),91)</f>
        <v>91</v>
      </c>
      <c r="H143" s="14">
        <f ca="1">IFERROR(__xludf.DUMMYFUNCTION("googlefinance(""nse:""&amp;A143,""LOW"")"),81.5)</f>
        <v>81.5</v>
      </c>
      <c r="I143" s="14" t="str">
        <f ca="1">IFERROR(__xludf.DUMMYFUNCTION("INDEX( GoogleFinance( ""NSE:""&amp;A143 , ""all"" , TODAY()-2) , 2, 5)"),"#N/A")</f>
        <v>#N/A</v>
      </c>
      <c r="J143" s="17">
        <f t="shared" ca="1" si="1"/>
        <v>2.2000000000000028</v>
      </c>
      <c r="K143" s="17">
        <f t="shared" ca="1" si="2"/>
        <v>9.5</v>
      </c>
      <c r="L143" s="17">
        <f t="shared" ca="1" si="3"/>
        <v>0.5</v>
      </c>
      <c r="M143" s="19" t="str">
        <f t="shared" ca="1" si="4"/>
        <v/>
      </c>
      <c r="N143" s="19" t="str">
        <f t="shared" ca="1" si="5"/>
        <v/>
      </c>
      <c r="O143" s="19" t="str">
        <f t="shared" ca="1" si="6"/>
        <v/>
      </c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12" t="s">
        <v>208</v>
      </c>
      <c r="B144" s="14">
        <f ca="1">IFERROR(__xludf.DUMMYFUNCTION("googlefinance(""nse:""&amp;A144,""price"")"),506)</f>
        <v>506</v>
      </c>
      <c r="C144" s="14" t="str">
        <f t="shared" ca="1" si="0"/>
        <v>BUY</v>
      </c>
      <c r="D144" s="14">
        <f ca="1">IFERROR(__xludf.DUMMYFUNCTION("googlefinance(""nse:""&amp;A144,""changepct"")"),2.97)</f>
        <v>2.97</v>
      </c>
      <c r="E144" s="14">
        <f ca="1">IFERROR(__xludf.DUMMYFUNCTION("googlefinance(""nse:""&amp;A144,""change"")"),14.6)</f>
        <v>14.6</v>
      </c>
      <c r="F144" s="14">
        <f ca="1">IFERROR(__xludf.DUMMYFUNCTION("googlefinance(""nse:""&amp;A144,""priceopen"")"),495.2)</f>
        <v>495.2</v>
      </c>
      <c r="G144" s="14">
        <f ca="1">IFERROR(__xludf.DUMMYFUNCTION("googlefinance(""nse:""&amp;A144,""HIGH"")"),517.5)</f>
        <v>517.5</v>
      </c>
      <c r="H144" s="14">
        <f ca="1">IFERROR(__xludf.DUMMYFUNCTION("googlefinance(""nse:""&amp;A144,""LOW"")"),495.2)</f>
        <v>495.2</v>
      </c>
      <c r="I144" s="14" t="str">
        <f ca="1">IFERROR(__xludf.DUMMYFUNCTION("INDEX( GoogleFinance( ""NSE:""&amp;A144 , ""all"" , TODAY()-2) , 2, 5)"),"#N/A")</f>
        <v>#N/A</v>
      </c>
      <c r="J144" s="17">
        <f t="shared" ca="1" si="1"/>
        <v>11.5</v>
      </c>
      <c r="K144" s="17">
        <f t="shared" ca="1" si="2"/>
        <v>22.300000000000011</v>
      </c>
      <c r="L144" s="17">
        <f t="shared" ca="1" si="3"/>
        <v>0</v>
      </c>
      <c r="M144" s="19" t="str">
        <f t="shared" ca="1" si="4"/>
        <v/>
      </c>
      <c r="N144" s="19" t="str">
        <f t="shared" ca="1" si="5"/>
        <v/>
      </c>
      <c r="O144" s="19" t="str">
        <f t="shared" ca="1" si="6"/>
        <v/>
      </c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12" t="s">
        <v>209</v>
      </c>
      <c r="B145" s="14">
        <f ca="1">IFERROR(__xludf.DUMMYFUNCTION("googlefinance(""nse:""&amp;A145,""price"")"),191.15)</f>
        <v>191.15</v>
      </c>
      <c r="C145" s="14">
        <f t="shared" ca="1" si="0"/>
        <v>0</v>
      </c>
      <c r="D145" s="14">
        <f ca="1">IFERROR(__xludf.DUMMYFUNCTION("googlefinance(""nse:""&amp;A145,""changepct"")"),5.81)</f>
        <v>5.81</v>
      </c>
      <c r="E145" s="14">
        <f ca="1">IFERROR(__xludf.DUMMYFUNCTION("googlefinance(""nse:""&amp;A145,""change"")"),10.5)</f>
        <v>10.5</v>
      </c>
      <c r="F145" s="14">
        <f ca="1">IFERROR(__xludf.DUMMYFUNCTION("googlefinance(""nse:""&amp;A145,""priceopen"")"),185)</f>
        <v>185</v>
      </c>
      <c r="G145" s="14">
        <f ca="1">IFERROR(__xludf.DUMMYFUNCTION("googlefinance(""nse:""&amp;A145,""HIGH"")"),192.6)</f>
        <v>192.6</v>
      </c>
      <c r="H145" s="14">
        <f ca="1">IFERROR(__xludf.DUMMYFUNCTION("googlefinance(""nse:""&amp;A145,""LOW"")"),183.55)</f>
        <v>183.55</v>
      </c>
      <c r="I145" s="14" t="str">
        <f ca="1">IFERROR(__xludf.DUMMYFUNCTION("INDEX( GoogleFinance( ""NSE:""&amp;A145 , ""all"" , TODAY()-2) , 2, 5)"),"#N/A")</f>
        <v>#N/A</v>
      </c>
      <c r="J145" s="17">
        <f t="shared" ca="1" si="1"/>
        <v>1.4499999999999886</v>
      </c>
      <c r="K145" s="17">
        <f t="shared" ca="1" si="2"/>
        <v>9.0499999999999829</v>
      </c>
      <c r="L145" s="17">
        <f t="shared" ca="1" si="3"/>
        <v>1.4499999999999886</v>
      </c>
      <c r="M145" s="19" t="str">
        <f t="shared" ca="1" si="4"/>
        <v/>
      </c>
      <c r="N145" s="19" t="str">
        <f t="shared" ca="1" si="5"/>
        <v/>
      </c>
      <c r="O145" s="19" t="str">
        <f t="shared" ca="1" si="6"/>
        <v/>
      </c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12" t="s">
        <v>210</v>
      </c>
      <c r="B146" s="14">
        <f ca="1">IFERROR(__xludf.DUMMYFUNCTION("googlefinance(""nse:""&amp;A146,""price"")"),27.85)</f>
        <v>27.85</v>
      </c>
      <c r="C146" s="14">
        <f t="shared" ca="1" si="0"/>
        <v>0</v>
      </c>
      <c r="D146" s="14">
        <f ca="1">IFERROR(__xludf.DUMMYFUNCTION("googlefinance(""nse:""&amp;A146,""changepct"")"),-0.71)</f>
        <v>-0.71</v>
      </c>
      <c r="E146" s="14">
        <f ca="1">IFERROR(__xludf.DUMMYFUNCTION("googlefinance(""nse:""&amp;A146,""change"")"),-0.2)</f>
        <v>-0.2</v>
      </c>
      <c r="F146" s="14">
        <f ca="1">IFERROR(__xludf.DUMMYFUNCTION("googlefinance(""nse:""&amp;A146,""priceopen"")"),28.7)</f>
        <v>28.7</v>
      </c>
      <c r="G146" s="14">
        <f ca="1">IFERROR(__xludf.DUMMYFUNCTION("googlefinance(""nse:""&amp;A146,""HIGH"")"),28.95)</f>
        <v>28.95</v>
      </c>
      <c r="H146" s="14">
        <f ca="1">IFERROR(__xludf.DUMMYFUNCTION("googlefinance(""nse:""&amp;A146,""LOW"")"),27.7)</f>
        <v>27.7</v>
      </c>
      <c r="I146" s="14" t="str">
        <f ca="1">IFERROR(__xludf.DUMMYFUNCTION("INDEX( GoogleFinance( ""NSE:""&amp;A146 , ""all"" , TODAY()-2) , 2, 5)"),"#N/A")</f>
        <v>#N/A</v>
      </c>
      <c r="J146" s="17">
        <f t="shared" ca="1" si="1"/>
        <v>1.0999999999999979</v>
      </c>
      <c r="K146" s="17">
        <f t="shared" ca="1" si="2"/>
        <v>1.25</v>
      </c>
      <c r="L146" s="17">
        <f t="shared" ca="1" si="3"/>
        <v>1</v>
      </c>
      <c r="M146" s="19" t="str">
        <f t="shared" ca="1" si="4"/>
        <v/>
      </c>
      <c r="N146" s="19" t="str">
        <f t="shared" ca="1" si="5"/>
        <v/>
      </c>
      <c r="O146" s="19" t="str">
        <f t="shared" ca="1" si="6"/>
        <v/>
      </c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12" t="s">
        <v>211</v>
      </c>
      <c r="B147" s="14">
        <f ca="1">IFERROR(__xludf.DUMMYFUNCTION("googlefinance(""nse:""&amp;A147,""price"")"),159.6)</f>
        <v>159.6</v>
      </c>
      <c r="C147" s="14">
        <f t="shared" ca="1" si="0"/>
        <v>0</v>
      </c>
      <c r="D147" s="14">
        <f ca="1">IFERROR(__xludf.DUMMYFUNCTION("googlefinance(""nse:""&amp;A147,""changepct"")"),0.13)</f>
        <v>0.13</v>
      </c>
      <c r="E147" s="14">
        <f ca="1">IFERROR(__xludf.DUMMYFUNCTION("googlefinance(""nse:""&amp;A147,""change"")"),0.2)</f>
        <v>0.2</v>
      </c>
      <c r="F147" s="14">
        <f ca="1">IFERROR(__xludf.DUMMYFUNCTION("googlefinance(""nse:""&amp;A147,""priceopen"")"),163.15)</f>
        <v>163.15</v>
      </c>
      <c r="G147" s="14">
        <f ca="1">IFERROR(__xludf.DUMMYFUNCTION("googlefinance(""nse:""&amp;A147,""HIGH"")"),164)</f>
        <v>164</v>
      </c>
      <c r="H147" s="14">
        <f ca="1">IFERROR(__xludf.DUMMYFUNCTION("googlefinance(""nse:""&amp;A147,""LOW"")"),155.95)</f>
        <v>155.94999999999999</v>
      </c>
      <c r="I147" s="14" t="str">
        <f ca="1">IFERROR(__xludf.DUMMYFUNCTION("INDEX( GoogleFinance( ""NSE:""&amp;A147 , ""all"" , TODAY()-2) , 2, 5)"),"#N/A")</f>
        <v>#N/A</v>
      </c>
      <c r="J147" s="17">
        <f t="shared" ca="1" si="1"/>
        <v>4.4000000000000057</v>
      </c>
      <c r="K147" s="17">
        <f t="shared" ca="1" si="2"/>
        <v>8.0500000000000114</v>
      </c>
      <c r="L147" s="17">
        <f t="shared" ca="1" si="3"/>
        <v>7.2000000000000171</v>
      </c>
      <c r="M147" s="19" t="str">
        <f t="shared" ca="1" si="4"/>
        <v/>
      </c>
      <c r="N147" s="19" t="str">
        <f t="shared" ca="1" si="5"/>
        <v/>
      </c>
      <c r="O147" s="19" t="str">
        <f t="shared" ca="1" si="6"/>
        <v/>
      </c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12" t="s">
        <v>212</v>
      </c>
      <c r="B148" s="90">
        <f ca="1">IFERROR(__xludf.DUMMYFUNCTION("GOOGLEFINANCE(A148,""PRICE"")"),9859.9)</f>
        <v>9859.9</v>
      </c>
      <c r="C148" s="91">
        <f t="shared" ca="1" si="0"/>
        <v>0</v>
      </c>
      <c r="D148" s="91">
        <f ca="1">IFERROR(__xludf.DUMMYFUNCTION("googlefinance(A148,""changepct"")"),3.21)</f>
        <v>3.21</v>
      </c>
      <c r="E148" s="91">
        <f ca="1">IFERROR(__xludf.DUMMYFUNCTION("googlefinance(A148,""change"")"),306.55)</f>
        <v>306.55</v>
      </c>
      <c r="F148" s="91">
        <f ca="1">IFERROR(__xludf.DUMMYFUNCTION("googlefinance(A148,""priceopen"")"),9753.5)</f>
        <v>9753.5</v>
      </c>
      <c r="G148" s="91">
        <f ca="1">IFERROR(__xludf.DUMMYFUNCTION("googlefinance(A148,""HIGH"")"),9889.05)</f>
        <v>9889.0499999999993</v>
      </c>
      <c r="H148" s="91">
        <f ca="1">IFERROR(__xludf.DUMMYFUNCTION("googlefinance(A148,""LOW"")"),9731.5)</f>
        <v>9731.5</v>
      </c>
      <c r="I148" s="14" t="str">
        <f ca="1">IFERROR(__xludf.DUMMYFUNCTION("INDEX( GoogleFinance( ""NSE:""&amp;A148 , ""all"" , TODAY()-2) , 2, 5)"),"#N/A")</f>
        <v>#N/A</v>
      </c>
      <c r="J148" s="17">
        <f t="shared" ca="1" si="1"/>
        <v>29.149999999999636</v>
      </c>
      <c r="K148" s="17">
        <f t="shared" ca="1" si="2"/>
        <v>157.54999999999927</v>
      </c>
      <c r="L148" s="17">
        <f t="shared" ca="1" si="3"/>
        <v>22</v>
      </c>
      <c r="M148" s="19" t="str">
        <f t="shared" ca="1" si="4"/>
        <v/>
      </c>
      <c r="N148" s="19" t="str">
        <f t="shared" ca="1" si="5"/>
        <v/>
      </c>
      <c r="O148" s="19" t="str">
        <f t="shared" ca="1" si="6"/>
        <v/>
      </c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12" t="s">
        <v>213</v>
      </c>
      <c r="B149" s="92">
        <f ca="1">IFERROR(__xludf.DUMMYFUNCTION("GOOGLEFINANCE(A149,""PRICE"")"),21534.5)</f>
        <v>21534.5</v>
      </c>
      <c r="C149" s="91">
        <f t="shared" ca="1" si="0"/>
        <v>0</v>
      </c>
      <c r="D149" s="91">
        <f ca="1">IFERROR(__xludf.DUMMYFUNCTION("googlefinance(A149,""changepct"")"),2.11)</f>
        <v>2.11</v>
      </c>
      <c r="E149" s="91">
        <f ca="1">IFERROR(__xludf.DUMMYFUNCTION("googlefinance(A149,""change"")"),444.3)</f>
        <v>444.3</v>
      </c>
      <c r="F149" s="91">
        <f ca="1">IFERROR(__xludf.DUMMYFUNCTION("googlefinance(A149,""priceopen"")"),21589.2)</f>
        <v>21589.200000000001</v>
      </c>
      <c r="G149" s="91">
        <f ca="1">IFERROR(__xludf.DUMMYFUNCTION("googlefinance(A149,""HIGH"")"),21967)</f>
        <v>21967</v>
      </c>
      <c r="H149" s="91">
        <f ca="1">IFERROR(__xludf.DUMMYFUNCTION("googlefinance(A149,""LOW"")"),21353.65)</f>
        <v>21353.65</v>
      </c>
      <c r="I149" s="14" t="str">
        <f ca="1">IFERROR(__xludf.DUMMYFUNCTION("INDEX( GoogleFinance( ""NSE:""&amp;A149 , ""all"" , TODAY()-2) , 2, 5)"),"#N/A")</f>
        <v>#N/A</v>
      </c>
      <c r="J149" s="17">
        <f t="shared" ca="1" si="1"/>
        <v>432.5</v>
      </c>
      <c r="K149" s="17">
        <f t="shared" ca="1" si="2"/>
        <v>613.34999999999854</v>
      </c>
      <c r="L149" s="17">
        <f t="shared" ca="1" si="3"/>
        <v>235.54999999999927</v>
      </c>
      <c r="M149" s="19" t="str">
        <f t="shared" ca="1" si="4"/>
        <v/>
      </c>
      <c r="N149" s="19" t="str">
        <f t="shared" ca="1" si="5"/>
        <v/>
      </c>
      <c r="O149" s="19" t="str">
        <f t="shared" ca="1" si="6"/>
        <v/>
      </c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showGridLines="0" workbookViewId="0"/>
  </sheetViews>
  <sheetFormatPr defaultColWidth="14.42578125" defaultRowHeight="15" customHeight="1"/>
  <cols>
    <col min="1" max="1" width="14.5703125" customWidth="1"/>
    <col min="2" max="2" width="17.140625" customWidth="1"/>
    <col min="3" max="3" width="13.7109375" customWidth="1"/>
    <col min="4" max="4" width="13.5703125" customWidth="1"/>
    <col min="5" max="5" width="15.7109375" customWidth="1"/>
    <col min="6" max="6" width="17.5703125" customWidth="1"/>
    <col min="7" max="7" width="20.85546875" customWidth="1"/>
    <col min="8" max="9" width="15" customWidth="1"/>
    <col min="10" max="10" width="18.28515625" customWidth="1"/>
    <col min="11" max="11" width="12.85546875" customWidth="1"/>
    <col min="12" max="12" width="18" customWidth="1"/>
    <col min="13" max="13" width="22" customWidth="1"/>
    <col min="14" max="14" width="10.5703125" customWidth="1"/>
    <col min="15" max="15" width="10.28515625" customWidth="1"/>
  </cols>
  <sheetData>
    <row r="1" spans="1:26" ht="15.75" customHeight="1">
      <c r="A1" s="3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9" t="s">
        <v>15</v>
      </c>
      <c r="O1" s="13" t="s">
        <v>17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15" t="s">
        <v>29</v>
      </c>
      <c r="B2" s="16" t="e">
        <f t="shared" ref="B2:B144" ca="1" si="0">F2/E2</f>
        <v>#VALUE!</v>
      </c>
      <c r="C2" s="18">
        <f ca="1">IFERROR(__xludf.DUMMYFUNCTION("googlefinance(""nse:""&amp;A2,""changepct"")"),4.27)</f>
        <v>4.2699999999999996</v>
      </c>
      <c r="D2" s="18">
        <f ca="1">IFERROR(__xludf.DUMMYFUNCTION("googlefinance(""nse:""&amp;A2,""change"")"),47.9)</f>
        <v>47.9</v>
      </c>
      <c r="E2" s="18" t="str">
        <f ca="1">IFERROR(__xludf.DUMMYFUNCTION("ArrayFormula( AVERAGE( QUERY( SORT(GOOGLEFINANCE(""NSE:""&amp;A2,""all"",workday.intl(TODAY(),-4),TODAY(),""daily""),2,0) , ""select Col6 "" ) ))"),"#N/A")</f>
        <v>#N/A</v>
      </c>
      <c r="F2" s="18">
        <f ca="1">IFERROR(__xludf.DUMMYFUNCTION("googlefinance(""nse:""&amp;A2,""volume"")"),1910083)</f>
        <v>1910083</v>
      </c>
      <c r="G2" s="23" t="e">
        <f t="shared" ref="G2:G144" ca="1" si="1">AND(F2/E2&gt;1.25)</f>
        <v>#VALUE!</v>
      </c>
      <c r="H2" s="24" t="e">
        <f t="shared" ref="H2:H144" ca="1" si="2">AND(F2/E2&gt;1.5)</f>
        <v>#VALUE!</v>
      </c>
      <c r="I2" s="25" t="e">
        <f t="shared" ref="I2:I144" ca="1" si="3">AND(F2/E2&gt;1.75)</f>
        <v>#VALUE!</v>
      </c>
      <c r="J2" s="25" t="e">
        <f t="shared" ref="J2:J144" ca="1" si="4">AND(F2/E2&gt;2)</f>
        <v>#VALUE!</v>
      </c>
      <c r="K2" s="27">
        <f t="shared" ref="K2:K144" ca="1" si="5">IF(L2=O2,"BUY",IF(L2 =N2,"SELL",))</f>
        <v>0</v>
      </c>
      <c r="L2" s="29">
        <f ca="1">IFERROR(__xludf.DUMMYFUNCTION("googlefinance(""nse:""&amp;A2,""PRICEOPEN"")"),1139.25)</f>
        <v>1139.25</v>
      </c>
      <c r="M2" s="29">
        <f ca="1">IFERROR(__xludf.DUMMYFUNCTION("googlefinance(""nse:""&amp;A2,""PRICE"")"),1170.1)</f>
        <v>1170.0999999999999</v>
      </c>
      <c r="N2" s="27">
        <f ca="1">IFERROR(__xludf.DUMMYFUNCTION("googlefinance(""nse:""&amp;A2,""HIGH"")"),1192.8)</f>
        <v>1192.8</v>
      </c>
      <c r="O2" s="32">
        <f ca="1">IFERROR(__xludf.DUMMYFUNCTION("googlefinance(""nse:""&amp;A2,""LOW"")"),1137)</f>
        <v>1137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35" t="s">
        <v>30</v>
      </c>
      <c r="B3" s="37" t="e">
        <f t="shared" ca="1" si="0"/>
        <v>#VALUE!</v>
      </c>
      <c r="C3" s="39">
        <f ca="1">IFERROR(__xludf.DUMMYFUNCTION("googlefinance(""nse:""&amp;A3,""changepct"")"),1.36)</f>
        <v>1.36</v>
      </c>
      <c r="D3" s="39">
        <f ca="1">IFERROR(__xludf.DUMMYFUNCTION("googlefinance(""nse:""&amp;A3,""change"")"),1.9)</f>
        <v>1.9</v>
      </c>
      <c r="E3" s="39" t="str">
        <f ca="1">IFERROR(__xludf.DUMMYFUNCTION("ArrayFormula( AVERAGE( QUERY( SORT(GOOGLEFINANCE(""NSE:""&amp;A3,""all"",workday.intl(TODAY(),-4),TODAY(),""daily""),2,0) , ""select Col6 "" ) ))"),"#N/A")</f>
        <v>#N/A</v>
      </c>
      <c r="F3" s="39">
        <f ca="1">IFERROR(__xludf.DUMMYFUNCTION("googlefinance(""nse:""&amp;A3,""volume"")"),4900322)</f>
        <v>4900322</v>
      </c>
      <c r="G3" s="42" t="e">
        <f t="shared" ca="1" si="1"/>
        <v>#VALUE!</v>
      </c>
      <c r="H3" s="43" t="e">
        <f t="shared" ca="1" si="2"/>
        <v>#VALUE!</v>
      </c>
      <c r="I3" s="43" t="e">
        <f t="shared" ca="1" si="3"/>
        <v>#VALUE!</v>
      </c>
      <c r="J3" s="43" t="e">
        <f t="shared" ca="1" si="4"/>
        <v>#VALUE!</v>
      </c>
      <c r="K3" s="44">
        <f t="shared" ca="1" si="5"/>
        <v>0</v>
      </c>
      <c r="L3" s="45">
        <f ca="1">IFERROR(__xludf.DUMMYFUNCTION("googlefinance(""nse:""&amp;A3,""PRICEOPEN"")"),141.45)</f>
        <v>141.44999999999999</v>
      </c>
      <c r="M3" s="45">
        <f ca="1">IFERROR(__xludf.DUMMYFUNCTION("googlefinance(""nse:""&amp;A3,""PRICE"")"),141.4)</f>
        <v>141.4</v>
      </c>
      <c r="N3" s="44">
        <f ca="1">IFERROR(__xludf.DUMMYFUNCTION("googlefinance(""nse:""&amp;A3,""HIGH"")"),147.45)</f>
        <v>147.44999999999999</v>
      </c>
      <c r="O3" s="48">
        <f ca="1">IFERROR(__xludf.DUMMYFUNCTION("googlefinance(""nse:""&amp;A3,""LOW"")"),140.3)</f>
        <v>140.30000000000001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35" t="s">
        <v>31</v>
      </c>
      <c r="B4" s="37" t="e">
        <f t="shared" ca="1" si="0"/>
        <v>#VALUE!</v>
      </c>
      <c r="C4" s="39">
        <f ca="1">IFERROR(__xludf.DUMMYFUNCTION("googlefinance(""nse:""&amp;A4,""changepct"")"),1.04)</f>
        <v>1.04</v>
      </c>
      <c r="D4" s="39">
        <f ca="1">IFERROR(__xludf.DUMMYFUNCTION("googlefinance(""nse:""&amp;A4,""change"")"),3)</f>
        <v>3</v>
      </c>
      <c r="E4" s="39" t="str">
        <f ca="1">IFERROR(__xludf.DUMMYFUNCTION("ArrayFormula( AVERAGE( QUERY( SORT(GOOGLEFINANCE(""NSE:""&amp;A4,""all"",workday.intl(TODAY(),-4),TODAY(),""daily""),2,0) , ""select Col6 "" ) ))"),"#N/A")</f>
        <v>#N/A</v>
      </c>
      <c r="F4" s="39">
        <f ca="1">IFERROR(__xludf.DUMMYFUNCTION("googlefinance(""nse:""&amp;A4,""volume"")"),4675412)</f>
        <v>4675412</v>
      </c>
      <c r="G4" s="42" t="e">
        <f t="shared" ca="1" si="1"/>
        <v>#VALUE!</v>
      </c>
      <c r="H4" s="43" t="e">
        <f t="shared" ca="1" si="2"/>
        <v>#VALUE!</v>
      </c>
      <c r="I4" s="43" t="e">
        <f t="shared" ca="1" si="3"/>
        <v>#VALUE!</v>
      </c>
      <c r="J4" s="43" t="e">
        <f t="shared" ca="1" si="4"/>
        <v>#VALUE!</v>
      </c>
      <c r="K4" s="44">
        <f t="shared" ca="1" si="5"/>
        <v>0</v>
      </c>
      <c r="L4" s="45">
        <f ca="1">IFERROR(__xludf.DUMMYFUNCTION("googlefinance(""nse:""&amp;A4,""PRICEOPEN"")"),295.05)</f>
        <v>295.05</v>
      </c>
      <c r="M4" s="45">
        <f ca="1">IFERROR(__xludf.DUMMYFUNCTION("googlefinance(""nse:""&amp;A4,""PRICE"")"),290.65)</f>
        <v>290.64999999999998</v>
      </c>
      <c r="N4" s="44">
        <f ca="1">IFERROR(__xludf.DUMMYFUNCTION("googlefinance(""nse:""&amp;A4,""HIGH"")"),296)</f>
        <v>296</v>
      </c>
      <c r="O4" s="48">
        <f ca="1">IFERROR(__xludf.DUMMYFUNCTION("googlefinance(""nse:""&amp;A4,""LOW"")"),285.1)</f>
        <v>285.10000000000002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35" t="s">
        <v>59</v>
      </c>
      <c r="B5" s="37" t="e">
        <f t="shared" ca="1" si="0"/>
        <v>#VALUE!</v>
      </c>
      <c r="C5" s="39">
        <f ca="1">IFERROR(__xludf.DUMMYFUNCTION("googlefinance(""nse:""&amp;A5,""changepct"")"),0.8)</f>
        <v>0.8</v>
      </c>
      <c r="D5" s="39">
        <f ca="1">IFERROR(__xludf.DUMMYFUNCTION("googlefinance(""nse:""&amp;A5,""change"")"),0.25)</f>
        <v>0.25</v>
      </c>
      <c r="E5" s="39" t="str">
        <f ca="1">IFERROR(__xludf.DUMMYFUNCTION("ArrayFormula( AVERAGE( QUERY( SORT(GOOGLEFINANCE(""NSE:""&amp;A5,""all"",workday.intl(TODAY(),-4),TODAY(),""daily""),2,0) , ""select Col6 "" ) ))"),"#N/A")</f>
        <v>#N/A</v>
      </c>
      <c r="F5" s="39">
        <f ca="1">IFERROR(__xludf.DUMMYFUNCTION("googlefinance(""nse:""&amp;A5,""volume"")"),12912035)</f>
        <v>12912035</v>
      </c>
      <c r="G5" s="42" t="e">
        <f t="shared" ca="1" si="1"/>
        <v>#VALUE!</v>
      </c>
      <c r="H5" s="43" t="e">
        <f t="shared" ca="1" si="2"/>
        <v>#VALUE!</v>
      </c>
      <c r="I5" s="43" t="e">
        <f t="shared" ca="1" si="3"/>
        <v>#VALUE!</v>
      </c>
      <c r="J5" s="43" t="e">
        <f t="shared" ca="1" si="4"/>
        <v>#VALUE!</v>
      </c>
      <c r="K5" s="44">
        <f t="shared" ca="1" si="5"/>
        <v>0</v>
      </c>
      <c r="L5" s="45">
        <f ca="1">IFERROR(__xludf.DUMMYFUNCTION("googlefinance(""nse:""&amp;A5,""PRICEOPEN"")"),31.95)</f>
        <v>31.95</v>
      </c>
      <c r="M5" s="45">
        <f ca="1">IFERROR(__xludf.DUMMYFUNCTION("googlefinance(""nse:""&amp;A5,""PRICE"")"),31.5)</f>
        <v>31.5</v>
      </c>
      <c r="N5" s="44">
        <f ca="1">IFERROR(__xludf.DUMMYFUNCTION("googlefinance(""nse:""&amp;A5,""HIGH"")"),32.75)</f>
        <v>32.75</v>
      </c>
      <c r="O5" s="48">
        <f ca="1">IFERROR(__xludf.DUMMYFUNCTION("googlefinance(""nse:""&amp;A5,""LOW"")"),31.5)</f>
        <v>31.5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35" t="s">
        <v>60</v>
      </c>
      <c r="B6" s="37" t="e">
        <f t="shared" ca="1" si="0"/>
        <v>#VALUE!</v>
      </c>
      <c r="C6" s="39">
        <f ca="1">IFERROR(__xludf.DUMMYFUNCTION("googlefinance(""nse:""&amp;A6,""changepct"")"),5.88)</f>
        <v>5.88</v>
      </c>
      <c r="D6" s="39">
        <f ca="1">IFERROR(__xludf.DUMMYFUNCTION("googlefinance(""nse:""&amp;A6,""change"")"),31.75)</f>
        <v>31.75</v>
      </c>
      <c r="E6" s="39" t="str">
        <f ca="1">IFERROR(__xludf.DUMMYFUNCTION("ArrayFormula( AVERAGE( QUERY( SORT(GOOGLEFINANCE(""NSE:""&amp;A6,""all"",workday.intl(TODAY(),-4),TODAY(),""daily""),2,0) , ""select Col6 "" ) ))"),"#N/A")</f>
        <v>#N/A</v>
      </c>
      <c r="F6" s="39">
        <f ca="1">IFERROR(__xludf.DUMMYFUNCTION("googlefinance(""nse:""&amp;A6,""volume"")"),1318693)</f>
        <v>1318693</v>
      </c>
      <c r="G6" s="42" t="e">
        <f t="shared" ca="1" si="1"/>
        <v>#VALUE!</v>
      </c>
      <c r="H6" s="43" t="e">
        <f t="shared" ca="1" si="2"/>
        <v>#VALUE!</v>
      </c>
      <c r="I6" s="43" t="e">
        <f t="shared" ca="1" si="3"/>
        <v>#VALUE!</v>
      </c>
      <c r="J6" s="43" t="e">
        <f t="shared" ca="1" si="4"/>
        <v>#VALUE!</v>
      </c>
      <c r="K6" s="44">
        <f t="shared" ca="1" si="5"/>
        <v>0</v>
      </c>
      <c r="L6" s="45">
        <f ca="1">IFERROR(__xludf.DUMMYFUNCTION("googlefinance(""nse:""&amp;A6,""PRICEOPEN"")"),550)</f>
        <v>550</v>
      </c>
      <c r="M6" s="45">
        <f ca="1">IFERROR(__xludf.DUMMYFUNCTION("googlefinance(""nse:""&amp;A6,""PRICE"")"),571.95)</f>
        <v>571.95000000000005</v>
      </c>
      <c r="N6" s="44">
        <f ca="1">IFERROR(__xludf.DUMMYFUNCTION("googlefinance(""nse:""&amp;A6,""HIGH"")"),572.25)</f>
        <v>572.25</v>
      </c>
      <c r="O6" s="48">
        <f ca="1">IFERROR(__xludf.DUMMYFUNCTION("googlefinance(""nse:""&amp;A6,""LOW"")"),544)</f>
        <v>544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35" t="s">
        <v>61</v>
      </c>
      <c r="B7" s="37" t="e">
        <f t="shared" ca="1" si="0"/>
        <v>#VALUE!</v>
      </c>
      <c r="C7" s="39">
        <f ca="1">IFERROR(__xludf.DUMMYFUNCTION("googlefinance(""nse:""&amp;A7,""changepct"")"),1.47)</f>
        <v>1.47</v>
      </c>
      <c r="D7" s="39">
        <f ca="1">IFERROR(__xludf.DUMMYFUNCTION("googlefinance(""nse:""&amp;A7,""change"")"),2.5)</f>
        <v>2.5</v>
      </c>
      <c r="E7" s="39" t="str">
        <f ca="1">IFERROR(__xludf.DUMMYFUNCTION("ArrayFormula( AVERAGE( QUERY( SORT(GOOGLEFINANCE(""NSE:""&amp;A7,""all"",workday.intl(TODAY(),-4),TODAY(),""daily""),2,0) , ""select Col6 "" ) ))"),"#N/A")</f>
        <v>#N/A</v>
      </c>
      <c r="F7" s="39">
        <f ca="1">IFERROR(__xludf.DUMMYFUNCTION("googlefinance(""nse:""&amp;A7,""volume"")"),4691798)</f>
        <v>4691798</v>
      </c>
      <c r="G7" s="42" t="e">
        <f t="shared" ca="1" si="1"/>
        <v>#VALUE!</v>
      </c>
      <c r="H7" s="43" t="e">
        <f t="shared" ca="1" si="2"/>
        <v>#VALUE!</v>
      </c>
      <c r="I7" s="43" t="e">
        <f t="shared" ca="1" si="3"/>
        <v>#VALUE!</v>
      </c>
      <c r="J7" s="43" t="e">
        <f t="shared" ca="1" si="4"/>
        <v>#VALUE!</v>
      </c>
      <c r="K7" s="44">
        <f t="shared" ca="1" si="5"/>
        <v>0</v>
      </c>
      <c r="L7" s="45">
        <f ca="1">IFERROR(__xludf.DUMMYFUNCTION("googlefinance(""nse:""&amp;A7,""PRICEOPEN"")"),171.2)</f>
        <v>171.2</v>
      </c>
      <c r="M7" s="45">
        <f ca="1">IFERROR(__xludf.DUMMYFUNCTION("googlefinance(""nse:""&amp;A7,""PRICE"")"),172)</f>
        <v>172</v>
      </c>
      <c r="N7" s="44">
        <f ca="1">IFERROR(__xludf.DUMMYFUNCTION("googlefinance(""nse:""&amp;A7,""HIGH"")"),174.85)</f>
        <v>174.85</v>
      </c>
      <c r="O7" s="48">
        <f ca="1">IFERROR(__xludf.DUMMYFUNCTION("googlefinance(""nse:""&amp;A7,""LOW"")"),170.55)</f>
        <v>170.55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35" t="s">
        <v>62</v>
      </c>
      <c r="B8" s="37" t="e">
        <f t="shared" ca="1" si="0"/>
        <v>#VALUE!</v>
      </c>
      <c r="C8" s="39">
        <f ca="1">IFERROR(__xludf.DUMMYFUNCTION("googlefinance(""nse:""&amp;A8,""changepct"")"),-1.56)</f>
        <v>-1.56</v>
      </c>
      <c r="D8" s="39">
        <f ca="1">IFERROR(__xludf.DUMMYFUNCTION("googlefinance(""nse:""&amp;A8,""change"")"),-22.05)</f>
        <v>-22.05</v>
      </c>
      <c r="E8" s="39" t="str">
        <f ca="1">IFERROR(__xludf.DUMMYFUNCTION("ArrayFormula( AVERAGE( QUERY( SORT(GOOGLEFINANCE(""NSE:""&amp;A8,""all"",workday.intl(TODAY(),-4),TODAY(),""daily""),2,0) , ""select Col6 "" ) ))"),"#N/A")</f>
        <v>#N/A</v>
      </c>
      <c r="F8" s="39">
        <f ca="1">IFERROR(__xludf.DUMMYFUNCTION("googlefinance(""nse:""&amp;A8,""volume"")"),731401)</f>
        <v>731401</v>
      </c>
      <c r="G8" s="42" t="e">
        <f t="shared" ca="1" si="1"/>
        <v>#VALUE!</v>
      </c>
      <c r="H8" s="43" t="e">
        <f t="shared" ca="1" si="2"/>
        <v>#VALUE!</v>
      </c>
      <c r="I8" s="43" t="e">
        <f t="shared" ca="1" si="3"/>
        <v>#VALUE!</v>
      </c>
      <c r="J8" s="43" t="e">
        <f t="shared" ca="1" si="4"/>
        <v>#VALUE!</v>
      </c>
      <c r="K8" s="44" t="str">
        <f t="shared" ca="1" si="5"/>
        <v>SELL</v>
      </c>
      <c r="L8" s="45">
        <f ca="1">IFERROR(__xludf.DUMMYFUNCTION("googlefinance(""nse:""&amp;A8,""PRICEOPEN"")"),1441.9)</f>
        <v>1441.9</v>
      </c>
      <c r="M8" s="45">
        <f ca="1">IFERROR(__xludf.DUMMYFUNCTION("googlefinance(""nse:""&amp;A8,""PRICE"")"),1395.9)</f>
        <v>1395.9</v>
      </c>
      <c r="N8" s="44">
        <f ca="1">IFERROR(__xludf.DUMMYFUNCTION("googlefinance(""nse:""&amp;A8,""HIGH"")"),1441.9)</f>
        <v>1441.9</v>
      </c>
      <c r="O8" s="48">
        <f ca="1">IFERROR(__xludf.DUMMYFUNCTION("googlefinance(""nse:""&amp;A8,""LOW"")"),1387.25)</f>
        <v>1387.25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35" t="s">
        <v>63</v>
      </c>
      <c r="B9" s="37" t="e">
        <f t="shared" ca="1" si="0"/>
        <v>#VALUE!</v>
      </c>
      <c r="C9" s="39">
        <f ca="1">IFERROR(__xludf.DUMMYFUNCTION("googlefinance(""nse:""&amp;A9,""changepct"")"),0.68)</f>
        <v>0.68</v>
      </c>
      <c r="D9" s="39">
        <f ca="1">IFERROR(__xludf.DUMMYFUNCTION("googlefinance(""nse:""&amp;A9,""change"")"),0.65)</f>
        <v>0.65</v>
      </c>
      <c r="E9" s="39" t="str">
        <f ca="1">IFERROR(__xludf.DUMMYFUNCTION("ArrayFormula( AVERAGE( QUERY( SORT(GOOGLEFINANCE(""NSE:""&amp;A9,""all"",workday.intl(TODAY(),-4),TODAY(),""daily""),2,0) , ""select Col6 "" ) ))"),"#N/A")</f>
        <v>#N/A</v>
      </c>
      <c r="F9" s="39">
        <f ca="1">IFERROR(__xludf.DUMMYFUNCTION("googlefinance(""nse:""&amp;A9,""volume"")"),17848226)</f>
        <v>17848226</v>
      </c>
      <c r="G9" s="42" t="e">
        <f t="shared" ca="1" si="1"/>
        <v>#VALUE!</v>
      </c>
      <c r="H9" s="43" t="e">
        <f t="shared" ca="1" si="2"/>
        <v>#VALUE!</v>
      </c>
      <c r="I9" s="43" t="e">
        <f t="shared" ca="1" si="3"/>
        <v>#VALUE!</v>
      </c>
      <c r="J9" s="43" t="e">
        <f t="shared" ca="1" si="4"/>
        <v>#VALUE!</v>
      </c>
      <c r="K9" s="44">
        <f t="shared" ca="1" si="5"/>
        <v>0</v>
      </c>
      <c r="L9" s="45">
        <f ca="1">IFERROR(__xludf.DUMMYFUNCTION("googlefinance(""nse:""&amp;A9,""PRICEOPEN"")"),97.5)</f>
        <v>97.5</v>
      </c>
      <c r="M9" s="45">
        <f ca="1">IFERROR(__xludf.DUMMYFUNCTION("googlefinance(""nse:""&amp;A9,""PRICE"")"),96.3)</f>
        <v>96.3</v>
      </c>
      <c r="N9" s="44">
        <f ca="1">IFERROR(__xludf.DUMMYFUNCTION("googlefinance(""nse:""&amp;A9,""HIGH"")"),103.3)</f>
        <v>103.3</v>
      </c>
      <c r="O9" s="48">
        <f ca="1">IFERROR(__xludf.DUMMYFUNCTION("googlefinance(""nse:""&amp;A9,""LOW"")"),95.75)</f>
        <v>95.75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35" t="s">
        <v>64</v>
      </c>
      <c r="B10" s="37" t="e">
        <f t="shared" ca="1" si="0"/>
        <v>#VALUE!</v>
      </c>
      <c r="C10" s="39">
        <f ca="1">IFERROR(__xludf.DUMMYFUNCTION("googlefinance(""nse:""&amp;A10,""changepct"")"),9.07)</f>
        <v>9.07</v>
      </c>
      <c r="D10" s="39">
        <f ca="1">IFERROR(__xludf.DUMMYFUNCTION("googlefinance(""nse:""&amp;A10,""change"")"),4.35)</f>
        <v>4.3499999999999996</v>
      </c>
      <c r="E10" s="39" t="str">
        <f ca="1">IFERROR(__xludf.DUMMYFUNCTION("ArrayFormula( AVERAGE( QUERY( SORT(GOOGLEFINANCE(""NSE:""&amp;A10,""all"",workday.intl(TODAY(),-4),TODAY(),""daily""),2,0) , ""select Col6 "" ) ))"),"#N/A")</f>
        <v>#N/A</v>
      </c>
      <c r="F10" s="39">
        <f ca="1">IFERROR(__xludf.DUMMYFUNCTION("googlefinance(""nse:""&amp;A10,""volume"")"),56360008)</f>
        <v>56360008</v>
      </c>
      <c r="G10" s="64" t="e">
        <f t="shared" ca="1" si="1"/>
        <v>#VALUE!</v>
      </c>
      <c r="H10" s="43" t="e">
        <f t="shared" ca="1" si="2"/>
        <v>#VALUE!</v>
      </c>
      <c r="I10" s="43" t="e">
        <f t="shared" ca="1" si="3"/>
        <v>#VALUE!</v>
      </c>
      <c r="J10" s="43" t="e">
        <f t="shared" ca="1" si="4"/>
        <v>#VALUE!</v>
      </c>
      <c r="K10" s="44" t="str">
        <f t="shared" ca="1" si="5"/>
        <v>BUY</v>
      </c>
      <c r="L10" s="45">
        <f ca="1">IFERROR(__xludf.DUMMYFUNCTION("googlefinance(""nse:""&amp;A10,""PRICEOPEN"")"),49.1)</f>
        <v>49.1</v>
      </c>
      <c r="M10" s="45">
        <f ca="1">IFERROR(__xludf.DUMMYFUNCTION("googlefinance(""nse:""&amp;A10,""PRICE"")"),52.3)</f>
        <v>52.3</v>
      </c>
      <c r="N10" s="44">
        <f ca="1">IFERROR(__xludf.DUMMYFUNCTION("googlefinance(""nse:""&amp;A10,""HIGH"")"),53.2)</f>
        <v>53.2</v>
      </c>
      <c r="O10" s="48">
        <f ca="1">IFERROR(__xludf.DUMMYFUNCTION("googlefinance(""nse:""&amp;A10,""LOW"")"),49.1)</f>
        <v>49.1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35" t="s">
        <v>65</v>
      </c>
      <c r="B11" s="37" t="e">
        <f t="shared" ca="1" si="0"/>
        <v>#VALUE!</v>
      </c>
      <c r="C11" s="39">
        <f ca="1">IFERROR(__xludf.DUMMYFUNCTION("googlefinance(""nse:""&amp;A11,""changepct"")"),-0.31)</f>
        <v>-0.31</v>
      </c>
      <c r="D11" s="39">
        <f ca="1">IFERROR(__xludf.DUMMYFUNCTION("googlefinance(""nse:""&amp;A11,""change"")"),-5.5)</f>
        <v>-5.5</v>
      </c>
      <c r="E11" s="39" t="str">
        <f ca="1">IFERROR(__xludf.DUMMYFUNCTION("ArrayFormula( AVERAGE( QUERY( SORT(GOOGLEFINANCE(""NSE:""&amp;A11,""all"",workday.intl(TODAY(),-4),TODAY(),""daily""),2,0) , ""select Col6 "" ) ))"),"#N/A")</f>
        <v>#N/A</v>
      </c>
      <c r="F11" s="39">
        <f ca="1">IFERROR(__xludf.DUMMYFUNCTION("googlefinance(""nse:""&amp;A11,""volume"")"),2926355)</f>
        <v>2926355</v>
      </c>
      <c r="G11" s="42" t="e">
        <f t="shared" ca="1" si="1"/>
        <v>#VALUE!</v>
      </c>
      <c r="H11" s="43" t="e">
        <f t="shared" ca="1" si="2"/>
        <v>#VALUE!</v>
      </c>
      <c r="I11" s="43" t="e">
        <f t="shared" ca="1" si="3"/>
        <v>#VALUE!</v>
      </c>
      <c r="J11" s="43" t="e">
        <f t="shared" ca="1" si="4"/>
        <v>#VALUE!</v>
      </c>
      <c r="K11" s="44">
        <f t="shared" ca="1" si="5"/>
        <v>0</v>
      </c>
      <c r="L11" s="45">
        <f ca="1">IFERROR(__xludf.DUMMYFUNCTION("googlefinance(""nse:""&amp;A11,""PRICEOPEN"")"),1795)</f>
        <v>1795</v>
      </c>
      <c r="M11" s="45">
        <f ca="1">IFERROR(__xludf.DUMMYFUNCTION("googlefinance(""nse:""&amp;A11,""PRICE"")"),1762)</f>
        <v>1762</v>
      </c>
      <c r="N11" s="44">
        <f ca="1">IFERROR(__xludf.DUMMYFUNCTION("googlefinance(""nse:""&amp;A11,""HIGH"")"),1797)</f>
        <v>1797</v>
      </c>
      <c r="O11" s="48">
        <f ca="1">IFERROR(__xludf.DUMMYFUNCTION("googlefinance(""nse:""&amp;A11,""LOW"")"),1741)</f>
        <v>1741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35" t="s">
        <v>66</v>
      </c>
      <c r="B12" s="37" t="e">
        <f t="shared" ca="1" si="0"/>
        <v>#VALUE!</v>
      </c>
      <c r="C12" s="39">
        <f ca="1">IFERROR(__xludf.DUMMYFUNCTION("googlefinance(""nse:""&amp;A12,""changepct"")"),0.07)</f>
        <v>7.0000000000000007E-2</v>
      </c>
      <c r="D12" s="39">
        <f ca="1">IFERROR(__xludf.DUMMYFUNCTION("googlefinance(""nse:""&amp;A12,""change"")"),0.45)</f>
        <v>0.45</v>
      </c>
      <c r="E12" s="39" t="str">
        <f ca="1">IFERROR(__xludf.DUMMYFUNCTION("ArrayFormula( AVERAGE( QUERY( SORT(GOOGLEFINANCE(""NSE:""&amp;A12,""all"",workday.intl(TODAY(),-4),TODAY(),""daily""),2,0) , ""select Col6 "" ) ))"),"#N/A")</f>
        <v>#N/A</v>
      </c>
      <c r="F12" s="39">
        <f ca="1">IFERROR(__xludf.DUMMYFUNCTION("googlefinance(""nse:""&amp;A12,""volume"")"),6391548)</f>
        <v>6391548</v>
      </c>
      <c r="G12" s="42" t="e">
        <f t="shared" ca="1" si="1"/>
        <v>#VALUE!</v>
      </c>
      <c r="H12" s="43" t="e">
        <f t="shared" ca="1" si="2"/>
        <v>#VALUE!</v>
      </c>
      <c r="I12" s="43" t="e">
        <f t="shared" ca="1" si="3"/>
        <v>#VALUE!</v>
      </c>
      <c r="J12" s="43" t="e">
        <f t="shared" ca="1" si="4"/>
        <v>#VALUE!</v>
      </c>
      <c r="K12" s="44">
        <f t="shared" ca="1" si="5"/>
        <v>0</v>
      </c>
      <c r="L12" s="45">
        <f ca="1">IFERROR(__xludf.DUMMYFUNCTION("googlefinance(""nse:""&amp;A12,""PRICEOPEN"")"),633.05)</f>
        <v>633.04999999999995</v>
      </c>
      <c r="M12" s="45">
        <f ca="1">IFERROR(__xludf.DUMMYFUNCTION("googlefinance(""nse:""&amp;A12,""PRICE"")"),625.8)</f>
        <v>625.79999999999995</v>
      </c>
      <c r="N12" s="44">
        <f ca="1">IFERROR(__xludf.DUMMYFUNCTION("googlefinance(""nse:""&amp;A12,""HIGH"")"),641)</f>
        <v>641</v>
      </c>
      <c r="O12" s="48">
        <f ca="1">IFERROR(__xludf.DUMMYFUNCTION("googlefinance(""nse:""&amp;A12,""LOW"")"),609.05)</f>
        <v>609.04999999999995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35" t="s">
        <v>67</v>
      </c>
      <c r="B13" s="37" t="e">
        <f t="shared" ca="1" si="0"/>
        <v>#VALUE!</v>
      </c>
      <c r="C13" s="39">
        <f ca="1">IFERROR(__xludf.DUMMYFUNCTION("googlefinance(""nse:""&amp;A13,""changepct"")"),1.13)</f>
        <v>1.1299999999999999</v>
      </c>
      <c r="D13" s="39">
        <f ca="1">IFERROR(__xludf.DUMMYFUNCTION("googlefinance(""nse:""&amp;A13,""change"")"),-7)</f>
        <v>-7</v>
      </c>
      <c r="E13" s="39" t="str">
        <f ca="1">IFERROR(__xludf.DUMMYFUNCTION("ArrayFormula( AVERAGE( QUERY( SORT(GOOGLEFINANCE(""NSE:""&amp;A13,""all"",workday.intl(TODAY(),-4),TODAY(),""daily""),2,0) , ""select Col6 "" ) ))"),"#N/A")</f>
        <v>#N/A</v>
      </c>
      <c r="F13" s="39">
        <f ca="1">IFERROR(__xludf.DUMMYFUNCTION("googlefinance(""nse:""&amp;A13,""volume"")"),40383418)</f>
        <v>40383418</v>
      </c>
      <c r="G13" s="42" t="e">
        <f t="shared" ca="1" si="1"/>
        <v>#VALUE!</v>
      </c>
      <c r="H13" s="43" t="e">
        <f t="shared" ca="1" si="2"/>
        <v>#VALUE!</v>
      </c>
      <c r="I13" s="43" t="e">
        <f t="shared" ca="1" si="3"/>
        <v>#VALUE!</v>
      </c>
      <c r="J13" s="43" t="e">
        <f t="shared" ca="1" si="4"/>
        <v>#VALUE!</v>
      </c>
      <c r="K13" s="44">
        <f t="shared" ca="1" si="5"/>
        <v>0</v>
      </c>
      <c r="L13" s="45">
        <f ca="1">IFERROR(__xludf.DUMMYFUNCTION("googlefinance(""nse:""&amp;A13,""PRICEOPEN"")"),451)</f>
        <v>451</v>
      </c>
      <c r="M13" s="45">
        <f ca="1">IFERROR(__xludf.DUMMYFUNCTION("googlefinance(""nse:""&amp;A13,""PRICE"")"),444.05)</f>
        <v>444.05</v>
      </c>
      <c r="N13" s="44">
        <f ca="1">IFERROR(__xludf.DUMMYFUNCTION("googlefinance(""nse:""&amp;A13,""HIGH"")"),461.9)</f>
        <v>461.9</v>
      </c>
      <c r="O13" s="48">
        <f ca="1">IFERROR(__xludf.DUMMYFUNCTION("googlefinance(""nse:""&amp;A13,""LOW"")"),440.4)</f>
        <v>440.4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>
      <c r="A14" s="35" t="s">
        <v>68</v>
      </c>
      <c r="B14" s="37" t="e">
        <f t="shared" ca="1" si="0"/>
        <v>#VALUE!</v>
      </c>
      <c r="C14" s="39">
        <f ca="1">IFERROR(__xludf.DUMMYFUNCTION("googlefinance(""nse:""&amp;A14,""changepct"")"),4.99)</f>
        <v>4.99</v>
      </c>
      <c r="D14" s="39">
        <f ca="1">IFERROR(__xludf.DUMMYFUNCTION("googlefinance(""nse:""&amp;A14,""change"")"),124.65)</f>
        <v>124.65</v>
      </c>
      <c r="E14" s="39" t="str">
        <f ca="1">IFERROR(__xludf.DUMMYFUNCTION("ArrayFormula( AVERAGE( QUERY( SORT(GOOGLEFINANCE(""NSE:""&amp;A14,""all"",workday.intl(TODAY(),-4),TODAY(),""daily""),2,0) , ""select Col6 "" ) ))"),"#N/A")</f>
        <v>#N/A</v>
      </c>
      <c r="F14" s="39">
        <f ca="1">IFERROR(__xludf.DUMMYFUNCTION("googlefinance(""nse:""&amp;A14,""volume"")"),1118713)</f>
        <v>1118713</v>
      </c>
      <c r="G14" s="42" t="e">
        <f t="shared" ca="1" si="1"/>
        <v>#VALUE!</v>
      </c>
      <c r="H14" s="43" t="e">
        <f t="shared" ca="1" si="2"/>
        <v>#VALUE!</v>
      </c>
      <c r="I14" s="43" t="e">
        <f t="shared" ca="1" si="3"/>
        <v>#VALUE!</v>
      </c>
      <c r="J14" s="43" t="e">
        <f t="shared" ca="1" si="4"/>
        <v>#VALUE!</v>
      </c>
      <c r="K14" s="44">
        <f t="shared" ca="1" si="5"/>
        <v>0</v>
      </c>
      <c r="L14" s="45">
        <f ca="1">IFERROR(__xludf.DUMMYFUNCTION("googlefinance(""nse:""&amp;A14,""PRICEOPEN"")"),2525.1)</f>
        <v>2525.1</v>
      </c>
      <c r="M14" s="45">
        <f ca="1">IFERROR(__xludf.DUMMYFUNCTION("googlefinance(""nse:""&amp;A14,""PRICE"")"),2623.8)</f>
        <v>2623.8</v>
      </c>
      <c r="N14" s="44">
        <f ca="1">IFERROR(__xludf.DUMMYFUNCTION("googlefinance(""nse:""&amp;A14,""HIGH"")"),2654)</f>
        <v>2654</v>
      </c>
      <c r="O14" s="48">
        <f ca="1">IFERROR(__xludf.DUMMYFUNCTION("googlefinance(""nse:""&amp;A14,""LOW"")"),2510.15)</f>
        <v>2510.15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35" t="s">
        <v>69</v>
      </c>
      <c r="B15" s="37" t="e">
        <f t="shared" ca="1" si="0"/>
        <v>#VALUE!</v>
      </c>
      <c r="C15" s="39">
        <f ca="1">IFERROR(__xludf.DUMMYFUNCTION("googlefinance(""nse:""&amp;A15,""changepct"")"),1.83)</f>
        <v>1.83</v>
      </c>
      <c r="D15" s="39">
        <f ca="1">IFERROR(__xludf.DUMMYFUNCTION("googlefinance(""nse:""&amp;A15,""change"")"),91.35)</f>
        <v>91.35</v>
      </c>
      <c r="E15" s="39" t="str">
        <f ca="1">IFERROR(__xludf.DUMMYFUNCTION("ArrayFormula( AVERAGE( QUERY( SORT(GOOGLEFINANCE(""NSE:""&amp;A15,""all"",workday.intl(TODAY(),-4),TODAY(),""daily""),2,0) , ""select Col6 "" ) ))"),"#N/A")</f>
        <v>#N/A</v>
      </c>
      <c r="F15" s="39">
        <f ca="1">IFERROR(__xludf.DUMMYFUNCTION("googlefinance(""nse:""&amp;A15,""volume"")"),1064409)</f>
        <v>1064409</v>
      </c>
      <c r="G15" s="42" t="e">
        <f t="shared" ca="1" si="1"/>
        <v>#VALUE!</v>
      </c>
      <c r="H15" s="43" t="e">
        <f t="shared" ca="1" si="2"/>
        <v>#VALUE!</v>
      </c>
      <c r="I15" s="43" t="e">
        <f t="shared" ca="1" si="3"/>
        <v>#VALUE!</v>
      </c>
      <c r="J15" s="43" t="e">
        <f t="shared" ca="1" si="4"/>
        <v>#VALUE!</v>
      </c>
      <c r="K15" s="44">
        <f t="shared" ca="1" si="5"/>
        <v>0</v>
      </c>
      <c r="L15" s="45">
        <f ca="1">IFERROR(__xludf.DUMMYFUNCTION("googlefinance(""nse:""&amp;A15,""PRICEOPEN"")"),5108)</f>
        <v>5108</v>
      </c>
      <c r="M15" s="45">
        <f ca="1">IFERROR(__xludf.DUMMYFUNCTION("googlefinance(""nse:""&amp;A15,""PRICE"")"),5090)</f>
        <v>5090</v>
      </c>
      <c r="N15" s="44">
        <f ca="1">IFERROR(__xludf.DUMMYFUNCTION("googlefinance(""nse:""&amp;A15,""HIGH"")"),5175)</f>
        <v>5175</v>
      </c>
      <c r="O15" s="48">
        <f ca="1">IFERROR(__xludf.DUMMYFUNCTION("googlefinance(""nse:""&amp;A15,""LOW"")"),5050.85)</f>
        <v>5050.8500000000004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35" t="s">
        <v>70</v>
      </c>
      <c r="B16" s="37" t="e">
        <f t="shared" ca="1" si="0"/>
        <v>#VALUE!</v>
      </c>
      <c r="C16" s="39">
        <f ca="1">IFERROR(__xludf.DUMMYFUNCTION("googlefinance(""nse:""&amp;A16,""changepct"")"),0.94)</f>
        <v>0.94</v>
      </c>
      <c r="D16" s="39">
        <f ca="1">IFERROR(__xludf.DUMMYFUNCTION("googlefinance(""nse:""&amp;A16,""change"")"),21.55)</f>
        <v>21.55</v>
      </c>
      <c r="E16" s="39" t="str">
        <f ca="1">IFERROR(__xludf.DUMMYFUNCTION("ArrayFormula( AVERAGE( QUERY( SORT(GOOGLEFINANCE(""NSE:""&amp;A16,""all"",workday.intl(TODAY(),-4),TODAY(),""daily""),2,0) , ""select Col6 "" ) ))"),"#N/A")</f>
        <v>#N/A</v>
      </c>
      <c r="F16" s="39">
        <f ca="1">IFERROR(__xludf.DUMMYFUNCTION("googlefinance(""nse:""&amp;A16,""volume"")"),8884225)</f>
        <v>8884225</v>
      </c>
      <c r="G16" s="42" t="e">
        <f t="shared" ca="1" si="1"/>
        <v>#VALUE!</v>
      </c>
      <c r="H16" s="43" t="e">
        <f t="shared" ca="1" si="2"/>
        <v>#VALUE!</v>
      </c>
      <c r="I16" s="43" t="e">
        <f t="shared" ca="1" si="3"/>
        <v>#VALUE!</v>
      </c>
      <c r="J16" s="43" t="e">
        <f t="shared" ca="1" si="4"/>
        <v>#VALUE!</v>
      </c>
      <c r="K16" s="44">
        <f t="shared" ca="1" si="5"/>
        <v>0</v>
      </c>
      <c r="L16" s="45">
        <f ca="1">IFERROR(__xludf.DUMMYFUNCTION("googlefinance(""nse:""&amp;A16,""PRICEOPEN"")"),2365.05)</f>
        <v>2365.0500000000002</v>
      </c>
      <c r="M16" s="45">
        <f ca="1">IFERROR(__xludf.DUMMYFUNCTION("googlefinance(""nse:""&amp;A16,""PRICE"")"),2318)</f>
        <v>2318</v>
      </c>
      <c r="N16" s="44">
        <f ca="1">IFERROR(__xludf.DUMMYFUNCTION("googlefinance(""nse:""&amp;A16,""HIGH"")"),2418.95)</f>
        <v>2418.9499999999998</v>
      </c>
      <c r="O16" s="48">
        <f ca="1">IFERROR(__xludf.DUMMYFUNCTION("googlefinance(""nse:""&amp;A16,""LOW"")"),2291.15)</f>
        <v>2291.15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35" t="s">
        <v>71</v>
      </c>
      <c r="B17" s="37" t="e">
        <f t="shared" ca="1" si="0"/>
        <v>#VALUE!</v>
      </c>
      <c r="C17" s="39">
        <f ca="1">IFERROR(__xludf.DUMMYFUNCTION("googlefinance(""nse:""&amp;A17,""changepct"")"),-3.16)</f>
        <v>-3.16</v>
      </c>
      <c r="D17" s="39">
        <f ca="1">IFERROR(__xludf.DUMMYFUNCTION("googlefinance(""nse:""&amp;A17,""change"")"),-30.3)</f>
        <v>-30.3</v>
      </c>
      <c r="E17" s="39" t="str">
        <f ca="1">IFERROR(__xludf.DUMMYFUNCTION("ArrayFormula( AVERAGE( QUERY( SORT(GOOGLEFINANCE(""NSE:""&amp;A17,""all"",workday.intl(TODAY(),-4),TODAY(),""daily""),2,0) , ""select Col6 "" ) ))"),"#N/A")</f>
        <v>#N/A</v>
      </c>
      <c r="F17" s="39">
        <f ca="1">IFERROR(__xludf.DUMMYFUNCTION("googlefinance(""nse:""&amp;A17,""volume"")"),1565953)</f>
        <v>1565953</v>
      </c>
      <c r="G17" s="42" t="e">
        <f t="shared" ca="1" si="1"/>
        <v>#VALUE!</v>
      </c>
      <c r="H17" s="43" t="e">
        <f t="shared" ca="1" si="2"/>
        <v>#VALUE!</v>
      </c>
      <c r="I17" s="43" t="e">
        <f t="shared" ca="1" si="3"/>
        <v>#VALUE!</v>
      </c>
      <c r="J17" s="43" t="e">
        <f t="shared" ca="1" si="4"/>
        <v>#VALUE!</v>
      </c>
      <c r="K17" s="44">
        <f t="shared" ca="1" si="5"/>
        <v>0</v>
      </c>
      <c r="L17" s="45">
        <f ca="1">IFERROR(__xludf.DUMMYFUNCTION("googlefinance(""nse:""&amp;A17,""PRICEOPEN"")"),990)</f>
        <v>990</v>
      </c>
      <c r="M17" s="45">
        <f ca="1">IFERROR(__xludf.DUMMYFUNCTION("googlefinance(""nse:""&amp;A17,""PRICE"")"),930)</f>
        <v>930</v>
      </c>
      <c r="N17" s="44">
        <f ca="1">IFERROR(__xludf.DUMMYFUNCTION("googlefinance(""nse:""&amp;A17,""HIGH"")"),1006.9)</f>
        <v>1006.9</v>
      </c>
      <c r="O17" s="48">
        <f ca="1">IFERROR(__xludf.DUMMYFUNCTION("googlefinance(""nse:""&amp;A17,""LOW"")"),926)</f>
        <v>926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35" t="s">
        <v>72</v>
      </c>
      <c r="B18" s="37" t="e">
        <f t="shared" ca="1" si="0"/>
        <v>#VALUE!</v>
      </c>
      <c r="C18" s="39">
        <f ca="1">IFERROR(__xludf.DUMMYFUNCTION("googlefinance(""nse:""&amp;A18,""changepct"")"),12.48)</f>
        <v>12.48</v>
      </c>
      <c r="D18" s="39">
        <f ca="1">IFERROR(__xludf.DUMMYFUNCTION("googlefinance(""nse:""&amp;A18,""change"")"),29.25)</f>
        <v>29.25</v>
      </c>
      <c r="E18" s="39" t="str">
        <f ca="1">IFERROR(__xludf.DUMMYFUNCTION("ArrayFormula( AVERAGE( QUERY( SORT(GOOGLEFINANCE(""NSE:""&amp;A18,""all"",workday.intl(TODAY(),-4),TODAY(),""daily""),2,0) , ""select Col6 "" ) ))"),"#N/A")</f>
        <v>#N/A</v>
      </c>
      <c r="F18" s="39">
        <f ca="1">IFERROR(__xludf.DUMMYFUNCTION("googlefinance(""nse:""&amp;A18,""volume"")"),28033566)</f>
        <v>28033566</v>
      </c>
      <c r="G18" s="42" t="e">
        <f t="shared" ca="1" si="1"/>
        <v>#VALUE!</v>
      </c>
      <c r="H18" s="43" t="e">
        <f t="shared" ca="1" si="2"/>
        <v>#VALUE!</v>
      </c>
      <c r="I18" s="43" t="e">
        <f t="shared" ca="1" si="3"/>
        <v>#VALUE!</v>
      </c>
      <c r="J18" s="43" t="e">
        <f t="shared" ca="1" si="4"/>
        <v>#VALUE!</v>
      </c>
      <c r="K18" s="44" t="str">
        <f t="shared" ca="1" si="5"/>
        <v>BUY</v>
      </c>
      <c r="L18" s="45">
        <f ca="1">IFERROR(__xludf.DUMMYFUNCTION("googlefinance(""nse:""&amp;A18,""PRICEOPEN"")"),245.05)</f>
        <v>245.05</v>
      </c>
      <c r="M18" s="45">
        <f ca="1">IFERROR(__xludf.DUMMYFUNCTION("googlefinance(""nse:""&amp;A18,""PRICE"")"),263.7)</f>
        <v>263.7</v>
      </c>
      <c r="N18" s="44">
        <f ca="1">IFERROR(__xludf.DUMMYFUNCTION("googlefinance(""nse:""&amp;A18,""HIGH"")"),266.45)</f>
        <v>266.45</v>
      </c>
      <c r="O18" s="48">
        <f ca="1">IFERROR(__xludf.DUMMYFUNCTION("googlefinance(""nse:""&amp;A18,""LOW"")"),245.05)</f>
        <v>245.05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35" t="s">
        <v>73</v>
      </c>
      <c r="B19" s="37" t="e">
        <f t="shared" ca="1" si="0"/>
        <v>#VALUE!</v>
      </c>
      <c r="C19" s="39">
        <f ca="1">IFERROR(__xludf.DUMMYFUNCTION("googlefinance(""nse:""&amp;A19,""changepct"")"),2.39)</f>
        <v>2.39</v>
      </c>
      <c r="D19" s="39">
        <f ca="1">IFERROR(__xludf.DUMMYFUNCTION("googlefinance(""nse:""&amp;A19,""change"")"),1.15)</f>
        <v>1.1499999999999999</v>
      </c>
      <c r="E19" s="39" t="str">
        <f ca="1">IFERROR(__xludf.DUMMYFUNCTION("ArrayFormula( AVERAGE( QUERY( SORT(GOOGLEFINANCE(""NSE:""&amp;A19,""all"",workday.intl(TODAY(),-4),TODAY(),""daily""),2,0) , ""select Col6 "" ) ))"),"#N/A")</f>
        <v>#N/A</v>
      </c>
      <c r="F19" s="39">
        <f ca="1">IFERROR(__xludf.DUMMYFUNCTION("googlefinance(""nse:""&amp;A19,""volume"")"),41912287)</f>
        <v>41912287</v>
      </c>
      <c r="G19" s="42" t="e">
        <f t="shared" ca="1" si="1"/>
        <v>#VALUE!</v>
      </c>
      <c r="H19" s="43" t="e">
        <f t="shared" ca="1" si="2"/>
        <v>#VALUE!</v>
      </c>
      <c r="I19" s="43" t="e">
        <f t="shared" ca="1" si="3"/>
        <v>#VALUE!</v>
      </c>
      <c r="J19" s="43" t="e">
        <f t="shared" ca="1" si="4"/>
        <v>#VALUE!</v>
      </c>
      <c r="K19" s="44">
        <f t="shared" ca="1" si="5"/>
        <v>0</v>
      </c>
      <c r="L19" s="45">
        <f ca="1">IFERROR(__xludf.DUMMYFUNCTION("googlefinance(""nse:""&amp;A19,""PRICEOPEN"")"),49)</f>
        <v>49</v>
      </c>
      <c r="M19" s="45">
        <f ca="1">IFERROR(__xludf.DUMMYFUNCTION("googlefinance(""nse:""&amp;A19,""PRICE"")"),49.25)</f>
        <v>49.25</v>
      </c>
      <c r="N19" s="44">
        <f ca="1">IFERROR(__xludf.DUMMYFUNCTION("googlefinance(""nse:""&amp;A19,""HIGH"")"),51.25)</f>
        <v>51.25</v>
      </c>
      <c r="O19" s="48">
        <f ca="1">IFERROR(__xludf.DUMMYFUNCTION("googlefinance(""nse:""&amp;A19,""LOW"")"),48.4)</f>
        <v>48.4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35" t="s">
        <v>74</v>
      </c>
      <c r="B20" s="37" t="e">
        <f t="shared" ca="1" si="0"/>
        <v>#VALUE!</v>
      </c>
      <c r="C20" s="39">
        <f ca="1">IFERROR(__xludf.DUMMYFUNCTION("googlefinance(""nse:""&amp;A20,""changepct"")"),3.28)</f>
        <v>3.28</v>
      </c>
      <c r="D20" s="39">
        <f ca="1">IFERROR(__xludf.DUMMYFUNCTION("googlefinance(""nse:""&amp;A20,""change"")"),43.85)</f>
        <v>43.85</v>
      </c>
      <c r="E20" s="39" t="str">
        <f ca="1">IFERROR(__xludf.DUMMYFUNCTION("ArrayFormula( AVERAGE( QUERY( SORT(GOOGLEFINANCE(""NSE:""&amp;A20,""all"",workday.intl(TODAY(),-4),TODAY(),""daily""),2,0) , ""select Col6 "" ) ))"),"#N/A")</f>
        <v>#N/A</v>
      </c>
      <c r="F20" s="39">
        <f ca="1">IFERROR(__xludf.DUMMYFUNCTION("googlefinance(""nse:""&amp;A20,""volume"")"),1561853)</f>
        <v>1561853</v>
      </c>
      <c r="G20" s="42" t="e">
        <f t="shared" ca="1" si="1"/>
        <v>#VALUE!</v>
      </c>
      <c r="H20" s="43" t="e">
        <f t="shared" ca="1" si="2"/>
        <v>#VALUE!</v>
      </c>
      <c r="I20" s="43" t="e">
        <f t="shared" ca="1" si="3"/>
        <v>#VALUE!</v>
      </c>
      <c r="J20" s="43" t="e">
        <f t="shared" ca="1" si="4"/>
        <v>#VALUE!</v>
      </c>
      <c r="K20" s="44">
        <f t="shared" ca="1" si="5"/>
        <v>0</v>
      </c>
      <c r="L20" s="45">
        <f ca="1">IFERROR(__xludf.DUMMYFUNCTION("googlefinance(""nse:""&amp;A20,""PRICEOPEN"")"),1355)</f>
        <v>1355</v>
      </c>
      <c r="M20" s="45">
        <f ca="1">IFERROR(__xludf.DUMMYFUNCTION("googlefinance(""nse:""&amp;A20,""PRICE"")"),1382)</f>
        <v>1382</v>
      </c>
      <c r="N20" s="44">
        <f ca="1">IFERROR(__xludf.DUMMYFUNCTION("googlefinance(""nse:""&amp;A20,""HIGH"")"),1382)</f>
        <v>1382</v>
      </c>
      <c r="O20" s="48">
        <f ca="1">IFERROR(__xludf.DUMMYFUNCTION("googlefinance(""nse:""&amp;A20,""LOW"")"),1320)</f>
        <v>1320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35" t="s">
        <v>75</v>
      </c>
      <c r="B21" s="37" t="e">
        <f t="shared" ca="1" si="0"/>
        <v>#VALUE!</v>
      </c>
      <c r="C21" s="39">
        <f ca="1">IFERROR(__xludf.DUMMYFUNCTION("googlefinance(""nse:""&amp;A21,""changepct"")"),-1.5)</f>
        <v>-1.5</v>
      </c>
      <c r="D21" s="39">
        <f ca="1">IFERROR(__xludf.DUMMYFUNCTION("googlefinance(""nse:""&amp;A21,""change"")"),-1.1)</f>
        <v>-1.1000000000000001</v>
      </c>
      <c r="E21" s="39" t="str">
        <f ca="1">IFERROR(__xludf.DUMMYFUNCTION("ArrayFormula( AVERAGE( QUERY( SORT(GOOGLEFINANCE(""NSE:""&amp;A21,""all"",workday.intl(TODAY(),-4),TODAY(),""daily""),2,0) , ""select Col6 "" ) ))"),"#N/A")</f>
        <v>#N/A</v>
      </c>
      <c r="F21" s="39">
        <f ca="1">IFERROR(__xludf.DUMMYFUNCTION("googlefinance(""nse:""&amp;A21,""volume"")"),17110089)</f>
        <v>17110089</v>
      </c>
      <c r="G21" s="42" t="e">
        <f t="shared" ca="1" si="1"/>
        <v>#VALUE!</v>
      </c>
      <c r="H21" s="43" t="e">
        <f t="shared" ca="1" si="2"/>
        <v>#VALUE!</v>
      </c>
      <c r="I21" s="43" t="e">
        <f t="shared" ca="1" si="3"/>
        <v>#VALUE!</v>
      </c>
      <c r="J21" s="43" t="e">
        <f t="shared" ca="1" si="4"/>
        <v>#VALUE!</v>
      </c>
      <c r="K21" s="44">
        <f t="shared" ca="1" si="5"/>
        <v>0</v>
      </c>
      <c r="L21" s="45">
        <f ca="1">IFERROR(__xludf.DUMMYFUNCTION("googlefinance(""nse:""&amp;A21,""PRICEOPEN"")"),74.1)</f>
        <v>74.099999999999994</v>
      </c>
      <c r="M21" s="45">
        <f ca="1">IFERROR(__xludf.DUMMYFUNCTION("googlefinance(""nse:""&amp;A21,""PRICE"")"),72.05)</f>
        <v>72.05</v>
      </c>
      <c r="N21" s="44">
        <f ca="1">IFERROR(__xludf.DUMMYFUNCTION("googlefinance(""nse:""&amp;A21,""HIGH"")"),74.45)</f>
        <v>74.45</v>
      </c>
      <c r="O21" s="48">
        <f ca="1">IFERROR(__xludf.DUMMYFUNCTION("googlefinance(""nse:""&amp;A21,""LOW"")"),71.35)</f>
        <v>71.349999999999994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35" t="s">
        <v>76</v>
      </c>
      <c r="B22" s="37" t="e">
        <f t="shared" ca="1" si="0"/>
        <v>#VALUE!</v>
      </c>
      <c r="C22" s="39">
        <f ca="1">IFERROR(__xludf.DUMMYFUNCTION("googlefinance(""nse:""&amp;A22,""changepct"")"),-1.98)</f>
        <v>-1.98</v>
      </c>
      <c r="D22" s="39">
        <f ca="1">IFERROR(__xludf.DUMMYFUNCTION("googlefinance(""nse:""&amp;A22,""change"")"),-10.25)</f>
        <v>-10.25</v>
      </c>
      <c r="E22" s="39" t="str">
        <f ca="1">IFERROR(__xludf.DUMMYFUNCTION("ArrayFormula( AVERAGE( QUERY( SORT(GOOGLEFINANCE(""NSE:""&amp;A22,""all"",workday.intl(TODAY(),-4),TODAY(),""daily""),2,0) , ""select Col6 "" ) ))"),"#N/A")</f>
        <v>#N/A</v>
      </c>
      <c r="F22" s="39">
        <f ca="1">IFERROR(__xludf.DUMMYFUNCTION("googlefinance(""nse:""&amp;A22,""volume"")"),2294731)</f>
        <v>2294731</v>
      </c>
      <c r="G22" s="42" t="e">
        <f t="shared" ca="1" si="1"/>
        <v>#VALUE!</v>
      </c>
      <c r="H22" s="43" t="e">
        <f t="shared" ca="1" si="2"/>
        <v>#VALUE!</v>
      </c>
      <c r="I22" s="43" t="e">
        <f t="shared" ca="1" si="3"/>
        <v>#VALUE!</v>
      </c>
      <c r="J22" s="43" t="e">
        <f t="shared" ca="1" si="4"/>
        <v>#VALUE!</v>
      </c>
      <c r="K22" s="44">
        <f t="shared" ca="1" si="5"/>
        <v>0</v>
      </c>
      <c r="L22" s="45">
        <f ca="1">IFERROR(__xludf.DUMMYFUNCTION("googlefinance(""nse:""&amp;A22,""PRICEOPEN"")"),515)</f>
        <v>515</v>
      </c>
      <c r="M22" s="45">
        <f ca="1">IFERROR(__xludf.DUMMYFUNCTION("googlefinance(""nse:""&amp;A22,""PRICE"")"),507)</f>
        <v>507</v>
      </c>
      <c r="N22" s="44">
        <f ca="1">IFERROR(__xludf.DUMMYFUNCTION("googlefinance(""nse:""&amp;A22,""HIGH"")"),517.25)</f>
        <v>517.25</v>
      </c>
      <c r="O22" s="48">
        <f ca="1">IFERROR(__xludf.DUMMYFUNCTION("googlefinance(""nse:""&amp;A22,""LOW"")"),502.55)</f>
        <v>502.55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35" t="s">
        <v>77</v>
      </c>
      <c r="B23" s="37" t="e">
        <f t="shared" ca="1" si="0"/>
        <v>#VALUE!</v>
      </c>
      <c r="C23" s="39">
        <f ca="1">IFERROR(__xludf.DUMMYFUNCTION("googlefinance(""nse:""&amp;A23,""changepct"")"),9.24)</f>
        <v>9.24</v>
      </c>
      <c r="D23" s="39">
        <f ca="1">IFERROR(__xludf.DUMMYFUNCTION("googlefinance(""nse:""&amp;A23,""change"")"),26.05)</f>
        <v>26.05</v>
      </c>
      <c r="E23" s="39" t="str">
        <f ca="1">IFERROR(__xludf.DUMMYFUNCTION("ArrayFormula( AVERAGE( QUERY( SORT(GOOGLEFINANCE(""NSE:""&amp;A23,""all"",workday.intl(TODAY(),-4),TODAY(),""daily""),2,0) , ""select Col6 "" ) ))"),"#N/A")</f>
        <v>#N/A</v>
      </c>
      <c r="F23" s="39">
        <f ca="1">IFERROR(__xludf.DUMMYFUNCTION("googlefinance(""nse:""&amp;A23,""volume"")"),8508750)</f>
        <v>8508750</v>
      </c>
      <c r="G23" s="42" t="e">
        <f t="shared" ca="1" si="1"/>
        <v>#VALUE!</v>
      </c>
      <c r="H23" s="43" t="e">
        <f t="shared" ca="1" si="2"/>
        <v>#VALUE!</v>
      </c>
      <c r="I23" s="43" t="e">
        <f t="shared" ca="1" si="3"/>
        <v>#VALUE!</v>
      </c>
      <c r="J23" s="43" t="e">
        <f t="shared" ca="1" si="4"/>
        <v>#VALUE!</v>
      </c>
      <c r="K23" s="44">
        <f t="shared" ca="1" si="5"/>
        <v>0</v>
      </c>
      <c r="L23" s="45">
        <f ca="1">IFERROR(__xludf.DUMMYFUNCTION("googlefinance(""nse:""&amp;A23,""PRICEOPEN"")"),290)</f>
        <v>290</v>
      </c>
      <c r="M23" s="45">
        <f ca="1">IFERROR(__xludf.DUMMYFUNCTION("googlefinance(""nse:""&amp;A23,""PRICE"")"),308.1)</f>
        <v>308.10000000000002</v>
      </c>
      <c r="N23" s="44">
        <f ca="1">IFERROR(__xludf.DUMMYFUNCTION("googlefinance(""nse:""&amp;A23,""HIGH"")"),324.35)</f>
        <v>324.35000000000002</v>
      </c>
      <c r="O23" s="48">
        <f ca="1">IFERROR(__xludf.DUMMYFUNCTION("googlefinance(""nse:""&amp;A23,""LOW"")"),287)</f>
        <v>287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35" t="s">
        <v>78</v>
      </c>
      <c r="B24" s="37" t="e">
        <f t="shared" ca="1" si="0"/>
        <v>#VALUE!</v>
      </c>
      <c r="C24" s="39">
        <f ca="1">IFERROR(__xludf.DUMMYFUNCTION("googlefinance(""nse:""&amp;A24,""changepct"")"),3.74)</f>
        <v>3.74</v>
      </c>
      <c r="D24" s="39">
        <f ca="1">IFERROR(__xludf.DUMMYFUNCTION("googlefinance(""nse:""&amp;A24,""change"")"),18.55)</f>
        <v>18.55</v>
      </c>
      <c r="E24" s="39" t="str">
        <f ca="1">IFERROR(__xludf.DUMMYFUNCTION("ArrayFormula( AVERAGE( QUERY( SORT(GOOGLEFINANCE(""NSE:""&amp;A24,""all"",workday.intl(TODAY(),-4),TODAY(),""daily""),2,0) , ""select Col6 "" ) ))"),"#N/A")</f>
        <v>#N/A</v>
      </c>
      <c r="F24" s="39">
        <f ca="1">IFERROR(__xludf.DUMMYFUNCTION("googlefinance(""nse:""&amp;A24,""volume"")"),19799179)</f>
        <v>19799179</v>
      </c>
      <c r="G24" s="42" t="e">
        <f t="shared" ca="1" si="1"/>
        <v>#VALUE!</v>
      </c>
      <c r="H24" s="43" t="e">
        <f t="shared" ca="1" si="2"/>
        <v>#VALUE!</v>
      </c>
      <c r="I24" s="43" t="e">
        <f t="shared" ca="1" si="3"/>
        <v>#VALUE!</v>
      </c>
      <c r="J24" s="43" t="e">
        <f t="shared" ca="1" si="4"/>
        <v>#VALUE!</v>
      </c>
      <c r="K24" s="44">
        <f t="shared" ca="1" si="5"/>
        <v>0</v>
      </c>
      <c r="L24" s="45">
        <f ca="1">IFERROR(__xludf.DUMMYFUNCTION("googlefinance(""nse:""&amp;A24,""PRICEOPEN"")"),503.1)</f>
        <v>503.1</v>
      </c>
      <c r="M24" s="45">
        <f ca="1">IFERROR(__xludf.DUMMYFUNCTION("googlefinance(""nse:""&amp;A24,""PRICE"")"),514.55)</f>
        <v>514.54999999999995</v>
      </c>
      <c r="N24" s="44">
        <f ca="1">IFERROR(__xludf.DUMMYFUNCTION("googlefinance(""nse:""&amp;A24,""HIGH"")"),515.95)</f>
        <v>515.95000000000005</v>
      </c>
      <c r="O24" s="48">
        <f ca="1">IFERROR(__xludf.DUMMYFUNCTION("googlefinance(""nse:""&amp;A24,""LOW"")"),495.2)</f>
        <v>495.2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35" t="s">
        <v>79</v>
      </c>
      <c r="B25" s="37" t="e">
        <f t="shared" ca="1" si="0"/>
        <v>#VALUE!</v>
      </c>
      <c r="C25" s="39">
        <f ca="1">IFERROR(__xludf.DUMMYFUNCTION("googlefinance(""nse:""&amp;A25,""changepct"")"),7.88)</f>
        <v>7.88</v>
      </c>
      <c r="D25" s="39">
        <f ca="1">IFERROR(__xludf.DUMMYFUNCTION("googlefinance(""nse:""&amp;A25,""change"")"),1.65)</f>
        <v>1.65</v>
      </c>
      <c r="E25" s="39" t="str">
        <f ca="1">IFERROR(__xludf.DUMMYFUNCTION("ArrayFormula( AVERAGE( QUERY( SORT(GOOGLEFINANCE(""NSE:""&amp;A25,""all"",workday.intl(TODAY(),-4),TODAY(),""daily""),2,0) , ""select Col6 "" ) ))"),"#N/A")</f>
        <v>#N/A</v>
      </c>
      <c r="F25" s="39">
        <f ca="1">IFERROR(__xludf.DUMMYFUNCTION("googlefinance(""nse:""&amp;A25,""volume"")"),56261295)</f>
        <v>56261295</v>
      </c>
      <c r="G25" s="42" t="e">
        <f t="shared" ca="1" si="1"/>
        <v>#VALUE!</v>
      </c>
      <c r="H25" s="43" t="e">
        <f t="shared" ca="1" si="2"/>
        <v>#VALUE!</v>
      </c>
      <c r="I25" s="43" t="e">
        <f t="shared" ca="1" si="3"/>
        <v>#VALUE!</v>
      </c>
      <c r="J25" s="43" t="e">
        <f t="shared" ca="1" si="4"/>
        <v>#VALUE!</v>
      </c>
      <c r="K25" s="44">
        <f t="shared" ca="1" si="5"/>
        <v>0</v>
      </c>
      <c r="L25" s="45">
        <f ca="1">IFERROR(__xludf.DUMMYFUNCTION("googlefinance(""nse:""&amp;A25,""PRICEOPEN"")"),21.3)</f>
        <v>21.3</v>
      </c>
      <c r="M25" s="45">
        <f ca="1">IFERROR(__xludf.DUMMYFUNCTION("googlefinance(""nse:""&amp;A25,""PRICE"")"),22.6)</f>
        <v>22.6</v>
      </c>
      <c r="N25" s="44">
        <f ca="1">IFERROR(__xludf.DUMMYFUNCTION("googlefinance(""nse:""&amp;A25,""HIGH"")"),22.9)</f>
        <v>22.9</v>
      </c>
      <c r="O25" s="48">
        <f ca="1">IFERROR(__xludf.DUMMYFUNCTION("googlefinance(""nse:""&amp;A25,""LOW"")"),21.15)</f>
        <v>21.15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35" t="s">
        <v>80</v>
      </c>
      <c r="B26" s="37" t="e">
        <f t="shared" ca="1" si="0"/>
        <v>#VALUE!</v>
      </c>
      <c r="C26" s="39">
        <f ca="1">IFERROR(__xludf.DUMMYFUNCTION("googlefinance(""nse:""&amp;A26,""changepct"")"),0.55)</f>
        <v>0.55000000000000004</v>
      </c>
      <c r="D26" s="39">
        <f ca="1">IFERROR(__xludf.DUMMYFUNCTION("googlefinance(""nse:""&amp;A26,""change"")"),1.95)</f>
        <v>1.95</v>
      </c>
      <c r="E26" s="39" t="str">
        <f ca="1">IFERROR(__xludf.DUMMYFUNCTION("ArrayFormula( AVERAGE( QUERY( SORT(GOOGLEFINANCE(""NSE:""&amp;A26,""all"",workday.intl(TODAY(),-4),TODAY(),""daily""),2,0) , ""select Col6 "" ) ))"),"#N/A")</f>
        <v>#N/A</v>
      </c>
      <c r="F26" s="39">
        <f ca="1">IFERROR(__xludf.DUMMYFUNCTION("googlefinance(""nse:""&amp;A26,""volume"")"),5869794)</f>
        <v>5869794</v>
      </c>
      <c r="G26" s="42" t="e">
        <f t="shared" ca="1" si="1"/>
        <v>#VALUE!</v>
      </c>
      <c r="H26" s="43" t="e">
        <f t="shared" ca="1" si="2"/>
        <v>#VALUE!</v>
      </c>
      <c r="I26" s="43" t="e">
        <f t="shared" ca="1" si="3"/>
        <v>#VALUE!</v>
      </c>
      <c r="J26" s="43" t="e">
        <f t="shared" ca="1" si="4"/>
        <v>#VALUE!</v>
      </c>
      <c r="K26" s="44" t="str">
        <f t="shared" ca="1" si="5"/>
        <v>SELL</v>
      </c>
      <c r="L26" s="45">
        <f ca="1">IFERROR(__xludf.DUMMYFUNCTION("googlefinance(""nse:""&amp;A26,""PRICEOPEN"")"),360)</f>
        <v>360</v>
      </c>
      <c r="M26" s="45">
        <f ca="1">IFERROR(__xludf.DUMMYFUNCTION("googlefinance(""nse:""&amp;A26,""PRICE"")"),354.1)</f>
        <v>354.1</v>
      </c>
      <c r="N26" s="44">
        <f ca="1">IFERROR(__xludf.DUMMYFUNCTION("googlefinance(""nse:""&amp;A26,""HIGH"")"),360)</f>
        <v>360</v>
      </c>
      <c r="O26" s="48">
        <f ca="1">IFERROR(__xludf.DUMMYFUNCTION("googlefinance(""nse:""&amp;A26,""LOW"")"),347.25)</f>
        <v>347.25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35" t="s">
        <v>81</v>
      </c>
      <c r="B27" s="37" t="e">
        <f t="shared" ca="1" si="0"/>
        <v>#VALUE!</v>
      </c>
      <c r="C27" s="39">
        <f ca="1">IFERROR(__xludf.DUMMYFUNCTION("googlefinance(""nse:""&amp;A27,""changepct"")"),5.85)</f>
        <v>5.85</v>
      </c>
      <c r="D27" s="39">
        <f ca="1">IFERROR(__xludf.DUMMYFUNCTION("googlefinance(""nse:""&amp;A27,""change"")"),586.05)</f>
        <v>586.04999999999995</v>
      </c>
      <c r="E27" s="39" t="str">
        <f ca="1">IFERROR(__xludf.DUMMYFUNCTION("ArrayFormula( AVERAGE( QUERY( SORT(GOOGLEFINANCE(""NSE:""&amp;A27,""all"",workday.intl(TODAY(),-4),TODAY(),""daily""),2,0) , ""select Col6 "" ) ))"),"#N/A")</f>
        <v>#N/A</v>
      </c>
      <c r="F27" s="39">
        <f ca="1">IFERROR(__xludf.DUMMYFUNCTION("googlefinance(""nse:""&amp;A27,""volume"")"),71220)</f>
        <v>71220</v>
      </c>
      <c r="G27" s="42" t="e">
        <f t="shared" ca="1" si="1"/>
        <v>#VALUE!</v>
      </c>
      <c r="H27" s="43" t="e">
        <f t="shared" ca="1" si="2"/>
        <v>#VALUE!</v>
      </c>
      <c r="I27" s="43" t="e">
        <f t="shared" ca="1" si="3"/>
        <v>#VALUE!</v>
      </c>
      <c r="J27" s="43" t="e">
        <f t="shared" ca="1" si="4"/>
        <v>#VALUE!</v>
      </c>
      <c r="K27" s="44">
        <f t="shared" ca="1" si="5"/>
        <v>0</v>
      </c>
      <c r="L27" s="45">
        <f ca="1">IFERROR(__xludf.DUMMYFUNCTION("googlefinance(""nse:""&amp;A27,""PRICEOPEN"")"),10199)</f>
        <v>10199</v>
      </c>
      <c r="M27" s="45">
        <f ca="1">IFERROR(__xludf.DUMMYFUNCTION("googlefinance(""nse:""&amp;A27,""PRICE"")"),10610.05)</f>
        <v>10610.05</v>
      </c>
      <c r="N27" s="44">
        <f ca="1">IFERROR(__xludf.DUMMYFUNCTION("googlefinance(""nse:""&amp;A27,""HIGH"")"),10760.1)</f>
        <v>10760.1</v>
      </c>
      <c r="O27" s="48">
        <f ca="1">IFERROR(__xludf.DUMMYFUNCTION("googlefinance(""nse:""&amp;A27,""LOW"")"),10113.55)</f>
        <v>10113.549999999999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35" t="s">
        <v>82</v>
      </c>
      <c r="B28" s="37" t="e">
        <f t="shared" ca="1" si="0"/>
        <v>#VALUE!</v>
      </c>
      <c r="C28" s="39">
        <f ca="1">IFERROR(__xludf.DUMMYFUNCTION("googlefinance(""nse:""&amp;A28,""changepct"")"),3.08)</f>
        <v>3.08</v>
      </c>
      <c r="D28" s="39">
        <f ca="1">IFERROR(__xludf.DUMMYFUNCTION("googlefinance(""nse:""&amp;A28,""change"")"),11.1)</f>
        <v>11.1</v>
      </c>
      <c r="E28" s="39" t="str">
        <f ca="1">IFERROR(__xludf.DUMMYFUNCTION("ArrayFormula( AVERAGE( QUERY( SORT(GOOGLEFINANCE(""NSE:""&amp;A28,""all"",workday.intl(TODAY(),-4),TODAY(),""daily""),2,0) , ""select Col6 "" ) ))"),"#N/A")</f>
        <v>#N/A</v>
      </c>
      <c r="F28" s="39">
        <f ca="1">IFERROR(__xludf.DUMMYFUNCTION("googlefinance(""nse:""&amp;A28,""volume"")"),8008429)</f>
        <v>8008429</v>
      </c>
      <c r="G28" s="42" t="e">
        <f t="shared" ca="1" si="1"/>
        <v>#VALUE!</v>
      </c>
      <c r="H28" s="43" t="e">
        <f t="shared" ca="1" si="2"/>
        <v>#VALUE!</v>
      </c>
      <c r="I28" s="43" t="e">
        <f t="shared" ca="1" si="3"/>
        <v>#VALUE!</v>
      </c>
      <c r="J28" s="43" t="e">
        <f t="shared" ca="1" si="4"/>
        <v>#VALUE!</v>
      </c>
      <c r="K28" s="44">
        <f t="shared" ca="1" si="5"/>
        <v>0</v>
      </c>
      <c r="L28" s="45">
        <f ca="1">IFERROR(__xludf.DUMMYFUNCTION("googlefinance(""nse:""&amp;A28,""PRICEOPEN"")"),364.25)</f>
        <v>364.25</v>
      </c>
      <c r="M28" s="45">
        <f ca="1">IFERROR(__xludf.DUMMYFUNCTION("googlefinance(""nse:""&amp;A28,""PRICE"")"),371.85)</f>
        <v>371.85</v>
      </c>
      <c r="N28" s="44">
        <f ca="1">IFERROR(__xludf.DUMMYFUNCTION("googlefinance(""nse:""&amp;A28,""HIGH"")"),373.4)</f>
        <v>373.4</v>
      </c>
      <c r="O28" s="48">
        <f ca="1">IFERROR(__xludf.DUMMYFUNCTION("googlefinance(""nse:""&amp;A28,""LOW"")"),358)</f>
        <v>358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35" t="s">
        <v>83</v>
      </c>
      <c r="B29" s="37" t="e">
        <f t="shared" ca="1" si="0"/>
        <v>#VALUE!</v>
      </c>
      <c r="C29" s="39">
        <f ca="1">IFERROR(__xludf.DUMMYFUNCTION("googlefinance(""nse:""&amp;A29,""changepct"")"),0.12)</f>
        <v>0.12</v>
      </c>
      <c r="D29" s="39">
        <f ca="1">IFERROR(__xludf.DUMMYFUNCTION("googlefinance(""nse:""&amp;A29,""change"")"),3.7)</f>
        <v>3.7</v>
      </c>
      <c r="E29" s="39" t="str">
        <f ca="1">IFERROR(__xludf.DUMMYFUNCTION("ArrayFormula( AVERAGE( QUERY( SORT(GOOGLEFINANCE(""NSE:""&amp;A29,""all"",workday.intl(TODAY(),-4),TODAY(),""daily""),2,0) , ""select Col6 "" ) ))"),"#N/A")</f>
        <v>#N/A</v>
      </c>
      <c r="F29" s="39">
        <f ca="1">IFERROR(__xludf.DUMMYFUNCTION("googlefinance(""nse:""&amp;A29,""volume"")"),1021592)</f>
        <v>1021592</v>
      </c>
      <c r="G29" s="42" t="e">
        <f t="shared" ca="1" si="1"/>
        <v>#VALUE!</v>
      </c>
      <c r="H29" s="43" t="e">
        <f t="shared" ca="1" si="2"/>
        <v>#VALUE!</v>
      </c>
      <c r="I29" s="43" t="e">
        <f t="shared" ca="1" si="3"/>
        <v>#VALUE!</v>
      </c>
      <c r="J29" s="43" t="e">
        <f t="shared" ca="1" si="4"/>
        <v>#VALUE!</v>
      </c>
      <c r="K29" s="44">
        <f t="shared" ca="1" si="5"/>
        <v>0</v>
      </c>
      <c r="L29" s="45">
        <f ca="1">IFERROR(__xludf.DUMMYFUNCTION("googlefinance(""nse:""&amp;A29,""PRICEOPEN"")"),3195)</f>
        <v>3195</v>
      </c>
      <c r="M29" s="45">
        <f ca="1">IFERROR(__xludf.DUMMYFUNCTION("googlefinance(""nse:""&amp;A29,""PRICE"")"),3160.5)</f>
        <v>3160.5</v>
      </c>
      <c r="N29" s="44">
        <f ca="1">IFERROR(__xludf.DUMMYFUNCTION("googlefinance(""nse:""&amp;A29,""HIGH"")"),3205)</f>
        <v>3205</v>
      </c>
      <c r="O29" s="48">
        <f ca="1">IFERROR(__xludf.DUMMYFUNCTION("googlefinance(""nse:""&amp;A29,""LOW"")"),3150)</f>
        <v>3150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35" t="s">
        <v>84</v>
      </c>
      <c r="B30" s="37" t="e">
        <f t="shared" ca="1" si="0"/>
        <v>#VALUE!</v>
      </c>
      <c r="C30" s="39">
        <f ca="1">IFERROR(__xludf.DUMMYFUNCTION("googlefinance(""nse:""&amp;A30,""changepct"")"),-0.84)</f>
        <v>-0.84</v>
      </c>
      <c r="D30" s="39">
        <f ca="1">IFERROR(__xludf.DUMMYFUNCTION("googlefinance(""nse:""&amp;A30,""change"")"),-2.75)</f>
        <v>-2.75</v>
      </c>
      <c r="E30" s="39" t="str">
        <f ca="1">IFERROR(__xludf.DUMMYFUNCTION("ArrayFormula( AVERAGE( QUERY( SORT(GOOGLEFINANCE(""NSE:""&amp;A30,""all"",workday.intl(TODAY(),-4),TODAY(),""daily""),2,0) , ""select Col6 "" ) ))"),"#N/A")</f>
        <v>#N/A</v>
      </c>
      <c r="F30" s="39">
        <f ca="1">IFERROR(__xludf.DUMMYFUNCTION("googlefinance(""nse:""&amp;A30,""volume"")"),5084577)</f>
        <v>5084577</v>
      </c>
      <c r="G30" s="42" t="e">
        <f t="shared" ca="1" si="1"/>
        <v>#VALUE!</v>
      </c>
      <c r="H30" s="43" t="e">
        <f t="shared" ca="1" si="2"/>
        <v>#VALUE!</v>
      </c>
      <c r="I30" s="43" t="e">
        <f t="shared" ca="1" si="3"/>
        <v>#VALUE!</v>
      </c>
      <c r="J30" s="43" t="e">
        <f t="shared" ca="1" si="4"/>
        <v>#VALUE!</v>
      </c>
      <c r="K30" s="44">
        <f t="shared" ca="1" si="5"/>
        <v>0</v>
      </c>
      <c r="L30" s="45">
        <f ca="1">IFERROR(__xludf.DUMMYFUNCTION("googlefinance(""nse:""&amp;A30,""PRICEOPEN"")"),330.5)</f>
        <v>330.5</v>
      </c>
      <c r="M30" s="45">
        <f ca="1">IFERROR(__xludf.DUMMYFUNCTION("googlefinance(""nse:""&amp;A30,""PRICE"")"),323.95)</f>
        <v>323.95</v>
      </c>
      <c r="N30" s="44">
        <f ca="1">IFERROR(__xludf.DUMMYFUNCTION("googlefinance(""nse:""&amp;A30,""HIGH"")"),332)</f>
        <v>332</v>
      </c>
      <c r="O30" s="48">
        <f ca="1">IFERROR(__xludf.DUMMYFUNCTION("googlefinance(""nse:""&amp;A30,""LOW"")"),321.3)</f>
        <v>321.3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35" t="s">
        <v>85</v>
      </c>
      <c r="B31" s="37" t="e">
        <f t="shared" ca="1" si="0"/>
        <v>#VALUE!</v>
      </c>
      <c r="C31" s="39">
        <f ca="1">IFERROR(__xludf.DUMMYFUNCTION("googlefinance(""nse:""&amp;A31,""changepct"")"),0.4)</f>
        <v>0.4</v>
      </c>
      <c r="D31" s="39">
        <f ca="1">IFERROR(__xludf.DUMMYFUNCTION("googlefinance(""nse:""&amp;A31,""change"")"),0.35)</f>
        <v>0.35</v>
      </c>
      <c r="E31" s="39" t="str">
        <f ca="1">IFERROR(__xludf.DUMMYFUNCTION("ArrayFormula( AVERAGE( QUERY( SORT(GOOGLEFINANCE(""NSE:""&amp;A31,""all"",workday.intl(TODAY(),-4),TODAY(),""daily""),2,0) , ""select Col6 "" ) ))"),"#N/A")</f>
        <v>#N/A</v>
      </c>
      <c r="F31" s="39">
        <f ca="1">IFERROR(__xludf.DUMMYFUNCTION("googlefinance(""nse:""&amp;A31,""volume"")"),14278203)</f>
        <v>14278203</v>
      </c>
      <c r="G31" s="42" t="e">
        <f t="shared" ca="1" si="1"/>
        <v>#VALUE!</v>
      </c>
      <c r="H31" s="43" t="e">
        <f t="shared" ca="1" si="2"/>
        <v>#VALUE!</v>
      </c>
      <c r="I31" s="43" t="e">
        <f t="shared" ca="1" si="3"/>
        <v>#VALUE!</v>
      </c>
      <c r="J31" s="43" t="e">
        <f t="shared" ca="1" si="4"/>
        <v>#VALUE!</v>
      </c>
      <c r="K31" s="44">
        <f t="shared" ca="1" si="5"/>
        <v>0</v>
      </c>
      <c r="L31" s="45">
        <f ca="1">IFERROR(__xludf.DUMMYFUNCTION("googlefinance(""nse:""&amp;A31,""PRICEOPEN"")"),88.45)</f>
        <v>88.45</v>
      </c>
      <c r="M31" s="45">
        <f ca="1">IFERROR(__xludf.DUMMYFUNCTION("googlefinance(""nse:""&amp;A31,""PRICE"")"),87.75)</f>
        <v>87.75</v>
      </c>
      <c r="N31" s="44">
        <f ca="1">IFERROR(__xludf.DUMMYFUNCTION("googlefinance(""nse:""&amp;A31,""HIGH"")"),91.2)</f>
        <v>91.2</v>
      </c>
      <c r="O31" s="48">
        <f ca="1">IFERROR(__xludf.DUMMYFUNCTION("googlefinance(""nse:""&amp;A31,""LOW"")"),87.4)</f>
        <v>87.4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35" t="s">
        <v>86</v>
      </c>
      <c r="B32" s="37" t="e">
        <f t="shared" ca="1" si="0"/>
        <v>#VALUE!</v>
      </c>
      <c r="C32" s="39">
        <f ca="1">IFERROR(__xludf.DUMMYFUNCTION("googlefinance(""nse:""&amp;A32,""changepct"")"),0.12)</f>
        <v>0.12</v>
      </c>
      <c r="D32" s="39">
        <f ca="1">IFERROR(__xludf.DUMMYFUNCTION("googlefinance(""nse:""&amp;A32,""change"")"),0.35)</f>
        <v>0.35</v>
      </c>
      <c r="E32" s="39" t="str">
        <f ca="1">IFERROR(__xludf.DUMMYFUNCTION("ArrayFormula( AVERAGE( QUERY( SORT(GOOGLEFINANCE(""NSE:""&amp;A32,""all"",workday.intl(TODAY(),-4),TODAY(),""daily""),2,0) , ""select Col6 "" ) ))"),"#N/A")</f>
        <v>#N/A</v>
      </c>
      <c r="F32" s="39">
        <f ca="1">IFERROR(__xludf.DUMMYFUNCTION("googlefinance(""nse:""&amp;A32,""volume"")"),2437836)</f>
        <v>2437836</v>
      </c>
      <c r="G32" s="42" t="e">
        <f t="shared" ca="1" si="1"/>
        <v>#VALUE!</v>
      </c>
      <c r="H32" s="43" t="e">
        <f t="shared" ca="1" si="2"/>
        <v>#VALUE!</v>
      </c>
      <c r="I32" s="43" t="e">
        <f t="shared" ca="1" si="3"/>
        <v>#VALUE!</v>
      </c>
      <c r="J32" s="43" t="e">
        <f t="shared" ca="1" si="4"/>
        <v>#VALUE!</v>
      </c>
      <c r="K32" s="44">
        <f t="shared" ca="1" si="5"/>
        <v>0</v>
      </c>
      <c r="L32" s="45">
        <f ca="1">IFERROR(__xludf.DUMMYFUNCTION("googlefinance(""nse:""&amp;A32,""PRICEOPEN"")"),296.5)</f>
        <v>296.5</v>
      </c>
      <c r="M32" s="45">
        <f ca="1">IFERROR(__xludf.DUMMYFUNCTION("googlefinance(""nse:""&amp;A32,""PRICE"")"),292)</f>
        <v>292</v>
      </c>
      <c r="N32" s="44">
        <f ca="1">IFERROR(__xludf.DUMMYFUNCTION("googlefinance(""nse:""&amp;A32,""HIGH"")"),309.4)</f>
        <v>309.39999999999998</v>
      </c>
      <c r="O32" s="48">
        <f ca="1">IFERROR(__xludf.DUMMYFUNCTION("googlefinance(""nse:""&amp;A32,""LOW"")"),290.3)</f>
        <v>290.3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35" t="s">
        <v>87</v>
      </c>
      <c r="B33" s="37" t="e">
        <f t="shared" ca="1" si="0"/>
        <v>#VALUE!</v>
      </c>
      <c r="C33" s="39">
        <f ca="1">IFERROR(__xludf.DUMMYFUNCTION("googlefinance(""nse:""&amp;A33,""changepct"")"),4.44)</f>
        <v>4.4400000000000004</v>
      </c>
      <c r="D33" s="39">
        <f ca="1">IFERROR(__xludf.DUMMYFUNCTION("googlefinance(""nse:""&amp;A33,""change"")"),27.65)</f>
        <v>27.65</v>
      </c>
      <c r="E33" s="39" t="str">
        <f ca="1">IFERROR(__xludf.DUMMYFUNCTION("ArrayFormula( AVERAGE( QUERY( SORT(GOOGLEFINANCE(""NSE:""&amp;A33,""all"",workday.intl(TODAY(),-4),TODAY(),""daily""),2,0) , ""select Col6 "" ) ))"),"#N/A")</f>
        <v>#N/A</v>
      </c>
      <c r="F33" s="39">
        <f ca="1">IFERROR(__xludf.DUMMYFUNCTION("googlefinance(""nse:""&amp;A33,""volume"")"),1303694)</f>
        <v>1303694</v>
      </c>
      <c r="G33" s="42" t="e">
        <f t="shared" ca="1" si="1"/>
        <v>#VALUE!</v>
      </c>
      <c r="H33" s="43" t="e">
        <f t="shared" ca="1" si="2"/>
        <v>#VALUE!</v>
      </c>
      <c r="I33" s="43" t="e">
        <f t="shared" ca="1" si="3"/>
        <v>#VALUE!</v>
      </c>
      <c r="J33" s="43" t="e">
        <f t="shared" ca="1" si="4"/>
        <v>#VALUE!</v>
      </c>
      <c r="K33" s="44">
        <f t="shared" ca="1" si="5"/>
        <v>0</v>
      </c>
      <c r="L33" s="45">
        <f ca="1">IFERROR(__xludf.DUMMYFUNCTION("googlefinance(""nse:""&amp;A33,""PRICEOPEN"")"),640)</f>
        <v>640</v>
      </c>
      <c r="M33" s="45">
        <f ca="1">IFERROR(__xludf.DUMMYFUNCTION("googlefinance(""nse:""&amp;A33,""PRICE"")"),650.1)</f>
        <v>650.1</v>
      </c>
      <c r="N33" s="44">
        <f ca="1">IFERROR(__xludf.DUMMYFUNCTION("googlefinance(""nse:""&amp;A33,""HIGH"")"),668.3)</f>
        <v>668.3</v>
      </c>
      <c r="O33" s="48">
        <f ca="1">IFERROR(__xludf.DUMMYFUNCTION("googlefinance(""nse:""&amp;A33,""LOW"")"),625.15)</f>
        <v>625.15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35" t="s">
        <v>88</v>
      </c>
      <c r="B34" s="37" t="e">
        <f t="shared" ca="1" si="0"/>
        <v>#VALUE!</v>
      </c>
      <c r="C34" s="39">
        <f ca="1">IFERROR(__xludf.DUMMYFUNCTION("googlefinance(""nse:""&amp;A34,""changepct"")"),5.54)</f>
        <v>5.54</v>
      </c>
      <c r="D34" s="39">
        <f ca="1">IFERROR(__xludf.DUMMYFUNCTION("googlefinance(""nse:""&amp;A34,""change"")"),8.35)</f>
        <v>8.35</v>
      </c>
      <c r="E34" s="39" t="str">
        <f ca="1">IFERROR(__xludf.DUMMYFUNCTION("ArrayFormula( AVERAGE( QUERY( SORT(GOOGLEFINANCE(""NSE:""&amp;A34,""all"",workday.intl(TODAY(),-4),TODAY(),""daily""),2,0) , ""select Col6 "" ) ))"),"#N/A")</f>
        <v>#N/A</v>
      </c>
      <c r="F34" s="39">
        <f ca="1">IFERROR(__xludf.DUMMYFUNCTION("googlefinance(""nse:""&amp;A34,""volume"")"),18444012)</f>
        <v>18444012</v>
      </c>
      <c r="G34" s="42" t="e">
        <f t="shared" ca="1" si="1"/>
        <v>#VALUE!</v>
      </c>
      <c r="H34" s="43" t="e">
        <f t="shared" ca="1" si="2"/>
        <v>#VALUE!</v>
      </c>
      <c r="I34" s="43" t="e">
        <f t="shared" ca="1" si="3"/>
        <v>#VALUE!</v>
      </c>
      <c r="J34" s="43" t="e">
        <f t="shared" ca="1" si="4"/>
        <v>#VALUE!</v>
      </c>
      <c r="K34" s="44">
        <f t="shared" ca="1" si="5"/>
        <v>0</v>
      </c>
      <c r="L34" s="45">
        <f ca="1">IFERROR(__xludf.DUMMYFUNCTION("googlefinance(""nse:""&amp;A34,""PRICEOPEN"")"),154.8)</f>
        <v>154.80000000000001</v>
      </c>
      <c r="M34" s="45">
        <f ca="1">IFERROR(__xludf.DUMMYFUNCTION("googlefinance(""nse:""&amp;A34,""PRICE"")"),159)</f>
        <v>159</v>
      </c>
      <c r="N34" s="44">
        <f ca="1">IFERROR(__xludf.DUMMYFUNCTION("googlefinance(""nse:""&amp;A34,""HIGH"")"),170.6)</f>
        <v>170.6</v>
      </c>
      <c r="O34" s="48">
        <f ca="1">IFERROR(__xludf.DUMMYFUNCTION("googlefinance(""nse:""&amp;A34,""LOW"")"),153.35)</f>
        <v>153.35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35" t="s">
        <v>89</v>
      </c>
      <c r="B35" s="37" t="e">
        <f t="shared" ca="1" si="0"/>
        <v>#VALUE!</v>
      </c>
      <c r="C35" s="39">
        <f ca="1">IFERROR(__xludf.DUMMYFUNCTION("googlefinance(""nse:""&amp;A35,""changepct"")"),-1.05)</f>
        <v>-1.05</v>
      </c>
      <c r="D35" s="39">
        <f ca="1">IFERROR(__xludf.DUMMYFUNCTION("googlefinance(""nse:""&amp;A35,""change"")"),-6.25)</f>
        <v>-6.25</v>
      </c>
      <c r="E35" s="39" t="str">
        <f ca="1">IFERROR(__xludf.DUMMYFUNCTION("ArrayFormula( AVERAGE( QUERY( SORT(GOOGLEFINANCE(""NSE:""&amp;A35,""all"",workday.intl(TODAY(),-4),TODAY(),""daily""),2,0) , ""select Col6 "" ) ))"),"#N/A")</f>
        <v>#N/A</v>
      </c>
      <c r="F35" s="39">
        <f ca="1">IFERROR(__xludf.DUMMYFUNCTION("googlefinance(""nse:""&amp;A35,""volume"")"),9100084)</f>
        <v>9100084</v>
      </c>
      <c r="G35" s="42" t="e">
        <f t="shared" ca="1" si="1"/>
        <v>#VALUE!</v>
      </c>
      <c r="H35" s="43" t="e">
        <f t="shared" ca="1" si="2"/>
        <v>#VALUE!</v>
      </c>
      <c r="I35" s="43" t="e">
        <f t="shared" ca="1" si="3"/>
        <v>#VALUE!</v>
      </c>
      <c r="J35" s="43" t="e">
        <f t="shared" ca="1" si="4"/>
        <v>#VALUE!</v>
      </c>
      <c r="K35" s="44">
        <f t="shared" ca="1" si="5"/>
        <v>0</v>
      </c>
      <c r="L35" s="45">
        <f ca="1">IFERROR(__xludf.DUMMYFUNCTION("googlefinance(""nse:""&amp;A35,""PRICEOPEN"")"),607.9)</f>
        <v>607.9</v>
      </c>
      <c r="M35" s="45">
        <f ca="1">IFERROR(__xludf.DUMMYFUNCTION("googlefinance(""nse:""&amp;A35,""PRICE"")"),590)</f>
        <v>590</v>
      </c>
      <c r="N35" s="44">
        <f ca="1">IFERROR(__xludf.DUMMYFUNCTION("googlefinance(""nse:""&amp;A35,""HIGH"")"),611.45)</f>
        <v>611.45000000000005</v>
      </c>
      <c r="O35" s="48">
        <f ca="1">IFERROR(__xludf.DUMMYFUNCTION("googlefinance(""nse:""&amp;A35,""LOW"")"),586.1)</f>
        <v>586.1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35" t="s">
        <v>90</v>
      </c>
      <c r="B36" s="37" t="e">
        <f t="shared" ca="1" si="0"/>
        <v>#VALUE!</v>
      </c>
      <c r="C36" s="39">
        <f ca="1">IFERROR(__xludf.DUMMYFUNCTION("googlefinance(""nse:""&amp;A36,""changepct"")"),6.4)</f>
        <v>6.4</v>
      </c>
      <c r="D36" s="39">
        <f ca="1">IFERROR(__xludf.DUMMYFUNCTION("googlefinance(""nse:""&amp;A36,""change"")"),8.95)</f>
        <v>8.9499999999999993</v>
      </c>
      <c r="E36" s="39" t="str">
        <f ca="1">IFERROR(__xludf.DUMMYFUNCTION("ArrayFormula( AVERAGE( QUERY( SORT(GOOGLEFINANCE(""NSE:""&amp;A36,""all"",workday.intl(TODAY(),-4),TODAY(),""daily""),2,0) , ""select Col6 "" ) ))"),"#N/A")</f>
        <v>#N/A</v>
      </c>
      <c r="F36" s="39">
        <f ca="1">IFERROR(__xludf.DUMMYFUNCTION("googlefinance(""nse:""&amp;A36,""volume"")"),13146077)</f>
        <v>13146077</v>
      </c>
      <c r="G36" s="42" t="e">
        <f t="shared" ca="1" si="1"/>
        <v>#VALUE!</v>
      </c>
      <c r="H36" s="43" t="e">
        <f t="shared" ca="1" si="2"/>
        <v>#VALUE!</v>
      </c>
      <c r="I36" s="43" t="e">
        <f t="shared" ca="1" si="3"/>
        <v>#VALUE!</v>
      </c>
      <c r="J36" s="43" t="e">
        <f t="shared" ca="1" si="4"/>
        <v>#VALUE!</v>
      </c>
      <c r="K36" s="44">
        <f t="shared" ca="1" si="5"/>
        <v>0</v>
      </c>
      <c r="L36" s="45">
        <f ca="1">IFERROR(__xludf.DUMMYFUNCTION("googlefinance(""nse:""&amp;A36,""PRICEOPEN"")"),141.5)</f>
        <v>141.5</v>
      </c>
      <c r="M36" s="45">
        <f ca="1">IFERROR(__xludf.DUMMYFUNCTION("googlefinance(""nse:""&amp;A36,""PRICE"")"),148.8)</f>
        <v>148.80000000000001</v>
      </c>
      <c r="N36" s="44">
        <f ca="1">IFERROR(__xludf.DUMMYFUNCTION("googlefinance(""nse:""&amp;A36,""HIGH"")"),149.45)</f>
        <v>149.44999999999999</v>
      </c>
      <c r="O36" s="48">
        <f ca="1">IFERROR(__xludf.DUMMYFUNCTION("googlefinance(""nse:""&amp;A36,""LOW"")"),141.35)</f>
        <v>141.35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35" t="s">
        <v>91</v>
      </c>
      <c r="B37" s="37" t="e">
        <f t="shared" ca="1" si="0"/>
        <v>#VALUE!</v>
      </c>
      <c r="C37" s="39">
        <f ca="1">IFERROR(__xludf.DUMMYFUNCTION("googlefinance(""nse:""&amp;A37,""changepct"")"),-0.65)</f>
        <v>-0.65</v>
      </c>
      <c r="D37" s="39">
        <f ca="1">IFERROR(__xludf.DUMMYFUNCTION("googlefinance(""nse:""&amp;A37,""change"")"),-9.6)</f>
        <v>-9.6</v>
      </c>
      <c r="E37" s="39" t="str">
        <f ca="1">IFERROR(__xludf.DUMMYFUNCTION("ArrayFormula( AVERAGE( QUERY( SORT(GOOGLEFINANCE(""NSE:""&amp;A37,""all"",workday.intl(TODAY(),-4),TODAY(),""daily""),2,0) , ""select Col6 "" ) ))"),"#N/A")</f>
        <v>#N/A</v>
      </c>
      <c r="F37" s="39">
        <f ca="1">IFERROR(__xludf.DUMMYFUNCTION("googlefinance(""nse:""&amp;A37,""volume"")"),1673537)</f>
        <v>1673537</v>
      </c>
      <c r="G37" s="42" t="e">
        <f t="shared" ca="1" si="1"/>
        <v>#VALUE!</v>
      </c>
      <c r="H37" s="43" t="e">
        <f t="shared" ca="1" si="2"/>
        <v>#VALUE!</v>
      </c>
      <c r="I37" s="43" t="e">
        <f t="shared" ca="1" si="3"/>
        <v>#VALUE!</v>
      </c>
      <c r="J37" s="43" t="e">
        <f t="shared" ca="1" si="4"/>
        <v>#VALUE!</v>
      </c>
      <c r="K37" s="44" t="str">
        <f t="shared" ca="1" si="5"/>
        <v>SELL</v>
      </c>
      <c r="L37" s="45">
        <f ca="1">IFERROR(__xludf.DUMMYFUNCTION("googlefinance(""nse:""&amp;A37,""PRICEOPEN"")"),1485.2)</f>
        <v>1485.2</v>
      </c>
      <c r="M37" s="45">
        <f ca="1">IFERROR(__xludf.DUMMYFUNCTION("googlefinance(""nse:""&amp;A37,""PRICE"")"),1464)</f>
        <v>1464</v>
      </c>
      <c r="N37" s="44">
        <f ca="1">IFERROR(__xludf.DUMMYFUNCTION("googlefinance(""nse:""&amp;A37,""HIGH"")"),1485.2)</f>
        <v>1485.2</v>
      </c>
      <c r="O37" s="48">
        <f ca="1">IFERROR(__xludf.DUMMYFUNCTION("googlefinance(""nse:""&amp;A37,""LOW"")"),1442.5)</f>
        <v>1442.5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35" t="s">
        <v>92</v>
      </c>
      <c r="B38" s="37" t="e">
        <f t="shared" ca="1" si="0"/>
        <v>#VALUE!</v>
      </c>
      <c r="C38" s="39">
        <f ca="1">IFERROR(__xludf.DUMMYFUNCTION("googlefinance(""nse:""&amp;A38,""changepct"")"),2.16)</f>
        <v>2.16</v>
      </c>
      <c r="D38" s="39">
        <f ca="1">IFERROR(__xludf.DUMMYFUNCTION("googlefinance(""nse:""&amp;A38,""change"")"),7.9)</f>
        <v>7.9</v>
      </c>
      <c r="E38" s="39" t="str">
        <f ca="1">IFERROR(__xludf.DUMMYFUNCTION("ArrayFormula( AVERAGE( QUERY( SORT(GOOGLEFINANCE(""NSE:""&amp;A38,""all"",workday.intl(TODAY(),-4),TODAY(),""daily""),2,0) , ""select Col6 "" ) ))"),"#N/A")</f>
        <v>#N/A</v>
      </c>
      <c r="F38" s="39">
        <f ca="1">IFERROR(__xludf.DUMMYFUNCTION("googlefinance(""nse:""&amp;A38,""volume"")"),1463582)</f>
        <v>1463582</v>
      </c>
      <c r="G38" s="42" t="e">
        <f t="shared" ca="1" si="1"/>
        <v>#VALUE!</v>
      </c>
      <c r="H38" s="43" t="e">
        <f t="shared" ca="1" si="2"/>
        <v>#VALUE!</v>
      </c>
      <c r="I38" s="43" t="e">
        <f t="shared" ca="1" si="3"/>
        <v>#VALUE!</v>
      </c>
      <c r="J38" s="43" t="e">
        <f t="shared" ca="1" si="4"/>
        <v>#VALUE!</v>
      </c>
      <c r="K38" s="44">
        <f t="shared" ca="1" si="5"/>
        <v>0</v>
      </c>
      <c r="L38" s="45">
        <f ca="1">IFERROR(__xludf.DUMMYFUNCTION("googlefinance(""nse:""&amp;A38,""PRICEOPEN"")"),371)</f>
        <v>371</v>
      </c>
      <c r="M38" s="45">
        <f ca="1">IFERROR(__xludf.DUMMYFUNCTION("googlefinance(""nse:""&amp;A38,""PRICE"")"),374)</f>
        <v>374</v>
      </c>
      <c r="N38" s="44">
        <f ca="1">IFERROR(__xludf.DUMMYFUNCTION("googlefinance(""nse:""&amp;A38,""HIGH"")"),381.9)</f>
        <v>381.9</v>
      </c>
      <c r="O38" s="48">
        <f ca="1">IFERROR(__xludf.DUMMYFUNCTION("googlefinance(""nse:""&amp;A38,""LOW"")"),369.1)</f>
        <v>369.1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35" t="s">
        <v>93</v>
      </c>
      <c r="B39" s="37" t="e">
        <f t="shared" ca="1" si="0"/>
        <v>#VALUE!</v>
      </c>
      <c r="C39" s="39">
        <f ca="1">IFERROR(__xludf.DUMMYFUNCTION("googlefinance(""nse:""&amp;A39,""changepct"")"),-0.77)</f>
        <v>-0.77</v>
      </c>
      <c r="D39" s="39">
        <f ca="1">IFERROR(__xludf.DUMMYFUNCTION("googlefinance(""nse:""&amp;A39,""change"")"),-2.9)</f>
        <v>-2.9</v>
      </c>
      <c r="E39" s="39" t="str">
        <f ca="1">IFERROR(__xludf.DUMMYFUNCTION("ArrayFormula( AVERAGE( QUERY( SORT(GOOGLEFINANCE(""NSE:""&amp;A39,""all"",workday.intl(TODAY(),-4),TODAY(),""daily""),2,0) , ""select Col6 "" ) ))"),"#N/A")</f>
        <v>#N/A</v>
      </c>
      <c r="F39" s="39">
        <f ca="1">IFERROR(__xludf.DUMMYFUNCTION("googlefinance(""nse:""&amp;A39,""volume"")"),1797179)</f>
        <v>1797179</v>
      </c>
      <c r="G39" s="42" t="e">
        <f t="shared" ca="1" si="1"/>
        <v>#VALUE!</v>
      </c>
      <c r="H39" s="43" t="e">
        <f t="shared" ca="1" si="2"/>
        <v>#VALUE!</v>
      </c>
      <c r="I39" s="43" t="e">
        <f t="shared" ca="1" si="3"/>
        <v>#VALUE!</v>
      </c>
      <c r="J39" s="43" t="e">
        <f t="shared" ca="1" si="4"/>
        <v>#VALUE!</v>
      </c>
      <c r="K39" s="44">
        <f t="shared" ca="1" si="5"/>
        <v>0</v>
      </c>
      <c r="L39" s="45">
        <f ca="1">IFERROR(__xludf.DUMMYFUNCTION("googlefinance(""nse:""&amp;A39,""PRICEOPEN"")"),379)</f>
        <v>379</v>
      </c>
      <c r="M39" s="45">
        <f ca="1">IFERROR(__xludf.DUMMYFUNCTION("googlefinance(""nse:""&amp;A39,""PRICE"")"),376.05)</f>
        <v>376.05</v>
      </c>
      <c r="N39" s="44">
        <f ca="1">IFERROR(__xludf.DUMMYFUNCTION("googlefinance(""nse:""&amp;A39,""HIGH"")"),382)</f>
        <v>382</v>
      </c>
      <c r="O39" s="48">
        <f ca="1">IFERROR(__xludf.DUMMYFUNCTION("googlefinance(""nse:""&amp;A39,""LOW"")"),371)</f>
        <v>371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35" t="s">
        <v>94</v>
      </c>
      <c r="B40" s="37" t="e">
        <f t="shared" ca="1" si="0"/>
        <v>#VALUE!</v>
      </c>
      <c r="C40" s="39">
        <f ca="1">IFERROR(__xludf.DUMMYFUNCTION("googlefinance(""nse:""&amp;A40,""changepct"")"),2.46)</f>
        <v>2.46</v>
      </c>
      <c r="D40" s="39">
        <f ca="1">IFERROR(__xludf.DUMMYFUNCTION("googlefinance(""nse:""&amp;A40,""change"")"),11.75)</f>
        <v>11.75</v>
      </c>
      <c r="E40" s="39" t="str">
        <f ca="1">IFERROR(__xludf.DUMMYFUNCTION("ArrayFormula( AVERAGE( QUERY( SORT(GOOGLEFINANCE(""NSE:""&amp;A40,""all"",workday.intl(TODAY(),-4),TODAY(),""daily""),2,0) , ""select Col6 "" ) ))"),"#N/A")</f>
        <v>#N/A</v>
      </c>
      <c r="F40" s="39">
        <f ca="1">IFERROR(__xludf.DUMMYFUNCTION("googlefinance(""nse:""&amp;A40,""volume"")"),4295419)</f>
        <v>4295419</v>
      </c>
      <c r="G40" s="42" t="e">
        <f t="shared" ca="1" si="1"/>
        <v>#VALUE!</v>
      </c>
      <c r="H40" s="43" t="e">
        <f t="shared" ca="1" si="2"/>
        <v>#VALUE!</v>
      </c>
      <c r="I40" s="43" t="e">
        <f t="shared" ca="1" si="3"/>
        <v>#VALUE!</v>
      </c>
      <c r="J40" s="43" t="e">
        <f t="shared" ca="1" si="4"/>
        <v>#VALUE!</v>
      </c>
      <c r="K40" s="44">
        <f t="shared" ca="1" si="5"/>
        <v>0</v>
      </c>
      <c r="L40" s="45">
        <f ca="1">IFERROR(__xludf.DUMMYFUNCTION("googlefinance(""nse:""&amp;A40,""PRICEOPEN"")"),485)</f>
        <v>485</v>
      </c>
      <c r="M40" s="45">
        <f ca="1">IFERROR(__xludf.DUMMYFUNCTION("googlefinance(""nse:""&amp;A40,""PRICE"")"),490)</f>
        <v>490</v>
      </c>
      <c r="N40" s="44">
        <f ca="1">IFERROR(__xludf.DUMMYFUNCTION("googlefinance(""nse:""&amp;A40,""HIGH"")"),495.35)</f>
        <v>495.35</v>
      </c>
      <c r="O40" s="48">
        <f ca="1">IFERROR(__xludf.DUMMYFUNCTION("googlefinance(""nse:""&amp;A40,""LOW"")"),478.25)</f>
        <v>478.25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35" t="s">
        <v>95</v>
      </c>
      <c r="B41" s="37" t="e">
        <f t="shared" ca="1" si="0"/>
        <v>#VALUE!</v>
      </c>
      <c r="C41" s="39">
        <f ca="1">IFERROR(__xludf.DUMMYFUNCTION("googlefinance(""nse:""&amp;A41,""changepct"")"),-1.55)</f>
        <v>-1.55</v>
      </c>
      <c r="D41" s="39">
        <f ca="1">IFERROR(__xludf.DUMMYFUNCTION("googlefinance(""nse:""&amp;A41,""change"")"),-36.85)</f>
        <v>-36.85</v>
      </c>
      <c r="E41" s="39" t="str">
        <f ca="1">IFERROR(__xludf.DUMMYFUNCTION("ArrayFormula( AVERAGE( QUERY( SORT(GOOGLEFINANCE(""NSE:""&amp;A41,""all"",workday.intl(TODAY(),-4),TODAY(),""daily""),2,0) , ""select Col6 "" ) ))"),"#N/A")</f>
        <v>#N/A</v>
      </c>
      <c r="F41" s="39">
        <f ca="1">IFERROR(__xludf.DUMMYFUNCTION("googlefinance(""nse:""&amp;A41,""volume"")"),843164)</f>
        <v>843164</v>
      </c>
      <c r="G41" s="42" t="e">
        <f t="shared" ca="1" si="1"/>
        <v>#VALUE!</v>
      </c>
      <c r="H41" s="43" t="e">
        <f t="shared" ca="1" si="2"/>
        <v>#VALUE!</v>
      </c>
      <c r="I41" s="43" t="e">
        <f t="shared" ca="1" si="3"/>
        <v>#VALUE!</v>
      </c>
      <c r="J41" s="43" t="e">
        <f t="shared" ca="1" si="4"/>
        <v>#VALUE!</v>
      </c>
      <c r="K41" s="44">
        <f t="shared" ca="1" si="5"/>
        <v>0</v>
      </c>
      <c r="L41" s="45">
        <f ca="1">IFERROR(__xludf.DUMMYFUNCTION("googlefinance(""nse:""&amp;A41,""PRICEOPEN"")"),2365)</f>
        <v>2365</v>
      </c>
      <c r="M41" s="45">
        <f ca="1">IFERROR(__xludf.DUMMYFUNCTION("googlefinance(""nse:""&amp;A41,""PRICE"")"),2333)</f>
        <v>2333</v>
      </c>
      <c r="N41" s="44">
        <f ca="1">IFERROR(__xludf.DUMMYFUNCTION("googlefinance(""nse:""&amp;A41,""HIGH"")"),2372.7)</f>
        <v>2372.6999999999998</v>
      </c>
      <c r="O41" s="48">
        <f ca="1">IFERROR(__xludf.DUMMYFUNCTION("googlefinance(""nse:""&amp;A41,""LOW"")"),2300.7)</f>
        <v>2300.6999999999998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35" t="s">
        <v>96</v>
      </c>
      <c r="B42" s="37" t="e">
        <f t="shared" ca="1" si="0"/>
        <v>#VALUE!</v>
      </c>
      <c r="C42" s="39">
        <f ca="1">IFERROR(__xludf.DUMMYFUNCTION("googlefinance(""nse:""&amp;A42,""changepct"")"),3.6)</f>
        <v>3.6</v>
      </c>
      <c r="D42" s="39">
        <f ca="1">IFERROR(__xludf.DUMMYFUNCTION("googlefinance(""nse:""&amp;A42,""change"")"),5.1)</f>
        <v>5.0999999999999996</v>
      </c>
      <c r="E42" s="39" t="str">
        <f ca="1">IFERROR(__xludf.DUMMYFUNCTION("ArrayFormula( AVERAGE( QUERY( SORT(GOOGLEFINANCE(""NSE:""&amp;A42,""all"",workday.intl(TODAY(),-4),TODAY(),""daily""),2,0) , ""select Col6 "" ) ))"),"#N/A")</f>
        <v>#N/A</v>
      </c>
      <c r="F42" s="39">
        <f ca="1">IFERROR(__xludf.DUMMYFUNCTION("googlefinance(""nse:""&amp;A42,""volume"")"),12818946)</f>
        <v>12818946</v>
      </c>
      <c r="G42" s="64" t="e">
        <f t="shared" ca="1" si="1"/>
        <v>#VALUE!</v>
      </c>
      <c r="H42" s="43" t="e">
        <f t="shared" ca="1" si="2"/>
        <v>#VALUE!</v>
      </c>
      <c r="I42" s="43" t="e">
        <f t="shared" ca="1" si="3"/>
        <v>#VALUE!</v>
      </c>
      <c r="J42" s="43" t="e">
        <f t="shared" ca="1" si="4"/>
        <v>#VALUE!</v>
      </c>
      <c r="K42" s="44">
        <f t="shared" ca="1" si="5"/>
        <v>0</v>
      </c>
      <c r="L42" s="45">
        <f ca="1">IFERROR(__xludf.DUMMYFUNCTION("googlefinance(""nse:""&amp;A42,""PRICEOPEN"")"),143.65)</f>
        <v>143.65</v>
      </c>
      <c r="M42" s="45">
        <f ca="1">IFERROR(__xludf.DUMMYFUNCTION("googlefinance(""nse:""&amp;A42,""PRICE"")"),146.75)</f>
        <v>146.75</v>
      </c>
      <c r="N42" s="44">
        <f ca="1">IFERROR(__xludf.DUMMYFUNCTION("googlefinance(""nse:""&amp;A42,""HIGH"")"),152.25)</f>
        <v>152.25</v>
      </c>
      <c r="O42" s="48">
        <f ca="1">IFERROR(__xludf.DUMMYFUNCTION("googlefinance(""nse:""&amp;A42,""LOW"")"),142.25)</f>
        <v>142.25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35" t="s">
        <v>97</v>
      </c>
      <c r="B43" s="37" t="e">
        <f t="shared" ca="1" si="0"/>
        <v>#VALUE!</v>
      </c>
      <c r="C43" s="39">
        <f ca="1">IFERROR(__xludf.DUMMYFUNCTION("googlefinance(""nse:""&amp;A43,""changepct"")"),1.3)</f>
        <v>1.3</v>
      </c>
      <c r="D43" s="39">
        <f ca="1">IFERROR(__xludf.DUMMYFUNCTION("googlefinance(""nse:""&amp;A43,""change"")"),50.3)</f>
        <v>50.3</v>
      </c>
      <c r="E43" s="39" t="str">
        <f ca="1">IFERROR(__xludf.DUMMYFUNCTION("ArrayFormula( AVERAGE( QUERY( SORT(GOOGLEFINANCE(""NSE:""&amp;A43,""all"",workday.intl(TODAY(),-4),TODAY(),""daily""),2,0) , ""select Col6 "" ) ))"),"#N/A")</f>
        <v>#N/A</v>
      </c>
      <c r="F43" s="39">
        <f ca="1">IFERROR(__xludf.DUMMYFUNCTION("googlefinance(""nse:""&amp;A43,""volume"")"),2178034)</f>
        <v>2178034</v>
      </c>
      <c r="G43" s="42" t="e">
        <f t="shared" ca="1" si="1"/>
        <v>#VALUE!</v>
      </c>
      <c r="H43" s="43" t="e">
        <f t="shared" ca="1" si="2"/>
        <v>#VALUE!</v>
      </c>
      <c r="I43" s="43" t="e">
        <f t="shared" ca="1" si="3"/>
        <v>#VALUE!</v>
      </c>
      <c r="J43" s="43" t="e">
        <f t="shared" ca="1" si="4"/>
        <v>#VALUE!</v>
      </c>
      <c r="K43" s="44">
        <f t="shared" ca="1" si="5"/>
        <v>0</v>
      </c>
      <c r="L43" s="45">
        <f ca="1">IFERROR(__xludf.DUMMYFUNCTION("googlefinance(""nse:""&amp;A43,""PRICEOPEN"")"),3933.1)</f>
        <v>3933.1</v>
      </c>
      <c r="M43" s="45">
        <f ca="1">IFERROR(__xludf.DUMMYFUNCTION("googlefinance(""nse:""&amp;A43,""PRICE"")"),3931)</f>
        <v>3931</v>
      </c>
      <c r="N43" s="44">
        <f ca="1">IFERROR(__xludf.DUMMYFUNCTION("googlefinance(""nse:""&amp;A43,""HIGH"")"),4093.75)</f>
        <v>4093.75</v>
      </c>
      <c r="O43" s="48">
        <f ca="1">IFERROR(__xludf.DUMMYFUNCTION("googlefinance(""nse:""&amp;A43,""LOW"")"),3895.05)</f>
        <v>3895.05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35" t="s">
        <v>98</v>
      </c>
      <c r="B44" s="37" t="e">
        <f t="shared" ca="1" si="0"/>
        <v>#VALUE!</v>
      </c>
      <c r="C44" s="39">
        <f ca="1">IFERROR(__xludf.DUMMYFUNCTION("googlefinance(""nse:""&amp;A44,""changepct"")"),2.33)</f>
        <v>2.33</v>
      </c>
      <c r="D44" s="39">
        <f ca="1">IFERROR(__xludf.DUMMYFUNCTION("googlefinance(""nse:""&amp;A44,""change"")"),334.25)</f>
        <v>334.25</v>
      </c>
      <c r="E44" s="39" t="str">
        <f ca="1">IFERROR(__xludf.DUMMYFUNCTION("ArrayFormula( AVERAGE( QUERY( SORT(GOOGLEFINANCE(""NSE:""&amp;A44,""all"",workday.intl(TODAY(),-4),TODAY(),""daily""),2,0) , ""select Col6 "" ) ))"),"#N/A")</f>
        <v>#N/A</v>
      </c>
      <c r="F44" s="39">
        <f ca="1">IFERROR(__xludf.DUMMYFUNCTION("googlefinance(""nse:""&amp;A44,""volume"")"),347244)</f>
        <v>347244</v>
      </c>
      <c r="G44" s="42" t="e">
        <f t="shared" ca="1" si="1"/>
        <v>#VALUE!</v>
      </c>
      <c r="H44" s="43" t="e">
        <f t="shared" ca="1" si="2"/>
        <v>#VALUE!</v>
      </c>
      <c r="I44" s="43" t="e">
        <f t="shared" ca="1" si="3"/>
        <v>#VALUE!</v>
      </c>
      <c r="J44" s="43" t="e">
        <f t="shared" ca="1" si="4"/>
        <v>#VALUE!</v>
      </c>
      <c r="K44" s="44">
        <f t="shared" ca="1" si="5"/>
        <v>0</v>
      </c>
      <c r="L44" s="45">
        <f ca="1">IFERROR(__xludf.DUMMYFUNCTION("googlefinance(""nse:""&amp;A44,""PRICEOPEN"")"),14580.2)</f>
        <v>14580.2</v>
      </c>
      <c r="M44" s="45">
        <f ca="1">IFERROR(__xludf.DUMMYFUNCTION("googlefinance(""nse:""&amp;A44,""PRICE"")"),14650)</f>
        <v>14650</v>
      </c>
      <c r="N44" s="44">
        <f ca="1">IFERROR(__xludf.DUMMYFUNCTION("googlefinance(""nse:""&amp;A44,""HIGH"")"),14900)</f>
        <v>14900</v>
      </c>
      <c r="O44" s="48">
        <f ca="1">IFERROR(__xludf.DUMMYFUNCTION("googlefinance(""nse:""&amp;A44,""LOW"")"),14402)</f>
        <v>14402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35" t="s">
        <v>99</v>
      </c>
      <c r="B45" s="37" t="e">
        <f t="shared" ca="1" si="0"/>
        <v>#VALUE!</v>
      </c>
      <c r="C45" s="39">
        <f ca="1">IFERROR(__xludf.DUMMYFUNCTION("googlefinance(""nse:""&amp;A45,""changepct"")"),-1.34)</f>
        <v>-1.34</v>
      </c>
      <c r="D45" s="39">
        <f ca="1">IFERROR(__xludf.DUMMYFUNCTION("googlefinance(""nse:""&amp;A45,""change"")"),-0.7)</f>
        <v>-0.7</v>
      </c>
      <c r="E45" s="39" t="str">
        <f ca="1">IFERROR(__xludf.DUMMYFUNCTION("ArrayFormula( AVERAGE( QUERY( SORT(GOOGLEFINANCE(""NSE:""&amp;A45,""all"",workday.intl(TODAY(),-4),TODAY(),""daily""),2,0) , ""select Col6 "" ) ))"),"#N/A")</f>
        <v>#N/A</v>
      </c>
      <c r="F45" s="39">
        <f ca="1">IFERROR(__xludf.DUMMYFUNCTION("googlefinance(""nse:""&amp;A45,""volume"")"),15652066)</f>
        <v>15652066</v>
      </c>
      <c r="G45" s="42" t="e">
        <f t="shared" ca="1" si="1"/>
        <v>#VALUE!</v>
      </c>
      <c r="H45" s="43" t="e">
        <f t="shared" ca="1" si="2"/>
        <v>#VALUE!</v>
      </c>
      <c r="I45" s="43" t="e">
        <f t="shared" ca="1" si="3"/>
        <v>#VALUE!</v>
      </c>
      <c r="J45" s="43" t="e">
        <f t="shared" ca="1" si="4"/>
        <v>#VALUE!</v>
      </c>
      <c r="K45" s="44">
        <f t="shared" ca="1" si="5"/>
        <v>0</v>
      </c>
      <c r="L45" s="45">
        <f ca="1">IFERROR(__xludf.DUMMYFUNCTION("googlefinance(""nse:""&amp;A45,""PRICEOPEN"")"),53.9)</f>
        <v>53.9</v>
      </c>
      <c r="M45" s="45">
        <f ca="1">IFERROR(__xludf.DUMMYFUNCTION("googlefinance(""nse:""&amp;A45,""PRICE"")"),51.6)</f>
        <v>51.6</v>
      </c>
      <c r="N45" s="44">
        <f ca="1">IFERROR(__xludf.DUMMYFUNCTION("googlefinance(""nse:""&amp;A45,""HIGH"")"),54.4)</f>
        <v>54.4</v>
      </c>
      <c r="O45" s="48">
        <f ca="1">IFERROR(__xludf.DUMMYFUNCTION("googlefinance(""nse:""&amp;A45,""LOW"")"),50.8)</f>
        <v>50.8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35" t="s">
        <v>100</v>
      </c>
      <c r="B46" s="37" t="e">
        <f t="shared" ca="1" si="0"/>
        <v>#VALUE!</v>
      </c>
      <c r="C46" s="39">
        <f ca="1">IFERROR(__xludf.DUMMYFUNCTION("googlefinance(""nse:""&amp;A46,""changepct"")"),-0.66)</f>
        <v>-0.66</v>
      </c>
      <c r="D46" s="39">
        <f ca="1">IFERROR(__xludf.DUMMYFUNCTION("googlefinance(""nse:""&amp;A46,""change"")"),-4.7)</f>
        <v>-4.7</v>
      </c>
      <c r="E46" s="39" t="str">
        <f ca="1">IFERROR(__xludf.DUMMYFUNCTION("ArrayFormula( AVERAGE( QUERY( SORT(GOOGLEFINANCE(""NSE:""&amp;A46,""all"",workday.intl(TODAY(),-4),TODAY(),""daily""),2,0) , ""select Col6 "" ) ))"),"#N/A")</f>
        <v>#N/A</v>
      </c>
      <c r="F46" s="39">
        <f ca="1">IFERROR(__xludf.DUMMYFUNCTION("googlefinance(""nse:""&amp;A46,""volume"")"),3220473)</f>
        <v>3220473</v>
      </c>
      <c r="G46" s="42" t="e">
        <f t="shared" ca="1" si="1"/>
        <v>#VALUE!</v>
      </c>
      <c r="H46" s="43" t="e">
        <f t="shared" ca="1" si="2"/>
        <v>#VALUE!</v>
      </c>
      <c r="I46" s="43" t="e">
        <f t="shared" ca="1" si="3"/>
        <v>#VALUE!</v>
      </c>
      <c r="J46" s="43" t="e">
        <f t="shared" ca="1" si="4"/>
        <v>#VALUE!</v>
      </c>
      <c r="K46" s="44">
        <f t="shared" ca="1" si="5"/>
        <v>0</v>
      </c>
      <c r="L46" s="45">
        <f ca="1">IFERROR(__xludf.DUMMYFUNCTION("googlefinance(""nse:""&amp;A46,""PRICEOPEN"")"),728.8)</f>
        <v>728.8</v>
      </c>
      <c r="M46" s="45">
        <f ca="1">IFERROR(__xludf.DUMMYFUNCTION("googlefinance(""nse:""&amp;A46,""PRICE"")"),710.3)</f>
        <v>710.3</v>
      </c>
      <c r="N46" s="44">
        <f ca="1">IFERROR(__xludf.DUMMYFUNCTION("googlefinance(""nse:""&amp;A46,""HIGH"")"),738.75)</f>
        <v>738.75</v>
      </c>
      <c r="O46" s="48">
        <f ca="1">IFERROR(__xludf.DUMMYFUNCTION("googlefinance(""nse:""&amp;A46,""LOW"")"),708.5)</f>
        <v>708.5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35" t="s">
        <v>101</v>
      </c>
      <c r="B47" s="37" t="e">
        <f t="shared" ca="1" si="0"/>
        <v>#VALUE!</v>
      </c>
      <c r="C47" s="39">
        <f ca="1">IFERROR(__xludf.DUMMYFUNCTION("googlefinance(""nse:""&amp;A47,""changepct"")"),1.48)</f>
        <v>1.48</v>
      </c>
      <c r="D47" s="39">
        <f ca="1">IFERROR(__xludf.DUMMYFUNCTION("googlefinance(""nse:""&amp;A47,""change"")"),2.3)</f>
        <v>2.2999999999999998</v>
      </c>
      <c r="E47" s="39" t="str">
        <f ca="1">IFERROR(__xludf.DUMMYFUNCTION("ArrayFormula( AVERAGE( QUERY( SORT(GOOGLEFINANCE(""NSE:""&amp;A47,""all"",workday.intl(TODAY(),-4),TODAY(),""daily""),2,0) , ""select Col6 "" ) ))"),"#N/A")</f>
        <v>#N/A</v>
      </c>
      <c r="F47" s="39">
        <f ca="1">IFERROR(__xludf.DUMMYFUNCTION("googlefinance(""nse:""&amp;A47,""volume"")"),5229761)</f>
        <v>5229761</v>
      </c>
      <c r="G47" s="42" t="e">
        <f t="shared" ca="1" si="1"/>
        <v>#VALUE!</v>
      </c>
      <c r="H47" s="43" t="e">
        <f t="shared" ca="1" si="2"/>
        <v>#VALUE!</v>
      </c>
      <c r="I47" s="43" t="e">
        <f t="shared" ca="1" si="3"/>
        <v>#VALUE!</v>
      </c>
      <c r="J47" s="43" t="e">
        <f t="shared" ca="1" si="4"/>
        <v>#VALUE!</v>
      </c>
      <c r="K47" s="44">
        <f t="shared" ca="1" si="5"/>
        <v>0</v>
      </c>
      <c r="L47" s="45">
        <f ca="1">IFERROR(__xludf.DUMMYFUNCTION("googlefinance(""nse:""&amp;A47,""PRICEOPEN"")"),160)</f>
        <v>160</v>
      </c>
      <c r="M47" s="45">
        <f ca="1">IFERROR(__xludf.DUMMYFUNCTION("googlefinance(""nse:""&amp;A47,""PRICE"")"),157.55)</f>
        <v>157.55000000000001</v>
      </c>
      <c r="N47" s="44">
        <f ca="1">IFERROR(__xludf.DUMMYFUNCTION("googlefinance(""nse:""&amp;A47,""HIGH"")"),163.35)</f>
        <v>163.35</v>
      </c>
      <c r="O47" s="48">
        <f ca="1">IFERROR(__xludf.DUMMYFUNCTION("googlefinance(""nse:""&amp;A47,""LOW"")"),155.25)</f>
        <v>155.25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35" t="s">
        <v>102</v>
      </c>
      <c r="B48" s="37" t="e">
        <f t="shared" ca="1" si="0"/>
        <v>#VALUE!</v>
      </c>
      <c r="C48" s="39">
        <f ca="1">IFERROR(__xludf.DUMMYFUNCTION("googlefinance(""nse:""&amp;A48,""changepct"")"),4.62)</f>
        <v>4.62</v>
      </c>
      <c r="D48" s="39">
        <f ca="1">IFERROR(__xludf.DUMMYFUNCTION("googlefinance(""nse:""&amp;A48,""change"")"),2.15)</f>
        <v>2.15</v>
      </c>
      <c r="E48" s="39" t="str">
        <f ca="1">IFERROR(__xludf.DUMMYFUNCTION("ArrayFormula( AVERAGE( QUERY( SORT(GOOGLEFINANCE(""NSE:""&amp;A48,""all"",workday.intl(TODAY(),-4),TODAY(),""daily""),2,0) , ""select Col6 "" ) ))"),"#N/A")</f>
        <v>#N/A</v>
      </c>
      <c r="F48" s="39">
        <f ca="1">IFERROR(__xludf.DUMMYFUNCTION("googlefinance(""nse:""&amp;A48,""volume"")"),60287266)</f>
        <v>60287266</v>
      </c>
      <c r="G48" s="64" t="e">
        <f t="shared" ca="1" si="1"/>
        <v>#VALUE!</v>
      </c>
      <c r="H48" s="43" t="e">
        <f t="shared" ca="1" si="2"/>
        <v>#VALUE!</v>
      </c>
      <c r="I48" s="43" t="e">
        <f t="shared" ca="1" si="3"/>
        <v>#VALUE!</v>
      </c>
      <c r="J48" s="43" t="e">
        <f t="shared" ca="1" si="4"/>
        <v>#VALUE!</v>
      </c>
      <c r="K48" s="44">
        <f t="shared" ca="1" si="5"/>
        <v>0</v>
      </c>
      <c r="L48" s="45">
        <f ca="1">IFERROR(__xludf.DUMMYFUNCTION("googlefinance(""nse:""&amp;A48,""PRICEOPEN"")"),47.05)</f>
        <v>47.05</v>
      </c>
      <c r="M48" s="45">
        <f ca="1">IFERROR(__xludf.DUMMYFUNCTION("googlefinance(""nse:""&amp;A48,""PRICE"")"),48.65)</f>
        <v>48.65</v>
      </c>
      <c r="N48" s="44">
        <f ca="1">IFERROR(__xludf.DUMMYFUNCTION("googlefinance(""nse:""&amp;A48,""HIGH"")"),50.75)</f>
        <v>50.75</v>
      </c>
      <c r="O48" s="48">
        <f ca="1">IFERROR(__xludf.DUMMYFUNCTION("googlefinance(""nse:""&amp;A48,""LOW"")"),46.6)</f>
        <v>46.6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35" t="s">
        <v>104</v>
      </c>
      <c r="B49" s="37" t="e">
        <f t="shared" ca="1" si="0"/>
        <v>#VALUE!</v>
      </c>
      <c r="C49" s="39">
        <f ca="1">IFERROR(__xludf.DUMMYFUNCTION("googlefinance(""nse:""&amp;A49,""changepct"")"),6.45)</f>
        <v>6.45</v>
      </c>
      <c r="D49" s="39">
        <f ca="1">IFERROR(__xludf.DUMMYFUNCTION("googlefinance(""nse:""&amp;A49,""change"")"),5.75)</f>
        <v>5.75</v>
      </c>
      <c r="E49" s="39" t="str">
        <f ca="1">IFERROR(__xludf.DUMMYFUNCTION("ArrayFormula( AVERAGE( QUERY( SORT(GOOGLEFINANCE(""NSE:""&amp;A49,""all"",workday.intl(TODAY(),-4),TODAY(),""daily""),2,0) , ""select Col6 "" ) ))"),"#N/A")</f>
        <v>#N/A</v>
      </c>
      <c r="F49" s="39">
        <f ca="1">IFERROR(__xludf.DUMMYFUNCTION("googlefinance(""nse:""&amp;A49,""volume"")"),18495310)</f>
        <v>18495310</v>
      </c>
      <c r="G49" s="42" t="e">
        <f t="shared" ca="1" si="1"/>
        <v>#VALUE!</v>
      </c>
      <c r="H49" s="43" t="e">
        <f t="shared" ca="1" si="2"/>
        <v>#VALUE!</v>
      </c>
      <c r="I49" s="43" t="e">
        <f t="shared" ca="1" si="3"/>
        <v>#VALUE!</v>
      </c>
      <c r="J49" s="43" t="e">
        <f t="shared" ca="1" si="4"/>
        <v>#VALUE!</v>
      </c>
      <c r="K49" s="44">
        <f t="shared" ca="1" si="5"/>
        <v>0</v>
      </c>
      <c r="L49" s="45">
        <f ca="1">IFERROR(__xludf.DUMMYFUNCTION("googlefinance(""nse:""&amp;A49,""PRICEOPEN"")"),91.5)</f>
        <v>91.5</v>
      </c>
      <c r="M49" s="45">
        <f ca="1">IFERROR(__xludf.DUMMYFUNCTION("googlefinance(""nse:""&amp;A49,""PRICE"")"),94.85)</f>
        <v>94.85</v>
      </c>
      <c r="N49" s="44">
        <f ca="1">IFERROR(__xludf.DUMMYFUNCTION("googlefinance(""nse:""&amp;A49,""HIGH"")"),96.55)</f>
        <v>96.55</v>
      </c>
      <c r="O49" s="48">
        <f ca="1">IFERROR(__xludf.DUMMYFUNCTION("googlefinance(""nse:""&amp;A49,""LOW"")"),91.3)</f>
        <v>91.3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35" t="s">
        <v>105</v>
      </c>
      <c r="B50" s="37" t="e">
        <f t="shared" ca="1" si="0"/>
        <v>#VALUE!</v>
      </c>
      <c r="C50" s="39">
        <f ca="1">IFERROR(__xludf.DUMMYFUNCTION("googlefinance(""nse:""&amp;A50,""changepct"")"),2.37)</f>
        <v>2.37</v>
      </c>
      <c r="D50" s="39">
        <f ca="1">IFERROR(__xludf.DUMMYFUNCTION("googlefinance(""nse:""&amp;A50,""change"")"),7.8)</f>
        <v>7.8</v>
      </c>
      <c r="E50" s="39" t="str">
        <f ca="1">IFERROR(__xludf.DUMMYFUNCTION("ArrayFormula( AVERAGE( QUERY( SORT(GOOGLEFINANCE(""NSE:""&amp;A50,""all"",workday.intl(TODAY(),-4),TODAY(),""daily""),2,0) , ""select Col6 "" ) ))"),"#N/A")</f>
        <v>#N/A</v>
      </c>
      <c r="F50" s="39">
        <f ca="1">IFERROR(__xludf.DUMMYFUNCTION("googlefinance(""nse:""&amp;A50,""volume"")"),11120364)</f>
        <v>11120364</v>
      </c>
      <c r="G50" s="64" t="e">
        <f t="shared" ca="1" si="1"/>
        <v>#VALUE!</v>
      </c>
      <c r="H50" s="78" t="e">
        <f t="shared" ca="1" si="2"/>
        <v>#VALUE!</v>
      </c>
      <c r="I50" s="78" t="e">
        <f t="shared" ca="1" si="3"/>
        <v>#VALUE!</v>
      </c>
      <c r="J50" s="43" t="e">
        <f t="shared" ca="1" si="4"/>
        <v>#VALUE!</v>
      </c>
      <c r="K50" s="44">
        <f t="shared" ca="1" si="5"/>
        <v>0</v>
      </c>
      <c r="L50" s="45">
        <f ca="1">IFERROR(__xludf.DUMMYFUNCTION("googlefinance(""nse:""&amp;A50,""PRICEOPEN"")"),354)</f>
        <v>354</v>
      </c>
      <c r="M50" s="45">
        <f ca="1">IFERROR(__xludf.DUMMYFUNCTION("googlefinance(""nse:""&amp;A50,""PRICE"")"),337.5)</f>
        <v>337.5</v>
      </c>
      <c r="N50" s="44">
        <f ca="1">IFERROR(__xludf.DUMMYFUNCTION("googlefinance(""nse:""&amp;A50,""HIGH"")"),359)</f>
        <v>359</v>
      </c>
      <c r="O50" s="48">
        <f ca="1">IFERROR(__xludf.DUMMYFUNCTION("googlefinance(""nse:""&amp;A50,""LOW"")"),335.8)</f>
        <v>335.8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35" t="s">
        <v>107</v>
      </c>
      <c r="B51" s="37" t="e">
        <f t="shared" ca="1" si="0"/>
        <v>#VALUE!</v>
      </c>
      <c r="C51" s="39">
        <f ca="1">IFERROR(__xludf.DUMMYFUNCTION("googlefinance(""nse:""&amp;A51,""changepct"")"),0.59)</f>
        <v>0.59</v>
      </c>
      <c r="D51" s="39">
        <f ca="1">IFERROR(__xludf.DUMMYFUNCTION("googlefinance(""nse:""&amp;A51,""change"")"),0.1)</f>
        <v>0.1</v>
      </c>
      <c r="E51" s="39" t="str">
        <f ca="1">IFERROR(__xludf.DUMMYFUNCTION("ArrayFormula( AVERAGE( QUERY( SORT(GOOGLEFINANCE(""NSE:""&amp;A51,""all"",workday.intl(TODAY(),-4),TODAY(),""daily""),2,0) , ""select Col6 "" ) ))"),"#N/A")</f>
        <v>#N/A</v>
      </c>
      <c r="F51" s="39">
        <f ca="1">IFERROR(__xludf.DUMMYFUNCTION("googlefinance(""nse:""&amp;A51,""volume"")"),11099466)</f>
        <v>11099466</v>
      </c>
      <c r="G51" s="42" t="e">
        <f t="shared" ca="1" si="1"/>
        <v>#VALUE!</v>
      </c>
      <c r="H51" s="43" t="e">
        <f t="shared" ca="1" si="2"/>
        <v>#VALUE!</v>
      </c>
      <c r="I51" s="43" t="e">
        <f t="shared" ca="1" si="3"/>
        <v>#VALUE!</v>
      </c>
      <c r="J51" s="43" t="e">
        <f t="shared" ca="1" si="4"/>
        <v>#VALUE!</v>
      </c>
      <c r="K51" s="44">
        <f t="shared" ca="1" si="5"/>
        <v>0</v>
      </c>
      <c r="L51" s="45">
        <f ca="1">IFERROR(__xludf.DUMMYFUNCTION("googlefinance(""nse:""&amp;A51,""PRICEOPEN"")"),17.2)</f>
        <v>17.2</v>
      </c>
      <c r="M51" s="45">
        <f ca="1">IFERROR(__xludf.DUMMYFUNCTION("googlefinance(""nse:""&amp;A51,""PRICE"")"),17.05)</f>
        <v>17.05</v>
      </c>
      <c r="N51" s="44">
        <f ca="1">IFERROR(__xludf.DUMMYFUNCTION("googlefinance(""nse:""&amp;A51,""HIGH"")"),17.6)</f>
        <v>17.600000000000001</v>
      </c>
      <c r="O51" s="48">
        <f ca="1">IFERROR(__xludf.DUMMYFUNCTION("googlefinance(""nse:""&amp;A51,""LOW"")"),17)</f>
        <v>17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35" t="s">
        <v>109</v>
      </c>
      <c r="B52" s="37" t="e">
        <f t="shared" ca="1" si="0"/>
        <v>#VALUE!</v>
      </c>
      <c r="C52" s="39">
        <f ca="1">IFERROR(__xludf.DUMMYFUNCTION("googlefinance(""nse:""&amp;A52,""changepct"")"),1.22)</f>
        <v>1.22</v>
      </c>
      <c r="D52" s="39">
        <f ca="1">IFERROR(__xludf.DUMMYFUNCTION("googlefinance(""nse:""&amp;A52,""change"")"),6.55)</f>
        <v>6.55</v>
      </c>
      <c r="E52" s="39" t="str">
        <f ca="1">IFERROR(__xludf.DUMMYFUNCTION("ArrayFormula( AVERAGE( QUERY( SORT(GOOGLEFINANCE(""NSE:""&amp;A52,""all"",workday.intl(TODAY(),-4),TODAY(),""daily""),2,0) , ""select Col6 "" ) ))"),"#N/A")</f>
        <v>#N/A</v>
      </c>
      <c r="F52" s="39">
        <f ca="1">IFERROR(__xludf.DUMMYFUNCTION("googlefinance(""nse:""&amp;A52,""volume"")"),2792195)</f>
        <v>2792195</v>
      </c>
      <c r="G52" s="42" t="e">
        <f t="shared" ca="1" si="1"/>
        <v>#VALUE!</v>
      </c>
      <c r="H52" s="43" t="e">
        <f t="shared" ca="1" si="2"/>
        <v>#VALUE!</v>
      </c>
      <c r="I52" s="43" t="e">
        <f t="shared" ca="1" si="3"/>
        <v>#VALUE!</v>
      </c>
      <c r="J52" s="43" t="e">
        <f t="shared" ca="1" si="4"/>
        <v>#VALUE!</v>
      </c>
      <c r="K52" s="44">
        <f t="shared" ca="1" si="5"/>
        <v>0</v>
      </c>
      <c r="L52" s="45">
        <f ca="1">IFERROR(__xludf.DUMMYFUNCTION("googlefinance(""nse:""&amp;A52,""PRICEOPEN"")"),540.55)</f>
        <v>540.54999999999995</v>
      </c>
      <c r="M52" s="45">
        <f ca="1">IFERROR(__xludf.DUMMYFUNCTION("googlefinance(""nse:""&amp;A52,""PRICE"")"),543)</f>
        <v>543</v>
      </c>
      <c r="N52" s="44">
        <f ca="1">IFERROR(__xludf.DUMMYFUNCTION("googlefinance(""nse:""&amp;A52,""HIGH"")"),546.9)</f>
        <v>546.9</v>
      </c>
      <c r="O52" s="48">
        <f ca="1">IFERROR(__xludf.DUMMYFUNCTION("googlefinance(""nse:""&amp;A52,""LOW"")"),528)</f>
        <v>528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35" t="s">
        <v>110</v>
      </c>
      <c r="B53" s="37" t="e">
        <f t="shared" ca="1" si="0"/>
        <v>#VALUE!</v>
      </c>
      <c r="C53" s="39">
        <f ca="1">IFERROR(__xludf.DUMMYFUNCTION("googlefinance(""nse:""&amp;A53,""changepct"")"),1.64)</f>
        <v>1.64</v>
      </c>
      <c r="D53" s="39">
        <f ca="1">IFERROR(__xludf.DUMMYFUNCTION("googlefinance(""nse:""&amp;A53,""change"")"),10.85)</f>
        <v>10.85</v>
      </c>
      <c r="E53" s="39" t="str">
        <f ca="1">IFERROR(__xludf.DUMMYFUNCTION("ArrayFormula( AVERAGE( QUERY( SORT(GOOGLEFINANCE(""NSE:""&amp;A53,""all"",workday.intl(TODAY(),-4),TODAY(),""daily""),2,0) , ""select Col6 "" ) ))"),"#N/A")</f>
        <v>#N/A</v>
      </c>
      <c r="F53" s="39">
        <f ca="1">IFERROR(__xludf.DUMMYFUNCTION("googlefinance(""nse:""&amp;A53,""volume"")"),675173)</f>
        <v>675173</v>
      </c>
      <c r="G53" s="42" t="e">
        <f t="shared" ca="1" si="1"/>
        <v>#VALUE!</v>
      </c>
      <c r="H53" s="43" t="e">
        <f t="shared" ca="1" si="2"/>
        <v>#VALUE!</v>
      </c>
      <c r="I53" s="43" t="e">
        <f t="shared" ca="1" si="3"/>
        <v>#VALUE!</v>
      </c>
      <c r="J53" s="43" t="e">
        <f t="shared" ca="1" si="4"/>
        <v>#VALUE!</v>
      </c>
      <c r="K53" s="44" t="str">
        <f t="shared" ca="1" si="5"/>
        <v>BUY</v>
      </c>
      <c r="L53" s="45">
        <f ca="1">IFERROR(__xludf.DUMMYFUNCTION("googlefinance(""nse:""&amp;A53,""PRICEOPEN"")"),668)</f>
        <v>668</v>
      </c>
      <c r="M53" s="45">
        <f ca="1">IFERROR(__xludf.DUMMYFUNCTION("googlefinance(""nse:""&amp;A53,""PRICE"")"),673.3)</f>
        <v>673.3</v>
      </c>
      <c r="N53" s="44">
        <f ca="1">IFERROR(__xludf.DUMMYFUNCTION("googlefinance(""nse:""&amp;A53,""HIGH"")"),699.5)</f>
        <v>699.5</v>
      </c>
      <c r="O53" s="48">
        <f ca="1">IFERROR(__xludf.DUMMYFUNCTION("googlefinance(""nse:""&amp;A53,""LOW"")"),668)</f>
        <v>668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35" t="s">
        <v>112</v>
      </c>
      <c r="B54" s="37" t="e">
        <f t="shared" ca="1" si="0"/>
        <v>#VALUE!</v>
      </c>
      <c r="C54" s="39">
        <f ca="1">IFERROR(__xludf.DUMMYFUNCTION("googlefinance(""nse:""&amp;A54,""changepct"")"),1.2)</f>
        <v>1.2</v>
      </c>
      <c r="D54" s="39">
        <f ca="1">IFERROR(__xludf.DUMMYFUNCTION("googlefinance(""nse:""&amp;A54,""change"")"),6)</f>
        <v>6</v>
      </c>
      <c r="E54" s="39" t="str">
        <f ca="1">IFERROR(__xludf.DUMMYFUNCTION("ArrayFormula( AVERAGE( QUERY( SORT(GOOGLEFINANCE(""NSE:""&amp;A54,""all"",workday.intl(TODAY(),-4),TODAY(),""daily""),2,0) , ""select Col6 "" ) ))"),"#N/A")</f>
        <v>#N/A</v>
      </c>
      <c r="F54" s="39">
        <f ca="1">IFERROR(__xludf.DUMMYFUNCTION("googlefinance(""nse:""&amp;A54,""volume"")"),6535679)</f>
        <v>6535679</v>
      </c>
      <c r="G54" s="42" t="e">
        <f t="shared" ca="1" si="1"/>
        <v>#VALUE!</v>
      </c>
      <c r="H54" s="43" t="e">
        <f t="shared" ca="1" si="2"/>
        <v>#VALUE!</v>
      </c>
      <c r="I54" s="43" t="e">
        <f t="shared" ca="1" si="3"/>
        <v>#VALUE!</v>
      </c>
      <c r="J54" s="43" t="e">
        <f t="shared" ca="1" si="4"/>
        <v>#VALUE!</v>
      </c>
      <c r="K54" s="44">
        <f t="shared" ca="1" si="5"/>
        <v>0</v>
      </c>
      <c r="L54" s="45">
        <f ca="1">IFERROR(__xludf.DUMMYFUNCTION("googlefinance(""nse:""&amp;A54,""PRICEOPEN"")"),505)</f>
        <v>505</v>
      </c>
      <c r="M54" s="45">
        <f ca="1">IFERROR(__xludf.DUMMYFUNCTION("googlefinance(""nse:""&amp;A54,""PRICE"")"),507.95)</f>
        <v>507.95</v>
      </c>
      <c r="N54" s="44">
        <f ca="1">IFERROR(__xludf.DUMMYFUNCTION("googlefinance(""nse:""&amp;A54,""HIGH"")"),515)</f>
        <v>515</v>
      </c>
      <c r="O54" s="48">
        <f ca="1">IFERROR(__xludf.DUMMYFUNCTION("googlefinance(""nse:""&amp;A54,""LOW"")"),501.3)</f>
        <v>501.3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35" t="s">
        <v>114</v>
      </c>
      <c r="B55" s="37" t="e">
        <f t="shared" ca="1" si="0"/>
        <v>#VALUE!</v>
      </c>
      <c r="C55" s="39">
        <f ca="1">IFERROR(__xludf.DUMMYFUNCTION("googlefinance(""nse:""&amp;A55,""changepct"")"),3.71)</f>
        <v>3.71</v>
      </c>
      <c r="D55" s="39">
        <f ca="1">IFERROR(__xludf.DUMMYFUNCTION("googlefinance(""nse:""&amp;A55,""change"")"),20.15)</f>
        <v>20.149999999999999</v>
      </c>
      <c r="E55" s="39" t="str">
        <f ca="1">IFERROR(__xludf.DUMMYFUNCTION("ArrayFormula( AVERAGE( QUERY( SORT(GOOGLEFINANCE(""NSE:""&amp;A55,""all"",workday.intl(TODAY(),-4),TODAY(),""daily""),2,0) , ""select Col6 "" ) ))"),"#N/A")</f>
        <v>#N/A</v>
      </c>
      <c r="F55" s="39">
        <f ca="1">IFERROR(__xludf.DUMMYFUNCTION("googlefinance(""nse:""&amp;A55,""volume"")"),2637280)</f>
        <v>2637280</v>
      </c>
      <c r="G55" s="42" t="e">
        <f t="shared" ca="1" si="1"/>
        <v>#VALUE!</v>
      </c>
      <c r="H55" s="43" t="e">
        <f t="shared" ca="1" si="2"/>
        <v>#VALUE!</v>
      </c>
      <c r="I55" s="43" t="e">
        <f t="shared" ca="1" si="3"/>
        <v>#VALUE!</v>
      </c>
      <c r="J55" s="43" t="e">
        <f t="shared" ca="1" si="4"/>
        <v>#VALUE!</v>
      </c>
      <c r="K55" s="44">
        <f t="shared" ca="1" si="5"/>
        <v>0</v>
      </c>
      <c r="L55" s="45">
        <f ca="1">IFERROR(__xludf.DUMMYFUNCTION("googlefinance(""nse:""&amp;A55,""PRICEOPEN"")"),552.25)</f>
        <v>552.25</v>
      </c>
      <c r="M55" s="45">
        <f ca="1">IFERROR(__xludf.DUMMYFUNCTION("googlefinance(""nse:""&amp;A55,""PRICE"")"),563)</f>
        <v>563</v>
      </c>
      <c r="N55" s="44">
        <f ca="1">IFERROR(__xludf.DUMMYFUNCTION("googlefinance(""nse:""&amp;A55,""HIGH"")"),565.75)</f>
        <v>565.75</v>
      </c>
      <c r="O55" s="48">
        <f ca="1">IFERROR(__xludf.DUMMYFUNCTION("googlefinance(""nse:""&amp;A55,""LOW"")"),544.7)</f>
        <v>544.70000000000005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35" t="s">
        <v>115</v>
      </c>
      <c r="B56" s="37" t="e">
        <f t="shared" ca="1" si="0"/>
        <v>#VALUE!</v>
      </c>
      <c r="C56" s="39">
        <f ca="1">IFERROR(__xludf.DUMMYFUNCTION("googlefinance(""nse:""&amp;A56,""changepct"")"),10.83)</f>
        <v>10.83</v>
      </c>
      <c r="D56" s="39">
        <f ca="1">IFERROR(__xludf.DUMMYFUNCTION("googlefinance(""nse:""&amp;A56,""change"")"),53.25)</f>
        <v>53.25</v>
      </c>
      <c r="E56" s="39" t="str">
        <f ca="1">IFERROR(__xludf.DUMMYFUNCTION("ArrayFormula( AVERAGE( QUERY( SORT(GOOGLEFINANCE(""NSE:""&amp;A56,""all"",workday.intl(TODAY(),-4),TODAY(),""daily""),2,0) , ""select Col6 "" ) ))"),"#N/A")</f>
        <v>#N/A</v>
      </c>
      <c r="F56" s="39">
        <f ca="1">IFERROR(__xludf.DUMMYFUNCTION("googlefinance(""nse:""&amp;A56,""volume"")"),8035698)</f>
        <v>8035698</v>
      </c>
      <c r="G56" s="42" t="e">
        <f t="shared" ca="1" si="1"/>
        <v>#VALUE!</v>
      </c>
      <c r="H56" s="43" t="e">
        <f t="shared" ca="1" si="2"/>
        <v>#VALUE!</v>
      </c>
      <c r="I56" s="43" t="e">
        <f t="shared" ca="1" si="3"/>
        <v>#VALUE!</v>
      </c>
      <c r="J56" s="43" t="e">
        <f t="shared" ca="1" si="4"/>
        <v>#VALUE!</v>
      </c>
      <c r="K56" s="44">
        <f t="shared" ca="1" si="5"/>
        <v>0</v>
      </c>
      <c r="L56" s="45">
        <f ca="1">IFERROR(__xludf.DUMMYFUNCTION("googlefinance(""nse:""&amp;A56,""PRICEOPEN"")"),506.5)</f>
        <v>506.5</v>
      </c>
      <c r="M56" s="45">
        <f ca="1">IFERROR(__xludf.DUMMYFUNCTION("googlefinance(""nse:""&amp;A56,""PRICE"")"),545)</f>
        <v>545</v>
      </c>
      <c r="N56" s="44">
        <f ca="1">IFERROR(__xludf.DUMMYFUNCTION("googlefinance(""nse:""&amp;A56,""HIGH"")"),565.5)</f>
        <v>565.5</v>
      </c>
      <c r="O56" s="48">
        <f ca="1">IFERROR(__xludf.DUMMYFUNCTION("googlefinance(""nse:""&amp;A56,""LOW"")"),501)</f>
        <v>501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35" t="s">
        <v>116</v>
      </c>
      <c r="B57" s="37" t="e">
        <f t="shared" ca="1" si="0"/>
        <v>#VALUE!</v>
      </c>
      <c r="C57" s="39">
        <f ca="1">IFERROR(__xludf.DUMMYFUNCTION("googlefinance(""nse:""&amp;A57,""changepct"")"),4.32)</f>
        <v>4.32</v>
      </c>
      <c r="D57" s="39">
        <f ca="1">IFERROR(__xludf.DUMMYFUNCTION("googlefinance(""nse:""&amp;A57,""change"")"),79.4)</f>
        <v>79.400000000000006</v>
      </c>
      <c r="E57" s="39" t="str">
        <f ca="1">IFERROR(__xludf.DUMMYFUNCTION("ArrayFormula( AVERAGE( QUERY( SORT(GOOGLEFINANCE(""NSE:""&amp;A57,""all"",workday.intl(TODAY(),-4),TODAY(),""daily""),2,0) , ""select Col6 "" ) ))"),"#N/A")</f>
        <v>#N/A</v>
      </c>
      <c r="F57" s="39">
        <f ca="1">IFERROR(__xludf.DUMMYFUNCTION("googlefinance(""nse:""&amp;A57,""volume"")"),8237079)</f>
        <v>8237079</v>
      </c>
      <c r="G57" s="42" t="e">
        <f t="shared" ca="1" si="1"/>
        <v>#VALUE!</v>
      </c>
      <c r="H57" s="43" t="e">
        <f t="shared" ca="1" si="2"/>
        <v>#VALUE!</v>
      </c>
      <c r="I57" s="43" t="e">
        <f t="shared" ca="1" si="3"/>
        <v>#VALUE!</v>
      </c>
      <c r="J57" s="43" t="e">
        <f t="shared" ca="1" si="4"/>
        <v>#VALUE!</v>
      </c>
      <c r="K57" s="44">
        <f t="shared" ca="1" si="5"/>
        <v>0</v>
      </c>
      <c r="L57" s="45">
        <f ca="1">IFERROR(__xludf.DUMMYFUNCTION("googlefinance(""nse:""&amp;A57,""PRICEOPEN"")"),1857)</f>
        <v>1857</v>
      </c>
      <c r="M57" s="45">
        <f ca="1">IFERROR(__xludf.DUMMYFUNCTION("googlefinance(""nse:""&amp;A57,""PRICE"")"),1916.15)</f>
        <v>1916.15</v>
      </c>
      <c r="N57" s="44">
        <f ca="1">IFERROR(__xludf.DUMMYFUNCTION("googlefinance(""nse:""&amp;A57,""HIGH"")"),1927)</f>
        <v>1927</v>
      </c>
      <c r="O57" s="48">
        <f ca="1">IFERROR(__xludf.DUMMYFUNCTION("googlefinance(""nse:""&amp;A57,""LOW"")"),1855.5)</f>
        <v>1855.5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35" t="s">
        <v>117</v>
      </c>
      <c r="B58" s="37" t="e">
        <f t="shared" ca="1" si="0"/>
        <v>#VALUE!</v>
      </c>
      <c r="C58" s="39">
        <f ca="1">IFERROR(__xludf.DUMMYFUNCTION("googlefinance(""nse:""&amp;A58,""changepct"")"),2.34)</f>
        <v>2.34</v>
      </c>
      <c r="D58" s="39">
        <f ca="1">IFERROR(__xludf.DUMMYFUNCTION("googlefinance(""nse:""&amp;A58,""change"")"),22.9)</f>
        <v>22.9</v>
      </c>
      <c r="E58" s="39" t="str">
        <f ca="1">IFERROR(__xludf.DUMMYFUNCTION("ArrayFormula( AVERAGE( QUERY( SORT(GOOGLEFINANCE(""NSE:""&amp;A58,""all"",workday.intl(TODAY(),-4),TODAY(),""daily""),2,0) , ""select Col6 "" ) ))"),"#N/A")</f>
        <v>#N/A</v>
      </c>
      <c r="F58" s="39">
        <f ca="1">IFERROR(__xludf.DUMMYFUNCTION("googlefinance(""nse:""&amp;A58,""volume"")"),21897643)</f>
        <v>21897643</v>
      </c>
      <c r="G58" s="64" t="e">
        <f t="shared" ca="1" si="1"/>
        <v>#VALUE!</v>
      </c>
      <c r="H58" s="43" t="e">
        <f t="shared" ca="1" si="2"/>
        <v>#VALUE!</v>
      </c>
      <c r="I58" s="43" t="e">
        <f t="shared" ca="1" si="3"/>
        <v>#VALUE!</v>
      </c>
      <c r="J58" s="43" t="e">
        <f t="shared" ca="1" si="4"/>
        <v>#VALUE!</v>
      </c>
      <c r="K58" s="44">
        <f t="shared" ca="1" si="5"/>
        <v>0</v>
      </c>
      <c r="L58" s="45">
        <f ca="1">IFERROR(__xludf.DUMMYFUNCTION("googlefinance(""nse:""&amp;A58,""PRICEOPEN"")"),1001.4)</f>
        <v>1001.4</v>
      </c>
      <c r="M58" s="45">
        <f ca="1">IFERROR(__xludf.DUMMYFUNCTION("googlefinance(""nse:""&amp;A58,""PRICE"")"),1000)</f>
        <v>1000</v>
      </c>
      <c r="N58" s="44">
        <f ca="1">IFERROR(__xludf.DUMMYFUNCTION("googlefinance(""nse:""&amp;A58,""HIGH"")"),1019)</f>
        <v>1019</v>
      </c>
      <c r="O58" s="48">
        <f ca="1">IFERROR(__xludf.DUMMYFUNCTION("googlefinance(""nse:""&amp;A58,""LOW"")"),992.1)</f>
        <v>992.1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35" t="s">
        <v>118</v>
      </c>
      <c r="B59" s="37" t="e">
        <f t="shared" ca="1" si="0"/>
        <v>#VALUE!</v>
      </c>
      <c r="C59" s="39">
        <f ca="1">IFERROR(__xludf.DUMMYFUNCTION("googlefinance(""nse:""&amp;A59,""changepct"")"),1.3)</f>
        <v>1.3</v>
      </c>
      <c r="D59" s="39">
        <f ca="1">IFERROR(__xludf.DUMMYFUNCTION("googlefinance(""nse:""&amp;A59,""change"")"),6.4)</f>
        <v>6.4</v>
      </c>
      <c r="E59" s="39" t="str">
        <f ca="1">IFERROR(__xludf.DUMMYFUNCTION("ArrayFormula( AVERAGE( QUERY( SORT(GOOGLEFINANCE(""NSE:""&amp;A59,""all"",workday.intl(TODAY(),-4),TODAY(),""daily""),2,0) , ""select Col6 "" ) ))"),"#N/A")</f>
        <v>#N/A</v>
      </c>
      <c r="F59" s="39">
        <f ca="1">IFERROR(__xludf.DUMMYFUNCTION("googlefinance(""nse:""&amp;A59,""volume"")"),3751413)</f>
        <v>3751413</v>
      </c>
      <c r="G59" s="42" t="e">
        <f t="shared" ca="1" si="1"/>
        <v>#VALUE!</v>
      </c>
      <c r="H59" s="43" t="e">
        <f t="shared" ca="1" si="2"/>
        <v>#VALUE!</v>
      </c>
      <c r="I59" s="43" t="e">
        <f t="shared" ca="1" si="3"/>
        <v>#VALUE!</v>
      </c>
      <c r="J59" s="43" t="e">
        <f t="shared" ca="1" si="4"/>
        <v>#VALUE!</v>
      </c>
      <c r="K59" s="44">
        <f t="shared" ca="1" si="5"/>
        <v>0</v>
      </c>
      <c r="L59" s="45">
        <f ca="1">IFERROR(__xludf.DUMMYFUNCTION("googlefinance(""nse:""&amp;A59,""PRICEOPEN"")"),500)</f>
        <v>500</v>
      </c>
      <c r="M59" s="45">
        <f ca="1">IFERROR(__xludf.DUMMYFUNCTION("googlefinance(""nse:""&amp;A59,""PRICE"")"),499.25)</f>
        <v>499.25</v>
      </c>
      <c r="N59" s="44">
        <f ca="1">IFERROR(__xludf.DUMMYFUNCTION("googlefinance(""nse:""&amp;A59,""HIGH"")"),510.7)</f>
        <v>510.7</v>
      </c>
      <c r="O59" s="48">
        <f ca="1">IFERROR(__xludf.DUMMYFUNCTION("googlefinance(""nse:""&amp;A59,""LOW"")"),493.15)</f>
        <v>493.15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35" t="s">
        <v>120</v>
      </c>
      <c r="B60" s="37" t="e">
        <f t="shared" ca="1" si="0"/>
        <v>#VALUE!</v>
      </c>
      <c r="C60" s="39">
        <f ca="1">IFERROR(__xludf.DUMMYFUNCTION("googlefinance(""nse:""&amp;A60,""changepct"")"),9.28)</f>
        <v>9.2799999999999994</v>
      </c>
      <c r="D60" s="39">
        <f ca="1">IFERROR(__xludf.DUMMYFUNCTION("googlefinance(""nse:""&amp;A60,""change"")"),182.75)</f>
        <v>182.75</v>
      </c>
      <c r="E60" s="39" t="str">
        <f ca="1">IFERROR(__xludf.DUMMYFUNCTION("ArrayFormula( AVERAGE( QUERY( SORT(GOOGLEFINANCE(""NSE:""&amp;A60,""all"",workday.intl(TODAY(),-4),TODAY(),""daily""),2,0) , ""select Col6 "" ) ))"),"#N/A")</f>
        <v>#N/A</v>
      </c>
      <c r="F60" s="39">
        <f ca="1">IFERROR(__xludf.DUMMYFUNCTION("googlefinance(""nse:""&amp;A60,""volume"")"),2786594)</f>
        <v>2786594</v>
      </c>
      <c r="G60" s="42" t="e">
        <f t="shared" ca="1" si="1"/>
        <v>#VALUE!</v>
      </c>
      <c r="H60" s="43" t="e">
        <f t="shared" ca="1" si="2"/>
        <v>#VALUE!</v>
      </c>
      <c r="I60" s="43" t="e">
        <f t="shared" ca="1" si="3"/>
        <v>#VALUE!</v>
      </c>
      <c r="J60" s="43" t="e">
        <f t="shared" ca="1" si="4"/>
        <v>#VALUE!</v>
      </c>
      <c r="K60" s="44">
        <f t="shared" ca="1" si="5"/>
        <v>0</v>
      </c>
      <c r="L60" s="45">
        <f ca="1">IFERROR(__xludf.DUMMYFUNCTION("googlefinance(""nse:""&amp;A60,""PRICEOPEN"")"),2017.1)</f>
        <v>2017.1</v>
      </c>
      <c r="M60" s="45">
        <f ca="1">IFERROR(__xludf.DUMMYFUNCTION("googlefinance(""nse:""&amp;A60,""PRICE"")"),2153)</f>
        <v>2153</v>
      </c>
      <c r="N60" s="44">
        <f ca="1">IFERROR(__xludf.DUMMYFUNCTION("googlefinance(""nse:""&amp;A60,""HIGH"")"),2198.1)</f>
        <v>2198.1</v>
      </c>
      <c r="O60" s="48">
        <f ca="1">IFERROR(__xludf.DUMMYFUNCTION("googlefinance(""nse:""&amp;A60,""LOW"")"),1975)</f>
        <v>1975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35" t="s">
        <v>122</v>
      </c>
      <c r="B61" s="37" t="e">
        <f t="shared" ca="1" si="0"/>
        <v>#VALUE!</v>
      </c>
      <c r="C61" s="39">
        <f ca="1">IFERROR(__xludf.DUMMYFUNCTION("googlefinance(""nse:""&amp;A61,""changepct"")"),11.78)</f>
        <v>11.78</v>
      </c>
      <c r="D61" s="39">
        <f ca="1">IFERROR(__xludf.DUMMYFUNCTION("googlefinance(""nse:""&amp;A61,""change"")"),13.7)</f>
        <v>13.7</v>
      </c>
      <c r="E61" s="39" t="str">
        <f ca="1">IFERROR(__xludf.DUMMYFUNCTION("ArrayFormula( AVERAGE( QUERY( SORT(GOOGLEFINANCE(""NSE:""&amp;A61,""all"",workday.intl(TODAY(),-4),TODAY(),""daily""),2,0) , ""select Col6 "" ) ))"),"#N/A")</f>
        <v>#N/A</v>
      </c>
      <c r="F61" s="39">
        <f ca="1">IFERROR(__xludf.DUMMYFUNCTION("googlefinance(""nse:""&amp;A61,""volume"")"),45993743)</f>
        <v>45993743</v>
      </c>
      <c r="G61" s="42" t="e">
        <f t="shared" ca="1" si="1"/>
        <v>#VALUE!</v>
      </c>
      <c r="H61" s="43" t="e">
        <f t="shared" ca="1" si="2"/>
        <v>#VALUE!</v>
      </c>
      <c r="I61" s="43" t="e">
        <f t="shared" ca="1" si="3"/>
        <v>#VALUE!</v>
      </c>
      <c r="J61" s="43" t="e">
        <f t="shared" ca="1" si="4"/>
        <v>#VALUE!</v>
      </c>
      <c r="K61" s="44">
        <f t="shared" ca="1" si="5"/>
        <v>0</v>
      </c>
      <c r="L61" s="45">
        <f ca="1">IFERROR(__xludf.DUMMYFUNCTION("googlefinance(""nse:""&amp;A61,""PRICEOPEN"")"),120)</f>
        <v>120</v>
      </c>
      <c r="M61" s="45">
        <f ca="1">IFERROR(__xludf.DUMMYFUNCTION("googlefinance(""nse:""&amp;A61,""PRICE"")"),130)</f>
        <v>130</v>
      </c>
      <c r="N61" s="44">
        <f ca="1">IFERROR(__xludf.DUMMYFUNCTION("googlefinance(""nse:""&amp;A61,""HIGH"")"),132.2)</f>
        <v>132.19999999999999</v>
      </c>
      <c r="O61" s="48">
        <f ca="1">IFERROR(__xludf.DUMMYFUNCTION("googlefinance(""nse:""&amp;A61,""LOW"")"),119.5)</f>
        <v>119.5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35" t="s">
        <v>123</v>
      </c>
      <c r="B62" s="37" t="e">
        <f t="shared" ca="1" si="0"/>
        <v>#VALUE!</v>
      </c>
      <c r="C62" s="39">
        <f ca="1">IFERROR(__xludf.DUMMYFUNCTION("googlefinance(""nse:""&amp;A62,""changepct"")"),5.28)</f>
        <v>5.28</v>
      </c>
      <c r="D62" s="39">
        <f ca="1">IFERROR(__xludf.DUMMYFUNCTION("googlefinance(""nse:""&amp;A62,""change"")"),11)</f>
        <v>11</v>
      </c>
      <c r="E62" s="39" t="str">
        <f ca="1">IFERROR(__xludf.DUMMYFUNCTION("ArrayFormula( AVERAGE( QUERY( SORT(GOOGLEFINANCE(""NSE:""&amp;A62,""all"",workday.intl(TODAY(),-4),TODAY(),""daily""),2,0) , ""select Col6 "" ) ))"),"#N/A")</f>
        <v>#N/A</v>
      </c>
      <c r="F62" s="39">
        <f ca="1">IFERROR(__xludf.DUMMYFUNCTION("googlefinance(""nse:""&amp;A62,""volume"")"),10064082)</f>
        <v>10064082</v>
      </c>
      <c r="G62" s="42" t="e">
        <f t="shared" ca="1" si="1"/>
        <v>#VALUE!</v>
      </c>
      <c r="H62" s="43" t="e">
        <f t="shared" ca="1" si="2"/>
        <v>#VALUE!</v>
      </c>
      <c r="I62" s="43" t="e">
        <f t="shared" ca="1" si="3"/>
        <v>#VALUE!</v>
      </c>
      <c r="J62" s="43" t="e">
        <f t="shared" ca="1" si="4"/>
        <v>#VALUE!</v>
      </c>
      <c r="K62" s="44">
        <f t="shared" ca="1" si="5"/>
        <v>0</v>
      </c>
      <c r="L62" s="45">
        <f ca="1">IFERROR(__xludf.DUMMYFUNCTION("googlefinance(""nse:""&amp;A62,""PRICEOPEN"")"),211.05)</f>
        <v>211.05</v>
      </c>
      <c r="M62" s="45">
        <f ca="1">IFERROR(__xludf.DUMMYFUNCTION("googlefinance(""nse:""&amp;A62,""PRICE"")"),219.35)</f>
        <v>219.35</v>
      </c>
      <c r="N62" s="44">
        <f ca="1">IFERROR(__xludf.DUMMYFUNCTION("googlefinance(""nse:""&amp;A62,""HIGH"")"),224.4)</f>
        <v>224.4</v>
      </c>
      <c r="O62" s="48">
        <f ca="1">IFERROR(__xludf.DUMMYFUNCTION("googlefinance(""nse:""&amp;A62,""LOW"")"),206.7)</f>
        <v>206.7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35" t="s">
        <v>126</v>
      </c>
      <c r="B63" s="37" t="e">
        <f t="shared" ca="1" si="0"/>
        <v>#VALUE!</v>
      </c>
      <c r="C63" s="39">
        <f ca="1">IFERROR(__xludf.DUMMYFUNCTION("googlefinance(""nse:""&amp;A63,""changepct"")"),-1.2)</f>
        <v>-1.2</v>
      </c>
      <c r="D63" s="39">
        <f ca="1">IFERROR(__xludf.DUMMYFUNCTION("googlefinance(""nse:""&amp;A63,""change"")"),-26.75)</f>
        <v>-26.75</v>
      </c>
      <c r="E63" s="39" t="str">
        <f ca="1">IFERROR(__xludf.DUMMYFUNCTION("ArrayFormula( AVERAGE( QUERY( SORT(GOOGLEFINANCE(""NSE:""&amp;A63,""all"",workday.intl(TODAY(),-4),TODAY(),""daily""),2,0) , ""select Col6 "" ) ))"),"#N/A")</f>
        <v>#N/A</v>
      </c>
      <c r="F63" s="39">
        <f ca="1">IFERROR(__xludf.DUMMYFUNCTION("googlefinance(""nse:""&amp;A63,""volume"")"),8448104)</f>
        <v>8448104</v>
      </c>
      <c r="G63" s="42" t="e">
        <f t="shared" ca="1" si="1"/>
        <v>#VALUE!</v>
      </c>
      <c r="H63" s="43" t="e">
        <f t="shared" ca="1" si="2"/>
        <v>#VALUE!</v>
      </c>
      <c r="I63" s="43" t="e">
        <f t="shared" ca="1" si="3"/>
        <v>#VALUE!</v>
      </c>
      <c r="J63" s="43" t="e">
        <f t="shared" ca="1" si="4"/>
        <v>#VALUE!</v>
      </c>
      <c r="K63" s="44" t="str">
        <f t="shared" ca="1" si="5"/>
        <v>SELL</v>
      </c>
      <c r="L63" s="45">
        <f ca="1">IFERROR(__xludf.DUMMYFUNCTION("googlefinance(""nse:""&amp;A63,""PRICEOPEN"")"),2272)</f>
        <v>2272</v>
      </c>
      <c r="M63" s="45">
        <f ca="1">IFERROR(__xludf.DUMMYFUNCTION("googlefinance(""nse:""&amp;A63,""PRICE"")"),2205)</f>
        <v>2205</v>
      </c>
      <c r="N63" s="44">
        <f ca="1">IFERROR(__xludf.DUMMYFUNCTION("googlefinance(""nse:""&amp;A63,""HIGH"")"),2272)</f>
        <v>2272</v>
      </c>
      <c r="O63" s="48">
        <f ca="1">IFERROR(__xludf.DUMMYFUNCTION("googlefinance(""nse:""&amp;A63,""LOW"")"),2160)</f>
        <v>2160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35" t="s">
        <v>127</v>
      </c>
      <c r="B64" s="37" t="e">
        <f t="shared" ca="1" si="0"/>
        <v>#VALUE!</v>
      </c>
      <c r="C64" s="39">
        <f ca="1">IFERROR(__xludf.DUMMYFUNCTION("googlefinance(""nse:""&amp;A64,""changepct"")"),5.2)</f>
        <v>5.2</v>
      </c>
      <c r="D64" s="39">
        <f ca="1">IFERROR(__xludf.DUMMYFUNCTION("googlefinance(""nse:""&amp;A64,""change"")"),6.6)</f>
        <v>6.6</v>
      </c>
      <c r="E64" s="39" t="str">
        <f ca="1">IFERROR(__xludf.DUMMYFUNCTION("ArrayFormula( AVERAGE( QUERY( SORT(GOOGLEFINANCE(""NSE:""&amp;A64,""all"",workday.intl(TODAY(),-4),TODAY(),""daily""),2,0) , ""select Col6 "" ) ))"),"#N/A")</f>
        <v>#N/A</v>
      </c>
      <c r="F64" s="39">
        <f ca="1">IFERROR(__xludf.DUMMYFUNCTION("googlefinance(""nse:""&amp;A64,""volume"")"),30143670)</f>
        <v>30143670</v>
      </c>
      <c r="G64" s="42" t="e">
        <f t="shared" ca="1" si="1"/>
        <v>#VALUE!</v>
      </c>
      <c r="H64" s="43" t="e">
        <f t="shared" ca="1" si="2"/>
        <v>#VALUE!</v>
      </c>
      <c r="I64" s="43" t="e">
        <f t="shared" ca="1" si="3"/>
        <v>#VALUE!</v>
      </c>
      <c r="J64" s="43" t="e">
        <f t="shared" ca="1" si="4"/>
        <v>#VALUE!</v>
      </c>
      <c r="K64" s="44">
        <f t="shared" ca="1" si="5"/>
        <v>0</v>
      </c>
      <c r="L64" s="45">
        <f ca="1">IFERROR(__xludf.DUMMYFUNCTION("googlefinance(""nse:""&amp;A64,""PRICEOPEN"")"),130.7)</f>
        <v>130.69999999999999</v>
      </c>
      <c r="M64" s="45">
        <f ca="1">IFERROR(__xludf.DUMMYFUNCTION("googlefinance(""nse:""&amp;A64,""PRICE"")"),133.5)</f>
        <v>133.5</v>
      </c>
      <c r="N64" s="44">
        <f ca="1">IFERROR(__xludf.DUMMYFUNCTION("googlefinance(""nse:""&amp;A64,""HIGH"")"),134.9)</f>
        <v>134.9</v>
      </c>
      <c r="O64" s="48">
        <f ca="1">IFERROR(__xludf.DUMMYFUNCTION("googlefinance(""nse:""&amp;A64,""LOW"")"),127.4)</f>
        <v>127.4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35" t="s">
        <v>129</v>
      </c>
      <c r="B65" s="37" t="e">
        <f t="shared" ca="1" si="0"/>
        <v>#VALUE!</v>
      </c>
      <c r="C65" s="39">
        <f ca="1">IFERROR(__xludf.DUMMYFUNCTION("googlefinance(""nse:""&amp;A65,""changepct"")"),1.96)</f>
        <v>1.96</v>
      </c>
      <c r="D65" s="39">
        <f ca="1">IFERROR(__xludf.DUMMYFUNCTION("googlefinance(""nse:""&amp;A65,""change"")"),7.25)</f>
        <v>7.25</v>
      </c>
      <c r="E65" s="39" t="str">
        <f ca="1">IFERROR(__xludf.DUMMYFUNCTION("ArrayFormula( AVERAGE( QUERY( SORT(GOOGLEFINANCE(""NSE:""&amp;A65,""all"",workday.intl(TODAY(),-4),TODAY(),""daily""),2,0) , ""select Col6 "" ) ))"),"#N/A")</f>
        <v>#N/A</v>
      </c>
      <c r="F65" s="39">
        <f ca="1">IFERROR(__xludf.DUMMYFUNCTION("googlefinance(""nse:""&amp;A65,""volume"")"),45735197)</f>
        <v>45735197</v>
      </c>
      <c r="G65" s="42" t="e">
        <f t="shared" ca="1" si="1"/>
        <v>#VALUE!</v>
      </c>
      <c r="H65" s="43" t="e">
        <f t="shared" ca="1" si="2"/>
        <v>#VALUE!</v>
      </c>
      <c r="I65" s="43" t="e">
        <f t="shared" ca="1" si="3"/>
        <v>#VALUE!</v>
      </c>
      <c r="J65" s="43" t="e">
        <f t="shared" ca="1" si="4"/>
        <v>#VALUE!</v>
      </c>
      <c r="K65" s="44">
        <f t="shared" ca="1" si="5"/>
        <v>0</v>
      </c>
      <c r="L65" s="45">
        <f ca="1">IFERROR(__xludf.DUMMYFUNCTION("googlefinance(""nse:""&amp;A65,""PRICEOPEN"")"),382)</f>
        <v>382</v>
      </c>
      <c r="M65" s="45">
        <f ca="1">IFERROR(__xludf.DUMMYFUNCTION("googlefinance(""nse:""&amp;A65,""PRICE"")"),377.7)</f>
        <v>377.7</v>
      </c>
      <c r="N65" s="44">
        <f ca="1">IFERROR(__xludf.DUMMYFUNCTION("googlefinance(""nse:""&amp;A65,""HIGH"")"),392.95)</f>
        <v>392.95</v>
      </c>
      <c r="O65" s="48">
        <f ca="1">IFERROR(__xludf.DUMMYFUNCTION("googlefinance(""nse:""&amp;A65,""LOW"")"),374.15)</f>
        <v>374.15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35" t="s">
        <v>130</v>
      </c>
      <c r="B66" s="37" t="e">
        <f t="shared" ca="1" si="0"/>
        <v>#VALUE!</v>
      </c>
      <c r="C66" s="39">
        <f ca="1">IFERROR(__xludf.DUMMYFUNCTION("googlefinance(""nse:""&amp;A66,""changepct"")"),2.04)</f>
        <v>2.04</v>
      </c>
      <c r="D66" s="39">
        <f ca="1">IFERROR(__xludf.DUMMYFUNCTION("googlefinance(""nse:""&amp;A66,""change"")"),8.2)</f>
        <v>8.1999999999999993</v>
      </c>
      <c r="E66" s="39" t="str">
        <f ca="1">IFERROR(__xludf.DUMMYFUNCTION("ArrayFormula( AVERAGE( QUERY( SORT(GOOGLEFINANCE(""NSE:""&amp;A66,""all"",workday.intl(TODAY(),-4),TODAY(),""daily""),2,0) , ""select Col6 "" ) ))"),"#N/A")</f>
        <v>#N/A</v>
      </c>
      <c r="F66" s="39">
        <f ca="1">IFERROR(__xludf.DUMMYFUNCTION("googlefinance(""nse:""&amp;A66,""volume"")"),3287882)</f>
        <v>3287882</v>
      </c>
      <c r="G66" s="64" t="e">
        <f t="shared" ca="1" si="1"/>
        <v>#VALUE!</v>
      </c>
      <c r="H66" s="43" t="e">
        <f t="shared" ca="1" si="2"/>
        <v>#VALUE!</v>
      </c>
      <c r="I66" s="43" t="e">
        <f t="shared" ca="1" si="3"/>
        <v>#VALUE!</v>
      </c>
      <c r="J66" s="43" t="e">
        <f t="shared" ca="1" si="4"/>
        <v>#VALUE!</v>
      </c>
      <c r="K66" s="44">
        <f t="shared" ca="1" si="5"/>
        <v>0</v>
      </c>
      <c r="L66" s="45">
        <f ca="1">IFERROR(__xludf.DUMMYFUNCTION("googlefinance(""nse:""&amp;A66,""PRICEOPEN"")"),405.9)</f>
        <v>405.9</v>
      </c>
      <c r="M66" s="45">
        <f ca="1">IFERROR(__xludf.DUMMYFUNCTION("googlefinance(""nse:""&amp;A66,""PRICE"")"),410.6)</f>
        <v>410.6</v>
      </c>
      <c r="N66" s="44">
        <f ca="1">IFERROR(__xludf.DUMMYFUNCTION("googlefinance(""nse:""&amp;A66,""HIGH"")"),416.1)</f>
        <v>416.1</v>
      </c>
      <c r="O66" s="48">
        <f ca="1">IFERROR(__xludf.DUMMYFUNCTION("googlefinance(""nse:""&amp;A66,""LOW"")"),405.1)</f>
        <v>405.1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35" t="s">
        <v>132</v>
      </c>
      <c r="B67" s="37" t="e">
        <f t="shared" ca="1" si="0"/>
        <v>#VALUE!</v>
      </c>
      <c r="C67" s="39">
        <f ca="1">IFERROR(__xludf.DUMMYFUNCTION("googlefinance(""nse:""&amp;A67,""changepct"")"),0)</f>
        <v>0</v>
      </c>
      <c r="D67" s="39">
        <f ca="1">IFERROR(__xludf.DUMMYFUNCTION("googlefinance(""nse:""&amp;A67,""change"")"),0)</f>
        <v>0</v>
      </c>
      <c r="E67" s="39" t="str">
        <f ca="1">IFERROR(__xludf.DUMMYFUNCTION("ArrayFormula( AVERAGE( QUERY( SORT(GOOGLEFINANCE(""NSE:""&amp;A67,""all"",workday.intl(TODAY(),-4),TODAY(),""daily""),2,0) , ""select Col6 "" ) ))"),"#N/A")</f>
        <v>#N/A</v>
      </c>
      <c r="F67" s="39">
        <f ca="1">IFERROR(__xludf.DUMMYFUNCTION("googlefinance(""nse:""&amp;A67,""volume"")"),307549428)</f>
        <v>307549428</v>
      </c>
      <c r="G67" s="42" t="e">
        <f t="shared" ca="1" si="1"/>
        <v>#VALUE!</v>
      </c>
      <c r="H67" s="43" t="e">
        <f t="shared" ca="1" si="2"/>
        <v>#VALUE!</v>
      </c>
      <c r="I67" s="43" t="e">
        <f t="shared" ca="1" si="3"/>
        <v>#VALUE!</v>
      </c>
      <c r="J67" s="43" t="e">
        <f t="shared" ca="1" si="4"/>
        <v>#VALUE!</v>
      </c>
      <c r="K67" s="44">
        <f t="shared" ca="1" si="5"/>
        <v>0</v>
      </c>
      <c r="L67" s="45">
        <f ca="1">IFERROR(__xludf.DUMMYFUNCTION("googlefinance(""nse:""&amp;A67,""PRICEOPEN"")"),4.35)</f>
        <v>4.3499999999999996</v>
      </c>
      <c r="M67" s="45">
        <f ca="1">IFERROR(__xludf.DUMMYFUNCTION("googlefinance(""nse:""&amp;A67,""PRICE"")"),4.2)</f>
        <v>4.2</v>
      </c>
      <c r="N67" s="44">
        <f ca="1">IFERROR(__xludf.DUMMYFUNCTION("googlefinance(""nse:""&amp;A67,""HIGH"")"),4.4)</f>
        <v>4.4000000000000004</v>
      </c>
      <c r="O67" s="48">
        <f ca="1">IFERROR(__xludf.DUMMYFUNCTION("googlefinance(""nse:""&amp;A67,""LOW"")"),4.1)</f>
        <v>4.0999999999999996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35" t="s">
        <v>133</v>
      </c>
      <c r="B68" s="37" t="e">
        <f t="shared" ca="1" si="0"/>
        <v>#VALUE!</v>
      </c>
      <c r="C68" s="39">
        <f ca="1">IFERROR(__xludf.DUMMYFUNCTION("googlefinance(""nse:""&amp;A68,""changepct"")"),-0.68)</f>
        <v>-0.68</v>
      </c>
      <c r="D68" s="39">
        <f ca="1">IFERROR(__xludf.DUMMYFUNCTION("googlefinance(""nse:""&amp;A68,""change"")"),-0.15)</f>
        <v>-0.15</v>
      </c>
      <c r="E68" s="39" t="str">
        <f ca="1">IFERROR(__xludf.DUMMYFUNCTION("ArrayFormula( AVERAGE( QUERY( SORT(GOOGLEFINANCE(""NSE:""&amp;A68,""all"",workday.intl(TODAY(),-4),TODAY(),""daily""),2,0) , ""select Col6 "" ) ))"),"#N/A")</f>
        <v>#N/A</v>
      </c>
      <c r="F68" s="39">
        <f ca="1">IFERROR(__xludf.DUMMYFUNCTION("googlefinance(""nse:""&amp;A68,""volume"")"),64987885)</f>
        <v>64987885</v>
      </c>
      <c r="G68" s="42" t="e">
        <f t="shared" ca="1" si="1"/>
        <v>#VALUE!</v>
      </c>
      <c r="H68" s="43" t="e">
        <f t="shared" ca="1" si="2"/>
        <v>#VALUE!</v>
      </c>
      <c r="I68" s="43" t="e">
        <f t="shared" ca="1" si="3"/>
        <v>#VALUE!</v>
      </c>
      <c r="J68" s="43" t="e">
        <f t="shared" ca="1" si="4"/>
        <v>#VALUE!</v>
      </c>
      <c r="K68" s="44">
        <f t="shared" ca="1" si="5"/>
        <v>0</v>
      </c>
      <c r="L68" s="45">
        <f ca="1">IFERROR(__xludf.DUMMYFUNCTION("googlefinance(""nse:""&amp;A68,""PRICEOPEN"")"),22.4)</f>
        <v>22.4</v>
      </c>
      <c r="M68" s="45">
        <f ca="1">IFERROR(__xludf.DUMMYFUNCTION("googlefinance(""nse:""&amp;A68,""PRICE"")"),21.85)</f>
        <v>21.85</v>
      </c>
      <c r="N68" s="44">
        <f ca="1">IFERROR(__xludf.DUMMYFUNCTION("googlefinance(""nse:""&amp;A68,""HIGH"")"),22.75)</f>
        <v>22.75</v>
      </c>
      <c r="O68" s="48">
        <f ca="1">IFERROR(__xludf.DUMMYFUNCTION("googlefinance(""nse:""&amp;A68,""LOW"")"),21.7)</f>
        <v>21.7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35" t="s">
        <v>136</v>
      </c>
      <c r="B69" s="37" t="e">
        <f t="shared" ca="1" si="0"/>
        <v>#VALUE!</v>
      </c>
      <c r="C69" s="39">
        <f ca="1">IFERROR(__xludf.DUMMYFUNCTION("googlefinance(""nse:""&amp;A69,""changepct"")"),0.15)</f>
        <v>0.15</v>
      </c>
      <c r="D69" s="39">
        <f ca="1">IFERROR(__xludf.DUMMYFUNCTION("googlefinance(""nse:""&amp;A69,""change"")"),0.7)</f>
        <v>0.7</v>
      </c>
      <c r="E69" s="39" t="str">
        <f ca="1">IFERROR(__xludf.DUMMYFUNCTION("ArrayFormula( AVERAGE( QUERY( SORT(GOOGLEFINANCE(""NSE:""&amp;A69,""all"",workday.intl(TODAY(),-4),TODAY(),""daily""),2,0) , ""select Col6 "" ) ))"),"#N/A")</f>
        <v>#N/A</v>
      </c>
      <c r="F69" s="39">
        <f ca="1">IFERROR(__xludf.DUMMYFUNCTION("googlefinance(""nse:""&amp;A69,""volume"")"),2423236)</f>
        <v>2423236</v>
      </c>
      <c r="G69" s="42" t="e">
        <f t="shared" ca="1" si="1"/>
        <v>#VALUE!</v>
      </c>
      <c r="H69" s="43" t="e">
        <f t="shared" ca="1" si="2"/>
        <v>#VALUE!</v>
      </c>
      <c r="I69" s="43" t="e">
        <f t="shared" ca="1" si="3"/>
        <v>#VALUE!</v>
      </c>
      <c r="J69" s="43" t="e">
        <f t="shared" ca="1" si="4"/>
        <v>#VALUE!</v>
      </c>
      <c r="K69" s="44">
        <f t="shared" ca="1" si="5"/>
        <v>0</v>
      </c>
      <c r="L69" s="45">
        <f ca="1">IFERROR(__xludf.DUMMYFUNCTION("googlefinance(""nse:""&amp;A69,""PRICEOPEN"")"),481)</f>
        <v>481</v>
      </c>
      <c r="M69" s="45">
        <f ca="1">IFERROR(__xludf.DUMMYFUNCTION("googlefinance(""nse:""&amp;A69,""PRICE"")"),476.65)</f>
        <v>476.65</v>
      </c>
      <c r="N69" s="44">
        <f ca="1">IFERROR(__xludf.DUMMYFUNCTION("googlefinance(""nse:""&amp;A69,""HIGH"")"),485)</f>
        <v>485</v>
      </c>
      <c r="O69" s="48">
        <f ca="1">IFERROR(__xludf.DUMMYFUNCTION("googlefinance(""nse:""&amp;A69,""LOW"")"),470.6)</f>
        <v>470.6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35" t="s">
        <v>137</v>
      </c>
      <c r="B70" s="37" t="e">
        <f t="shared" ca="1" si="0"/>
        <v>#VALUE!</v>
      </c>
      <c r="C70" s="39">
        <f ca="1">IFERROR(__xludf.DUMMYFUNCTION("googlefinance(""nse:""&amp;A70,""changepct"")"),7.78)</f>
        <v>7.78</v>
      </c>
      <c r="D70" s="39">
        <f ca="1">IFERROR(__xludf.DUMMYFUNCTION("googlefinance(""nse:""&amp;A70,""change"")"),71.7)</f>
        <v>71.7</v>
      </c>
      <c r="E70" s="39" t="str">
        <f ca="1">IFERROR(__xludf.DUMMYFUNCTION("ArrayFormula( AVERAGE( QUERY( SORT(GOOGLEFINANCE(""NSE:""&amp;A70,""all"",workday.intl(TODAY(),-4),TODAY(),""daily""),2,0) , ""select Col6 "" ) ))"),"#N/A")</f>
        <v>#N/A</v>
      </c>
      <c r="F70" s="39">
        <f ca="1">IFERROR(__xludf.DUMMYFUNCTION("googlefinance(""nse:""&amp;A70,""volume"")"),5402344)</f>
        <v>5402344</v>
      </c>
      <c r="G70" s="42" t="e">
        <f t="shared" ca="1" si="1"/>
        <v>#VALUE!</v>
      </c>
      <c r="H70" s="43" t="e">
        <f t="shared" ca="1" si="2"/>
        <v>#VALUE!</v>
      </c>
      <c r="I70" s="43" t="e">
        <f t="shared" ca="1" si="3"/>
        <v>#VALUE!</v>
      </c>
      <c r="J70" s="43" t="e">
        <f t="shared" ca="1" si="4"/>
        <v>#VALUE!</v>
      </c>
      <c r="K70" s="44">
        <f t="shared" ca="1" si="5"/>
        <v>0</v>
      </c>
      <c r="L70" s="45">
        <f ca="1">IFERROR(__xludf.DUMMYFUNCTION("googlefinance(""nse:""&amp;A70,""PRICEOPEN"")"),949)</f>
        <v>949</v>
      </c>
      <c r="M70" s="45">
        <f ca="1">IFERROR(__xludf.DUMMYFUNCTION("googlefinance(""nse:""&amp;A70,""PRICE"")"),993)</f>
        <v>993</v>
      </c>
      <c r="N70" s="44">
        <f ca="1">IFERROR(__xludf.DUMMYFUNCTION("googlefinance(""nse:""&amp;A70,""HIGH"")"),1037.85)</f>
        <v>1037.8499999999999</v>
      </c>
      <c r="O70" s="48">
        <f ca="1">IFERROR(__xludf.DUMMYFUNCTION("googlefinance(""nse:""&amp;A70,""LOW"")"),930.05)</f>
        <v>930.05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35" t="s">
        <v>138</v>
      </c>
      <c r="B71" s="37" t="e">
        <f t="shared" ca="1" si="0"/>
        <v>#VALUE!</v>
      </c>
      <c r="C71" s="39">
        <f ca="1">IFERROR(__xludf.DUMMYFUNCTION("googlefinance(""nse:""&amp;A71,""changepct"")"),-0.66)</f>
        <v>-0.66</v>
      </c>
      <c r="D71" s="39">
        <f ca="1">IFERROR(__xludf.DUMMYFUNCTION("googlefinance(""nse:""&amp;A71,""change"")"),-3.1)</f>
        <v>-3.1</v>
      </c>
      <c r="E71" s="39" t="str">
        <f ca="1">IFERROR(__xludf.DUMMYFUNCTION("ArrayFormula( AVERAGE( QUERY( SORT(GOOGLEFINANCE(""NSE:""&amp;A71,""all"",workday.intl(TODAY(),-4),TODAY(),""daily""),2,0) , ""select Col6 "" ) ))"),"#N/A")</f>
        <v>#N/A</v>
      </c>
      <c r="F71" s="39">
        <f ca="1">IFERROR(__xludf.DUMMYFUNCTION("googlefinance(""nse:""&amp;A71,""volume"")"),26655548)</f>
        <v>26655548</v>
      </c>
      <c r="G71" s="42" t="e">
        <f t="shared" ca="1" si="1"/>
        <v>#VALUE!</v>
      </c>
      <c r="H71" s="43" t="e">
        <f t="shared" ca="1" si="2"/>
        <v>#VALUE!</v>
      </c>
      <c r="I71" s="43" t="e">
        <f t="shared" ca="1" si="3"/>
        <v>#VALUE!</v>
      </c>
      <c r="J71" s="43" t="e">
        <f t="shared" ca="1" si="4"/>
        <v>#VALUE!</v>
      </c>
      <c r="K71" s="44">
        <f t="shared" ca="1" si="5"/>
        <v>0</v>
      </c>
      <c r="L71" s="45">
        <f ca="1">IFERROR(__xludf.DUMMYFUNCTION("googlefinance(""nse:""&amp;A71,""PRICEOPEN"")"),486.25)</f>
        <v>486.25</v>
      </c>
      <c r="M71" s="45">
        <f ca="1">IFERROR(__xludf.DUMMYFUNCTION("googlefinance(""nse:""&amp;A71,""PRICE"")"),468)</f>
        <v>468</v>
      </c>
      <c r="N71" s="44">
        <f ca="1">IFERROR(__xludf.DUMMYFUNCTION("googlefinance(""nse:""&amp;A71,""HIGH"")"),491.85)</f>
        <v>491.85</v>
      </c>
      <c r="O71" s="48">
        <f ca="1">IFERROR(__xludf.DUMMYFUNCTION("googlefinance(""nse:""&amp;A71,""LOW"")"),461.6)</f>
        <v>461.6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35" t="s">
        <v>139</v>
      </c>
      <c r="B72" s="37" t="e">
        <f t="shared" ca="1" si="0"/>
        <v>#VALUE!</v>
      </c>
      <c r="C72" s="39">
        <f ca="1">IFERROR(__xludf.DUMMYFUNCTION("googlefinance(""nse:""&amp;A72,""changepct"")"),6.9)</f>
        <v>6.9</v>
      </c>
      <c r="D72" s="39">
        <f ca="1">IFERROR(__xludf.DUMMYFUNCTION("googlefinance(""nse:""&amp;A72,""change"")"),11.25)</f>
        <v>11.25</v>
      </c>
      <c r="E72" s="39" t="str">
        <f ca="1">IFERROR(__xludf.DUMMYFUNCTION("ArrayFormula( AVERAGE( QUERY( SORT(GOOGLEFINANCE(""NSE:""&amp;A72,""all"",workday.intl(TODAY(),-4),TODAY(),""daily""),2,0) , ""select Col6 "" ) ))"),"#N/A")</f>
        <v>#N/A</v>
      </c>
      <c r="F72" s="39">
        <f ca="1">IFERROR(__xludf.DUMMYFUNCTION("googlefinance(""nse:""&amp;A72,""volume"")"),5671218)</f>
        <v>5671218</v>
      </c>
      <c r="G72" s="42" t="e">
        <f t="shared" ca="1" si="1"/>
        <v>#VALUE!</v>
      </c>
      <c r="H72" s="43" t="e">
        <f t="shared" ca="1" si="2"/>
        <v>#VALUE!</v>
      </c>
      <c r="I72" s="43" t="e">
        <f t="shared" ca="1" si="3"/>
        <v>#VALUE!</v>
      </c>
      <c r="J72" s="43" t="e">
        <f t="shared" ca="1" si="4"/>
        <v>#VALUE!</v>
      </c>
      <c r="K72" s="44">
        <f t="shared" ca="1" si="5"/>
        <v>0</v>
      </c>
      <c r="L72" s="45">
        <f ca="1">IFERROR(__xludf.DUMMYFUNCTION("googlefinance(""nse:""&amp;A72,""PRICEOPEN"")"),163)</f>
        <v>163</v>
      </c>
      <c r="M72" s="45">
        <f ca="1">IFERROR(__xludf.DUMMYFUNCTION("googlefinance(""nse:""&amp;A72,""PRICE"")"),174.25)</f>
        <v>174.25</v>
      </c>
      <c r="N72" s="44">
        <f ca="1">IFERROR(__xludf.DUMMYFUNCTION("googlefinance(""nse:""&amp;A72,""HIGH"")"),175.8)</f>
        <v>175.8</v>
      </c>
      <c r="O72" s="48">
        <f ca="1">IFERROR(__xludf.DUMMYFUNCTION("googlefinance(""nse:""&amp;A72,""LOW"")"),162.15)</f>
        <v>162.15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35" t="s">
        <v>140</v>
      </c>
      <c r="B73" s="37" t="e">
        <f t="shared" ca="1" si="0"/>
        <v>#VALUE!</v>
      </c>
      <c r="C73" s="39">
        <f ca="1">IFERROR(__xludf.DUMMYFUNCTION("googlefinance(""nse:""&amp;A73,""changepct"")"),5.69)</f>
        <v>5.69</v>
      </c>
      <c r="D73" s="39">
        <f ca="1">IFERROR(__xludf.DUMMYFUNCTION("googlefinance(""nse:""&amp;A73,""change"")"),38.5)</f>
        <v>38.5</v>
      </c>
      <c r="E73" s="39" t="str">
        <f ca="1">IFERROR(__xludf.DUMMYFUNCTION("ArrayFormula( AVERAGE( QUERY( SORT(GOOGLEFINANCE(""NSE:""&amp;A73,""all"",workday.intl(TODAY(),-4),TODAY(),""daily""),2,0) , ""select Col6 "" ) ))"),"#N/A")</f>
        <v>#N/A</v>
      </c>
      <c r="F73" s="39">
        <f ca="1">IFERROR(__xludf.DUMMYFUNCTION("googlefinance(""nse:""&amp;A73,""volume"")"),16254036)</f>
        <v>16254036</v>
      </c>
      <c r="G73" s="42" t="e">
        <f t="shared" ca="1" si="1"/>
        <v>#VALUE!</v>
      </c>
      <c r="H73" s="43" t="e">
        <f t="shared" ca="1" si="2"/>
        <v>#VALUE!</v>
      </c>
      <c r="I73" s="43" t="e">
        <f t="shared" ca="1" si="3"/>
        <v>#VALUE!</v>
      </c>
      <c r="J73" s="43" t="e">
        <f t="shared" ca="1" si="4"/>
        <v>#VALUE!</v>
      </c>
      <c r="K73" s="44">
        <f t="shared" ca="1" si="5"/>
        <v>0</v>
      </c>
      <c r="L73" s="45">
        <f ca="1">IFERROR(__xludf.DUMMYFUNCTION("googlefinance(""nse:""&amp;A73,""PRICEOPEN"")"),700)</f>
        <v>700</v>
      </c>
      <c r="M73" s="45">
        <f ca="1">IFERROR(__xludf.DUMMYFUNCTION("googlefinance(""nse:""&amp;A73,""PRICE"")"),715.05)</f>
        <v>715.05</v>
      </c>
      <c r="N73" s="44">
        <f ca="1">IFERROR(__xludf.DUMMYFUNCTION("googlefinance(""nse:""&amp;A73,""HIGH"")"),720)</f>
        <v>720</v>
      </c>
      <c r="O73" s="48">
        <f ca="1">IFERROR(__xludf.DUMMYFUNCTION("googlefinance(""nse:""&amp;A73,""LOW"")"),698.1)</f>
        <v>698.1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35" t="s">
        <v>141</v>
      </c>
      <c r="B74" s="37" t="e">
        <f t="shared" ca="1" si="0"/>
        <v>#VALUE!</v>
      </c>
      <c r="C74" s="39">
        <f ca="1">IFERROR(__xludf.DUMMYFUNCTION("googlefinance(""nse:""&amp;A74,""changepct"")"),4.53)</f>
        <v>4.53</v>
      </c>
      <c r="D74" s="39">
        <f ca="1">IFERROR(__xludf.DUMMYFUNCTION("googlefinance(""nse:""&amp;A74,""change"")"),3.65)</f>
        <v>3.65</v>
      </c>
      <c r="E74" s="39" t="str">
        <f ca="1">IFERROR(__xludf.DUMMYFUNCTION("ArrayFormula( AVERAGE( QUERY( SORT(GOOGLEFINANCE(""NSE:""&amp;A74,""all"",workday.intl(TODAY(),-4),TODAY(),""daily""),2,0) , ""select Col6 "" ) ))"),"#N/A")</f>
        <v>#N/A</v>
      </c>
      <c r="F74" s="39">
        <f ca="1">IFERROR(__xludf.DUMMYFUNCTION("googlefinance(""nse:""&amp;A74,""volume"")"),21193860)</f>
        <v>21193860</v>
      </c>
      <c r="G74" s="42" t="e">
        <f t="shared" ca="1" si="1"/>
        <v>#VALUE!</v>
      </c>
      <c r="H74" s="43" t="e">
        <f t="shared" ca="1" si="2"/>
        <v>#VALUE!</v>
      </c>
      <c r="I74" s="43" t="e">
        <f t="shared" ca="1" si="3"/>
        <v>#VALUE!</v>
      </c>
      <c r="J74" s="43" t="e">
        <f t="shared" ca="1" si="4"/>
        <v>#VALUE!</v>
      </c>
      <c r="K74" s="44">
        <f t="shared" ca="1" si="5"/>
        <v>0</v>
      </c>
      <c r="L74" s="45">
        <f ca="1">IFERROR(__xludf.DUMMYFUNCTION("googlefinance(""nse:""&amp;A74,""PRICEOPEN"")"),81.55)</f>
        <v>81.55</v>
      </c>
      <c r="M74" s="45">
        <f ca="1">IFERROR(__xludf.DUMMYFUNCTION("googlefinance(""nse:""&amp;A74,""PRICE"")"),84.15)</f>
        <v>84.15</v>
      </c>
      <c r="N74" s="44">
        <f ca="1">IFERROR(__xludf.DUMMYFUNCTION("googlefinance(""nse:""&amp;A74,""HIGH"")"),84.5)</f>
        <v>84.5</v>
      </c>
      <c r="O74" s="48">
        <f ca="1">IFERROR(__xludf.DUMMYFUNCTION("googlefinance(""nse:""&amp;A74,""LOW"")"),81.3)</f>
        <v>81.3</v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35" t="s">
        <v>142</v>
      </c>
      <c r="B75" s="37" t="e">
        <f t="shared" ca="1" si="0"/>
        <v>#VALUE!</v>
      </c>
      <c r="C75" s="39">
        <f ca="1">IFERROR(__xludf.DUMMYFUNCTION("googlefinance(""nse:""&amp;A75,""changepct"")"),-0.6)</f>
        <v>-0.6</v>
      </c>
      <c r="D75" s="39">
        <f ca="1">IFERROR(__xludf.DUMMYFUNCTION("googlefinance(""nse:""&amp;A75,""change"")"),-1.1)</f>
        <v>-1.1000000000000001</v>
      </c>
      <c r="E75" s="39" t="str">
        <f ca="1">IFERROR(__xludf.DUMMYFUNCTION("ArrayFormula( AVERAGE( QUERY( SORT(GOOGLEFINANCE(""NSE:""&amp;A75,""all"",workday.intl(TODAY(),-4),TODAY(),""daily""),2,0) , ""select Col6 "" ) ))"),"#N/A")</f>
        <v>#N/A</v>
      </c>
      <c r="F75" s="39">
        <f ca="1">IFERROR(__xludf.DUMMYFUNCTION("googlefinance(""nse:""&amp;A75,""volume"")"),30169126)</f>
        <v>30169126</v>
      </c>
      <c r="G75" s="42" t="e">
        <f t="shared" ca="1" si="1"/>
        <v>#VALUE!</v>
      </c>
      <c r="H75" s="43" t="e">
        <f t="shared" ca="1" si="2"/>
        <v>#VALUE!</v>
      </c>
      <c r="I75" s="43" t="e">
        <f t="shared" ca="1" si="3"/>
        <v>#VALUE!</v>
      </c>
      <c r="J75" s="43" t="e">
        <f t="shared" ca="1" si="4"/>
        <v>#VALUE!</v>
      </c>
      <c r="K75" s="44" t="str">
        <f t="shared" ca="1" si="5"/>
        <v>SELL</v>
      </c>
      <c r="L75" s="45">
        <f ca="1">IFERROR(__xludf.DUMMYFUNCTION("googlefinance(""nse:""&amp;A75,""PRICEOPEN"")"),184.9)</f>
        <v>184.9</v>
      </c>
      <c r="M75" s="45">
        <f ca="1">IFERROR(__xludf.DUMMYFUNCTION("googlefinance(""nse:""&amp;A75,""PRICE"")"),181.05)</f>
        <v>181.05</v>
      </c>
      <c r="N75" s="44">
        <f ca="1">IFERROR(__xludf.DUMMYFUNCTION("googlefinance(""nse:""&amp;A75,""HIGH"")"),184.9)</f>
        <v>184.9</v>
      </c>
      <c r="O75" s="48">
        <f ca="1">IFERROR(__xludf.DUMMYFUNCTION("googlefinance(""nse:""&amp;A75,""LOW"")"),180.45)</f>
        <v>180.45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35" t="s">
        <v>143</v>
      </c>
      <c r="B76" s="37" t="e">
        <f t="shared" ca="1" si="0"/>
        <v>#VALUE!</v>
      </c>
      <c r="C76" s="39">
        <f ca="1">IFERROR(__xludf.DUMMYFUNCTION("googlefinance(""nse:""&amp;A76,""changepct"")"),6.42)</f>
        <v>6.42</v>
      </c>
      <c r="D76" s="39">
        <f ca="1">IFERROR(__xludf.DUMMYFUNCTION("googlefinance(""nse:""&amp;A76,""change"")"),5.7)</f>
        <v>5.7</v>
      </c>
      <c r="E76" s="39" t="str">
        <f ca="1">IFERROR(__xludf.DUMMYFUNCTION("ArrayFormula( AVERAGE( QUERY( SORT(GOOGLEFINANCE(""NSE:""&amp;A76,""all"",workday.intl(TODAY(),-4),TODAY(),""daily""),2,0) , ""select Col6 "" ) ))"),"#N/A")</f>
        <v>#N/A</v>
      </c>
      <c r="F76" s="39">
        <f ca="1">IFERROR(__xludf.DUMMYFUNCTION("googlefinance(""nse:""&amp;A76,""volume"")"),31628041)</f>
        <v>31628041</v>
      </c>
      <c r="G76" s="42" t="e">
        <f t="shared" ca="1" si="1"/>
        <v>#VALUE!</v>
      </c>
      <c r="H76" s="43" t="e">
        <f t="shared" ca="1" si="2"/>
        <v>#VALUE!</v>
      </c>
      <c r="I76" s="43" t="e">
        <f t="shared" ca="1" si="3"/>
        <v>#VALUE!</v>
      </c>
      <c r="J76" s="43" t="e">
        <f t="shared" ca="1" si="4"/>
        <v>#VALUE!</v>
      </c>
      <c r="K76" s="44">
        <f t="shared" ca="1" si="5"/>
        <v>0</v>
      </c>
      <c r="L76" s="45">
        <f ca="1">IFERROR(__xludf.DUMMYFUNCTION("googlefinance(""nse:""&amp;A76,""PRICEOPEN"")"),91)</f>
        <v>91</v>
      </c>
      <c r="M76" s="45">
        <f ca="1">IFERROR(__xludf.DUMMYFUNCTION("googlefinance(""nse:""&amp;A76,""PRICE"")"),94.45)</f>
        <v>94.45</v>
      </c>
      <c r="N76" s="44">
        <f ca="1">IFERROR(__xludf.DUMMYFUNCTION("googlefinance(""nse:""&amp;A76,""HIGH"")"),96.15)</f>
        <v>96.15</v>
      </c>
      <c r="O76" s="48">
        <f ca="1">IFERROR(__xludf.DUMMYFUNCTION("googlefinance(""nse:""&amp;A76,""LOW"")"),89.7)</f>
        <v>89.7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35" t="s">
        <v>144</v>
      </c>
      <c r="B77" s="37" t="e">
        <f t="shared" ca="1" si="0"/>
        <v>#VALUE!</v>
      </c>
      <c r="C77" s="39">
        <f ca="1">IFERROR(__xludf.DUMMYFUNCTION("googlefinance(""nse:""&amp;A77,""changepct"")"),10.91)</f>
        <v>10.91</v>
      </c>
      <c r="D77" s="39">
        <f ca="1">IFERROR(__xludf.DUMMYFUNCTION("googlefinance(""nse:""&amp;A77,""change"")"),17.9)</f>
        <v>17.899999999999999</v>
      </c>
      <c r="E77" s="39" t="str">
        <f ca="1">IFERROR(__xludf.DUMMYFUNCTION("ArrayFormula( AVERAGE( QUERY( SORT(GOOGLEFINANCE(""NSE:""&amp;A77,""all"",workday.intl(TODAY(),-4),TODAY(),""daily""),2,0) , ""select Col6 "" ) ))"),"#N/A")</f>
        <v>#N/A</v>
      </c>
      <c r="F77" s="39">
        <f ca="1">IFERROR(__xludf.DUMMYFUNCTION("googlefinance(""nse:""&amp;A77,""volume"")"),16023589)</f>
        <v>16023589</v>
      </c>
      <c r="G77" s="42" t="e">
        <f t="shared" ca="1" si="1"/>
        <v>#VALUE!</v>
      </c>
      <c r="H77" s="43" t="e">
        <f t="shared" ca="1" si="2"/>
        <v>#VALUE!</v>
      </c>
      <c r="I77" s="43" t="e">
        <f t="shared" ca="1" si="3"/>
        <v>#VALUE!</v>
      </c>
      <c r="J77" s="43" t="e">
        <f t="shared" ca="1" si="4"/>
        <v>#VALUE!</v>
      </c>
      <c r="K77" s="44">
        <f t="shared" ca="1" si="5"/>
        <v>0</v>
      </c>
      <c r="L77" s="45">
        <f ca="1">IFERROR(__xludf.DUMMYFUNCTION("googlefinance(""nse:""&amp;A77,""PRICEOPEN"")"),168.6)</f>
        <v>168.6</v>
      </c>
      <c r="M77" s="45">
        <f ca="1">IFERROR(__xludf.DUMMYFUNCTION("googlefinance(""nse:""&amp;A77,""PRICE"")"),182)</f>
        <v>182</v>
      </c>
      <c r="N77" s="44">
        <f ca="1">IFERROR(__xludf.DUMMYFUNCTION("googlefinance(""nse:""&amp;A77,""HIGH"")"),188.7)</f>
        <v>188.7</v>
      </c>
      <c r="O77" s="48">
        <f ca="1">IFERROR(__xludf.DUMMYFUNCTION("googlefinance(""nse:""&amp;A77,""LOW"")"),167.5)</f>
        <v>167.5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35" t="s">
        <v>145</v>
      </c>
      <c r="B78" s="37" t="e">
        <f t="shared" ca="1" si="0"/>
        <v>#VALUE!</v>
      </c>
      <c r="C78" s="39">
        <f ca="1">IFERROR(__xludf.DUMMYFUNCTION("googlefinance(""nse:""&amp;A78,""changepct"")"),4.09)</f>
        <v>4.09</v>
      </c>
      <c r="D78" s="39">
        <f ca="1">IFERROR(__xludf.DUMMYFUNCTION("googlefinance(""nse:""&amp;A78,""change"")"),63.5)</f>
        <v>63.5</v>
      </c>
      <c r="E78" s="39" t="str">
        <f ca="1">IFERROR(__xludf.DUMMYFUNCTION("ArrayFormula( AVERAGE( QUERY( SORT(GOOGLEFINANCE(""NSE:""&amp;A78,""all"",workday.intl(TODAY(),-4),TODAY(),""daily""),2,0) , ""select Col6 "" ) ))"),"#N/A")</f>
        <v>#N/A</v>
      </c>
      <c r="F78" s="39">
        <f ca="1">IFERROR(__xludf.DUMMYFUNCTION("googlefinance(""nse:""&amp;A78,""volume"")"),1705977)</f>
        <v>1705977</v>
      </c>
      <c r="G78" s="42" t="e">
        <f t="shared" ca="1" si="1"/>
        <v>#VALUE!</v>
      </c>
      <c r="H78" s="43" t="e">
        <f t="shared" ca="1" si="2"/>
        <v>#VALUE!</v>
      </c>
      <c r="I78" s="43" t="e">
        <f t="shared" ca="1" si="3"/>
        <v>#VALUE!</v>
      </c>
      <c r="J78" s="43" t="e">
        <f t="shared" ca="1" si="4"/>
        <v>#VALUE!</v>
      </c>
      <c r="K78" s="44" t="str">
        <f t="shared" ca="1" si="5"/>
        <v>BUY</v>
      </c>
      <c r="L78" s="45">
        <f ca="1">IFERROR(__xludf.DUMMYFUNCTION("googlefinance(""nse:""&amp;A78,""PRICEOPEN"")"),1576)</f>
        <v>1576</v>
      </c>
      <c r="M78" s="45">
        <f ca="1">IFERROR(__xludf.DUMMYFUNCTION("googlefinance(""nse:""&amp;A78,""PRICE"")"),1617.05)</f>
        <v>1617.05</v>
      </c>
      <c r="N78" s="44">
        <f ca="1">IFERROR(__xludf.DUMMYFUNCTION("googlefinance(""nse:""&amp;A78,""HIGH"")"),1647)</f>
        <v>1647</v>
      </c>
      <c r="O78" s="48">
        <f ca="1">IFERROR(__xludf.DUMMYFUNCTION("googlefinance(""nse:""&amp;A78,""LOW"")"),1576)</f>
        <v>1576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35" t="s">
        <v>146</v>
      </c>
      <c r="B79" s="37" t="e">
        <f t="shared" ca="1" si="0"/>
        <v>#VALUE!</v>
      </c>
      <c r="C79" s="39">
        <f ca="1">IFERROR(__xludf.DUMMYFUNCTION("googlefinance(""nse:""&amp;A79,""changepct"")"),3.21)</f>
        <v>3.21</v>
      </c>
      <c r="D79" s="39">
        <f ca="1">IFERROR(__xludf.DUMMYFUNCTION("googlefinance(""nse:""&amp;A79,""change"")"),12.5)</f>
        <v>12.5</v>
      </c>
      <c r="E79" s="39" t="str">
        <f ca="1">IFERROR(__xludf.DUMMYFUNCTION("ArrayFormula( AVERAGE( QUERY( SORT(GOOGLEFINANCE(""NSE:""&amp;A79,""all"",workday.intl(TODAY(),-4),TODAY(),""daily""),2,0) , ""select Col6 "" ) ))"),"#N/A")</f>
        <v>#N/A</v>
      </c>
      <c r="F79" s="39">
        <f ca="1">IFERROR(__xludf.DUMMYFUNCTION("googlefinance(""nse:""&amp;A79,""volume"")"),8589800)</f>
        <v>8589800</v>
      </c>
      <c r="G79" s="42" t="e">
        <f t="shared" ca="1" si="1"/>
        <v>#VALUE!</v>
      </c>
      <c r="H79" s="43" t="e">
        <f t="shared" ca="1" si="2"/>
        <v>#VALUE!</v>
      </c>
      <c r="I79" s="43" t="e">
        <f t="shared" ca="1" si="3"/>
        <v>#VALUE!</v>
      </c>
      <c r="J79" s="43" t="e">
        <f t="shared" ca="1" si="4"/>
        <v>#VALUE!</v>
      </c>
      <c r="K79" s="44">
        <f t="shared" ca="1" si="5"/>
        <v>0</v>
      </c>
      <c r="L79" s="45">
        <f ca="1">IFERROR(__xludf.DUMMYFUNCTION("googlefinance(""nse:""&amp;A79,""PRICEOPEN"")"),404)</f>
        <v>404</v>
      </c>
      <c r="M79" s="45">
        <f ca="1">IFERROR(__xludf.DUMMYFUNCTION("googlefinance(""nse:""&amp;A79,""PRICE"")"),402.5)</f>
        <v>402.5</v>
      </c>
      <c r="N79" s="44">
        <f ca="1">IFERROR(__xludf.DUMMYFUNCTION("googlefinance(""nse:""&amp;A79,""HIGH"")"),425)</f>
        <v>425</v>
      </c>
      <c r="O79" s="48">
        <f ca="1">IFERROR(__xludf.DUMMYFUNCTION("googlefinance(""nse:""&amp;A79,""LOW"")"),388.9)</f>
        <v>388.9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35" t="s">
        <v>147</v>
      </c>
      <c r="B80" s="37" t="e">
        <f t="shared" ca="1" si="0"/>
        <v>#VALUE!</v>
      </c>
      <c r="C80" s="39">
        <f ca="1">IFERROR(__xludf.DUMMYFUNCTION("googlefinance(""nse:""&amp;A80,""changepct"")"),2.08)</f>
        <v>2.08</v>
      </c>
      <c r="D80" s="39">
        <f ca="1">IFERROR(__xludf.DUMMYFUNCTION("googlefinance(""nse:""&amp;A80,""change"")"),27.65)</f>
        <v>27.65</v>
      </c>
      <c r="E80" s="39" t="str">
        <f ca="1">IFERROR(__xludf.DUMMYFUNCTION("ArrayFormula( AVERAGE( QUERY( SORT(GOOGLEFINANCE(""NSE:""&amp;A80,""all"",workday.intl(TODAY(),-4),TODAY(),""daily""),2,0) , ""select Col6 "" ) ))"),"#N/A")</f>
        <v>#N/A</v>
      </c>
      <c r="F80" s="39">
        <f ca="1">IFERROR(__xludf.DUMMYFUNCTION("googlefinance(""nse:""&amp;A80,""volume"")"),6272569)</f>
        <v>6272569</v>
      </c>
      <c r="G80" s="42" t="e">
        <f t="shared" ca="1" si="1"/>
        <v>#VALUE!</v>
      </c>
      <c r="H80" s="43" t="e">
        <f t="shared" ca="1" si="2"/>
        <v>#VALUE!</v>
      </c>
      <c r="I80" s="43" t="e">
        <f t="shared" ca="1" si="3"/>
        <v>#VALUE!</v>
      </c>
      <c r="J80" s="43" t="e">
        <f t="shared" ca="1" si="4"/>
        <v>#VALUE!</v>
      </c>
      <c r="K80" s="44">
        <f t="shared" ca="1" si="5"/>
        <v>0</v>
      </c>
      <c r="L80" s="45">
        <f ca="1">IFERROR(__xludf.DUMMYFUNCTION("googlefinance(""nse:""&amp;A80,""PRICEOPEN"")"),1340)</f>
        <v>1340</v>
      </c>
      <c r="M80" s="45">
        <f ca="1">IFERROR(__xludf.DUMMYFUNCTION("googlefinance(""nse:""&amp;A80,""PRICE"")"),1355.5)</f>
        <v>1355.5</v>
      </c>
      <c r="N80" s="44">
        <f ca="1">IFERROR(__xludf.DUMMYFUNCTION("googlefinance(""nse:""&amp;A80,""HIGH"")"),1380)</f>
        <v>1380</v>
      </c>
      <c r="O80" s="48">
        <f ca="1">IFERROR(__xludf.DUMMYFUNCTION("googlefinance(""nse:""&amp;A80,""LOW"")"),1334.05)</f>
        <v>1334.05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35" t="s">
        <v>148</v>
      </c>
      <c r="B81" s="37" t="e">
        <f t="shared" ca="1" si="0"/>
        <v>#VALUE!</v>
      </c>
      <c r="C81" s="39">
        <f ca="1">IFERROR(__xludf.DUMMYFUNCTION("googlefinance(""nse:""&amp;A81,""changepct"")"),1.63)</f>
        <v>1.63</v>
      </c>
      <c r="D81" s="39">
        <f ca="1">IFERROR(__xludf.DUMMYFUNCTION("googlefinance(""nse:""&amp;A81,""change"")"),1.05)</f>
        <v>1.05</v>
      </c>
      <c r="E81" s="39" t="str">
        <f ca="1">IFERROR(__xludf.DUMMYFUNCTION("ArrayFormula( AVERAGE( QUERY( SORT(GOOGLEFINANCE(""NSE:""&amp;A81,""all"",workday.intl(TODAY(),-4),TODAY(),""daily""),2,0) , ""select Col6 "" ) ))"),"#N/A")</f>
        <v>#N/A</v>
      </c>
      <c r="F81" s="39">
        <f ca="1">IFERROR(__xludf.DUMMYFUNCTION("googlefinance(""nse:""&amp;A81,""volume"")"),14299685)</f>
        <v>14299685</v>
      </c>
      <c r="G81" s="42" t="e">
        <f t="shared" ca="1" si="1"/>
        <v>#VALUE!</v>
      </c>
      <c r="H81" s="43" t="e">
        <f t="shared" ca="1" si="2"/>
        <v>#VALUE!</v>
      </c>
      <c r="I81" s="43" t="e">
        <f t="shared" ca="1" si="3"/>
        <v>#VALUE!</v>
      </c>
      <c r="J81" s="43" t="e">
        <f t="shared" ca="1" si="4"/>
        <v>#VALUE!</v>
      </c>
      <c r="K81" s="44">
        <f t="shared" ca="1" si="5"/>
        <v>0</v>
      </c>
      <c r="L81" s="45">
        <f ca="1">IFERROR(__xludf.DUMMYFUNCTION("googlefinance(""nse:""&amp;A81,""PRICEOPEN"")"),65.9)</f>
        <v>65.900000000000006</v>
      </c>
      <c r="M81" s="45">
        <f ca="1">IFERROR(__xludf.DUMMYFUNCTION("googlefinance(""nse:""&amp;A81,""PRICE"")"),65.65)</f>
        <v>65.650000000000006</v>
      </c>
      <c r="N81" s="44">
        <f ca="1">IFERROR(__xludf.DUMMYFUNCTION("googlefinance(""nse:""&amp;A81,""HIGH"")"),67.5)</f>
        <v>67.5</v>
      </c>
      <c r="O81" s="48">
        <f ca="1">IFERROR(__xludf.DUMMYFUNCTION("googlefinance(""nse:""&amp;A81,""LOW"")"),65)</f>
        <v>65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35" t="s">
        <v>149</v>
      </c>
      <c r="B82" s="37" t="e">
        <f t="shared" ca="1" si="0"/>
        <v>#VALUE!</v>
      </c>
      <c r="C82" s="39">
        <f ca="1">IFERROR(__xludf.DUMMYFUNCTION("googlefinance(""nse:""&amp;A82,""changepct"")"),-0.47)</f>
        <v>-0.47</v>
      </c>
      <c r="D82" s="39">
        <f ca="1">IFERROR(__xludf.DUMMYFUNCTION("googlefinance(""nse:""&amp;A82,""change"")"),-1.35)</f>
        <v>-1.35</v>
      </c>
      <c r="E82" s="39" t="str">
        <f ca="1">IFERROR(__xludf.DUMMYFUNCTION("ArrayFormula( AVERAGE( QUERY( SORT(GOOGLEFINANCE(""NSE:""&amp;A82,""all"",workday.intl(TODAY(),-4),TODAY(),""daily""),2,0) , ""select Col6 "" ) ))"),"#N/A")</f>
        <v>#N/A</v>
      </c>
      <c r="F82" s="39">
        <f ca="1">IFERROR(__xludf.DUMMYFUNCTION("googlefinance(""nse:""&amp;A82,""volume"")"),7040200)</f>
        <v>7040200</v>
      </c>
      <c r="G82" s="42" t="e">
        <f t="shared" ca="1" si="1"/>
        <v>#VALUE!</v>
      </c>
      <c r="H82" s="43" t="e">
        <f t="shared" ca="1" si="2"/>
        <v>#VALUE!</v>
      </c>
      <c r="I82" s="43" t="e">
        <f t="shared" ca="1" si="3"/>
        <v>#VALUE!</v>
      </c>
      <c r="J82" s="43" t="e">
        <f t="shared" ca="1" si="4"/>
        <v>#VALUE!</v>
      </c>
      <c r="K82" s="44">
        <f t="shared" ca="1" si="5"/>
        <v>0</v>
      </c>
      <c r="L82" s="45">
        <f ca="1">IFERROR(__xludf.DUMMYFUNCTION("googlefinance(""nse:""&amp;A82,""PRICEOPEN"")"),287.45)</f>
        <v>287.45</v>
      </c>
      <c r="M82" s="45">
        <f ca="1">IFERROR(__xludf.DUMMYFUNCTION("googlefinance(""nse:""&amp;A82,""PRICE"")"),283.25)</f>
        <v>283.25</v>
      </c>
      <c r="N82" s="44">
        <f ca="1">IFERROR(__xludf.DUMMYFUNCTION("googlefinance(""nse:""&amp;A82,""HIGH"")"),296.85)</f>
        <v>296.85000000000002</v>
      </c>
      <c r="O82" s="48">
        <f ca="1">IFERROR(__xludf.DUMMYFUNCTION("googlefinance(""nse:""&amp;A82,""LOW"")"),281.3)</f>
        <v>281.3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35" t="s">
        <v>150</v>
      </c>
      <c r="B83" s="37" t="e">
        <f t="shared" ca="1" si="0"/>
        <v>#VALUE!</v>
      </c>
      <c r="C83" s="39">
        <f ca="1">IFERROR(__xludf.DUMMYFUNCTION("googlefinance(""nse:""&amp;A83,""changepct"")"),2.58)</f>
        <v>2.58</v>
      </c>
      <c r="D83" s="39">
        <f ca="1">IFERROR(__xludf.DUMMYFUNCTION("googlefinance(""nse:""&amp;A83,""change"")"),22.6)</f>
        <v>22.6</v>
      </c>
      <c r="E83" s="39" t="str">
        <f ca="1">IFERROR(__xludf.DUMMYFUNCTION("ArrayFormula( AVERAGE( QUERY( SORT(GOOGLEFINANCE(""NSE:""&amp;A83,""all"",workday.intl(TODAY(),-4),TODAY(),""daily""),2,0) , ""select Col6 "" ) ))"),"#N/A")</f>
        <v>#N/A</v>
      </c>
      <c r="F83" s="39">
        <f ca="1">IFERROR(__xludf.DUMMYFUNCTION("googlefinance(""nse:""&amp;A83,""volume"")"),6333023)</f>
        <v>6333023</v>
      </c>
      <c r="G83" s="42" t="e">
        <f t="shared" ca="1" si="1"/>
        <v>#VALUE!</v>
      </c>
      <c r="H83" s="43" t="e">
        <f t="shared" ca="1" si="2"/>
        <v>#VALUE!</v>
      </c>
      <c r="I83" s="43" t="e">
        <f t="shared" ca="1" si="3"/>
        <v>#VALUE!</v>
      </c>
      <c r="J83" s="43" t="e">
        <f t="shared" ca="1" si="4"/>
        <v>#VALUE!</v>
      </c>
      <c r="K83" s="44">
        <f t="shared" ca="1" si="5"/>
        <v>0</v>
      </c>
      <c r="L83" s="45">
        <f ca="1">IFERROR(__xludf.DUMMYFUNCTION("googlefinance(""nse:""&amp;A83,""PRICEOPEN"")"),890.2)</f>
        <v>890.2</v>
      </c>
      <c r="M83" s="45">
        <f ca="1">IFERROR(__xludf.DUMMYFUNCTION("googlefinance(""nse:""&amp;A83,""PRICE"")"),897.95)</f>
        <v>897.95</v>
      </c>
      <c r="N83" s="44">
        <f ca="1">IFERROR(__xludf.DUMMYFUNCTION("googlefinance(""nse:""&amp;A83,""HIGH"")"),916.8)</f>
        <v>916.8</v>
      </c>
      <c r="O83" s="48">
        <f ca="1">IFERROR(__xludf.DUMMYFUNCTION("googlefinance(""nse:""&amp;A83,""LOW"")"),884.1)</f>
        <v>884.1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35" t="s">
        <v>151</v>
      </c>
      <c r="B84" s="37" t="e">
        <f t="shared" ca="1" si="0"/>
        <v>#VALUE!</v>
      </c>
      <c r="C84" s="39">
        <f ca="1">IFERROR(__xludf.DUMMYFUNCTION("googlefinance(""nse:""&amp;A84,""changepct"")"),-2.41)</f>
        <v>-2.41</v>
      </c>
      <c r="D84" s="39">
        <f ca="1">IFERROR(__xludf.DUMMYFUNCTION("googlefinance(""nse:""&amp;A84,""change"")"),-20.6)</f>
        <v>-20.6</v>
      </c>
      <c r="E84" s="39" t="str">
        <f ca="1">IFERROR(__xludf.DUMMYFUNCTION("ArrayFormula( AVERAGE( QUERY( SORT(GOOGLEFINANCE(""NSE:""&amp;A84,""all"",workday.intl(TODAY(),-4),TODAY(),""daily""),2,0) , ""select Col6 "" ) ))"),"#N/A")</f>
        <v>#N/A</v>
      </c>
      <c r="F84" s="39">
        <f ca="1">IFERROR(__xludf.DUMMYFUNCTION("googlefinance(""nse:""&amp;A84,""volume"")"),7643331)</f>
        <v>7643331</v>
      </c>
      <c r="G84" s="42" t="e">
        <f t="shared" ca="1" si="1"/>
        <v>#VALUE!</v>
      </c>
      <c r="H84" s="43" t="e">
        <f t="shared" ca="1" si="2"/>
        <v>#VALUE!</v>
      </c>
      <c r="I84" s="43" t="e">
        <f t="shared" ca="1" si="3"/>
        <v>#VALUE!</v>
      </c>
      <c r="J84" s="43" t="e">
        <f t="shared" ca="1" si="4"/>
        <v>#VALUE!</v>
      </c>
      <c r="K84" s="44">
        <f t="shared" ca="1" si="5"/>
        <v>0</v>
      </c>
      <c r="L84" s="45">
        <f ca="1">IFERROR(__xludf.DUMMYFUNCTION("googlefinance(""nse:""&amp;A84,""PRICEOPEN"")"),874.9)</f>
        <v>874.9</v>
      </c>
      <c r="M84" s="45">
        <f ca="1">IFERROR(__xludf.DUMMYFUNCTION("googlefinance(""nse:""&amp;A84,""PRICE"")"),833.8)</f>
        <v>833.8</v>
      </c>
      <c r="N84" s="44">
        <f ca="1">IFERROR(__xludf.DUMMYFUNCTION("googlefinance(""nse:""&amp;A84,""HIGH"")"),878.2)</f>
        <v>878.2</v>
      </c>
      <c r="O84" s="48">
        <f ca="1">IFERROR(__xludf.DUMMYFUNCTION("googlefinance(""nse:""&amp;A84,""LOW"")"),811.55)</f>
        <v>811.55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35" t="s">
        <v>152</v>
      </c>
      <c r="B85" s="37" t="e">
        <f t="shared" ca="1" si="0"/>
        <v>#VALUE!</v>
      </c>
      <c r="C85" s="39">
        <f ca="1">IFERROR(__xludf.DUMMYFUNCTION("googlefinance(""nse:""&amp;A85,""changepct"")"),5.62)</f>
        <v>5.62</v>
      </c>
      <c r="D85" s="39">
        <f ca="1">IFERROR(__xludf.DUMMYFUNCTION("googlefinance(""nse:""&amp;A85,""change"")"),19.55)</f>
        <v>19.55</v>
      </c>
      <c r="E85" s="39" t="str">
        <f ca="1">IFERROR(__xludf.DUMMYFUNCTION("ArrayFormula( AVERAGE( QUERY( SORT(GOOGLEFINANCE(""NSE:""&amp;A85,""all"",workday.intl(TODAY(),-4),TODAY(),""daily""),2,0) , ""select Col6 "" ) ))"),"#N/A")</f>
        <v>#N/A</v>
      </c>
      <c r="F85" s="39">
        <f ca="1">IFERROR(__xludf.DUMMYFUNCTION("googlefinance(""nse:""&amp;A85,""volume"")"),7422880)</f>
        <v>7422880</v>
      </c>
      <c r="G85" s="42" t="e">
        <f t="shared" ca="1" si="1"/>
        <v>#VALUE!</v>
      </c>
      <c r="H85" s="43" t="e">
        <f t="shared" ca="1" si="2"/>
        <v>#VALUE!</v>
      </c>
      <c r="I85" s="43" t="e">
        <f t="shared" ca="1" si="3"/>
        <v>#VALUE!</v>
      </c>
      <c r="J85" s="43" t="e">
        <f t="shared" ca="1" si="4"/>
        <v>#VALUE!</v>
      </c>
      <c r="K85" s="44">
        <f t="shared" ca="1" si="5"/>
        <v>0</v>
      </c>
      <c r="L85" s="45">
        <f ca="1">IFERROR(__xludf.DUMMYFUNCTION("googlefinance(""nse:""&amp;A85,""PRICEOPEN"")"),355.65)</f>
        <v>355.65</v>
      </c>
      <c r="M85" s="45">
        <f ca="1">IFERROR(__xludf.DUMMYFUNCTION("googlefinance(""nse:""&amp;A85,""PRICE"")"),367.55)</f>
        <v>367.55</v>
      </c>
      <c r="N85" s="44">
        <f ca="1">IFERROR(__xludf.DUMMYFUNCTION("googlefinance(""nse:""&amp;A85,""HIGH"")"),368)</f>
        <v>368</v>
      </c>
      <c r="O85" s="48">
        <f ca="1">IFERROR(__xludf.DUMMYFUNCTION("googlefinance(""nse:""&amp;A85,""LOW"")"),355)</f>
        <v>355</v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35" t="s">
        <v>153</v>
      </c>
      <c r="B86" s="37" t="e">
        <f t="shared" ca="1" si="0"/>
        <v>#VALUE!</v>
      </c>
      <c r="C86" s="39">
        <f ca="1">IFERROR(__xludf.DUMMYFUNCTION("googlefinance(""nse:""&amp;A86,""changepct"")"),6.09)</f>
        <v>6.09</v>
      </c>
      <c r="D86" s="39">
        <f ca="1">IFERROR(__xludf.DUMMYFUNCTION("googlefinance(""nse:""&amp;A86,""change"")"),9.55)</f>
        <v>9.5500000000000007</v>
      </c>
      <c r="E86" s="39" t="str">
        <f ca="1">IFERROR(__xludf.DUMMYFUNCTION("ArrayFormula( AVERAGE( QUERY( SORT(GOOGLEFINANCE(""NSE:""&amp;A86,""all"",workday.intl(TODAY(),-4),TODAY(),""daily""),2,0) , ""select Col6 "" ) ))"),"#N/A")</f>
        <v>#N/A</v>
      </c>
      <c r="F86" s="39">
        <f ca="1">IFERROR(__xludf.DUMMYFUNCTION("googlefinance(""nse:""&amp;A86,""volume"")"),12639407)</f>
        <v>12639407</v>
      </c>
      <c r="G86" s="42" t="e">
        <f t="shared" ca="1" si="1"/>
        <v>#VALUE!</v>
      </c>
      <c r="H86" s="43" t="e">
        <f t="shared" ca="1" si="2"/>
        <v>#VALUE!</v>
      </c>
      <c r="I86" s="43" t="e">
        <f t="shared" ca="1" si="3"/>
        <v>#VALUE!</v>
      </c>
      <c r="J86" s="43" t="e">
        <f t="shared" ca="1" si="4"/>
        <v>#VALUE!</v>
      </c>
      <c r="K86" s="44">
        <f t="shared" ca="1" si="5"/>
        <v>0</v>
      </c>
      <c r="L86" s="45">
        <f ca="1">IFERROR(__xludf.DUMMYFUNCTION("googlefinance(""nse:""&amp;A86,""PRICEOPEN"")"),161.95)</f>
        <v>161.94999999999999</v>
      </c>
      <c r="M86" s="45">
        <f ca="1">IFERROR(__xludf.DUMMYFUNCTION("googlefinance(""nse:""&amp;A86,""PRICE"")"),166.45)</f>
        <v>166.45</v>
      </c>
      <c r="N86" s="44">
        <f ca="1">IFERROR(__xludf.DUMMYFUNCTION("googlefinance(""nse:""&amp;A86,""HIGH"")"),167.95)</f>
        <v>167.95</v>
      </c>
      <c r="O86" s="48">
        <f ca="1">IFERROR(__xludf.DUMMYFUNCTION("googlefinance(""nse:""&amp;A86,""LOW"")"),160.1)</f>
        <v>160.1</v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35" t="s">
        <v>154</v>
      </c>
      <c r="B87" s="37" t="e">
        <f t="shared" ca="1" si="0"/>
        <v>#VALUE!</v>
      </c>
      <c r="C87" s="39">
        <f ca="1">IFERROR(__xludf.DUMMYFUNCTION("googlefinance(""nse:""&amp;A87,""changepct"")"),6.27)</f>
        <v>6.27</v>
      </c>
      <c r="D87" s="39">
        <f ca="1">IFERROR(__xludf.DUMMYFUNCTION("googlefinance(""nse:""&amp;A87,""change"")"),7.9)</f>
        <v>7.9</v>
      </c>
      <c r="E87" s="39" t="str">
        <f ca="1">IFERROR(__xludf.DUMMYFUNCTION("ArrayFormula( AVERAGE( QUERY( SORT(GOOGLEFINANCE(""NSE:""&amp;A87,""all"",workday.intl(TODAY(),-4),TODAY(),""daily""),2,0) , ""select Col6 "" ) ))"),"#N/A")</f>
        <v>#N/A</v>
      </c>
      <c r="F87" s="39">
        <f ca="1">IFERROR(__xludf.DUMMYFUNCTION("googlefinance(""nse:""&amp;A87,""volume"")"),19668651)</f>
        <v>19668651</v>
      </c>
      <c r="G87" s="42" t="e">
        <f t="shared" ca="1" si="1"/>
        <v>#VALUE!</v>
      </c>
      <c r="H87" s="43" t="e">
        <f t="shared" ca="1" si="2"/>
        <v>#VALUE!</v>
      </c>
      <c r="I87" s="43" t="e">
        <f t="shared" ca="1" si="3"/>
        <v>#VALUE!</v>
      </c>
      <c r="J87" s="43" t="e">
        <f t="shared" ca="1" si="4"/>
        <v>#VALUE!</v>
      </c>
      <c r="K87" s="44">
        <f t="shared" ca="1" si="5"/>
        <v>0</v>
      </c>
      <c r="L87" s="45">
        <f ca="1">IFERROR(__xludf.DUMMYFUNCTION("googlefinance(""nse:""&amp;A87,""PRICEOPEN"")"),126.7)</f>
        <v>126.7</v>
      </c>
      <c r="M87" s="45">
        <f ca="1">IFERROR(__xludf.DUMMYFUNCTION("googlefinance(""nse:""&amp;A87,""PRICE"")"),133.9)</f>
        <v>133.9</v>
      </c>
      <c r="N87" s="44">
        <f ca="1">IFERROR(__xludf.DUMMYFUNCTION("googlefinance(""nse:""&amp;A87,""HIGH"")"),135.3)</f>
        <v>135.30000000000001</v>
      </c>
      <c r="O87" s="48">
        <f ca="1">IFERROR(__xludf.DUMMYFUNCTION("googlefinance(""nse:""&amp;A87,""LOW"")"),126.6)</f>
        <v>126.6</v>
      </c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35" t="s">
        <v>155</v>
      </c>
      <c r="B88" s="37" t="e">
        <f t="shared" ca="1" si="0"/>
        <v>#VALUE!</v>
      </c>
      <c r="C88" s="39">
        <f ca="1">IFERROR(__xludf.DUMMYFUNCTION("googlefinance(""nse:""&amp;A88,""changepct"")"),-0.6)</f>
        <v>-0.6</v>
      </c>
      <c r="D88" s="39">
        <f ca="1">IFERROR(__xludf.DUMMYFUNCTION("googlefinance(""nse:""&amp;A88,""change"")"),-1.75)</f>
        <v>-1.75</v>
      </c>
      <c r="E88" s="39" t="str">
        <f ca="1">IFERROR(__xludf.DUMMYFUNCTION("ArrayFormula( AVERAGE( QUERY( SORT(GOOGLEFINANCE(""NSE:""&amp;A88,""all"",workday.intl(TODAY(),-4),TODAY(),""daily""),2,0) , ""select Col6 "" ) ))"),"#N/A")</f>
        <v>#N/A</v>
      </c>
      <c r="F88" s="39">
        <f ca="1">IFERROR(__xludf.DUMMYFUNCTION("googlefinance(""nse:""&amp;A88,""volume"")"),4595484)</f>
        <v>4595484</v>
      </c>
      <c r="G88" s="42" t="e">
        <f t="shared" ca="1" si="1"/>
        <v>#VALUE!</v>
      </c>
      <c r="H88" s="43" t="e">
        <f t="shared" ca="1" si="2"/>
        <v>#VALUE!</v>
      </c>
      <c r="I88" s="43" t="e">
        <f t="shared" ca="1" si="3"/>
        <v>#VALUE!</v>
      </c>
      <c r="J88" s="43" t="e">
        <f t="shared" ca="1" si="4"/>
        <v>#VALUE!</v>
      </c>
      <c r="K88" s="44" t="str">
        <f t="shared" ca="1" si="5"/>
        <v>SELL</v>
      </c>
      <c r="L88" s="45">
        <f ca="1">IFERROR(__xludf.DUMMYFUNCTION("googlefinance(""nse:""&amp;A88,""PRICEOPEN"")"),295)</f>
        <v>295</v>
      </c>
      <c r="M88" s="45">
        <f ca="1">IFERROR(__xludf.DUMMYFUNCTION("googlefinance(""nse:""&amp;A88,""PRICE"")"),287.9)</f>
        <v>287.89999999999998</v>
      </c>
      <c r="N88" s="44">
        <f ca="1">IFERROR(__xludf.DUMMYFUNCTION("googlefinance(""nse:""&amp;A88,""HIGH"")"),295)</f>
        <v>295</v>
      </c>
      <c r="O88" s="48">
        <f ca="1">IFERROR(__xludf.DUMMYFUNCTION("googlefinance(""nse:""&amp;A88,""LOW"")"),283.15)</f>
        <v>283.14999999999998</v>
      </c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35" t="s">
        <v>156</v>
      </c>
      <c r="B89" s="37" t="e">
        <f t="shared" ca="1" si="0"/>
        <v>#VALUE!</v>
      </c>
      <c r="C89" s="39">
        <f ca="1">IFERROR(__xludf.DUMMYFUNCTION("googlefinance(""nse:""&amp;A89,""changepct"")"),5.42)</f>
        <v>5.42</v>
      </c>
      <c r="D89" s="39">
        <f ca="1">IFERROR(__xludf.DUMMYFUNCTION("googlefinance(""nse:""&amp;A89,""change"")"),274.55)</f>
        <v>274.55</v>
      </c>
      <c r="E89" s="39" t="str">
        <f ca="1">IFERROR(__xludf.DUMMYFUNCTION("ArrayFormula( AVERAGE( QUERY( SORT(GOOGLEFINANCE(""NSE:""&amp;A89,""all"",workday.intl(TODAY(),-4),TODAY(),""daily""),2,0) , ""select Col6 "" ) ))"),"#N/A")</f>
        <v>#N/A</v>
      </c>
      <c r="F89" s="39">
        <f ca="1">IFERROR(__xludf.DUMMYFUNCTION("googlefinance(""nse:""&amp;A89,""volume"")"),2341400)</f>
        <v>2341400</v>
      </c>
      <c r="G89" s="42" t="e">
        <f t="shared" ca="1" si="1"/>
        <v>#VALUE!</v>
      </c>
      <c r="H89" s="43" t="e">
        <f t="shared" ca="1" si="2"/>
        <v>#VALUE!</v>
      </c>
      <c r="I89" s="43" t="e">
        <f t="shared" ca="1" si="3"/>
        <v>#VALUE!</v>
      </c>
      <c r="J89" s="43" t="e">
        <f t="shared" ca="1" si="4"/>
        <v>#VALUE!</v>
      </c>
      <c r="K89" s="44" t="str">
        <f t="shared" ca="1" si="5"/>
        <v>BUY</v>
      </c>
      <c r="L89" s="45">
        <f ca="1">IFERROR(__xludf.DUMMYFUNCTION("googlefinance(""nse:""&amp;A89,""PRICEOPEN"")"),5122)</f>
        <v>5122</v>
      </c>
      <c r="M89" s="45">
        <f ca="1">IFERROR(__xludf.DUMMYFUNCTION("googlefinance(""nse:""&amp;A89,""PRICE"")"),5343)</f>
        <v>5343</v>
      </c>
      <c r="N89" s="44">
        <f ca="1">IFERROR(__xludf.DUMMYFUNCTION("googlefinance(""nse:""&amp;A89,""HIGH"")"),5425)</f>
        <v>5425</v>
      </c>
      <c r="O89" s="48">
        <f ca="1">IFERROR(__xludf.DUMMYFUNCTION("googlefinance(""nse:""&amp;A89,""LOW"")"),5122)</f>
        <v>5122</v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35" t="s">
        <v>157</v>
      </c>
      <c r="B90" s="37" t="e">
        <f t="shared" ca="1" si="0"/>
        <v>#VALUE!</v>
      </c>
      <c r="C90" s="39">
        <f ca="1">IFERROR(__xludf.DUMMYFUNCTION("googlefinance(""nse:""&amp;A90,""changepct"")"),0.68)</f>
        <v>0.68</v>
      </c>
      <c r="D90" s="39">
        <f ca="1">IFERROR(__xludf.DUMMYFUNCTION("googlefinance(""nse:""&amp;A90,""change"")"),3.6)</f>
        <v>3.6</v>
      </c>
      <c r="E90" s="39" t="str">
        <f ca="1">IFERROR(__xludf.DUMMYFUNCTION("ArrayFormula( AVERAGE( QUERY( SORT(GOOGLEFINANCE(""NSE:""&amp;A90,""all"",workday.intl(TODAY(),-4),TODAY(),""daily""),2,0) , ""select Col6 "" ) ))"),"#N/A")</f>
        <v>#N/A</v>
      </c>
      <c r="F90" s="39">
        <f ca="1">IFERROR(__xludf.DUMMYFUNCTION("googlefinance(""nse:""&amp;A90,""volume"")"),3049732)</f>
        <v>3049732</v>
      </c>
      <c r="G90" s="42" t="e">
        <f t="shared" ca="1" si="1"/>
        <v>#VALUE!</v>
      </c>
      <c r="H90" s="43" t="e">
        <f t="shared" ca="1" si="2"/>
        <v>#VALUE!</v>
      </c>
      <c r="I90" s="43" t="e">
        <f t="shared" ca="1" si="3"/>
        <v>#VALUE!</v>
      </c>
      <c r="J90" s="43" t="e">
        <f t="shared" ca="1" si="4"/>
        <v>#VALUE!</v>
      </c>
      <c r="K90" s="44">
        <f t="shared" ca="1" si="5"/>
        <v>0</v>
      </c>
      <c r="L90" s="45">
        <f ca="1">IFERROR(__xludf.DUMMYFUNCTION("googlefinance(""nse:""&amp;A90,""PRICEOPEN"")"),536.15)</f>
        <v>536.15</v>
      </c>
      <c r="M90" s="45">
        <f ca="1">IFERROR(__xludf.DUMMYFUNCTION("googlefinance(""nse:""&amp;A90,""PRICE"")"),535.9)</f>
        <v>535.9</v>
      </c>
      <c r="N90" s="44">
        <f ca="1">IFERROR(__xludf.DUMMYFUNCTION("googlefinance(""nse:""&amp;A90,""HIGH"")"),545.5)</f>
        <v>545.5</v>
      </c>
      <c r="O90" s="48">
        <f ca="1">IFERROR(__xludf.DUMMYFUNCTION("googlefinance(""nse:""&amp;A90,""LOW"")"),527.1)</f>
        <v>527.1</v>
      </c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35" t="s">
        <v>158</v>
      </c>
      <c r="B91" s="37" t="e">
        <f t="shared" ca="1" si="0"/>
        <v>#VALUE!</v>
      </c>
      <c r="C91" s="39">
        <f ca="1">IFERROR(__xludf.DUMMYFUNCTION("googlefinance(""nse:""&amp;A91,""changepct"")"),-1.42)</f>
        <v>-1.42</v>
      </c>
      <c r="D91" s="39">
        <f ca="1">IFERROR(__xludf.DUMMYFUNCTION("googlefinance(""nse:""&amp;A91,""change"")"),-6.7)</f>
        <v>-6.7</v>
      </c>
      <c r="E91" s="39" t="str">
        <f ca="1">IFERROR(__xludf.DUMMYFUNCTION("ArrayFormula( AVERAGE( QUERY( SORT(GOOGLEFINANCE(""NSE:""&amp;A91,""all"",workday.intl(TODAY(),-4),TODAY(),""daily""),2,0) , ""select Col6 "" ) ))"),"#N/A")</f>
        <v>#N/A</v>
      </c>
      <c r="F91" s="39">
        <f ca="1">IFERROR(__xludf.DUMMYFUNCTION("googlefinance(""nse:""&amp;A91,""volume"")"),2081814)</f>
        <v>2081814</v>
      </c>
      <c r="G91" s="42" t="e">
        <f t="shared" ca="1" si="1"/>
        <v>#VALUE!</v>
      </c>
      <c r="H91" s="43" t="e">
        <f t="shared" ca="1" si="2"/>
        <v>#VALUE!</v>
      </c>
      <c r="I91" s="43" t="e">
        <f t="shared" ca="1" si="3"/>
        <v>#VALUE!</v>
      </c>
      <c r="J91" s="43" t="e">
        <f t="shared" ca="1" si="4"/>
        <v>#VALUE!</v>
      </c>
      <c r="K91" s="44">
        <f t="shared" ca="1" si="5"/>
        <v>0</v>
      </c>
      <c r="L91" s="45">
        <f ca="1">IFERROR(__xludf.DUMMYFUNCTION("googlefinance(""nse:""&amp;A91,""PRICEOPEN"")"),477.9)</f>
        <v>477.9</v>
      </c>
      <c r="M91" s="45">
        <f ca="1">IFERROR(__xludf.DUMMYFUNCTION("googlefinance(""nse:""&amp;A91,""PRICE"")"),466.3)</f>
        <v>466.3</v>
      </c>
      <c r="N91" s="44">
        <f ca="1">IFERROR(__xludf.DUMMYFUNCTION("googlefinance(""nse:""&amp;A91,""HIGH"")"),489.85)</f>
        <v>489.85</v>
      </c>
      <c r="O91" s="48">
        <f ca="1">IFERROR(__xludf.DUMMYFUNCTION("googlefinance(""nse:""&amp;A91,""LOW"")"),460.25)</f>
        <v>460.25</v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35" t="s">
        <v>159</v>
      </c>
      <c r="B92" s="37" t="e">
        <f t="shared" ca="1" si="0"/>
        <v>#VALUE!</v>
      </c>
      <c r="C92" s="39">
        <f ca="1">IFERROR(__xludf.DUMMYFUNCTION("googlefinance(""nse:""&amp;A92,""changepct"")"),2.04)</f>
        <v>2.04</v>
      </c>
      <c r="D92" s="39">
        <f ca="1">IFERROR(__xludf.DUMMYFUNCTION("googlefinance(""nse:""&amp;A92,""change"")"),19.3)</f>
        <v>19.3</v>
      </c>
      <c r="E92" s="39" t="str">
        <f ca="1">IFERROR(__xludf.DUMMYFUNCTION("ArrayFormula( AVERAGE( QUERY( SORT(GOOGLEFINANCE(""NSE:""&amp;A92,""all"",workday.intl(TODAY(),-4),TODAY(),""daily""),2,0) , ""select Col6 "" ) ))"),"#N/A")</f>
        <v>#N/A</v>
      </c>
      <c r="F92" s="39">
        <f ca="1">IFERROR(__xludf.DUMMYFUNCTION("googlefinance(""nse:""&amp;A92,""volume"")"),747780)</f>
        <v>747780</v>
      </c>
      <c r="G92" s="42" t="e">
        <f t="shared" ca="1" si="1"/>
        <v>#VALUE!</v>
      </c>
      <c r="H92" s="43" t="e">
        <f t="shared" ca="1" si="2"/>
        <v>#VALUE!</v>
      </c>
      <c r="I92" s="43" t="e">
        <f t="shared" ca="1" si="3"/>
        <v>#VALUE!</v>
      </c>
      <c r="J92" s="43" t="e">
        <f t="shared" ca="1" si="4"/>
        <v>#VALUE!</v>
      </c>
      <c r="K92" s="44" t="str">
        <f t="shared" ca="1" si="5"/>
        <v>BUY</v>
      </c>
      <c r="L92" s="45">
        <f ca="1">IFERROR(__xludf.DUMMYFUNCTION("googlefinance(""nse:""&amp;A92,""PRICEOPEN"")"),955)</f>
        <v>955</v>
      </c>
      <c r="M92" s="45">
        <f ca="1">IFERROR(__xludf.DUMMYFUNCTION("googlefinance(""nse:""&amp;A92,""PRICE"")"),965.5)</f>
        <v>965.5</v>
      </c>
      <c r="N92" s="44">
        <f ca="1">IFERROR(__xludf.DUMMYFUNCTION("googlefinance(""nse:""&amp;A92,""HIGH"")"),978.1)</f>
        <v>978.1</v>
      </c>
      <c r="O92" s="48">
        <f ca="1">IFERROR(__xludf.DUMMYFUNCTION("googlefinance(""nse:""&amp;A92,""LOW"")"),955)</f>
        <v>955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35" t="s">
        <v>160</v>
      </c>
      <c r="B93" s="37" t="e">
        <f t="shared" ca="1" si="0"/>
        <v>#VALUE!</v>
      </c>
      <c r="C93" s="39">
        <f ca="1">IFERROR(__xludf.DUMMYFUNCTION("googlefinance(""nse:""&amp;A93,""changepct"")"),3.78)</f>
        <v>3.78</v>
      </c>
      <c r="D93" s="39">
        <f ca="1">IFERROR(__xludf.DUMMYFUNCTION("googlefinance(""nse:""&amp;A93,""change"")"),33.35)</f>
        <v>33.35</v>
      </c>
      <c r="E93" s="39" t="str">
        <f ca="1">IFERROR(__xludf.DUMMYFUNCTION("ArrayFormula( AVERAGE( QUERY( SORT(GOOGLEFINANCE(""NSE:""&amp;A93,""all"",workday.intl(TODAY(),-4),TODAY(),""daily""),2,0) , ""select Col6 "" ) ))"),"#N/A")</f>
        <v>#N/A</v>
      </c>
      <c r="F93" s="39">
        <f ca="1">IFERROR(__xludf.DUMMYFUNCTION("googlefinance(""nse:""&amp;A93,""volume"")"),1642403)</f>
        <v>1642403</v>
      </c>
      <c r="G93" s="42" t="e">
        <f t="shared" ca="1" si="1"/>
        <v>#VALUE!</v>
      </c>
      <c r="H93" s="43" t="e">
        <f t="shared" ca="1" si="2"/>
        <v>#VALUE!</v>
      </c>
      <c r="I93" s="43" t="e">
        <f t="shared" ca="1" si="3"/>
        <v>#VALUE!</v>
      </c>
      <c r="J93" s="43" t="e">
        <f t="shared" ca="1" si="4"/>
        <v>#VALUE!</v>
      </c>
      <c r="K93" s="44">
        <f t="shared" ca="1" si="5"/>
        <v>0</v>
      </c>
      <c r="L93" s="45">
        <f ca="1">IFERROR(__xludf.DUMMYFUNCTION("googlefinance(""nse:""&amp;A93,""PRICEOPEN"")"),891)</f>
        <v>891</v>
      </c>
      <c r="M93" s="45">
        <f ca="1">IFERROR(__xludf.DUMMYFUNCTION("googlefinance(""nse:""&amp;A93,""PRICE"")"),914.95)</f>
        <v>914.95</v>
      </c>
      <c r="N93" s="44">
        <f ca="1">IFERROR(__xludf.DUMMYFUNCTION("googlefinance(""nse:""&amp;A93,""HIGH"")"),921.8)</f>
        <v>921.8</v>
      </c>
      <c r="O93" s="48">
        <f ca="1">IFERROR(__xludf.DUMMYFUNCTION("googlefinance(""nse:""&amp;A93,""LOW"")"),883)</f>
        <v>883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35" t="s">
        <v>161</v>
      </c>
      <c r="B94" s="37" t="e">
        <f t="shared" ca="1" si="0"/>
        <v>#VALUE!</v>
      </c>
      <c r="C94" s="39">
        <f ca="1">IFERROR(__xludf.DUMMYFUNCTION("googlefinance(""nse:""&amp;A94,""changepct"")"),8.72)</f>
        <v>8.7200000000000006</v>
      </c>
      <c r="D94" s="39">
        <f ca="1">IFERROR(__xludf.DUMMYFUNCTION("googlefinance(""nse:""&amp;A94,""change"")"),7.1)</f>
        <v>7.1</v>
      </c>
      <c r="E94" s="39" t="str">
        <f ca="1">IFERROR(__xludf.DUMMYFUNCTION("ArrayFormula( AVERAGE( QUERY( SORT(GOOGLEFINANCE(""NSE:""&amp;A94,""all"",workday.intl(TODAY(),-4),TODAY(),""daily""),2,0) , ""select Col6 "" ) ))"),"#N/A")</f>
        <v>#N/A</v>
      </c>
      <c r="F94" s="39">
        <f ca="1">IFERROR(__xludf.DUMMYFUNCTION("googlefinance(""nse:""&amp;A94,""volume"")"),54841389)</f>
        <v>54841389</v>
      </c>
      <c r="G94" s="42" t="e">
        <f t="shared" ca="1" si="1"/>
        <v>#VALUE!</v>
      </c>
      <c r="H94" s="43" t="e">
        <f t="shared" ca="1" si="2"/>
        <v>#VALUE!</v>
      </c>
      <c r="I94" s="43" t="e">
        <f t="shared" ca="1" si="3"/>
        <v>#VALUE!</v>
      </c>
      <c r="J94" s="43" t="e">
        <f t="shared" ca="1" si="4"/>
        <v>#VALUE!</v>
      </c>
      <c r="K94" s="44">
        <f t="shared" ca="1" si="5"/>
        <v>0</v>
      </c>
      <c r="L94" s="45">
        <f ca="1">IFERROR(__xludf.DUMMYFUNCTION("googlefinance(""nse:""&amp;A94,""PRICEOPEN"")"),85.5)</f>
        <v>85.5</v>
      </c>
      <c r="M94" s="45">
        <f ca="1">IFERROR(__xludf.DUMMYFUNCTION("googlefinance(""nse:""&amp;A94,""PRICE"")"),88.5)</f>
        <v>88.5</v>
      </c>
      <c r="N94" s="44">
        <f ca="1">IFERROR(__xludf.DUMMYFUNCTION("googlefinance(""nse:""&amp;A94,""HIGH"")"),92)</f>
        <v>92</v>
      </c>
      <c r="O94" s="48">
        <f ca="1">IFERROR(__xludf.DUMMYFUNCTION("googlefinance(""nse:""&amp;A94,""LOW"")"),85.3)</f>
        <v>85.3</v>
      </c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35" t="s">
        <v>162</v>
      </c>
      <c r="B95" s="37" t="e">
        <f t="shared" ca="1" si="0"/>
        <v>#VALUE!</v>
      </c>
      <c r="C95" s="39">
        <f ca="1">IFERROR(__xludf.DUMMYFUNCTION("googlefinance(""nse:""&amp;A95,""changepct"")"),1.19)</f>
        <v>1.19</v>
      </c>
      <c r="D95" s="39">
        <f ca="1">IFERROR(__xludf.DUMMYFUNCTION("googlefinance(""nse:""&amp;A95,""change"")"),706.3)</f>
        <v>706.3</v>
      </c>
      <c r="E95" s="39" t="str">
        <f ca="1">IFERROR(__xludf.DUMMYFUNCTION("ArrayFormula( AVERAGE( QUERY( SORT(GOOGLEFINANCE(""NSE:""&amp;A95,""all"",workday.intl(TODAY(),-4),TODAY(),""daily""),2,0) , ""select Col6 "" ) ))"),"#N/A")</f>
        <v>#N/A</v>
      </c>
      <c r="F95" s="39">
        <f ca="1">IFERROR(__xludf.DUMMYFUNCTION("googlefinance(""nse:""&amp;A95,""volume"")"),18800)</f>
        <v>18800</v>
      </c>
      <c r="G95" s="42" t="e">
        <f t="shared" ca="1" si="1"/>
        <v>#VALUE!</v>
      </c>
      <c r="H95" s="43" t="e">
        <f t="shared" ca="1" si="2"/>
        <v>#VALUE!</v>
      </c>
      <c r="I95" s="43" t="e">
        <f t="shared" ca="1" si="3"/>
        <v>#VALUE!</v>
      </c>
      <c r="J95" s="43" t="e">
        <f t="shared" ca="1" si="4"/>
        <v>#VALUE!</v>
      </c>
      <c r="K95" s="44">
        <f t="shared" ca="1" si="5"/>
        <v>0</v>
      </c>
      <c r="L95" s="45">
        <f ca="1">IFERROR(__xludf.DUMMYFUNCTION("googlefinance(""nse:""&amp;A95,""PRICEOPEN"")"),59800)</f>
        <v>59800</v>
      </c>
      <c r="M95" s="45">
        <f ca="1">IFERROR(__xludf.DUMMYFUNCTION("googlefinance(""nse:""&amp;A95,""PRICE"")"),59910)</f>
        <v>59910</v>
      </c>
      <c r="N95" s="44">
        <f ca="1">IFERROR(__xludf.DUMMYFUNCTION("googlefinance(""nse:""&amp;A95,""HIGH"")"),61800)</f>
        <v>61800</v>
      </c>
      <c r="O95" s="48">
        <f ca="1">IFERROR(__xludf.DUMMYFUNCTION("googlefinance(""nse:""&amp;A95,""LOW"")"),59499.95)</f>
        <v>59499.95</v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35" t="s">
        <v>163</v>
      </c>
      <c r="B96" s="37" t="e">
        <f t="shared" ca="1" si="0"/>
        <v>#VALUE!</v>
      </c>
      <c r="C96" s="39">
        <f ca="1">IFERROR(__xludf.DUMMYFUNCTION("googlefinance(""nse:""&amp;A96,""changepct"")"),5.22)</f>
        <v>5.22</v>
      </c>
      <c r="D96" s="39">
        <f ca="1">IFERROR(__xludf.DUMMYFUNCTION("googlefinance(""nse:""&amp;A96,""change"")"),43)</f>
        <v>43</v>
      </c>
      <c r="E96" s="39" t="str">
        <f ca="1">IFERROR(__xludf.DUMMYFUNCTION("ArrayFormula( AVERAGE( QUERY( SORT(GOOGLEFINANCE(""NSE:""&amp;A96,""all"",workday.intl(TODAY(),-4),TODAY(),""daily""),2,0) , ""select Col6 "" ) ))"),"#N/A")</f>
        <v>#N/A</v>
      </c>
      <c r="F96" s="39">
        <f ca="1">IFERROR(__xludf.DUMMYFUNCTION("googlefinance(""nse:""&amp;A96,""volume"")"),3162393)</f>
        <v>3162393</v>
      </c>
      <c r="G96" s="42" t="e">
        <f t="shared" ca="1" si="1"/>
        <v>#VALUE!</v>
      </c>
      <c r="H96" s="43" t="e">
        <f t="shared" ca="1" si="2"/>
        <v>#VALUE!</v>
      </c>
      <c r="I96" s="43" t="e">
        <f t="shared" ca="1" si="3"/>
        <v>#VALUE!</v>
      </c>
      <c r="J96" s="43" t="e">
        <f t="shared" ca="1" si="4"/>
        <v>#VALUE!</v>
      </c>
      <c r="K96" s="44">
        <f t="shared" ca="1" si="5"/>
        <v>0</v>
      </c>
      <c r="L96" s="45">
        <f ca="1">IFERROR(__xludf.DUMMYFUNCTION("googlefinance(""nse:""&amp;A96,""PRICEOPEN"")"),829)</f>
        <v>829</v>
      </c>
      <c r="M96" s="45">
        <f ca="1">IFERROR(__xludf.DUMMYFUNCTION("googlefinance(""nse:""&amp;A96,""PRICE"")"),867.2)</f>
        <v>867.2</v>
      </c>
      <c r="N96" s="44">
        <f ca="1">IFERROR(__xludf.DUMMYFUNCTION("googlefinance(""nse:""&amp;A96,""HIGH"")"),875)</f>
        <v>875</v>
      </c>
      <c r="O96" s="48">
        <f ca="1">IFERROR(__xludf.DUMMYFUNCTION("googlefinance(""nse:""&amp;A96,""LOW"")"),823.25)</f>
        <v>823.25</v>
      </c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35" t="s">
        <v>164</v>
      </c>
      <c r="B97" s="37" t="e">
        <f t="shared" ca="1" si="0"/>
        <v>#VALUE!</v>
      </c>
      <c r="C97" s="39">
        <f ca="1">IFERROR(__xludf.DUMMYFUNCTION("googlefinance(""nse:""&amp;A97,""changepct"")"),2.75)</f>
        <v>2.75</v>
      </c>
      <c r="D97" s="39">
        <f ca="1">IFERROR(__xludf.DUMMYFUNCTION("googlefinance(""nse:""&amp;A97,""change"")"),0.85)</f>
        <v>0.85</v>
      </c>
      <c r="E97" s="39" t="str">
        <f ca="1">IFERROR(__xludf.DUMMYFUNCTION("ArrayFormula( AVERAGE( QUERY( SORT(GOOGLEFINANCE(""NSE:""&amp;A97,""all"",workday.intl(TODAY(),-4),TODAY(),""daily""),2,0) , ""select Col6 "" ) ))"),"#N/A")</f>
        <v>#N/A</v>
      </c>
      <c r="F97" s="39">
        <f ca="1">IFERROR(__xludf.DUMMYFUNCTION("googlefinance(""nse:""&amp;A97,""volume"")"),14646461)</f>
        <v>14646461</v>
      </c>
      <c r="G97" s="42" t="e">
        <f t="shared" ca="1" si="1"/>
        <v>#VALUE!</v>
      </c>
      <c r="H97" s="43" t="e">
        <f t="shared" ca="1" si="2"/>
        <v>#VALUE!</v>
      </c>
      <c r="I97" s="43" t="e">
        <f t="shared" ca="1" si="3"/>
        <v>#VALUE!</v>
      </c>
      <c r="J97" s="43" t="e">
        <f t="shared" ca="1" si="4"/>
        <v>#VALUE!</v>
      </c>
      <c r="K97" s="44">
        <f t="shared" ca="1" si="5"/>
        <v>0</v>
      </c>
      <c r="L97" s="45">
        <f ca="1">IFERROR(__xludf.DUMMYFUNCTION("googlefinance(""nse:""&amp;A97,""PRICEOPEN"")"),31.5)</f>
        <v>31.5</v>
      </c>
      <c r="M97" s="45">
        <f ca="1">IFERROR(__xludf.DUMMYFUNCTION("googlefinance(""nse:""&amp;A97,""PRICE"")"),31.75)</f>
        <v>31.75</v>
      </c>
      <c r="N97" s="44">
        <f ca="1">IFERROR(__xludf.DUMMYFUNCTION("googlefinance(""nse:""&amp;A97,""HIGH"")"),32.2)</f>
        <v>32.200000000000003</v>
      </c>
      <c r="O97" s="48">
        <f ca="1">IFERROR(__xludf.DUMMYFUNCTION("googlefinance(""nse:""&amp;A97,""LOW"")"),31.2)</f>
        <v>31.2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35" t="s">
        <v>165</v>
      </c>
      <c r="B98" s="37" t="e">
        <f t="shared" ca="1" si="0"/>
        <v>#VALUE!</v>
      </c>
      <c r="C98" s="39">
        <f ca="1">IFERROR(__xludf.DUMMYFUNCTION("googlefinance(""nse:""&amp;A98,""changepct"")"),5.8)</f>
        <v>5.8</v>
      </c>
      <c r="D98" s="39">
        <f ca="1">IFERROR(__xludf.DUMMYFUNCTION("googlefinance(""nse:""&amp;A98,""change"")"),141.2)</f>
        <v>141.19999999999999</v>
      </c>
      <c r="E98" s="39" t="str">
        <f ca="1">IFERROR(__xludf.DUMMYFUNCTION("ArrayFormula( AVERAGE( QUERY( SORT(GOOGLEFINANCE(""NSE:""&amp;A98,""all"",workday.intl(TODAY(),-4),TODAY(),""daily""),2,0) , ""select Col6 "" ) ))"),"#N/A")</f>
        <v>#N/A</v>
      </c>
      <c r="F98" s="39">
        <f ca="1">IFERROR(__xludf.DUMMYFUNCTION("googlefinance(""nse:""&amp;A98,""volume"")"),334287)</f>
        <v>334287</v>
      </c>
      <c r="G98" s="42" t="e">
        <f t="shared" ca="1" si="1"/>
        <v>#VALUE!</v>
      </c>
      <c r="H98" s="43" t="e">
        <f t="shared" ca="1" si="2"/>
        <v>#VALUE!</v>
      </c>
      <c r="I98" s="43" t="e">
        <f t="shared" ca="1" si="3"/>
        <v>#VALUE!</v>
      </c>
      <c r="J98" s="43" t="e">
        <f t="shared" ca="1" si="4"/>
        <v>#VALUE!</v>
      </c>
      <c r="K98" s="44">
        <f t="shared" ca="1" si="5"/>
        <v>0</v>
      </c>
      <c r="L98" s="45">
        <f ca="1">IFERROR(__xludf.DUMMYFUNCTION("googlefinance(""nse:""&amp;A98,""PRICEOPEN"")"),2472.45)</f>
        <v>2472.4499999999998</v>
      </c>
      <c r="M98" s="45">
        <f ca="1">IFERROR(__xludf.DUMMYFUNCTION("googlefinance(""nse:""&amp;A98,""PRICE"")"),2575.95)</f>
        <v>2575.9499999999998</v>
      </c>
      <c r="N98" s="44">
        <f ca="1">IFERROR(__xludf.DUMMYFUNCTION("googlefinance(""nse:""&amp;A98,""HIGH"")"),2577.5)</f>
        <v>2577.5</v>
      </c>
      <c r="O98" s="48">
        <f ca="1">IFERROR(__xludf.DUMMYFUNCTION("googlefinance(""nse:""&amp;A98,""LOW"")"),2419)</f>
        <v>2419</v>
      </c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35" t="s">
        <v>166</v>
      </c>
      <c r="B99" s="37" t="e">
        <f t="shared" ca="1" si="0"/>
        <v>#VALUE!</v>
      </c>
      <c r="C99" s="39">
        <f ca="1">IFERROR(__xludf.DUMMYFUNCTION("googlefinance(""nse:""&amp;A99,""changepct"")"),0.97)</f>
        <v>0.97</v>
      </c>
      <c r="D99" s="39">
        <f ca="1">IFERROR(__xludf.DUMMYFUNCTION("googlefinance(""nse:""&amp;A99,""change"")"),0.25)</f>
        <v>0.25</v>
      </c>
      <c r="E99" s="39" t="str">
        <f ca="1">IFERROR(__xludf.DUMMYFUNCTION("ArrayFormula( AVERAGE( QUERY( SORT(GOOGLEFINANCE(""NSE:""&amp;A99,""all"",workday.intl(TODAY(),-4),TODAY(),""daily""),2,0) , ""select Col6 "" ) ))"),"#N/A")</f>
        <v>#N/A</v>
      </c>
      <c r="F99" s="39">
        <f ca="1">IFERROR(__xludf.DUMMYFUNCTION("googlefinance(""nse:""&amp;A99,""volume"")"),30185603)</f>
        <v>30185603</v>
      </c>
      <c r="G99" s="42" t="e">
        <f t="shared" ca="1" si="1"/>
        <v>#VALUE!</v>
      </c>
      <c r="H99" s="43" t="e">
        <f t="shared" ca="1" si="2"/>
        <v>#VALUE!</v>
      </c>
      <c r="I99" s="43" t="e">
        <f t="shared" ca="1" si="3"/>
        <v>#VALUE!</v>
      </c>
      <c r="J99" s="43" t="e">
        <f t="shared" ca="1" si="4"/>
        <v>#VALUE!</v>
      </c>
      <c r="K99" s="44">
        <f t="shared" ca="1" si="5"/>
        <v>0</v>
      </c>
      <c r="L99" s="45">
        <f ca="1">IFERROR(__xludf.DUMMYFUNCTION("googlefinance(""nse:""&amp;A99,""PRICEOPEN"")"),26.45)</f>
        <v>26.45</v>
      </c>
      <c r="M99" s="45">
        <f ca="1">IFERROR(__xludf.DUMMYFUNCTION("googlefinance(""nse:""&amp;A99,""PRICE"")"),25.95)</f>
        <v>25.95</v>
      </c>
      <c r="N99" s="44">
        <f ca="1">IFERROR(__xludf.DUMMYFUNCTION("googlefinance(""nse:""&amp;A99,""HIGH"")"),27.3)</f>
        <v>27.3</v>
      </c>
      <c r="O99" s="48">
        <f ca="1">IFERROR(__xludf.DUMMYFUNCTION("googlefinance(""nse:""&amp;A99,""LOW"")"),25.8)</f>
        <v>25.8</v>
      </c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35" t="s">
        <v>167</v>
      </c>
      <c r="B100" s="37" t="e">
        <f t="shared" ca="1" si="0"/>
        <v>#VALUE!</v>
      </c>
      <c r="C100" s="39">
        <f ca="1">IFERROR(__xludf.DUMMYFUNCTION("googlefinance(""nse:""&amp;A100,""changepct"")"),2.34)</f>
        <v>2.34</v>
      </c>
      <c r="D100" s="39">
        <f ca="1">IFERROR(__xludf.DUMMYFUNCTION("googlefinance(""nse:""&amp;A100,""change"")"),409.3)</f>
        <v>409.3</v>
      </c>
      <c r="E100" s="39" t="str">
        <f ca="1">IFERROR(__xludf.DUMMYFUNCTION("ArrayFormula( AVERAGE( QUERY( SORT(GOOGLEFINANCE(""NSE:""&amp;A100,""all"",workday.intl(TODAY(),-4),TODAY(),""daily""),2,0) , ""select Col6 "" ) ))"),"#N/A")</f>
        <v>#N/A</v>
      </c>
      <c r="F100" s="39">
        <f ca="1">IFERROR(__xludf.DUMMYFUNCTION("googlefinance(""nse:""&amp;A100,""volume"")"),158370)</f>
        <v>158370</v>
      </c>
      <c r="G100" s="42" t="e">
        <f t="shared" ca="1" si="1"/>
        <v>#VALUE!</v>
      </c>
      <c r="H100" s="43" t="e">
        <f t="shared" ca="1" si="2"/>
        <v>#VALUE!</v>
      </c>
      <c r="I100" s="43" t="e">
        <f t="shared" ca="1" si="3"/>
        <v>#VALUE!</v>
      </c>
      <c r="J100" s="43" t="e">
        <f t="shared" ca="1" si="4"/>
        <v>#VALUE!</v>
      </c>
      <c r="K100" s="44">
        <f t="shared" ca="1" si="5"/>
        <v>0</v>
      </c>
      <c r="L100" s="45">
        <f ca="1">IFERROR(__xludf.DUMMYFUNCTION("googlefinance(""nse:""&amp;A100,""PRICEOPEN"")"),17700)</f>
        <v>17700</v>
      </c>
      <c r="M100" s="45">
        <f ca="1">IFERROR(__xludf.DUMMYFUNCTION("googlefinance(""nse:""&amp;A100,""PRICE"")"),17899)</f>
        <v>17899</v>
      </c>
      <c r="N100" s="44">
        <f ca="1">IFERROR(__xludf.DUMMYFUNCTION("googlefinance(""nse:""&amp;A100,""HIGH"")"),18000)</f>
        <v>18000</v>
      </c>
      <c r="O100" s="48">
        <f ca="1">IFERROR(__xludf.DUMMYFUNCTION("googlefinance(""nse:""&amp;A100,""LOW"")"),17512)</f>
        <v>17512</v>
      </c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35" t="s">
        <v>168</v>
      </c>
      <c r="B101" s="37" t="e">
        <f t="shared" ca="1" si="0"/>
        <v>#VALUE!</v>
      </c>
      <c r="C101" s="39">
        <f ca="1">IFERROR(__xludf.DUMMYFUNCTION("googlefinance(""nse:""&amp;A101,""changepct"")"),1.96)</f>
        <v>1.96</v>
      </c>
      <c r="D101" s="39">
        <f ca="1">IFERROR(__xludf.DUMMYFUNCTION("googlefinance(""nse:""&amp;A101,""change"")"),23.15)</f>
        <v>23.15</v>
      </c>
      <c r="E101" s="39" t="str">
        <f ca="1">IFERROR(__xludf.DUMMYFUNCTION("ArrayFormula( AVERAGE( QUERY( SORT(GOOGLEFINANCE(""NSE:""&amp;A101,""all"",workday.intl(TODAY(),-4),TODAY(),""daily""),2,0) , ""select Col6 "" ) ))"),"#N/A")</f>
        <v>#N/A</v>
      </c>
      <c r="F101" s="39">
        <f ca="1">IFERROR(__xludf.DUMMYFUNCTION("googlefinance(""nse:""&amp;A101,""volume"")"),657726)</f>
        <v>657726</v>
      </c>
      <c r="G101" s="42" t="e">
        <f t="shared" ca="1" si="1"/>
        <v>#VALUE!</v>
      </c>
      <c r="H101" s="43" t="e">
        <f t="shared" ca="1" si="2"/>
        <v>#VALUE!</v>
      </c>
      <c r="I101" s="43" t="e">
        <f t="shared" ca="1" si="3"/>
        <v>#VALUE!</v>
      </c>
      <c r="J101" s="43" t="e">
        <f t="shared" ca="1" si="4"/>
        <v>#VALUE!</v>
      </c>
      <c r="K101" s="44">
        <f t="shared" ca="1" si="5"/>
        <v>0</v>
      </c>
      <c r="L101" s="45">
        <f ca="1">IFERROR(__xludf.DUMMYFUNCTION("googlefinance(""nse:""&amp;A101,""PRICEOPEN"")"),1205)</f>
        <v>1205</v>
      </c>
      <c r="M101" s="45">
        <f ca="1">IFERROR(__xludf.DUMMYFUNCTION("googlefinance(""nse:""&amp;A101,""PRICE"")"),1205)</f>
        <v>1205</v>
      </c>
      <c r="N101" s="44">
        <f ca="1">IFERROR(__xludf.DUMMYFUNCTION("googlefinance(""nse:""&amp;A101,""HIGH"")"),1245.45)</f>
        <v>1245.45</v>
      </c>
      <c r="O101" s="48">
        <f ca="1">IFERROR(__xludf.DUMMYFUNCTION("googlefinance(""nse:""&amp;A101,""LOW"")"),1192.9)</f>
        <v>1192.9000000000001</v>
      </c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35" t="s">
        <v>169</v>
      </c>
      <c r="B102" s="37" t="e">
        <f t="shared" ca="1" si="0"/>
        <v>#VALUE!</v>
      </c>
      <c r="C102" s="39">
        <f ca="1">IFERROR(__xludf.DUMMYFUNCTION("googlefinance(""nse:""&amp;A102,""changepct"")"),6.9)</f>
        <v>6.9</v>
      </c>
      <c r="D102" s="39">
        <f ca="1">IFERROR(__xludf.DUMMYFUNCTION("googlefinance(""nse:""&amp;A102,""change"")"),5.2)</f>
        <v>5.2</v>
      </c>
      <c r="E102" s="39" t="str">
        <f ca="1">IFERROR(__xludf.DUMMYFUNCTION("ArrayFormula( AVERAGE( QUERY( SORT(GOOGLEFINANCE(""NSE:""&amp;A102,""all"",workday.intl(TODAY(),-4),TODAY(),""daily""),2,0) , ""select Col6 "" ) ))"),"#N/A")</f>
        <v>#N/A</v>
      </c>
      <c r="F102" s="39">
        <f ca="1">IFERROR(__xludf.DUMMYFUNCTION("googlefinance(""nse:""&amp;A102,""volume"")"),6511716)</f>
        <v>6511716</v>
      </c>
      <c r="G102" s="42" t="e">
        <f t="shared" ca="1" si="1"/>
        <v>#VALUE!</v>
      </c>
      <c r="H102" s="43" t="e">
        <f t="shared" ca="1" si="2"/>
        <v>#VALUE!</v>
      </c>
      <c r="I102" s="43" t="e">
        <f t="shared" ca="1" si="3"/>
        <v>#VALUE!</v>
      </c>
      <c r="J102" s="43" t="e">
        <f t="shared" ca="1" si="4"/>
        <v>#VALUE!</v>
      </c>
      <c r="K102" s="44">
        <f t="shared" ca="1" si="5"/>
        <v>0</v>
      </c>
      <c r="L102" s="45">
        <f ca="1">IFERROR(__xludf.DUMMYFUNCTION("googlefinance(""nse:""&amp;A102,""PRICEOPEN"")"),76.8)</f>
        <v>76.8</v>
      </c>
      <c r="M102" s="45">
        <f ca="1">IFERROR(__xludf.DUMMYFUNCTION("googlefinance(""nse:""&amp;A102,""PRICE"")"),80.6)</f>
        <v>80.599999999999994</v>
      </c>
      <c r="N102" s="44">
        <f ca="1">IFERROR(__xludf.DUMMYFUNCTION("googlefinance(""nse:""&amp;A102,""HIGH"")"),81.55)</f>
        <v>81.55</v>
      </c>
      <c r="O102" s="48">
        <f ca="1">IFERROR(__xludf.DUMMYFUNCTION("googlefinance(""nse:""&amp;A102,""LOW"")"),75.95)</f>
        <v>75.95</v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35" t="s">
        <v>170</v>
      </c>
      <c r="B103" s="37" t="e">
        <f t="shared" ca="1" si="0"/>
        <v>#VALUE!</v>
      </c>
      <c r="C103" s="39">
        <f ca="1">IFERROR(__xludf.DUMMYFUNCTION("googlefinance(""nse:""&amp;A103,""changepct"")"),6.37)</f>
        <v>6.37</v>
      </c>
      <c r="D103" s="39">
        <f ca="1">IFERROR(__xludf.DUMMYFUNCTION("googlefinance(""nse:""&amp;A103,""change"")"),5.75)</f>
        <v>5.75</v>
      </c>
      <c r="E103" s="39" t="str">
        <f ca="1">IFERROR(__xludf.DUMMYFUNCTION("ArrayFormula( AVERAGE( QUERY( SORT(GOOGLEFINANCE(""NSE:""&amp;A103,""all"",workday.intl(TODAY(),-4),TODAY(),""daily""),2,0) , ""select Col6 "" ) ))"),"#N/A")</f>
        <v>#N/A</v>
      </c>
      <c r="F103" s="39">
        <f ca="1">IFERROR(__xludf.DUMMYFUNCTION("googlefinance(""nse:""&amp;A103,""volume"")"),15151440)</f>
        <v>15151440</v>
      </c>
      <c r="G103" s="42" t="e">
        <f t="shared" ca="1" si="1"/>
        <v>#VALUE!</v>
      </c>
      <c r="H103" s="43" t="e">
        <f t="shared" ca="1" si="2"/>
        <v>#VALUE!</v>
      </c>
      <c r="I103" s="43" t="e">
        <f t="shared" ca="1" si="3"/>
        <v>#VALUE!</v>
      </c>
      <c r="J103" s="43" t="e">
        <f t="shared" ca="1" si="4"/>
        <v>#VALUE!</v>
      </c>
      <c r="K103" s="44">
        <f t="shared" ca="1" si="5"/>
        <v>0</v>
      </c>
      <c r="L103" s="45">
        <f ca="1">IFERROR(__xludf.DUMMYFUNCTION("googlefinance(""nse:""&amp;A103,""PRICEOPEN"")"),91.35)</f>
        <v>91.35</v>
      </c>
      <c r="M103" s="45">
        <f ca="1">IFERROR(__xludf.DUMMYFUNCTION("googlefinance(""nse:""&amp;A103,""PRICE"")"),95.95)</f>
        <v>95.95</v>
      </c>
      <c r="N103" s="44">
        <f ca="1">IFERROR(__xludf.DUMMYFUNCTION("googlefinance(""nse:""&amp;A103,""HIGH"")"),97)</f>
        <v>97</v>
      </c>
      <c r="O103" s="48">
        <f ca="1">IFERROR(__xludf.DUMMYFUNCTION("googlefinance(""nse:""&amp;A103,""LOW"")"),90.4)</f>
        <v>90.4</v>
      </c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35" t="s">
        <v>171</v>
      </c>
      <c r="B104" s="37" t="e">
        <f t="shared" ca="1" si="0"/>
        <v>#VALUE!</v>
      </c>
      <c r="C104" s="39">
        <f ca="1">IFERROR(__xludf.DUMMYFUNCTION("googlefinance(""nse:""&amp;A104,""changepct"")"),13.12)</f>
        <v>13.12</v>
      </c>
      <c r="D104" s="39">
        <f ca="1">IFERROR(__xludf.DUMMYFUNCTION("googlefinance(""nse:""&amp;A104,""change"")"),9.25)</f>
        <v>9.25</v>
      </c>
      <c r="E104" s="39" t="str">
        <f ca="1">IFERROR(__xludf.DUMMYFUNCTION("ArrayFormula( AVERAGE( QUERY( SORT(GOOGLEFINANCE(""NSE:""&amp;A104,""all"",workday.intl(TODAY(),-4),TODAY(),""daily""),2,0) , ""select Col6 "" ) ))"),"#N/A")</f>
        <v>#N/A</v>
      </c>
      <c r="F104" s="39">
        <f ca="1">IFERROR(__xludf.DUMMYFUNCTION("googlefinance(""nse:""&amp;A104,""volume"")"),54295139)</f>
        <v>54295139</v>
      </c>
      <c r="G104" s="42" t="e">
        <f t="shared" ca="1" si="1"/>
        <v>#VALUE!</v>
      </c>
      <c r="H104" s="43" t="e">
        <f t="shared" ca="1" si="2"/>
        <v>#VALUE!</v>
      </c>
      <c r="I104" s="43" t="e">
        <f t="shared" ca="1" si="3"/>
        <v>#VALUE!</v>
      </c>
      <c r="J104" s="43" t="e">
        <f t="shared" ca="1" si="4"/>
        <v>#VALUE!</v>
      </c>
      <c r="K104" s="44">
        <f t="shared" ca="1" si="5"/>
        <v>0</v>
      </c>
      <c r="L104" s="45">
        <f ca="1">IFERROR(__xludf.DUMMYFUNCTION("googlefinance(""nse:""&amp;A104,""PRICEOPEN"")"),72.6)</f>
        <v>72.599999999999994</v>
      </c>
      <c r="M104" s="45">
        <f ca="1">IFERROR(__xludf.DUMMYFUNCTION("googlefinance(""nse:""&amp;A104,""PRICE"")"),79.75)</f>
        <v>79.75</v>
      </c>
      <c r="N104" s="44">
        <f ca="1">IFERROR(__xludf.DUMMYFUNCTION("googlefinance(""nse:""&amp;A104,""HIGH"")"),81.05)</f>
        <v>81.05</v>
      </c>
      <c r="O104" s="48">
        <f ca="1">IFERROR(__xludf.DUMMYFUNCTION("googlefinance(""nse:""&amp;A104,""LOW"")"),71.5)</f>
        <v>71.5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35" t="s">
        <v>172</v>
      </c>
      <c r="B105" s="37" t="e">
        <f t="shared" ca="1" si="0"/>
        <v>#VALUE!</v>
      </c>
      <c r="C105" s="39">
        <f ca="1">IFERROR(__xludf.DUMMYFUNCTION("googlefinance(""nse:""&amp;A105,""changepct"")"),1.39)</f>
        <v>1.39</v>
      </c>
      <c r="D105" s="39">
        <f ca="1">IFERROR(__xludf.DUMMYFUNCTION("googlefinance(""nse:""&amp;A105,""change"")"),250.15)</f>
        <v>250.15</v>
      </c>
      <c r="E105" s="39" t="str">
        <f ca="1">IFERROR(__xludf.DUMMYFUNCTION("ArrayFormula( AVERAGE( QUERY( SORT(GOOGLEFINANCE(""NSE:""&amp;A105,""all"",workday.intl(TODAY(),-4),TODAY(),""daily""),2,0) , ""select Col6 "" ) ))"),"#N/A")</f>
        <v>#N/A</v>
      </c>
      <c r="F105" s="39">
        <f ca="1">IFERROR(__xludf.DUMMYFUNCTION("googlefinance(""nse:""&amp;A105,""volume"")"),49883)</f>
        <v>49883</v>
      </c>
      <c r="G105" s="64" t="e">
        <f t="shared" ca="1" si="1"/>
        <v>#VALUE!</v>
      </c>
      <c r="H105" s="78" t="e">
        <f t="shared" ca="1" si="2"/>
        <v>#VALUE!</v>
      </c>
      <c r="I105" s="43" t="e">
        <f t="shared" ca="1" si="3"/>
        <v>#VALUE!</v>
      </c>
      <c r="J105" s="43" t="e">
        <f t="shared" ca="1" si="4"/>
        <v>#VALUE!</v>
      </c>
      <c r="K105" s="44">
        <f t="shared" ca="1" si="5"/>
        <v>0</v>
      </c>
      <c r="L105" s="45">
        <f ca="1">IFERROR(__xludf.DUMMYFUNCTION("googlefinance(""nse:""&amp;A105,""PRICEOPEN"")"),18300)</f>
        <v>18300</v>
      </c>
      <c r="M105" s="45">
        <f ca="1">IFERROR(__xludf.DUMMYFUNCTION("googlefinance(""nse:""&amp;A105,""PRICE"")"),18244)</f>
        <v>18244</v>
      </c>
      <c r="N105" s="44">
        <f ca="1">IFERROR(__xludf.DUMMYFUNCTION("googlefinance(""nse:""&amp;A105,""HIGH"")"),18632.6)</f>
        <v>18632.599999999999</v>
      </c>
      <c r="O105" s="48">
        <f ca="1">IFERROR(__xludf.DUMMYFUNCTION("googlefinance(""nse:""&amp;A105,""LOW"")"),17965.1)</f>
        <v>17965.099999999999</v>
      </c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35" t="s">
        <v>173</v>
      </c>
      <c r="B106" s="37" t="e">
        <f t="shared" ca="1" si="0"/>
        <v>#VALUE!</v>
      </c>
      <c r="C106" s="39">
        <f ca="1">IFERROR(__xludf.DUMMYFUNCTION("googlefinance(""nse:""&amp;A106,""changepct"")"),2.89)</f>
        <v>2.89</v>
      </c>
      <c r="D106" s="39">
        <f ca="1">IFERROR(__xludf.DUMMYFUNCTION("googlefinance(""nse:""&amp;A106,""change"")"),27.55)</f>
        <v>27.55</v>
      </c>
      <c r="E106" s="39" t="str">
        <f ca="1">IFERROR(__xludf.DUMMYFUNCTION("ArrayFormula( AVERAGE( QUERY( SORT(GOOGLEFINANCE(""NSE:""&amp;A106,""all"",workday.intl(TODAY(),-4),TODAY(),""daily""),2,0) , ""select Col6 "" ) ))"),"#N/A")</f>
        <v>#N/A</v>
      </c>
      <c r="F106" s="39">
        <f ca="1">IFERROR(__xludf.DUMMYFUNCTION("googlefinance(""nse:""&amp;A106,""volume"")"),1938021)</f>
        <v>1938021</v>
      </c>
      <c r="G106" s="64" t="e">
        <f t="shared" ca="1" si="1"/>
        <v>#VALUE!</v>
      </c>
      <c r="H106" s="43" t="e">
        <f t="shared" ca="1" si="2"/>
        <v>#VALUE!</v>
      </c>
      <c r="I106" s="43" t="e">
        <f t="shared" ca="1" si="3"/>
        <v>#VALUE!</v>
      </c>
      <c r="J106" s="43" t="e">
        <f t="shared" ca="1" si="4"/>
        <v>#VALUE!</v>
      </c>
      <c r="K106" s="44">
        <f t="shared" ca="1" si="5"/>
        <v>0</v>
      </c>
      <c r="L106" s="45">
        <f ca="1">IFERROR(__xludf.DUMMYFUNCTION("googlefinance(""nse:""&amp;A106,""PRICEOPEN"")"),963.1)</f>
        <v>963.1</v>
      </c>
      <c r="M106" s="45">
        <f ca="1">IFERROR(__xludf.DUMMYFUNCTION("googlefinance(""nse:""&amp;A106,""PRICE"")"),982.15)</f>
        <v>982.15</v>
      </c>
      <c r="N106" s="44">
        <f ca="1">IFERROR(__xludf.DUMMYFUNCTION("googlefinance(""nse:""&amp;A106,""HIGH"")"),997.5)</f>
        <v>997.5</v>
      </c>
      <c r="O106" s="48">
        <f ca="1">IFERROR(__xludf.DUMMYFUNCTION("googlefinance(""nse:""&amp;A106,""LOW"")"),960.6)</f>
        <v>960.6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35" t="s">
        <v>174</v>
      </c>
      <c r="B107" s="37" t="e">
        <f t="shared" ca="1" si="0"/>
        <v>#VALUE!</v>
      </c>
      <c r="C107" s="39">
        <f ca="1">IFERROR(__xludf.DUMMYFUNCTION("googlefinance(""nse:""&amp;A107,""changepct"")"),2.89)</f>
        <v>2.89</v>
      </c>
      <c r="D107" s="39">
        <f ca="1">IFERROR(__xludf.DUMMYFUNCTION("googlefinance(""nse:""&amp;A107,""change"")"),6.8)</f>
        <v>6.8</v>
      </c>
      <c r="E107" s="39" t="str">
        <f ca="1">IFERROR(__xludf.DUMMYFUNCTION("ArrayFormula( AVERAGE( QUERY( SORT(GOOGLEFINANCE(""NSE:""&amp;A107,""all"",workday.intl(TODAY(),-4),TODAY(),""daily""),2,0) , ""select Col6 "" ) ))"),"#N/A")</f>
        <v>#N/A</v>
      </c>
      <c r="F107" s="39">
        <f ca="1">IFERROR(__xludf.DUMMYFUNCTION("googlefinance(""nse:""&amp;A107,""volume"")"),3475780)</f>
        <v>3475780</v>
      </c>
      <c r="G107" s="42" t="e">
        <f t="shared" ca="1" si="1"/>
        <v>#VALUE!</v>
      </c>
      <c r="H107" s="43" t="e">
        <f t="shared" ca="1" si="2"/>
        <v>#VALUE!</v>
      </c>
      <c r="I107" s="43" t="e">
        <f t="shared" ca="1" si="3"/>
        <v>#VALUE!</v>
      </c>
      <c r="J107" s="43" t="e">
        <f t="shared" ca="1" si="4"/>
        <v>#VALUE!</v>
      </c>
      <c r="K107" s="44">
        <f t="shared" ca="1" si="5"/>
        <v>0</v>
      </c>
      <c r="L107" s="45">
        <f ca="1">IFERROR(__xludf.DUMMYFUNCTION("googlefinance(""nse:""&amp;A107,""PRICEOPEN"")"),237.9)</f>
        <v>237.9</v>
      </c>
      <c r="M107" s="45">
        <f ca="1">IFERROR(__xludf.DUMMYFUNCTION("googlefinance(""nse:""&amp;A107,""PRICE"")"),242.3)</f>
        <v>242.3</v>
      </c>
      <c r="N107" s="44">
        <f ca="1">IFERROR(__xludf.DUMMYFUNCTION("googlefinance(""nse:""&amp;A107,""HIGH"")"),245)</f>
        <v>245</v>
      </c>
      <c r="O107" s="48">
        <f ca="1">IFERROR(__xludf.DUMMYFUNCTION("googlefinance(""nse:""&amp;A107,""LOW"")"),236)</f>
        <v>236</v>
      </c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35" t="s">
        <v>175</v>
      </c>
      <c r="B108" s="37" t="e">
        <f t="shared" ca="1" si="0"/>
        <v>#VALUE!</v>
      </c>
      <c r="C108" s="39">
        <f ca="1">IFERROR(__xludf.DUMMYFUNCTION("googlefinance(""nse:""&amp;A108,""changepct"")"),0.69)</f>
        <v>0.69</v>
      </c>
      <c r="D108" s="39">
        <f ca="1">IFERROR(__xludf.DUMMYFUNCTION("googlefinance(""nse:""&amp;A108,""change"")"),-16)</f>
        <v>-16</v>
      </c>
      <c r="E108" s="39" t="str">
        <f ca="1">IFERROR(__xludf.DUMMYFUNCTION("ArrayFormula( AVERAGE( QUERY( SORT(GOOGLEFINANCE(""NSE:""&amp;A108,""all"",workday.intl(TODAY(),-4),TODAY(),""daily""),2,0) , ""select Col6 "" ) ))"),"#N/A")</f>
        <v>#N/A</v>
      </c>
      <c r="F108" s="39">
        <f ca="1">IFERROR(__xludf.DUMMYFUNCTION("googlefinance(""nse:""&amp;A108,""volume"")"),7003472)</f>
        <v>7003472</v>
      </c>
      <c r="G108" s="42" t="e">
        <f t="shared" ca="1" si="1"/>
        <v>#VALUE!</v>
      </c>
      <c r="H108" s="43" t="e">
        <f t="shared" ca="1" si="2"/>
        <v>#VALUE!</v>
      </c>
      <c r="I108" s="43" t="e">
        <f t="shared" ca="1" si="3"/>
        <v>#VALUE!</v>
      </c>
      <c r="J108" s="43" t="e">
        <f t="shared" ca="1" si="4"/>
        <v>#VALUE!</v>
      </c>
      <c r="K108" s="44">
        <f t="shared" ca="1" si="5"/>
        <v>0</v>
      </c>
      <c r="L108" s="45">
        <f ca="1">IFERROR(__xludf.DUMMYFUNCTION("googlefinance(""nse:""&amp;A108,""PRICEOPEN"")"),95.85)</f>
        <v>95.85</v>
      </c>
      <c r="M108" s="45">
        <f ca="1">IFERROR(__xludf.DUMMYFUNCTION("googlefinance(""nse:""&amp;A108,""PRICE"")"),95.5)</f>
        <v>95.5</v>
      </c>
      <c r="N108" s="44">
        <f ca="1">IFERROR(__xludf.DUMMYFUNCTION("googlefinance(""nse:""&amp;A108,""HIGH"")"),96.6)</f>
        <v>96.6</v>
      </c>
      <c r="O108" s="48">
        <f ca="1">IFERROR(__xludf.DUMMYFUNCTION("googlefinance(""nse:""&amp;A108,""LOW"")"),93.1)</f>
        <v>93.1</v>
      </c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35" t="s">
        <v>176</v>
      </c>
      <c r="B109" s="37" t="e">
        <f t="shared" ca="1" si="0"/>
        <v>#VALUE!</v>
      </c>
      <c r="C109" s="39">
        <f ca="1">IFERROR(__xludf.DUMMYFUNCTION("googlefinance(""nse:""&amp;A109,""changepct"")"),0.34)</f>
        <v>0.34</v>
      </c>
      <c r="D109" s="39">
        <f ca="1">IFERROR(__xludf.DUMMYFUNCTION("googlefinance(""nse:""&amp;A109,""change"")"),5.2)</f>
        <v>5.2</v>
      </c>
      <c r="E109" s="39" t="str">
        <f ca="1">IFERROR(__xludf.DUMMYFUNCTION("ArrayFormula( AVERAGE( QUERY( SORT(GOOGLEFINANCE(""NSE:""&amp;A109,""all"",workday.intl(TODAY(),-4),TODAY(),""daily""),2,0) , ""select Col6 "" ) ))"),"#N/A")</f>
        <v>#N/A</v>
      </c>
      <c r="F109" s="39">
        <f ca="1">IFERROR(__xludf.DUMMYFUNCTION("googlefinance(""nse:""&amp;A109,""volume"")"),814819)</f>
        <v>814819</v>
      </c>
      <c r="G109" s="42" t="e">
        <f t="shared" ca="1" si="1"/>
        <v>#VALUE!</v>
      </c>
      <c r="H109" s="43" t="e">
        <f t="shared" ca="1" si="2"/>
        <v>#VALUE!</v>
      </c>
      <c r="I109" s="43" t="e">
        <f t="shared" ca="1" si="3"/>
        <v>#VALUE!</v>
      </c>
      <c r="J109" s="43" t="e">
        <f t="shared" ca="1" si="4"/>
        <v>#VALUE!</v>
      </c>
      <c r="K109" s="44">
        <f t="shared" ca="1" si="5"/>
        <v>0</v>
      </c>
      <c r="L109" s="45">
        <f ca="1">IFERROR(__xludf.DUMMYFUNCTION("googlefinance(""nse:""&amp;A109,""PRICEOPEN"")"),1540)</f>
        <v>1540</v>
      </c>
      <c r="M109" s="45">
        <f ca="1">IFERROR(__xludf.DUMMYFUNCTION("googlefinance(""nse:""&amp;A109,""PRICE"")"),1523)</f>
        <v>1523</v>
      </c>
      <c r="N109" s="44">
        <f ca="1">IFERROR(__xludf.DUMMYFUNCTION("googlefinance(""nse:""&amp;A109,""HIGH"")"),1542.65)</f>
        <v>1542.65</v>
      </c>
      <c r="O109" s="48">
        <f ca="1">IFERROR(__xludf.DUMMYFUNCTION("googlefinance(""nse:""&amp;A109,""LOW"")"),1506.45)</f>
        <v>1506.45</v>
      </c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35" t="s">
        <v>177</v>
      </c>
      <c r="B110" s="37" t="e">
        <f t="shared" ca="1" si="0"/>
        <v>#VALUE!</v>
      </c>
      <c r="C110" s="39">
        <f ca="1">IFERROR(__xludf.DUMMYFUNCTION("googlefinance(""nse:""&amp;A110,""changepct"")"),0.31)</f>
        <v>0.31</v>
      </c>
      <c r="D110" s="39">
        <f ca="1">IFERROR(__xludf.DUMMYFUNCTION("googlefinance(""nse:""&amp;A110,""change"")"),0.1)</f>
        <v>0.1</v>
      </c>
      <c r="E110" s="39" t="str">
        <f ca="1">IFERROR(__xludf.DUMMYFUNCTION("ArrayFormula( AVERAGE( QUERY( SORT(GOOGLEFINANCE(""NSE:""&amp;A110,""all"",workday.intl(TODAY(),-4),TODAY(),""daily""),2,0) , ""select Col6 "" ) ))"),"#N/A")</f>
        <v>#N/A</v>
      </c>
      <c r="F110" s="39">
        <f ca="1">IFERROR(__xludf.DUMMYFUNCTION("googlefinance(""nse:""&amp;A110,""volume"")"),31467001)</f>
        <v>31467001</v>
      </c>
      <c r="G110" s="42" t="e">
        <f t="shared" ca="1" si="1"/>
        <v>#VALUE!</v>
      </c>
      <c r="H110" s="43" t="e">
        <f t="shared" ca="1" si="2"/>
        <v>#VALUE!</v>
      </c>
      <c r="I110" s="43" t="e">
        <f t="shared" ca="1" si="3"/>
        <v>#VALUE!</v>
      </c>
      <c r="J110" s="43" t="e">
        <f t="shared" ca="1" si="4"/>
        <v>#VALUE!</v>
      </c>
      <c r="K110" s="44">
        <f t="shared" ca="1" si="5"/>
        <v>0</v>
      </c>
      <c r="L110" s="45">
        <f ca="1">IFERROR(__xludf.DUMMYFUNCTION("googlefinance(""nse:""&amp;A110,""PRICEOPEN"")"),32.7)</f>
        <v>32.700000000000003</v>
      </c>
      <c r="M110" s="45">
        <f ca="1">IFERROR(__xludf.DUMMYFUNCTION("googlefinance(""nse:""&amp;A110,""PRICE"")"),32.4)</f>
        <v>32.4</v>
      </c>
      <c r="N110" s="44">
        <f ca="1">IFERROR(__xludf.DUMMYFUNCTION("googlefinance(""nse:""&amp;A110,""HIGH"")"),33.7)</f>
        <v>33.700000000000003</v>
      </c>
      <c r="O110" s="48">
        <f ca="1">IFERROR(__xludf.DUMMYFUNCTION("googlefinance(""nse:""&amp;A110,""LOW"")"),32.1)</f>
        <v>32.1</v>
      </c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35" t="s">
        <v>178</v>
      </c>
      <c r="B111" s="37" t="e">
        <f t="shared" ca="1" si="0"/>
        <v>#VALUE!</v>
      </c>
      <c r="C111" s="39">
        <f ca="1">IFERROR(__xludf.DUMMYFUNCTION("googlefinance(""nse:""&amp;A111,""changepct"")"),3.07)</f>
        <v>3.07</v>
      </c>
      <c r="D111" s="39">
        <f ca="1">IFERROR(__xludf.DUMMYFUNCTION("googlefinance(""nse:""&amp;A111,""change"")"),4.85)</f>
        <v>4.8499999999999996</v>
      </c>
      <c r="E111" s="39" t="str">
        <f ca="1">IFERROR(__xludf.DUMMYFUNCTION("ArrayFormula( AVERAGE( QUERY( SORT(GOOGLEFINANCE(""NSE:""&amp;A111,""all"",workday.intl(TODAY(),-4),TODAY(),""daily""),2,0) , ""select Col6 "" ) ))"),"#N/A")</f>
        <v>#N/A</v>
      </c>
      <c r="F111" s="39">
        <f ca="1">IFERROR(__xludf.DUMMYFUNCTION("googlefinance(""nse:""&amp;A111,""volume"")"),10520617)</f>
        <v>10520617</v>
      </c>
      <c r="G111" s="64" t="e">
        <f t="shared" ca="1" si="1"/>
        <v>#VALUE!</v>
      </c>
      <c r="H111" s="43" t="e">
        <f t="shared" ca="1" si="2"/>
        <v>#VALUE!</v>
      </c>
      <c r="I111" s="43" t="e">
        <f t="shared" ca="1" si="3"/>
        <v>#VALUE!</v>
      </c>
      <c r="J111" s="43" t="e">
        <f t="shared" ca="1" si="4"/>
        <v>#VALUE!</v>
      </c>
      <c r="K111" s="44">
        <f t="shared" ca="1" si="5"/>
        <v>0</v>
      </c>
      <c r="L111" s="45">
        <f ca="1">IFERROR(__xludf.DUMMYFUNCTION("googlefinance(""nse:""&amp;A111,""PRICEOPEN"")"),159.6)</f>
        <v>159.6</v>
      </c>
      <c r="M111" s="45">
        <f ca="1">IFERROR(__xludf.DUMMYFUNCTION("googlefinance(""nse:""&amp;A111,""PRICE"")"),162.9)</f>
        <v>162.9</v>
      </c>
      <c r="N111" s="44">
        <f ca="1">IFERROR(__xludf.DUMMYFUNCTION("googlefinance(""nse:""&amp;A111,""HIGH"")"),163.45)</f>
        <v>163.44999999999999</v>
      </c>
      <c r="O111" s="48">
        <f ca="1">IFERROR(__xludf.DUMMYFUNCTION("googlefinance(""nse:""&amp;A111,""LOW"")"),157.2)</f>
        <v>157.19999999999999</v>
      </c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35" t="s">
        <v>179</v>
      </c>
      <c r="B112" s="37" t="e">
        <f t="shared" ca="1" si="0"/>
        <v>#VALUE!</v>
      </c>
      <c r="C112" s="39">
        <f ca="1">IFERROR(__xludf.DUMMYFUNCTION("googlefinance(""nse:""&amp;A112,""changepct"")"),-0.42)</f>
        <v>-0.42</v>
      </c>
      <c r="D112" s="39">
        <f ca="1">IFERROR(__xludf.DUMMYFUNCTION("googlefinance(""nse:""&amp;A112,""change"")"),-4.25)</f>
        <v>-4.25</v>
      </c>
      <c r="E112" s="39" t="str">
        <f ca="1">IFERROR(__xludf.DUMMYFUNCTION("ArrayFormula( AVERAGE( QUERY( SORT(GOOGLEFINANCE(""NSE:""&amp;A112,""all"",workday.intl(TODAY(),-4),TODAY(),""daily""),2,0) , ""select Col6 "" ) ))"),"#N/A")</f>
        <v>#N/A</v>
      </c>
      <c r="F112" s="39">
        <f ca="1">IFERROR(__xludf.DUMMYFUNCTION("googlefinance(""nse:""&amp;A112,""volume"")"),1644235)</f>
        <v>1644235</v>
      </c>
      <c r="G112" s="42" t="e">
        <f t="shared" ca="1" si="1"/>
        <v>#VALUE!</v>
      </c>
      <c r="H112" s="43" t="e">
        <f t="shared" ca="1" si="2"/>
        <v>#VALUE!</v>
      </c>
      <c r="I112" s="43" t="e">
        <f t="shared" ca="1" si="3"/>
        <v>#VALUE!</v>
      </c>
      <c r="J112" s="43" t="e">
        <f t="shared" ca="1" si="4"/>
        <v>#VALUE!</v>
      </c>
      <c r="K112" s="44">
        <f t="shared" ca="1" si="5"/>
        <v>0</v>
      </c>
      <c r="L112" s="45">
        <f ca="1">IFERROR(__xludf.DUMMYFUNCTION("googlefinance(""nse:""&amp;A112,""PRICEOPEN"")"),1030)</f>
        <v>1030</v>
      </c>
      <c r="M112" s="45">
        <f ca="1">IFERROR(__xludf.DUMMYFUNCTION("googlefinance(""nse:""&amp;A112,""PRICE"")"),1005.05)</f>
        <v>1005.05</v>
      </c>
      <c r="N112" s="44">
        <f ca="1">IFERROR(__xludf.DUMMYFUNCTION("googlefinance(""nse:""&amp;A112,""HIGH"")"),1059.95)</f>
        <v>1059.95</v>
      </c>
      <c r="O112" s="48">
        <f ca="1">IFERROR(__xludf.DUMMYFUNCTION("googlefinance(""nse:""&amp;A112,""LOW"")"),1000.55)</f>
        <v>1000.55</v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35" t="s">
        <v>180</v>
      </c>
      <c r="B113" s="37" t="e">
        <f t="shared" ca="1" si="0"/>
        <v>#VALUE!</v>
      </c>
      <c r="C113" s="39">
        <f ca="1">IFERROR(__xludf.DUMMYFUNCTION("googlefinance(""nse:""&amp;A113,""changepct"")"),1.28)</f>
        <v>1.28</v>
      </c>
      <c r="D113" s="39">
        <f ca="1">IFERROR(__xludf.DUMMYFUNCTION("googlefinance(""nse:""&amp;A113,""change"")"),7)</f>
        <v>7</v>
      </c>
      <c r="E113" s="39" t="str">
        <f ca="1">IFERROR(__xludf.DUMMYFUNCTION("ArrayFormula( AVERAGE( QUERY( SORT(GOOGLEFINANCE(""NSE:""&amp;A113,""all"",workday.intl(TODAY(),-4),TODAY(),""daily""),2,0) , ""select Col6 "" ) ))"),"#N/A")</f>
        <v>#N/A</v>
      </c>
      <c r="F113" s="39">
        <f ca="1">IFERROR(__xludf.DUMMYFUNCTION("googlefinance(""nse:""&amp;A113,""volume"")"),604372)</f>
        <v>604372</v>
      </c>
      <c r="G113" s="42" t="e">
        <f t="shared" ca="1" si="1"/>
        <v>#VALUE!</v>
      </c>
      <c r="H113" s="43" t="e">
        <f t="shared" ca="1" si="2"/>
        <v>#VALUE!</v>
      </c>
      <c r="I113" s="43" t="e">
        <f t="shared" ca="1" si="3"/>
        <v>#VALUE!</v>
      </c>
      <c r="J113" s="43" t="e">
        <f t="shared" ca="1" si="4"/>
        <v>#VALUE!</v>
      </c>
      <c r="K113" s="44">
        <f t="shared" ca="1" si="5"/>
        <v>0</v>
      </c>
      <c r="L113" s="45">
        <f ca="1">IFERROR(__xludf.DUMMYFUNCTION("googlefinance(""nse:""&amp;A113,""PRICEOPEN"")"),555)</f>
        <v>555</v>
      </c>
      <c r="M113" s="45">
        <f ca="1">IFERROR(__xludf.DUMMYFUNCTION("googlefinance(""nse:""&amp;A113,""PRICE"")"),554.85)</f>
        <v>554.85</v>
      </c>
      <c r="N113" s="44">
        <f ca="1">IFERROR(__xludf.DUMMYFUNCTION("googlefinance(""nse:""&amp;A113,""HIGH"")"),577.3)</f>
        <v>577.29999999999995</v>
      </c>
      <c r="O113" s="48">
        <f ca="1">IFERROR(__xludf.DUMMYFUNCTION("googlefinance(""nse:""&amp;A113,""LOW"")"),546.75)</f>
        <v>546.75</v>
      </c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35" t="s">
        <v>181</v>
      </c>
      <c r="B114" s="37" t="e">
        <f t="shared" ca="1" si="0"/>
        <v>#VALUE!</v>
      </c>
      <c r="C114" s="39">
        <f ca="1">IFERROR(__xludf.DUMMYFUNCTION("googlefinance(""nse:""&amp;A114,""changepct"")"),4.65)</f>
        <v>4.6500000000000004</v>
      </c>
      <c r="D114" s="39">
        <f ca="1">IFERROR(__xludf.DUMMYFUNCTION("googlefinance(""nse:""&amp;A114,""change"")"),-1)</f>
        <v>-1</v>
      </c>
      <c r="E114" s="39" t="str">
        <f ca="1">IFERROR(__xludf.DUMMYFUNCTION("ArrayFormula( AVERAGE( QUERY( SORT(GOOGLEFINANCE(""NSE:""&amp;A114,""all"",workday.intl(TODAY(),-4),TODAY(),""daily""),2,0) , ""select Col6 "" ) ))"),"#N/A")</f>
        <v>#N/A</v>
      </c>
      <c r="F114" s="39">
        <f ca="1">IFERROR(__xludf.DUMMYFUNCTION("googlefinance(""nse:""&amp;A114,""volume"")"),40809290)</f>
        <v>40809290</v>
      </c>
      <c r="G114" s="42" t="e">
        <f t="shared" ca="1" si="1"/>
        <v>#VALUE!</v>
      </c>
      <c r="H114" s="43" t="e">
        <f t="shared" ca="1" si="2"/>
        <v>#VALUE!</v>
      </c>
      <c r="I114" s="43" t="e">
        <f t="shared" ca="1" si="3"/>
        <v>#VALUE!</v>
      </c>
      <c r="J114" s="43" t="e">
        <f t="shared" ca="1" si="4"/>
        <v>#VALUE!</v>
      </c>
      <c r="K114" s="44" t="str">
        <f t="shared" ca="1" si="5"/>
        <v>BUY</v>
      </c>
      <c r="L114" s="45">
        <f ca="1">IFERROR(__xludf.DUMMYFUNCTION("googlefinance(""nse:""&amp;A114,""PRICEOPEN"")"),130)</f>
        <v>130</v>
      </c>
      <c r="M114" s="45">
        <f ca="1">IFERROR(__xludf.DUMMYFUNCTION("googlefinance(""nse:""&amp;A114,""PRICE"")"),131.7)</f>
        <v>131.69999999999999</v>
      </c>
      <c r="N114" s="44">
        <f ca="1">IFERROR(__xludf.DUMMYFUNCTION("googlefinance(""nse:""&amp;A114,""HIGH"")"),136.5)</f>
        <v>136.5</v>
      </c>
      <c r="O114" s="48">
        <f ca="1">IFERROR(__xludf.DUMMYFUNCTION("googlefinance(""nse:""&amp;A114,""LOW"")"),130)</f>
        <v>130</v>
      </c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35" t="s">
        <v>182</v>
      </c>
      <c r="B115" s="37" t="e">
        <f t="shared" ca="1" si="0"/>
        <v>#VALUE!</v>
      </c>
      <c r="C115" s="39">
        <f ca="1">IFERROR(__xludf.DUMMYFUNCTION("googlefinance(""nse:""&amp;A115,""changepct"")"),2.41)</f>
        <v>2.41</v>
      </c>
      <c r="D115" s="39">
        <f ca="1">IFERROR(__xludf.DUMMYFUNCTION("googlefinance(""nse:""&amp;A115,""change"")"),2.25)</f>
        <v>2.25</v>
      </c>
      <c r="E115" s="39" t="str">
        <f ca="1">IFERROR(__xludf.DUMMYFUNCTION("ArrayFormula( AVERAGE( QUERY( SORT(GOOGLEFINANCE(""NSE:""&amp;A115,""all"",workday.intl(TODAY(),-4),TODAY(),""daily""),2,0) , ""select Col6 "" ) ))"),"#N/A")</f>
        <v>#N/A</v>
      </c>
      <c r="F115" s="39">
        <f ca="1">IFERROR(__xludf.DUMMYFUNCTION("googlefinance(""nse:""&amp;A115,""volume"")"),8638236)</f>
        <v>8638236</v>
      </c>
      <c r="G115" s="42" t="e">
        <f t="shared" ca="1" si="1"/>
        <v>#VALUE!</v>
      </c>
      <c r="H115" s="43" t="e">
        <f t="shared" ca="1" si="2"/>
        <v>#VALUE!</v>
      </c>
      <c r="I115" s="43" t="e">
        <f t="shared" ca="1" si="3"/>
        <v>#VALUE!</v>
      </c>
      <c r="J115" s="43" t="e">
        <f t="shared" ca="1" si="4"/>
        <v>#VALUE!</v>
      </c>
      <c r="K115" s="44">
        <f t="shared" ca="1" si="5"/>
        <v>0</v>
      </c>
      <c r="L115" s="45">
        <f ca="1">IFERROR(__xludf.DUMMYFUNCTION("googlefinance(""nse:""&amp;A115,""PRICEOPEN"")"),94.65)</f>
        <v>94.65</v>
      </c>
      <c r="M115" s="45">
        <f ca="1">IFERROR(__xludf.DUMMYFUNCTION("googlefinance(""nse:""&amp;A115,""PRICE"")"),95.5)</f>
        <v>95.5</v>
      </c>
      <c r="N115" s="44">
        <f ca="1">IFERROR(__xludf.DUMMYFUNCTION("googlefinance(""nse:""&amp;A115,""HIGH"")"),96.25)</f>
        <v>96.25</v>
      </c>
      <c r="O115" s="48">
        <f ca="1">IFERROR(__xludf.DUMMYFUNCTION("googlefinance(""nse:""&amp;A115,""LOW"")"),93.25)</f>
        <v>93.25</v>
      </c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35" t="s">
        <v>183</v>
      </c>
      <c r="B116" s="37" t="e">
        <f t="shared" ca="1" si="0"/>
        <v>#VALUE!</v>
      </c>
      <c r="C116" s="39">
        <f ca="1">IFERROR(__xludf.DUMMYFUNCTION("googlefinance(""nse:""&amp;A116,""changepct"")"),2.6)</f>
        <v>2.6</v>
      </c>
      <c r="D116" s="39">
        <f ca="1">IFERROR(__xludf.DUMMYFUNCTION("googlefinance(""nse:""&amp;A116,""change"")"),37.05)</f>
        <v>37.049999999999997</v>
      </c>
      <c r="E116" s="39" t="str">
        <f ca="1">IFERROR(__xludf.DUMMYFUNCTION("ArrayFormula( AVERAGE( QUERY( SORT(GOOGLEFINANCE(""NSE:""&amp;A116,""all"",workday.intl(TODAY(),-4),TODAY(),""daily""),2,0) , ""select Col6 "" ) ))"),"#N/A")</f>
        <v>#N/A</v>
      </c>
      <c r="F116" s="39">
        <f ca="1">IFERROR(__xludf.DUMMYFUNCTION("googlefinance(""nse:""&amp;A116,""volume"")"),32617901)</f>
        <v>32617901</v>
      </c>
      <c r="G116" s="42" t="e">
        <f t="shared" ca="1" si="1"/>
        <v>#VALUE!</v>
      </c>
      <c r="H116" s="43" t="e">
        <f t="shared" ca="1" si="2"/>
        <v>#VALUE!</v>
      </c>
      <c r="I116" s="43" t="e">
        <f t="shared" ca="1" si="3"/>
        <v>#VALUE!</v>
      </c>
      <c r="J116" s="43" t="e">
        <f t="shared" ca="1" si="4"/>
        <v>#VALUE!</v>
      </c>
      <c r="K116" s="44">
        <f t="shared" ca="1" si="5"/>
        <v>0</v>
      </c>
      <c r="L116" s="45">
        <f ca="1">IFERROR(__xludf.DUMMYFUNCTION("googlefinance(""nse:""&amp;A116,""PRICEOPEN"")"),1453.95)</f>
        <v>1453.95</v>
      </c>
      <c r="M116" s="45">
        <f ca="1">IFERROR(__xludf.DUMMYFUNCTION("googlefinance(""nse:""&amp;A116,""PRICE"")"),1464)</f>
        <v>1464</v>
      </c>
      <c r="N116" s="44">
        <f ca="1">IFERROR(__xludf.DUMMYFUNCTION("googlefinance(""nse:""&amp;A116,""HIGH"")"),1494.95)</f>
        <v>1494.95</v>
      </c>
      <c r="O116" s="48">
        <f ca="1">IFERROR(__xludf.DUMMYFUNCTION("googlefinance(""nse:""&amp;A116,""LOW"")"),1438.05)</f>
        <v>1438.05</v>
      </c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35" t="s">
        <v>184</v>
      </c>
      <c r="B117" s="37" t="e">
        <f t="shared" ca="1" si="0"/>
        <v>#VALUE!</v>
      </c>
      <c r="C117" s="39">
        <f ca="1">IFERROR(__xludf.DUMMYFUNCTION("googlefinance(""nse:""&amp;A117,""changepct"")"),5.63)</f>
        <v>5.63</v>
      </c>
      <c r="D117" s="39">
        <f ca="1">IFERROR(__xludf.DUMMYFUNCTION("googlefinance(""nse:""&amp;A117,""change"")"),1.7)</f>
        <v>1.7</v>
      </c>
      <c r="E117" s="39" t="str">
        <f ca="1">IFERROR(__xludf.DUMMYFUNCTION("ArrayFormula( AVERAGE( QUERY( SORT(GOOGLEFINANCE(""NSE:""&amp;A117,""all"",workday.intl(TODAY(),-4),TODAY(),""daily""),2,0) , ""select Col6 "" ) ))"),"#N/A")</f>
        <v>#N/A</v>
      </c>
      <c r="F117" s="39">
        <f ca="1">IFERROR(__xludf.DUMMYFUNCTION("googlefinance(""nse:""&amp;A117,""volume"")"),35723601)</f>
        <v>35723601</v>
      </c>
      <c r="G117" s="42" t="e">
        <f t="shared" ca="1" si="1"/>
        <v>#VALUE!</v>
      </c>
      <c r="H117" s="43" t="e">
        <f t="shared" ca="1" si="2"/>
        <v>#VALUE!</v>
      </c>
      <c r="I117" s="43" t="e">
        <f t="shared" ca="1" si="3"/>
        <v>#VALUE!</v>
      </c>
      <c r="J117" s="43" t="e">
        <f t="shared" ca="1" si="4"/>
        <v>#VALUE!</v>
      </c>
      <c r="K117" s="44" t="str">
        <f t="shared" ca="1" si="5"/>
        <v>BUY</v>
      </c>
      <c r="L117" s="45">
        <f ca="1">IFERROR(__xludf.DUMMYFUNCTION("googlefinance(""nse:""&amp;A117,""PRICEOPEN"")"),30.6)</f>
        <v>30.6</v>
      </c>
      <c r="M117" s="45">
        <f ca="1">IFERROR(__xludf.DUMMYFUNCTION("googlefinance(""nse:""&amp;A117,""PRICE"")"),31.9)</f>
        <v>31.9</v>
      </c>
      <c r="N117" s="44">
        <f ca="1">IFERROR(__xludf.DUMMYFUNCTION("googlefinance(""nse:""&amp;A117,""HIGH"")"),32.25)</f>
        <v>32.25</v>
      </c>
      <c r="O117" s="48">
        <f ca="1">IFERROR(__xludf.DUMMYFUNCTION("googlefinance(""nse:""&amp;A117,""LOW"")"),30.6)</f>
        <v>30.6</v>
      </c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35" t="s">
        <v>185</v>
      </c>
      <c r="B118" s="37" t="e">
        <f t="shared" ca="1" si="0"/>
        <v>#VALUE!</v>
      </c>
      <c r="C118" s="39">
        <f ca="1">IFERROR(__xludf.DUMMYFUNCTION("googlefinance(""nse:""&amp;A118,""changepct"")"),0.05)</f>
        <v>0.05</v>
      </c>
      <c r="D118" s="39">
        <f ca="1">IFERROR(__xludf.DUMMYFUNCTION("googlefinance(""nse:""&amp;A118,""change"")"),0.1)</f>
        <v>0.1</v>
      </c>
      <c r="E118" s="39" t="str">
        <f ca="1">IFERROR(__xludf.DUMMYFUNCTION("ArrayFormula( AVERAGE( QUERY( SORT(GOOGLEFINANCE(""NSE:""&amp;A118,""all"",workday.intl(TODAY(),-4),TODAY(),""daily""),2,0) , ""select Col6 "" ) ))"),"#N/A")</f>
        <v>#N/A</v>
      </c>
      <c r="F118" s="39">
        <f ca="1">IFERROR(__xludf.DUMMYFUNCTION("googlefinance(""nse:""&amp;A118,""volume"")"),63069460)</f>
        <v>63069460</v>
      </c>
      <c r="G118" s="42" t="e">
        <f t="shared" ca="1" si="1"/>
        <v>#VALUE!</v>
      </c>
      <c r="H118" s="43" t="e">
        <f t="shared" ca="1" si="2"/>
        <v>#VALUE!</v>
      </c>
      <c r="I118" s="43" t="e">
        <f t="shared" ca="1" si="3"/>
        <v>#VALUE!</v>
      </c>
      <c r="J118" s="43" t="e">
        <f t="shared" ca="1" si="4"/>
        <v>#VALUE!</v>
      </c>
      <c r="K118" s="44">
        <f t="shared" ca="1" si="5"/>
        <v>0</v>
      </c>
      <c r="L118" s="45">
        <f ca="1">IFERROR(__xludf.DUMMYFUNCTION("googlefinance(""nse:""&amp;A118,""PRICEOPEN"")"),193.5)</f>
        <v>193.5</v>
      </c>
      <c r="M118" s="45">
        <f ca="1">IFERROR(__xludf.DUMMYFUNCTION("googlefinance(""nse:""&amp;A118,""PRICE"")"),190.2)</f>
        <v>190.2</v>
      </c>
      <c r="N118" s="44">
        <f ca="1">IFERROR(__xludf.DUMMYFUNCTION("googlefinance(""nse:""&amp;A118,""HIGH"")"),195.9)</f>
        <v>195.9</v>
      </c>
      <c r="O118" s="48">
        <f ca="1">IFERROR(__xludf.DUMMYFUNCTION("googlefinance(""nse:""&amp;A118,""LOW"")"),189.7)</f>
        <v>189.7</v>
      </c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35" t="s">
        <v>186</v>
      </c>
      <c r="B119" s="37" t="e">
        <f t="shared" ca="1" si="0"/>
        <v>#VALUE!</v>
      </c>
      <c r="C119" s="39">
        <f ca="1">IFERROR(__xludf.DUMMYFUNCTION("googlefinance(""nse:""&amp;A119,""changepct"")"),2.29)</f>
        <v>2.29</v>
      </c>
      <c r="D119" s="39">
        <f ca="1">IFERROR(__xludf.DUMMYFUNCTION("googlefinance(""nse:""&amp;A119,""change"")"),438.55)</f>
        <v>438.55</v>
      </c>
      <c r="E119" s="39" t="str">
        <f ca="1">IFERROR(__xludf.DUMMYFUNCTION("ArrayFormula( AVERAGE( QUERY( SORT(GOOGLEFINANCE(""NSE:""&amp;A119,""all"",workday.intl(TODAY(),-4),TODAY(),""daily""),2,0) , ""select Col6 "" ) ))"),"#N/A")</f>
        <v>#N/A</v>
      </c>
      <c r="F119" s="39">
        <f ca="1">IFERROR(__xludf.DUMMYFUNCTION("googlefinance(""nse:""&amp;A119,""volume"")"),53649)</f>
        <v>53649</v>
      </c>
      <c r="G119" s="42" t="e">
        <f t="shared" ca="1" si="1"/>
        <v>#VALUE!</v>
      </c>
      <c r="H119" s="43" t="e">
        <f t="shared" ca="1" si="2"/>
        <v>#VALUE!</v>
      </c>
      <c r="I119" s="43" t="e">
        <f t="shared" ca="1" si="3"/>
        <v>#VALUE!</v>
      </c>
      <c r="J119" s="43" t="e">
        <f t="shared" ca="1" si="4"/>
        <v>#VALUE!</v>
      </c>
      <c r="K119" s="44">
        <f t="shared" ca="1" si="5"/>
        <v>0</v>
      </c>
      <c r="L119" s="45">
        <f ca="1">IFERROR(__xludf.DUMMYFUNCTION("googlefinance(""nse:""&amp;A119,""PRICEOPEN"")"),19300)</f>
        <v>19300</v>
      </c>
      <c r="M119" s="45">
        <f ca="1">IFERROR(__xludf.DUMMYFUNCTION("googlefinance(""nse:""&amp;A119,""PRICE"")"),19610)</f>
        <v>19610</v>
      </c>
      <c r="N119" s="44">
        <f ca="1">IFERROR(__xludf.DUMMYFUNCTION("googlefinance(""nse:""&amp;A119,""HIGH"")"),19890)</f>
        <v>19890</v>
      </c>
      <c r="O119" s="48">
        <f ca="1">IFERROR(__xludf.DUMMYFUNCTION("googlefinance(""nse:""&amp;A119,""LOW"")"),19118.45)</f>
        <v>19118.45</v>
      </c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35" t="s">
        <v>187</v>
      </c>
      <c r="B120" s="37" t="e">
        <f t="shared" ca="1" si="0"/>
        <v>#VALUE!</v>
      </c>
      <c r="C120" s="39">
        <f ca="1">IFERROR(__xludf.DUMMYFUNCTION("googlefinance(""nse:""&amp;A120,""changepct"")"),0.87)</f>
        <v>0.87</v>
      </c>
      <c r="D120" s="39">
        <f ca="1">IFERROR(__xludf.DUMMYFUNCTION("googlefinance(""nse:""&amp;A120,""change"")"),9.85)</f>
        <v>9.85</v>
      </c>
      <c r="E120" s="39" t="str">
        <f ca="1">IFERROR(__xludf.DUMMYFUNCTION("ArrayFormula( AVERAGE( QUERY( SORT(GOOGLEFINANCE(""NSE:""&amp;A120,""all"",workday.intl(TODAY(),-4),TODAY(),""daily""),2,0) , ""select Col6 "" ) ))"),"#N/A")</f>
        <v>#N/A</v>
      </c>
      <c r="F120" s="39">
        <f ca="1">IFERROR(__xludf.DUMMYFUNCTION("googlefinance(""nse:""&amp;A120,""volume"")"),609933)</f>
        <v>609933</v>
      </c>
      <c r="G120" s="42" t="e">
        <f t="shared" ca="1" si="1"/>
        <v>#VALUE!</v>
      </c>
      <c r="H120" s="43" t="e">
        <f t="shared" ca="1" si="2"/>
        <v>#VALUE!</v>
      </c>
      <c r="I120" s="43" t="e">
        <f t="shared" ca="1" si="3"/>
        <v>#VALUE!</v>
      </c>
      <c r="J120" s="43" t="e">
        <f t="shared" ca="1" si="4"/>
        <v>#VALUE!</v>
      </c>
      <c r="K120" s="44">
        <f t="shared" ca="1" si="5"/>
        <v>0</v>
      </c>
      <c r="L120" s="45">
        <f ca="1">IFERROR(__xludf.DUMMYFUNCTION("googlefinance(""nse:""&amp;A120,""PRICEOPEN"")"),1148)</f>
        <v>1148</v>
      </c>
      <c r="M120" s="45">
        <f ca="1">IFERROR(__xludf.DUMMYFUNCTION("googlefinance(""nse:""&amp;A120,""PRICE"")"),1137)</f>
        <v>1137</v>
      </c>
      <c r="N120" s="44">
        <f ca="1">IFERROR(__xludf.DUMMYFUNCTION("googlefinance(""nse:""&amp;A120,""HIGH"")"),1179)</f>
        <v>1179</v>
      </c>
      <c r="O120" s="48">
        <f ca="1">IFERROR(__xludf.DUMMYFUNCTION("googlefinance(""nse:""&amp;A120,""LOW"")"),1132.95)</f>
        <v>1132.95</v>
      </c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35" t="s">
        <v>188</v>
      </c>
      <c r="B121" s="37" t="e">
        <f t="shared" ca="1" si="0"/>
        <v>#VALUE!</v>
      </c>
      <c r="C121" s="39">
        <f ca="1">IFERROR(__xludf.DUMMYFUNCTION("googlefinance(""nse:""&amp;A121,""changepct"")"),1.21)</f>
        <v>1.21</v>
      </c>
      <c r="D121" s="39">
        <f ca="1">IFERROR(__xludf.DUMMYFUNCTION("googlefinance(""nse:""&amp;A121,""change"")"),44.2)</f>
        <v>44.2</v>
      </c>
      <c r="E121" s="39" t="str">
        <f ca="1">IFERROR(__xludf.DUMMYFUNCTION("ArrayFormula( AVERAGE( QUERY( SORT(GOOGLEFINANCE(""NSE:""&amp;A121,""all"",workday.intl(TODAY(),-4),TODAY(),""daily""),2,0) , ""select Col6 "" ) ))"),"#N/A")</f>
        <v>#N/A</v>
      </c>
      <c r="F121" s="39">
        <f ca="1">IFERROR(__xludf.DUMMYFUNCTION("googlefinance(""nse:""&amp;A121,""volume"")"),207392)</f>
        <v>207392</v>
      </c>
      <c r="G121" s="42" t="e">
        <f t="shared" ca="1" si="1"/>
        <v>#VALUE!</v>
      </c>
      <c r="H121" s="43" t="e">
        <f t="shared" ca="1" si="2"/>
        <v>#VALUE!</v>
      </c>
      <c r="I121" s="43" t="e">
        <f t="shared" ca="1" si="3"/>
        <v>#VALUE!</v>
      </c>
      <c r="J121" s="43" t="e">
        <f t="shared" ca="1" si="4"/>
        <v>#VALUE!</v>
      </c>
      <c r="K121" s="44" t="str">
        <f t="shared" ca="1" si="5"/>
        <v>BUY</v>
      </c>
      <c r="L121" s="45">
        <f ca="1">IFERROR(__xludf.DUMMYFUNCTION("googlefinance(""nse:""&amp;A121,""PRICEOPEN"")"),3686.75)</f>
        <v>3686.75</v>
      </c>
      <c r="M121" s="45">
        <f ca="1">IFERROR(__xludf.DUMMYFUNCTION("googlefinance(""nse:""&amp;A121,""PRICE"")"),3709.8)</f>
        <v>3709.8</v>
      </c>
      <c r="N121" s="44">
        <f ca="1">IFERROR(__xludf.DUMMYFUNCTION("googlefinance(""nse:""&amp;A121,""HIGH"")"),3772)</f>
        <v>3772</v>
      </c>
      <c r="O121" s="48">
        <f ca="1">IFERROR(__xludf.DUMMYFUNCTION("googlefinance(""nse:""&amp;A121,""LOW"")"),3686.75)</f>
        <v>3686.75</v>
      </c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35" t="s">
        <v>189</v>
      </c>
      <c r="B122" s="37" t="e">
        <f t="shared" ca="1" si="0"/>
        <v>#VALUE!</v>
      </c>
      <c r="C122" s="39">
        <f ca="1">IFERROR(__xludf.DUMMYFUNCTION("googlefinance(""nse:""&amp;A122,""changepct"")"),13.32)</f>
        <v>13.32</v>
      </c>
      <c r="D122" s="39">
        <f ca="1">IFERROR(__xludf.DUMMYFUNCTION("googlefinance(""nse:""&amp;A122,""change"")"),92.85)</f>
        <v>92.85</v>
      </c>
      <c r="E122" s="39" t="str">
        <f ca="1">IFERROR(__xludf.DUMMYFUNCTION("ArrayFormula( AVERAGE( QUERY( SORT(GOOGLEFINANCE(""NSE:""&amp;A122,""all"",workday.intl(TODAY(),-4),TODAY(),""daily""),2,0) , ""select Col6 "" ) ))"),"#N/A")</f>
        <v>#N/A</v>
      </c>
      <c r="F122" s="39">
        <f ca="1">IFERROR(__xludf.DUMMYFUNCTION("googlefinance(""nse:""&amp;A122,""volume"")"),6777000)</f>
        <v>6777000</v>
      </c>
      <c r="G122" s="42" t="e">
        <f t="shared" ca="1" si="1"/>
        <v>#VALUE!</v>
      </c>
      <c r="H122" s="43" t="e">
        <f t="shared" ca="1" si="2"/>
        <v>#VALUE!</v>
      </c>
      <c r="I122" s="43" t="e">
        <f t="shared" ca="1" si="3"/>
        <v>#VALUE!</v>
      </c>
      <c r="J122" s="43" t="e">
        <f t="shared" ca="1" si="4"/>
        <v>#VALUE!</v>
      </c>
      <c r="K122" s="44">
        <f t="shared" ca="1" si="5"/>
        <v>0</v>
      </c>
      <c r="L122" s="45">
        <f ca="1">IFERROR(__xludf.DUMMYFUNCTION("googlefinance(""nse:""&amp;A122,""PRICEOPEN"")"),715.1)</f>
        <v>715.1</v>
      </c>
      <c r="M122" s="45">
        <f ca="1">IFERROR(__xludf.DUMMYFUNCTION("googlefinance(""nse:""&amp;A122,""PRICE"")"),790)</f>
        <v>790</v>
      </c>
      <c r="N122" s="44">
        <f ca="1">IFERROR(__xludf.DUMMYFUNCTION("googlefinance(""nse:""&amp;A122,""HIGH"")"),799.55)</f>
        <v>799.55</v>
      </c>
      <c r="O122" s="48">
        <f ca="1">IFERROR(__xludf.DUMMYFUNCTION("googlefinance(""nse:""&amp;A122,""LOW"")"),710)</f>
        <v>710</v>
      </c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35" t="s">
        <v>190</v>
      </c>
      <c r="B123" s="37" t="e">
        <f t="shared" ca="1" si="0"/>
        <v>#VALUE!</v>
      </c>
      <c r="C123" s="39">
        <f ca="1">IFERROR(__xludf.DUMMYFUNCTION("googlefinance(""nse:""&amp;A123,""changepct"")"),-2.44)</f>
        <v>-2.44</v>
      </c>
      <c r="D123" s="39">
        <f ca="1">IFERROR(__xludf.DUMMYFUNCTION("googlefinance(""nse:""&amp;A123,""change"")"),-11.65)</f>
        <v>-11.65</v>
      </c>
      <c r="E123" s="39" t="str">
        <f ca="1">IFERROR(__xludf.DUMMYFUNCTION("ArrayFormula( AVERAGE( QUERY( SORT(GOOGLEFINANCE(""NSE:""&amp;A123,""all"",workday.intl(TODAY(),-4),TODAY(),""daily""),2,0) , ""select Col6 "" ) ))"),"#N/A")</f>
        <v>#N/A</v>
      </c>
      <c r="F123" s="39">
        <f ca="1">IFERROR(__xludf.DUMMYFUNCTION("googlefinance(""nse:""&amp;A123,""volume"")"),18471937)</f>
        <v>18471937</v>
      </c>
      <c r="G123" s="42" t="e">
        <f t="shared" ca="1" si="1"/>
        <v>#VALUE!</v>
      </c>
      <c r="H123" s="43" t="e">
        <f t="shared" ca="1" si="2"/>
        <v>#VALUE!</v>
      </c>
      <c r="I123" s="43" t="e">
        <f t="shared" ca="1" si="3"/>
        <v>#VALUE!</v>
      </c>
      <c r="J123" s="43" t="e">
        <f t="shared" ca="1" si="4"/>
        <v>#VALUE!</v>
      </c>
      <c r="K123" s="44">
        <f t="shared" ca="1" si="5"/>
        <v>0</v>
      </c>
      <c r="L123" s="45">
        <f ca="1">IFERROR(__xludf.DUMMYFUNCTION("googlefinance(""nse:""&amp;A123,""PRICEOPEN"")"),484)</f>
        <v>484</v>
      </c>
      <c r="M123" s="45">
        <f ca="1">IFERROR(__xludf.DUMMYFUNCTION("googlefinance(""nse:""&amp;A123,""PRICE"")"),466)</f>
        <v>466</v>
      </c>
      <c r="N123" s="44">
        <f ca="1">IFERROR(__xludf.DUMMYFUNCTION("googlefinance(""nse:""&amp;A123,""HIGH"")"),485)</f>
        <v>485</v>
      </c>
      <c r="O123" s="48">
        <f ca="1">IFERROR(__xludf.DUMMYFUNCTION("googlefinance(""nse:""&amp;A123,""LOW"")"),458.4)</f>
        <v>458.4</v>
      </c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35" t="s">
        <v>191</v>
      </c>
      <c r="B124" s="37" t="e">
        <f t="shared" ca="1" si="0"/>
        <v>#VALUE!</v>
      </c>
      <c r="C124" s="39">
        <f ca="1">IFERROR(__xludf.DUMMYFUNCTION("googlefinance(""nse:""&amp;A124,""changepct"")"),-2.12)</f>
        <v>-2.12</v>
      </c>
      <c r="D124" s="39">
        <f ca="1">IFERROR(__xludf.DUMMYFUNCTION("googlefinance(""nse:""&amp;A124,""change"")"),-8.35)</f>
        <v>-8.35</v>
      </c>
      <c r="E124" s="39" t="str">
        <f ca="1">IFERROR(__xludf.DUMMYFUNCTION("ArrayFormula( AVERAGE( QUERY( SORT(GOOGLEFINANCE(""NSE:""&amp;A124,""all"",workday.intl(TODAY(),-4),TODAY(),""daily""),2,0) , ""select Col6 "" ) ))"),"#N/A")</f>
        <v>#N/A</v>
      </c>
      <c r="F124" s="39">
        <f ca="1">IFERROR(__xludf.DUMMYFUNCTION("googlefinance(""nse:""&amp;A124,""volume"")"),2417645)</f>
        <v>2417645</v>
      </c>
      <c r="G124" s="42" t="e">
        <f t="shared" ca="1" si="1"/>
        <v>#VALUE!</v>
      </c>
      <c r="H124" s="43" t="e">
        <f t="shared" ca="1" si="2"/>
        <v>#VALUE!</v>
      </c>
      <c r="I124" s="43" t="e">
        <f t="shared" ca="1" si="3"/>
        <v>#VALUE!</v>
      </c>
      <c r="J124" s="43" t="e">
        <f t="shared" ca="1" si="4"/>
        <v>#VALUE!</v>
      </c>
      <c r="K124" s="44">
        <f t="shared" ca="1" si="5"/>
        <v>0</v>
      </c>
      <c r="L124" s="45">
        <f ca="1">IFERROR(__xludf.DUMMYFUNCTION("googlefinance(""nse:""&amp;A124,""PRICEOPEN"")"),399)</f>
        <v>399</v>
      </c>
      <c r="M124" s="45">
        <f ca="1">IFERROR(__xludf.DUMMYFUNCTION("googlefinance(""nse:""&amp;A124,""PRICE"")"),384.95)</f>
        <v>384.95</v>
      </c>
      <c r="N124" s="44">
        <f ca="1">IFERROR(__xludf.DUMMYFUNCTION("googlefinance(""nse:""&amp;A124,""HIGH"")"),401.85)</f>
        <v>401.85</v>
      </c>
      <c r="O124" s="48">
        <f ca="1">IFERROR(__xludf.DUMMYFUNCTION("googlefinance(""nse:""&amp;A124,""LOW"")"),382)</f>
        <v>382</v>
      </c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35" t="s">
        <v>192</v>
      </c>
      <c r="B125" s="37" t="e">
        <f t="shared" ca="1" si="0"/>
        <v>#VALUE!</v>
      </c>
      <c r="C125" s="39">
        <f ca="1">IFERROR(__xludf.DUMMYFUNCTION("googlefinance(""nse:""&amp;A125,""changepct"")"),-0.81)</f>
        <v>-0.81</v>
      </c>
      <c r="D125" s="39">
        <f ca="1">IFERROR(__xludf.DUMMYFUNCTION("googlefinance(""nse:""&amp;A125,""change"")"),-2.3)</f>
        <v>-2.2999999999999998</v>
      </c>
      <c r="E125" s="39" t="str">
        <f ca="1">IFERROR(__xludf.DUMMYFUNCTION("ArrayFormula( AVERAGE( QUERY( SORT(GOOGLEFINANCE(""NSE:""&amp;A125,""all"",workday.intl(TODAY(),-4),TODAY(),""daily""),2,0) , ""select Col6 "" ) ))"),"#N/A")</f>
        <v>#N/A</v>
      </c>
      <c r="F125" s="39">
        <f ca="1">IFERROR(__xludf.DUMMYFUNCTION("googlefinance(""nse:""&amp;A125,""volume"")"),1981296)</f>
        <v>1981296</v>
      </c>
      <c r="G125" s="64" t="e">
        <f t="shared" ca="1" si="1"/>
        <v>#VALUE!</v>
      </c>
      <c r="H125" s="43" t="e">
        <f t="shared" ca="1" si="2"/>
        <v>#VALUE!</v>
      </c>
      <c r="I125" s="43" t="e">
        <f t="shared" ca="1" si="3"/>
        <v>#VALUE!</v>
      </c>
      <c r="J125" s="43" t="e">
        <f t="shared" ca="1" si="4"/>
        <v>#VALUE!</v>
      </c>
      <c r="K125" s="44" t="str">
        <f t="shared" ca="1" si="5"/>
        <v>SELL</v>
      </c>
      <c r="L125" s="45">
        <f ca="1">IFERROR(__xludf.DUMMYFUNCTION("googlefinance(""nse:""&amp;A125,""PRICEOPEN"")"),290)</f>
        <v>290</v>
      </c>
      <c r="M125" s="45">
        <f ca="1">IFERROR(__xludf.DUMMYFUNCTION("googlefinance(""nse:""&amp;A125,""PRICE"")"),282.75)</f>
        <v>282.75</v>
      </c>
      <c r="N125" s="44">
        <f ca="1">IFERROR(__xludf.DUMMYFUNCTION("googlefinance(""nse:""&amp;A125,""HIGH"")"),290)</f>
        <v>290</v>
      </c>
      <c r="O125" s="48">
        <f ca="1">IFERROR(__xludf.DUMMYFUNCTION("googlefinance(""nse:""&amp;A125,""LOW"")"),281)</f>
        <v>281</v>
      </c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35" t="s">
        <v>193</v>
      </c>
      <c r="B126" s="37" t="e">
        <f t="shared" ca="1" si="0"/>
        <v>#VALUE!</v>
      </c>
      <c r="C126" s="39">
        <f ca="1">IFERROR(__xludf.DUMMYFUNCTION("googlefinance(""nse:""&amp;A126,""changepct"")"),-0.92)</f>
        <v>-0.92</v>
      </c>
      <c r="D126" s="39">
        <f ca="1">IFERROR(__xludf.DUMMYFUNCTION("googlefinance(""nse:""&amp;A126,""change"")"),-3.25)</f>
        <v>-3.25</v>
      </c>
      <c r="E126" s="39" t="str">
        <f ca="1">IFERROR(__xludf.DUMMYFUNCTION("ArrayFormula( AVERAGE( QUERY( SORT(GOOGLEFINANCE(""NSE:""&amp;A126,""all"",workday.intl(TODAY(),-4),TODAY(),""daily""),2,0) , ""select Col6 "" ) ))"),"#N/A")</f>
        <v>#N/A</v>
      </c>
      <c r="F126" s="39">
        <f ca="1">IFERROR(__xludf.DUMMYFUNCTION("googlefinance(""nse:""&amp;A126,""volume"")"),4760235)</f>
        <v>4760235</v>
      </c>
      <c r="G126" s="42" t="e">
        <f t="shared" ca="1" si="1"/>
        <v>#VALUE!</v>
      </c>
      <c r="H126" s="43" t="e">
        <f t="shared" ca="1" si="2"/>
        <v>#VALUE!</v>
      </c>
      <c r="I126" s="43" t="e">
        <f t="shared" ca="1" si="3"/>
        <v>#VALUE!</v>
      </c>
      <c r="J126" s="43" t="e">
        <f t="shared" ca="1" si="4"/>
        <v>#VALUE!</v>
      </c>
      <c r="K126" s="44">
        <f t="shared" ca="1" si="5"/>
        <v>0</v>
      </c>
      <c r="L126" s="45">
        <f ca="1">IFERROR(__xludf.DUMMYFUNCTION("googlefinance(""nse:""&amp;A126,""PRICEOPEN"")"),359.95)</f>
        <v>359.95</v>
      </c>
      <c r="M126" s="45">
        <f ca="1">IFERROR(__xludf.DUMMYFUNCTION("googlefinance(""nse:""&amp;A126,""PRICE"")"),350.75)</f>
        <v>350.75</v>
      </c>
      <c r="N126" s="44">
        <f ca="1">IFERROR(__xludf.DUMMYFUNCTION("googlefinance(""nse:""&amp;A126,""HIGH"")"),361.4)</f>
        <v>361.4</v>
      </c>
      <c r="O126" s="48">
        <f ca="1">IFERROR(__xludf.DUMMYFUNCTION("googlefinance(""nse:""&amp;A126,""LOW"")"),349.85)</f>
        <v>349.85</v>
      </c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35" t="s">
        <v>194</v>
      </c>
      <c r="B127" s="37" t="e">
        <f t="shared" ca="1" si="0"/>
        <v>#VALUE!</v>
      </c>
      <c r="C127" s="39">
        <f ca="1">IFERROR(__xludf.DUMMYFUNCTION("googlefinance(""nse:""&amp;A127,""changepct"")"),19.96)</f>
        <v>19.96</v>
      </c>
      <c r="D127" s="39">
        <f ca="1">IFERROR(__xludf.DUMMYFUNCTION("googlefinance(""nse:""&amp;A127,""change"")"),15.6)</f>
        <v>15.6</v>
      </c>
      <c r="E127" s="39" t="str">
        <f ca="1">IFERROR(__xludf.DUMMYFUNCTION("ArrayFormula( AVERAGE( QUERY( SORT(GOOGLEFINANCE(""NSE:""&amp;A127,""all"",workday.intl(TODAY(),-4),TODAY(),""daily""),2,0) , ""select Col6 "" ) ))"),"#N/A")</f>
        <v>#N/A</v>
      </c>
      <c r="F127" s="39">
        <f ca="1">IFERROR(__xludf.DUMMYFUNCTION("googlefinance(""nse:""&amp;A127,""volume"")"),170645234)</f>
        <v>170645234</v>
      </c>
      <c r="G127" s="64" t="e">
        <f t="shared" ca="1" si="1"/>
        <v>#VALUE!</v>
      </c>
      <c r="H127" s="78" t="e">
        <f t="shared" ca="1" si="2"/>
        <v>#VALUE!</v>
      </c>
      <c r="I127" s="43" t="e">
        <f t="shared" ca="1" si="3"/>
        <v>#VALUE!</v>
      </c>
      <c r="J127" s="43" t="e">
        <f t="shared" ca="1" si="4"/>
        <v>#VALUE!</v>
      </c>
      <c r="K127" s="44" t="str">
        <f t="shared" ca="1" si="5"/>
        <v>BUY</v>
      </c>
      <c r="L127" s="45">
        <f ca="1">IFERROR(__xludf.DUMMYFUNCTION("googlefinance(""nse:""&amp;A127,""PRICEOPEN"")"),85.95)</f>
        <v>85.95</v>
      </c>
      <c r="M127" s="45">
        <f ca="1">IFERROR(__xludf.DUMMYFUNCTION("googlefinance(""nse:""&amp;A127,""PRICE"")"),93.75)</f>
        <v>93.75</v>
      </c>
      <c r="N127" s="44">
        <f ca="1">IFERROR(__xludf.DUMMYFUNCTION("googlefinance(""nse:""&amp;A127,""HIGH"")"),93.75)</f>
        <v>93.75</v>
      </c>
      <c r="O127" s="48">
        <f ca="1">IFERROR(__xludf.DUMMYFUNCTION("googlefinance(""nse:""&amp;A127,""LOW"")"),85.95)</f>
        <v>85.95</v>
      </c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35" t="s">
        <v>195</v>
      </c>
      <c r="B128" s="37" t="e">
        <f t="shared" ca="1" si="0"/>
        <v>#VALUE!</v>
      </c>
      <c r="C128" s="39">
        <f ca="1">IFERROR(__xludf.DUMMYFUNCTION("googlefinance(""nse:""&amp;A128,""changepct"")"),3.22)</f>
        <v>3.22</v>
      </c>
      <c r="D128" s="39">
        <f ca="1">IFERROR(__xludf.DUMMYFUNCTION("googlefinance(""nse:""&amp;A128,""change"")"),1)</f>
        <v>1</v>
      </c>
      <c r="E128" s="39" t="str">
        <f ca="1">IFERROR(__xludf.DUMMYFUNCTION("ArrayFormula( AVERAGE( QUERY( SORT(GOOGLEFINANCE(""NSE:""&amp;A128,""all"",workday.intl(TODAY(),-4),TODAY(),""daily""),2,0) , ""select Col6 "" ) ))"),"#N/A")</f>
        <v>#N/A</v>
      </c>
      <c r="F128" s="39">
        <f ca="1">IFERROR(__xludf.DUMMYFUNCTION("googlefinance(""nse:""&amp;A128,""volume"")"),32596006)</f>
        <v>32596006</v>
      </c>
      <c r="G128" s="42" t="e">
        <f t="shared" ca="1" si="1"/>
        <v>#VALUE!</v>
      </c>
      <c r="H128" s="43" t="e">
        <f t="shared" ca="1" si="2"/>
        <v>#VALUE!</v>
      </c>
      <c r="I128" s="43" t="e">
        <f t="shared" ca="1" si="3"/>
        <v>#VALUE!</v>
      </c>
      <c r="J128" s="43" t="e">
        <f t="shared" ca="1" si="4"/>
        <v>#VALUE!</v>
      </c>
      <c r="K128" s="44">
        <f t="shared" ca="1" si="5"/>
        <v>0</v>
      </c>
      <c r="L128" s="45">
        <f ca="1">IFERROR(__xludf.DUMMYFUNCTION("googlefinance(""nse:""&amp;A128,""PRICEOPEN"")"),31.4)</f>
        <v>31.4</v>
      </c>
      <c r="M128" s="45">
        <f ca="1">IFERROR(__xludf.DUMMYFUNCTION("googlefinance(""nse:""&amp;A128,""PRICE"")"),32.1)</f>
        <v>32.1</v>
      </c>
      <c r="N128" s="44">
        <f ca="1">IFERROR(__xludf.DUMMYFUNCTION("googlefinance(""nse:""&amp;A128,""HIGH"")"),32.15)</f>
        <v>32.15</v>
      </c>
      <c r="O128" s="48">
        <f ca="1">IFERROR(__xludf.DUMMYFUNCTION("googlefinance(""nse:""&amp;A128,""LOW"")"),31.05)</f>
        <v>31.05</v>
      </c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81" t="s">
        <v>196</v>
      </c>
      <c r="B129" s="37" t="e">
        <f t="shared" ca="1" si="0"/>
        <v>#VALUE!</v>
      </c>
      <c r="C129" s="39">
        <f ca="1">IFERROR(__xludf.DUMMYFUNCTION("googlefinance(""nse:""&amp;A129,""changepct"")"),5.27)</f>
        <v>5.27</v>
      </c>
      <c r="D129" s="39">
        <f ca="1">IFERROR(__xludf.DUMMYFUNCTION("googlefinance(""nse:""&amp;A129,""change"")"),14.9)</f>
        <v>14.9</v>
      </c>
      <c r="E129" s="39" t="str">
        <f ca="1">IFERROR(__xludf.DUMMYFUNCTION("ArrayFormula( AVERAGE( QUERY( SORT(GOOGLEFINANCE(""NSE:""&amp;A129,""all"",workday.intl(TODAY(),-4),TODAY(),""daily""),2,0) , ""select Col6 "" ) ))"),"#N/A")</f>
        <v>#N/A</v>
      </c>
      <c r="F129" s="39">
        <f ca="1">IFERROR(__xludf.DUMMYFUNCTION("googlefinance(""nse:""&amp;A129,""volume"")"),23636082)</f>
        <v>23636082</v>
      </c>
      <c r="G129" s="42" t="e">
        <f t="shared" ca="1" si="1"/>
        <v>#VALUE!</v>
      </c>
      <c r="H129" s="43" t="e">
        <f t="shared" ca="1" si="2"/>
        <v>#VALUE!</v>
      </c>
      <c r="I129" s="43" t="e">
        <f t="shared" ca="1" si="3"/>
        <v>#VALUE!</v>
      </c>
      <c r="J129" s="43" t="e">
        <f t="shared" ca="1" si="4"/>
        <v>#VALUE!</v>
      </c>
      <c r="K129" s="44">
        <f t="shared" ca="1" si="5"/>
        <v>0</v>
      </c>
      <c r="L129" s="45">
        <f ca="1">IFERROR(__xludf.DUMMYFUNCTION("googlefinance(""nse:""&amp;A129,""PRICEOPEN"")"),289.95)</f>
        <v>289.95</v>
      </c>
      <c r="M129" s="45">
        <f ca="1">IFERROR(__xludf.DUMMYFUNCTION("googlefinance(""nse:""&amp;A129,""PRICE"")"),297.55)</f>
        <v>297.55</v>
      </c>
      <c r="N129" s="44">
        <f ca="1">IFERROR(__xludf.DUMMYFUNCTION("googlefinance(""nse:""&amp;A129,""HIGH"")"),304.5)</f>
        <v>304.5</v>
      </c>
      <c r="O129" s="48">
        <f ca="1">IFERROR(__xludf.DUMMYFUNCTION("googlefinance(""nse:""&amp;A129,""LOW"")"),288.7)</f>
        <v>288.7</v>
      </c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35" t="s">
        <v>197</v>
      </c>
      <c r="B130" s="37" t="e">
        <f t="shared" ca="1" si="0"/>
        <v>#VALUE!</v>
      </c>
      <c r="C130" s="39">
        <f ca="1">IFERROR(__xludf.DUMMYFUNCTION("googlefinance(""nse:""&amp;A130,""changepct"")"),5.98)</f>
        <v>5.98</v>
      </c>
      <c r="D130" s="39">
        <f ca="1">IFERROR(__xludf.DUMMYFUNCTION("googlefinance(""nse:""&amp;A130,""change"")"),113.9)</f>
        <v>113.9</v>
      </c>
      <c r="E130" s="39" t="str">
        <f ca="1">IFERROR(__xludf.DUMMYFUNCTION("ArrayFormula( AVERAGE( QUERY( SORT(GOOGLEFINANCE(""NSE:""&amp;A130,""all"",workday.intl(TODAY(),-4),TODAY(),""daily""),2,0) , ""select Col6 "" ) ))"),"#N/A")</f>
        <v>#N/A</v>
      </c>
      <c r="F130" s="39">
        <f ca="1">IFERROR(__xludf.DUMMYFUNCTION("googlefinance(""nse:""&amp;A130,""volume"")"),5915950)</f>
        <v>5915950</v>
      </c>
      <c r="G130" s="42" t="e">
        <f t="shared" ca="1" si="1"/>
        <v>#VALUE!</v>
      </c>
      <c r="H130" s="43" t="e">
        <f t="shared" ca="1" si="2"/>
        <v>#VALUE!</v>
      </c>
      <c r="I130" s="43" t="e">
        <f t="shared" ca="1" si="3"/>
        <v>#VALUE!</v>
      </c>
      <c r="J130" s="43" t="e">
        <f t="shared" ca="1" si="4"/>
        <v>#VALUE!</v>
      </c>
      <c r="K130" s="44">
        <f t="shared" ca="1" si="5"/>
        <v>0</v>
      </c>
      <c r="L130" s="45">
        <f ca="1">IFERROR(__xludf.DUMMYFUNCTION("googlefinance(""nse:""&amp;A130,""PRICEOPEN"")"),1980)</f>
        <v>1980</v>
      </c>
      <c r="M130" s="45">
        <f ca="1">IFERROR(__xludf.DUMMYFUNCTION("googlefinance(""nse:""&amp;A130,""PRICE"")"),2019.55)</f>
        <v>2019.55</v>
      </c>
      <c r="N130" s="44">
        <f ca="1">IFERROR(__xludf.DUMMYFUNCTION("googlefinance(""nse:""&amp;A130,""HIGH"")"),2032)</f>
        <v>2032</v>
      </c>
      <c r="O130" s="48">
        <f ca="1">IFERROR(__xludf.DUMMYFUNCTION("googlefinance(""nse:""&amp;A130,""LOW"")"),1942.2)</f>
        <v>1942.2</v>
      </c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35" t="s">
        <v>198</v>
      </c>
      <c r="B131" s="37" t="e">
        <f t="shared" ca="1" si="0"/>
        <v>#VALUE!</v>
      </c>
      <c r="C131" s="39">
        <f ca="1">IFERROR(__xludf.DUMMYFUNCTION("googlefinance(""nse:""&amp;A131,""changepct"")"),3.26)</f>
        <v>3.26</v>
      </c>
      <c r="D131" s="39">
        <f ca="1">IFERROR(__xludf.DUMMYFUNCTION("googlefinance(""nse:""&amp;A131,""change"")"),17.25)</f>
        <v>17.25</v>
      </c>
      <c r="E131" s="39" t="str">
        <f ca="1">IFERROR(__xludf.DUMMYFUNCTION("ArrayFormula( AVERAGE( QUERY( SORT(GOOGLEFINANCE(""NSE:""&amp;A131,""all"",workday.intl(TODAY(),-4),TODAY(),""daily""),2,0) , ""select Col6 "" ) ))"),"#N/A")</f>
        <v>#N/A</v>
      </c>
      <c r="F131" s="39">
        <f ca="1">IFERROR(__xludf.DUMMYFUNCTION("googlefinance(""nse:""&amp;A131,""volume"")"),8932244)</f>
        <v>8932244</v>
      </c>
      <c r="G131" s="42" t="e">
        <f t="shared" ca="1" si="1"/>
        <v>#VALUE!</v>
      </c>
      <c r="H131" s="43" t="e">
        <f t="shared" ca="1" si="2"/>
        <v>#VALUE!</v>
      </c>
      <c r="I131" s="43" t="e">
        <f t="shared" ca="1" si="3"/>
        <v>#VALUE!</v>
      </c>
      <c r="J131" s="43" t="e">
        <f t="shared" ca="1" si="4"/>
        <v>#VALUE!</v>
      </c>
      <c r="K131" s="44">
        <f t="shared" ca="1" si="5"/>
        <v>0</v>
      </c>
      <c r="L131" s="45">
        <f ca="1">IFERROR(__xludf.DUMMYFUNCTION("googlefinance(""nse:""&amp;A131,""PRICEOPEN"")"),541)</f>
        <v>541</v>
      </c>
      <c r="M131" s="45">
        <f ca="1">IFERROR(__xludf.DUMMYFUNCTION("googlefinance(""nse:""&amp;A131,""PRICE"")"),545.95)</f>
        <v>545.95000000000005</v>
      </c>
      <c r="N131" s="44">
        <f ca="1">IFERROR(__xludf.DUMMYFUNCTION("googlefinance(""nse:""&amp;A131,""HIGH"")"),552.9)</f>
        <v>552.9</v>
      </c>
      <c r="O131" s="48">
        <f ca="1">IFERROR(__xludf.DUMMYFUNCTION("googlefinance(""nse:""&amp;A131,""LOW"")"),532.35)</f>
        <v>532.35</v>
      </c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35" t="s">
        <v>199</v>
      </c>
      <c r="B132" s="37" t="e">
        <f t="shared" ca="1" si="0"/>
        <v>#VALUE!</v>
      </c>
      <c r="C132" s="39">
        <f ca="1">IFERROR(__xludf.DUMMYFUNCTION("googlefinance(""nse:""&amp;A132,""changepct"")"),4.58)</f>
        <v>4.58</v>
      </c>
      <c r="D132" s="39">
        <f ca="1">IFERROR(__xludf.DUMMYFUNCTION("googlefinance(""nse:""&amp;A132,""change"")"),42.4)</f>
        <v>42.4</v>
      </c>
      <c r="E132" s="39" t="str">
        <f ca="1">IFERROR(__xludf.DUMMYFUNCTION("ArrayFormula( AVERAGE( QUERY( SORT(GOOGLEFINANCE(""NSE:""&amp;A132,""all"",workday.intl(TODAY(),-4),TODAY(),""daily""),2,0) , ""select Col6 "" ) ))"),"#N/A")</f>
        <v>#N/A</v>
      </c>
      <c r="F132" s="39">
        <f ca="1">IFERROR(__xludf.DUMMYFUNCTION("googlefinance(""nse:""&amp;A132,""volume"")"),4336428)</f>
        <v>4336428</v>
      </c>
      <c r="G132" s="42" t="e">
        <f t="shared" ca="1" si="1"/>
        <v>#VALUE!</v>
      </c>
      <c r="H132" s="43" t="e">
        <f t="shared" ca="1" si="2"/>
        <v>#VALUE!</v>
      </c>
      <c r="I132" s="43" t="e">
        <f t="shared" ca="1" si="3"/>
        <v>#VALUE!</v>
      </c>
      <c r="J132" s="43" t="e">
        <f t="shared" ca="1" si="4"/>
        <v>#VALUE!</v>
      </c>
      <c r="K132" s="44">
        <f t="shared" ca="1" si="5"/>
        <v>0</v>
      </c>
      <c r="L132" s="45">
        <f ca="1">IFERROR(__xludf.DUMMYFUNCTION("googlefinance(""nse:""&amp;A132,""PRICEOPEN"")"),935.2)</f>
        <v>935.2</v>
      </c>
      <c r="M132" s="45">
        <f ca="1">IFERROR(__xludf.DUMMYFUNCTION("googlefinance(""nse:""&amp;A132,""PRICE"")"),967.8)</f>
        <v>967.8</v>
      </c>
      <c r="N132" s="44">
        <f ca="1">IFERROR(__xludf.DUMMYFUNCTION("googlefinance(""nse:""&amp;A132,""HIGH"")"),978.95)</f>
        <v>978.95</v>
      </c>
      <c r="O132" s="48">
        <f ca="1">IFERROR(__xludf.DUMMYFUNCTION("googlefinance(""nse:""&amp;A132,""LOW"")"),929)</f>
        <v>929</v>
      </c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35" t="s">
        <v>200</v>
      </c>
      <c r="B133" s="37" t="e">
        <f t="shared" ca="1" si="0"/>
        <v>#VALUE!</v>
      </c>
      <c r="C133" s="39">
        <f ca="1">IFERROR(__xludf.DUMMYFUNCTION("googlefinance(""nse:""&amp;A133,""changepct"")"),-3.03)</f>
        <v>-3.03</v>
      </c>
      <c r="D133" s="39">
        <f ca="1">IFERROR(__xludf.DUMMYFUNCTION("googlefinance(""nse:""&amp;A133,""change"")"),-73.35)</f>
        <v>-73.349999999999994</v>
      </c>
      <c r="E133" s="39" t="str">
        <f ca="1">IFERROR(__xludf.DUMMYFUNCTION("ArrayFormula( AVERAGE( QUERY( SORT(GOOGLEFINANCE(""NSE:""&amp;A133,""all"",workday.intl(TODAY(),-4),TODAY(),""daily""),2,0) , ""select Col6 "" ) ))"),"#N/A")</f>
        <v>#N/A</v>
      </c>
      <c r="F133" s="39">
        <f ca="1">IFERROR(__xludf.DUMMYFUNCTION("googlefinance(""nse:""&amp;A133,""volume"")"),711473)</f>
        <v>711473</v>
      </c>
      <c r="G133" s="42" t="e">
        <f t="shared" ca="1" si="1"/>
        <v>#VALUE!</v>
      </c>
      <c r="H133" s="43" t="e">
        <f t="shared" ca="1" si="2"/>
        <v>#VALUE!</v>
      </c>
      <c r="I133" s="43" t="e">
        <f t="shared" ca="1" si="3"/>
        <v>#VALUE!</v>
      </c>
      <c r="J133" s="43" t="e">
        <f t="shared" ca="1" si="4"/>
        <v>#VALUE!</v>
      </c>
      <c r="K133" s="44">
        <f t="shared" ca="1" si="5"/>
        <v>0</v>
      </c>
      <c r="L133" s="45">
        <f ca="1">IFERROR(__xludf.DUMMYFUNCTION("googlefinance(""nse:""&amp;A133,""PRICEOPEN"")"),2460.1)</f>
        <v>2460.1</v>
      </c>
      <c r="M133" s="45">
        <f ca="1">IFERROR(__xludf.DUMMYFUNCTION("googlefinance(""nse:""&amp;A133,""PRICE"")"),2347)</f>
        <v>2347</v>
      </c>
      <c r="N133" s="44">
        <f ca="1">IFERROR(__xludf.DUMMYFUNCTION("googlefinance(""nse:""&amp;A133,""HIGH"")"),2472)</f>
        <v>2472</v>
      </c>
      <c r="O133" s="48">
        <f ca="1">IFERROR(__xludf.DUMMYFUNCTION("googlefinance(""nse:""&amp;A133,""LOW"")"),2320.45)</f>
        <v>2320.4499999999998</v>
      </c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35" t="s">
        <v>201</v>
      </c>
      <c r="B134" s="37" t="e">
        <f t="shared" ca="1" si="0"/>
        <v>#VALUE!</v>
      </c>
      <c r="C134" s="39">
        <f ca="1">IFERROR(__xludf.DUMMYFUNCTION("googlefinance(""nse:""&amp;A134,""changepct"")"),2.87)</f>
        <v>2.87</v>
      </c>
      <c r="D134" s="39">
        <f ca="1">IFERROR(__xludf.DUMMYFUNCTION("googlefinance(""nse:""&amp;A134,""change"")"),9.25)</f>
        <v>9.25</v>
      </c>
      <c r="E134" s="39" t="str">
        <f ca="1">IFERROR(__xludf.DUMMYFUNCTION("ArrayFormula( AVERAGE( QUERY( SORT(GOOGLEFINANCE(""NSE:""&amp;A134,""all"",workday.intl(TODAY(),-4),TODAY(),""daily""),2,0) , ""select Col6 "" ) ))"),"#N/A")</f>
        <v>#N/A</v>
      </c>
      <c r="F134" s="39">
        <f ca="1">IFERROR(__xludf.DUMMYFUNCTION("googlefinance(""nse:""&amp;A134,""volume"")"),1555954)</f>
        <v>1555954</v>
      </c>
      <c r="G134" s="64" t="e">
        <f t="shared" ca="1" si="1"/>
        <v>#VALUE!</v>
      </c>
      <c r="H134" s="78" t="e">
        <f t="shared" ca="1" si="2"/>
        <v>#VALUE!</v>
      </c>
      <c r="I134" s="43" t="e">
        <f t="shared" ca="1" si="3"/>
        <v>#VALUE!</v>
      </c>
      <c r="J134" s="43" t="e">
        <f t="shared" ca="1" si="4"/>
        <v>#VALUE!</v>
      </c>
      <c r="K134" s="44">
        <f t="shared" ca="1" si="5"/>
        <v>0</v>
      </c>
      <c r="L134" s="45">
        <f ca="1">IFERROR(__xludf.DUMMYFUNCTION("googlefinance(""nse:""&amp;A134,""PRICEOPEN"")"),326)</f>
        <v>326</v>
      </c>
      <c r="M134" s="45">
        <f ca="1">IFERROR(__xludf.DUMMYFUNCTION("googlefinance(""nse:""&amp;A134,""PRICE"")"),331.8)</f>
        <v>331.8</v>
      </c>
      <c r="N134" s="44">
        <f ca="1">IFERROR(__xludf.DUMMYFUNCTION("googlefinance(""nse:""&amp;A134,""HIGH"")"),335.65)</f>
        <v>335.65</v>
      </c>
      <c r="O134" s="48">
        <f ca="1">IFERROR(__xludf.DUMMYFUNCTION("googlefinance(""nse:""&amp;A134,""LOW"")"),325)</f>
        <v>325</v>
      </c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35" t="s">
        <v>202</v>
      </c>
      <c r="B135" s="37" t="e">
        <f t="shared" ca="1" si="0"/>
        <v>#VALUE!</v>
      </c>
      <c r="C135" s="39">
        <f ca="1">IFERROR(__xludf.DUMMYFUNCTION("googlefinance(""nse:""&amp;A135,""changepct"")"),6.04)</f>
        <v>6.04</v>
      </c>
      <c r="D135" s="39">
        <f ca="1">IFERROR(__xludf.DUMMYFUNCTION("googlefinance(""nse:""&amp;A135,""change"")"),18.6)</f>
        <v>18.600000000000001</v>
      </c>
      <c r="E135" s="39" t="str">
        <f ca="1">IFERROR(__xludf.DUMMYFUNCTION("ArrayFormula( AVERAGE( QUERY( SORT(GOOGLEFINANCE(""NSE:""&amp;A135,""all"",workday.intl(TODAY(),-4),TODAY(),""daily""),2,0) , ""select Col6 "" ) ))"),"#N/A")</f>
        <v>#N/A</v>
      </c>
      <c r="F135" s="39">
        <f ca="1">IFERROR(__xludf.DUMMYFUNCTION("googlefinance(""nse:""&amp;A135,""volume"")"),8220150)</f>
        <v>8220150</v>
      </c>
      <c r="G135" s="64" t="e">
        <f t="shared" ca="1" si="1"/>
        <v>#VALUE!</v>
      </c>
      <c r="H135" s="43" t="e">
        <f t="shared" ca="1" si="2"/>
        <v>#VALUE!</v>
      </c>
      <c r="I135" s="43" t="e">
        <f t="shared" ca="1" si="3"/>
        <v>#VALUE!</v>
      </c>
      <c r="J135" s="43" t="e">
        <f t="shared" ca="1" si="4"/>
        <v>#VALUE!</v>
      </c>
      <c r="K135" s="44">
        <f t="shared" ca="1" si="5"/>
        <v>0</v>
      </c>
      <c r="L135" s="45">
        <f ca="1">IFERROR(__xludf.DUMMYFUNCTION("googlefinance(""nse:""&amp;A135,""PRICEOPEN"")"),313.5)</f>
        <v>313.5</v>
      </c>
      <c r="M135" s="45">
        <f ca="1">IFERROR(__xludf.DUMMYFUNCTION("googlefinance(""nse:""&amp;A135,""PRICE"")"),326.5)</f>
        <v>326.5</v>
      </c>
      <c r="N135" s="44">
        <f ca="1">IFERROR(__xludf.DUMMYFUNCTION("googlefinance(""nse:""&amp;A135,""HIGH"")"),334.1)</f>
        <v>334.1</v>
      </c>
      <c r="O135" s="48">
        <f ca="1">IFERROR(__xludf.DUMMYFUNCTION("googlefinance(""nse:""&amp;A135,""LOW"")"),311.2)</f>
        <v>311.2</v>
      </c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35" t="s">
        <v>203</v>
      </c>
      <c r="B136" s="37" t="e">
        <f t="shared" ca="1" si="0"/>
        <v>#VALUE!</v>
      </c>
      <c r="C136" s="39">
        <f ca="1">IFERROR(__xludf.DUMMYFUNCTION("googlefinance(""nse:""&amp;A136,""changepct"")"),-0.41)</f>
        <v>-0.41</v>
      </c>
      <c r="D136" s="39">
        <f ca="1">IFERROR(__xludf.DUMMYFUNCTION("googlefinance(""nse:""&amp;A136,""change"")"),-3.85)</f>
        <v>-3.85</v>
      </c>
      <c r="E136" s="39" t="str">
        <f ca="1">IFERROR(__xludf.DUMMYFUNCTION("ArrayFormula( AVERAGE( QUERY( SORT(GOOGLEFINANCE(""NSE:""&amp;A136,""all"",workday.intl(TODAY(),-4),TODAY(),""daily""),2,0) , ""select Col6 "" ) ))"),"#N/A")</f>
        <v>#N/A</v>
      </c>
      <c r="F136" s="39">
        <f ca="1">IFERROR(__xludf.DUMMYFUNCTION("googlefinance(""nse:""&amp;A136,""volume"")"),499712)</f>
        <v>499712</v>
      </c>
      <c r="G136" s="42" t="e">
        <f t="shared" ca="1" si="1"/>
        <v>#VALUE!</v>
      </c>
      <c r="H136" s="43" t="e">
        <f t="shared" ca="1" si="2"/>
        <v>#VALUE!</v>
      </c>
      <c r="I136" s="43" t="e">
        <f t="shared" ca="1" si="3"/>
        <v>#VALUE!</v>
      </c>
      <c r="J136" s="43" t="e">
        <f t="shared" ca="1" si="4"/>
        <v>#VALUE!</v>
      </c>
      <c r="K136" s="44" t="str">
        <f t="shared" ca="1" si="5"/>
        <v>SELL</v>
      </c>
      <c r="L136" s="45">
        <f ca="1">IFERROR(__xludf.DUMMYFUNCTION("googlefinance(""nse:""&amp;A136,""PRICEOPEN"")"),961)</f>
        <v>961</v>
      </c>
      <c r="M136" s="45">
        <f ca="1">IFERROR(__xludf.DUMMYFUNCTION("googlefinance(""nse:""&amp;A136,""PRICE"")"),940)</f>
        <v>940</v>
      </c>
      <c r="N136" s="44">
        <f ca="1">IFERROR(__xludf.DUMMYFUNCTION("googlefinance(""nse:""&amp;A136,""HIGH"")"),961)</f>
        <v>961</v>
      </c>
      <c r="O136" s="48">
        <f ca="1">IFERROR(__xludf.DUMMYFUNCTION("googlefinance(""nse:""&amp;A136,""LOW"")"),925.1)</f>
        <v>925.1</v>
      </c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35" t="s">
        <v>204</v>
      </c>
      <c r="B137" s="37" t="e">
        <f t="shared" ca="1" si="0"/>
        <v>#VALUE!</v>
      </c>
      <c r="C137" s="39">
        <f ca="1">IFERROR(__xludf.DUMMYFUNCTION("googlefinance(""nse:""&amp;A137,""changepct"")"),-0.03)</f>
        <v>-0.03</v>
      </c>
      <c r="D137" s="39">
        <f ca="1">IFERROR(__xludf.DUMMYFUNCTION("googlefinance(""nse:""&amp;A137,""change"")"),-0.05)</f>
        <v>-0.05</v>
      </c>
      <c r="E137" s="39" t="str">
        <f ca="1">IFERROR(__xludf.DUMMYFUNCTION("ArrayFormula( AVERAGE( QUERY( SORT(GOOGLEFINANCE(""NSE:""&amp;A137,""all"",workday.intl(TODAY(),-4),TODAY(),""daily""),2,0) , ""select Col6 "" ) ))"),"#N/A")</f>
        <v>#N/A</v>
      </c>
      <c r="F137" s="39">
        <f ca="1">IFERROR(__xludf.DUMMYFUNCTION("googlefinance(""nse:""&amp;A137,""volume"")"),4523168)</f>
        <v>4523168</v>
      </c>
      <c r="G137" s="42" t="e">
        <f t="shared" ca="1" si="1"/>
        <v>#VALUE!</v>
      </c>
      <c r="H137" s="43" t="e">
        <f t="shared" ca="1" si="2"/>
        <v>#VALUE!</v>
      </c>
      <c r="I137" s="43" t="e">
        <f t="shared" ca="1" si="3"/>
        <v>#VALUE!</v>
      </c>
      <c r="J137" s="43" t="e">
        <f t="shared" ca="1" si="4"/>
        <v>#VALUE!</v>
      </c>
      <c r="K137" s="44">
        <f t="shared" ca="1" si="5"/>
        <v>0</v>
      </c>
      <c r="L137" s="45">
        <f ca="1">IFERROR(__xludf.DUMMYFUNCTION("googlefinance(""nse:""&amp;A137,""PRICEOPEN"")"),180)</f>
        <v>180</v>
      </c>
      <c r="M137" s="45">
        <f ca="1">IFERROR(__xludf.DUMMYFUNCTION("googlefinance(""nse:""&amp;A137,""PRICE"")"),175.85)</f>
        <v>175.85</v>
      </c>
      <c r="N137" s="44">
        <f ca="1">IFERROR(__xludf.DUMMYFUNCTION("googlefinance(""nse:""&amp;A137,""HIGH"")"),183.8)</f>
        <v>183.8</v>
      </c>
      <c r="O137" s="48">
        <f ca="1">IFERROR(__xludf.DUMMYFUNCTION("googlefinance(""nse:""&amp;A137,""LOW"")"),174.5)</f>
        <v>174.5</v>
      </c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35" t="s">
        <v>205</v>
      </c>
      <c r="B138" s="37" t="e">
        <f t="shared" ca="1" si="0"/>
        <v>#VALUE!</v>
      </c>
      <c r="C138" s="39">
        <f ca="1">IFERROR(__xludf.DUMMYFUNCTION("googlefinance(""nse:""&amp;A138,""changepct"")"),2.84)</f>
        <v>2.84</v>
      </c>
      <c r="D138" s="39">
        <f ca="1">IFERROR(__xludf.DUMMYFUNCTION("googlefinance(""nse:""&amp;A138,""change"")"),97.65)</f>
        <v>97.65</v>
      </c>
      <c r="E138" s="39" t="str">
        <f ca="1">IFERROR(__xludf.DUMMYFUNCTION("ArrayFormula( AVERAGE( QUERY( SORT(GOOGLEFINANCE(""NSE:""&amp;A138,""all"",workday.intl(TODAY(),-4),TODAY(),""daily""),2,0) , ""select Col6 "" ) ))"),"#N/A")</f>
        <v>#N/A</v>
      </c>
      <c r="F138" s="39">
        <f ca="1">IFERROR(__xludf.DUMMYFUNCTION("googlefinance(""nse:""&amp;A138,""volume"")"),854108)</f>
        <v>854108</v>
      </c>
      <c r="G138" s="42" t="e">
        <f t="shared" ca="1" si="1"/>
        <v>#VALUE!</v>
      </c>
      <c r="H138" s="43" t="e">
        <f t="shared" ca="1" si="2"/>
        <v>#VALUE!</v>
      </c>
      <c r="I138" s="43" t="e">
        <f t="shared" ca="1" si="3"/>
        <v>#VALUE!</v>
      </c>
      <c r="J138" s="43" t="e">
        <f t="shared" ca="1" si="4"/>
        <v>#VALUE!</v>
      </c>
      <c r="K138" s="44">
        <f t="shared" ca="1" si="5"/>
        <v>0</v>
      </c>
      <c r="L138" s="45">
        <f ca="1">IFERROR(__xludf.DUMMYFUNCTION("googlefinance(""nse:""&amp;A138,""PRICEOPEN"")"),3470)</f>
        <v>3470</v>
      </c>
      <c r="M138" s="45">
        <f ca="1">IFERROR(__xludf.DUMMYFUNCTION("googlefinance(""nse:""&amp;A138,""PRICE"")"),3532)</f>
        <v>3532</v>
      </c>
      <c r="N138" s="44">
        <f ca="1">IFERROR(__xludf.DUMMYFUNCTION("googlefinance(""nse:""&amp;A138,""HIGH"")"),3565.95)</f>
        <v>3565.95</v>
      </c>
      <c r="O138" s="48">
        <f ca="1">IFERROR(__xludf.DUMMYFUNCTION("googlefinance(""nse:""&amp;A138,""LOW"")"),3446.15)</f>
        <v>3446.15</v>
      </c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35" t="s">
        <v>206</v>
      </c>
      <c r="B139" s="37" t="e">
        <f t="shared" ca="1" si="0"/>
        <v>#VALUE!</v>
      </c>
      <c r="C139" s="39">
        <f ca="1">IFERROR(__xludf.DUMMYFUNCTION("googlefinance(""nse:""&amp;A139,""changepct"")"),14.53)</f>
        <v>14.53</v>
      </c>
      <c r="D139" s="39">
        <f ca="1">IFERROR(__xludf.DUMMYFUNCTION("googlefinance(""nse:""&amp;A139,""change"")"),52.4)</f>
        <v>52.4</v>
      </c>
      <c r="E139" s="39" t="str">
        <f ca="1">IFERROR(__xludf.DUMMYFUNCTION("ArrayFormula( AVERAGE( QUERY( SORT(GOOGLEFINANCE(""NSE:""&amp;A139,""all"",workday.intl(TODAY(),-4),TODAY(),""daily""),2,0) , ""select Col6 "" ) ))"),"#N/A")</f>
        <v>#N/A</v>
      </c>
      <c r="F139" s="39">
        <f ca="1">IFERROR(__xludf.DUMMYFUNCTION("googlefinance(""nse:""&amp;A139,""volume"")"),18224218)</f>
        <v>18224218</v>
      </c>
      <c r="G139" s="42" t="e">
        <f t="shared" ca="1" si="1"/>
        <v>#VALUE!</v>
      </c>
      <c r="H139" s="43" t="e">
        <f t="shared" ca="1" si="2"/>
        <v>#VALUE!</v>
      </c>
      <c r="I139" s="43" t="e">
        <f t="shared" ca="1" si="3"/>
        <v>#VALUE!</v>
      </c>
      <c r="J139" s="43" t="e">
        <f t="shared" ca="1" si="4"/>
        <v>#VALUE!</v>
      </c>
      <c r="K139" s="44">
        <f t="shared" ca="1" si="5"/>
        <v>0</v>
      </c>
      <c r="L139" s="45">
        <f ca="1">IFERROR(__xludf.DUMMYFUNCTION("googlefinance(""nse:""&amp;A139,""PRICEOPEN"")"),367.25)</f>
        <v>367.25</v>
      </c>
      <c r="M139" s="45">
        <f ca="1">IFERROR(__xludf.DUMMYFUNCTION("googlefinance(""nse:""&amp;A139,""PRICE"")"),413)</f>
        <v>413</v>
      </c>
      <c r="N139" s="44">
        <f ca="1">IFERROR(__xludf.DUMMYFUNCTION("googlefinance(""nse:""&amp;A139,""HIGH"")"),429.35)</f>
        <v>429.35</v>
      </c>
      <c r="O139" s="48">
        <f ca="1">IFERROR(__xludf.DUMMYFUNCTION("googlefinance(""nse:""&amp;A139,""LOW"")"),364.05)</f>
        <v>364.05</v>
      </c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35" t="s">
        <v>207</v>
      </c>
      <c r="B140" s="37" t="e">
        <f t="shared" ca="1" si="0"/>
        <v>#VALUE!</v>
      </c>
      <c r="C140" s="39">
        <f ca="1">IFERROR(__xludf.DUMMYFUNCTION("googlefinance(""nse:""&amp;A140,""changepct"")"),12.19)</f>
        <v>12.19</v>
      </c>
      <c r="D140" s="39">
        <f ca="1">IFERROR(__xludf.DUMMYFUNCTION("googlefinance(""nse:""&amp;A140,""change"")"),9.65)</f>
        <v>9.65</v>
      </c>
      <c r="E140" s="39" t="str">
        <f ca="1">IFERROR(__xludf.DUMMYFUNCTION("ArrayFormula( AVERAGE( QUERY( SORT(GOOGLEFINANCE(""NSE:""&amp;A140,""all"",workday.intl(TODAY(),-4),TODAY(),""daily""),2,0) , ""select Col6 "" ) ))"),"#N/A")</f>
        <v>#N/A</v>
      </c>
      <c r="F140" s="39">
        <f ca="1">IFERROR(__xludf.DUMMYFUNCTION("googlefinance(""nse:""&amp;A140,""volume"")"),63687038)</f>
        <v>63687038</v>
      </c>
      <c r="G140" s="64" t="e">
        <f t="shared" ca="1" si="1"/>
        <v>#VALUE!</v>
      </c>
      <c r="H140" s="43" t="e">
        <f t="shared" ca="1" si="2"/>
        <v>#VALUE!</v>
      </c>
      <c r="I140" s="43" t="e">
        <f t="shared" ca="1" si="3"/>
        <v>#VALUE!</v>
      </c>
      <c r="J140" s="43" t="e">
        <f t="shared" ca="1" si="4"/>
        <v>#VALUE!</v>
      </c>
      <c r="K140" s="44">
        <f t="shared" ca="1" si="5"/>
        <v>0</v>
      </c>
      <c r="L140" s="45">
        <f ca="1">IFERROR(__xludf.DUMMYFUNCTION("googlefinance(""nse:""&amp;A140,""PRICEOPEN"")"),82)</f>
        <v>82</v>
      </c>
      <c r="M140" s="45">
        <f ca="1">IFERROR(__xludf.DUMMYFUNCTION("googlefinance(""nse:""&amp;A140,""PRICE"")"),88.8)</f>
        <v>88.8</v>
      </c>
      <c r="N140" s="44">
        <f ca="1">IFERROR(__xludf.DUMMYFUNCTION("googlefinance(""nse:""&amp;A140,""HIGH"")"),91)</f>
        <v>91</v>
      </c>
      <c r="O140" s="48">
        <f ca="1">IFERROR(__xludf.DUMMYFUNCTION("googlefinance(""nse:""&amp;A140,""LOW"")"),81.5)</f>
        <v>81.5</v>
      </c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81" t="s">
        <v>208</v>
      </c>
      <c r="B141" s="37" t="e">
        <f t="shared" ca="1" si="0"/>
        <v>#VALUE!</v>
      </c>
      <c r="C141" s="39">
        <f ca="1">IFERROR(__xludf.DUMMYFUNCTION("googlefinance(""nse:""&amp;A141,""changepct"")"),2.97)</f>
        <v>2.97</v>
      </c>
      <c r="D141" s="39">
        <f ca="1">IFERROR(__xludf.DUMMYFUNCTION("googlefinance(""nse:""&amp;A141,""change"")"),14.6)</f>
        <v>14.6</v>
      </c>
      <c r="E141" s="39" t="str">
        <f ca="1">IFERROR(__xludf.DUMMYFUNCTION("ArrayFormula( AVERAGE( QUERY( SORT(GOOGLEFINANCE(""NSE:""&amp;A141,""all"",workday.intl(TODAY(),-4),TODAY(),""daily""),2,0) , ""select Col6 "" ) ))"),"#N/A")</f>
        <v>#N/A</v>
      </c>
      <c r="F141" s="39">
        <f ca="1">IFERROR(__xludf.DUMMYFUNCTION("googlefinance(""nse:""&amp;A141,""volume"")"),2950356)</f>
        <v>2950356</v>
      </c>
      <c r="G141" s="42" t="e">
        <f t="shared" ca="1" si="1"/>
        <v>#VALUE!</v>
      </c>
      <c r="H141" s="43" t="e">
        <f t="shared" ca="1" si="2"/>
        <v>#VALUE!</v>
      </c>
      <c r="I141" s="43" t="e">
        <f t="shared" ca="1" si="3"/>
        <v>#VALUE!</v>
      </c>
      <c r="J141" s="43" t="e">
        <f t="shared" ca="1" si="4"/>
        <v>#VALUE!</v>
      </c>
      <c r="K141" s="44" t="str">
        <f t="shared" ca="1" si="5"/>
        <v>BUY</v>
      </c>
      <c r="L141" s="45">
        <f ca="1">IFERROR(__xludf.DUMMYFUNCTION("googlefinance(""nse:""&amp;A141,""PRICEOPEN"")"),495.2)</f>
        <v>495.2</v>
      </c>
      <c r="M141" s="45">
        <f ca="1">IFERROR(__xludf.DUMMYFUNCTION("googlefinance(""nse:""&amp;A141,""PRICE"")"),506)</f>
        <v>506</v>
      </c>
      <c r="N141" s="44">
        <f ca="1">IFERROR(__xludf.DUMMYFUNCTION("googlefinance(""nse:""&amp;A141,""HIGH"")"),517.5)</f>
        <v>517.5</v>
      </c>
      <c r="O141" s="48">
        <f ca="1">IFERROR(__xludf.DUMMYFUNCTION("googlefinance(""nse:""&amp;A141,""LOW"")"),495.2)</f>
        <v>495.2</v>
      </c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35" t="s">
        <v>209</v>
      </c>
      <c r="B142" s="37" t="e">
        <f t="shared" ca="1" si="0"/>
        <v>#VALUE!</v>
      </c>
      <c r="C142" s="39">
        <f ca="1">IFERROR(__xludf.DUMMYFUNCTION("googlefinance(""nse:""&amp;A142,""changepct"")"),5.81)</f>
        <v>5.81</v>
      </c>
      <c r="D142" s="39">
        <f ca="1">IFERROR(__xludf.DUMMYFUNCTION("googlefinance(""nse:""&amp;A142,""change"")"),10.5)</f>
        <v>10.5</v>
      </c>
      <c r="E142" s="39" t="str">
        <f ca="1">IFERROR(__xludf.DUMMYFUNCTION("ArrayFormula( AVERAGE( QUERY( SORT(GOOGLEFINANCE(""NSE:""&amp;A142,""all"",workday.intl(TODAY(),-4),TODAY(),""daily""),2,0) , ""select Col6 "" ) ))"),"#N/A")</f>
        <v>#N/A</v>
      </c>
      <c r="F142" s="39">
        <f ca="1">IFERROR(__xludf.DUMMYFUNCTION("googlefinance(""nse:""&amp;A142,""volume"")"),8833932)</f>
        <v>8833932</v>
      </c>
      <c r="G142" s="42" t="e">
        <f t="shared" ca="1" si="1"/>
        <v>#VALUE!</v>
      </c>
      <c r="H142" s="43" t="e">
        <f t="shared" ca="1" si="2"/>
        <v>#VALUE!</v>
      </c>
      <c r="I142" s="43" t="e">
        <f t="shared" ca="1" si="3"/>
        <v>#VALUE!</v>
      </c>
      <c r="J142" s="43" t="e">
        <f t="shared" ca="1" si="4"/>
        <v>#VALUE!</v>
      </c>
      <c r="K142" s="44">
        <f t="shared" ca="1" si="5"/>
        <v>0</v>
      </c>
      <c r="L142" s="45">
        <f ca="1">IFERROR(__xludf.DUMMYFUNCTION("googlefinance(""nse:""&amp;A142,""PRICEOPEN"")"),185)</f>
        <v>185</v>
      </c>
      <c r="M142" s="45">
        <f ca="1">IFERROR(__xludf.DUMMYFUNCTION("googlefinance(""nse:""&amp;A142,""PRICE"")"),191.15)</f>
        <v>191.15</v>
      </c>
      <c r="N142" s="44">
        <f ca="1">IFERROR(__xludf.DUMMYFUNCTION("googlefinance(""nse:""&amp;A142,""HIGH"")"),192.6)</f>
        <v>192.6</v>
      </c>
      <c r="O142" s="48">
        <f ca="1">IFERROR(__xludf.DUMMYFUNCTION("googlefinance(""nse:""&amp;A142,""LOW"")"),183.55)</f>
        <v>183.55</v>
      </c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35" t="s">
        <v>210</v>
      </c>
      <c r="B143" s="37" t="e">
        <f t="shared" ca="1" si="0"/>
        <v>#VALUE!</v>
      </c>
      <c r="C143" s="39">
        <f ca="1">IFERROR(__xludf.DUMMYFUNCTION("googlefinance(""nse:""&amp;A143,""changepct"")"),-0.71)</f>
        <v>-0.71</v>
      </c>
      <c r="D143" s="39">
        <f ca="1">IFERROR(__xludf.DUMMYFUNCTION("googlefinance(""nse:""&amp;A143,""change"")"),-0.2)</f>
        <v>-0.2</v>
      </c>
      <c r="E143" s="39" t="str">
        <f ca="1">IFERROR(__xludf.DUMMYFUNCTION("ArrayFormula( AVERAGE( QUERY( SORT(GOOGLEFINANCE(""NSE:""&amp;A143,""all"",workday.intl(TODAY(),-4),TODAY(),""daily""),2,0) , ""select Col6 "" ) ))"),"#N/A")</f>
        <v>#N/A</v>
      </c>
      <c r="F143" s="39">
        <f ca="1">IFERROR(__xludf.DUMMYFUNCTION("googlefinance(""nse:""&amp;A143,""volume"")"),32094929)</f>
        <v>32094929</v>
      </c>
      <c r="G143" s="42" t="e">
        <f t="shared" ca="1" si="1"/>
        <v>#VALUE!</v>
      </c>
      <c r="H143" s="43" t="e">
        <f t="shared" ca="1" si="2"/>
        <v>#VALUE!</v>
      </c>
      <c r="I143" s="43" t="e">
        <f t="shared" ca="1" si="3"/>
        <v>#VALUE!</v>
      </c>
      <c r="J143" s="43" t="e">
        <f t="shared" ca="1" si="4"/>
        <v>#VALUE!</v>
      </c>
      <c r="K143" s="44">
        <f t="shared" ca="1" si="5"/>
        <v>0</v>
      </c>
      <c r="L143" s="45">
        <f ca="1">IFERROR(__xludf.DUMMYFUNCTION("googlefinance(""nse:""&amp;A143,""PRICEOPEN"")"),28.7)</f>
        <v>28.7</v>
      </c>
      <c r="M143" s="45">
        <f ca="1">IFERROR(__xludf.DUMMYFUNCTION("googlefinance(""nse:""&amp;A143,""PRICE"")"),27.85)</f>
        <v>27.85</v>
      </c>
      <c r="N143" s="44">
        <f ca="1">IFERROR(__xludf.DUMMYFUNCTION("googlefinance(""nse:""&amp;A143,""HIGH"")"),28.95)</f>
        <v>28.95</v>
      </c>
      <c r="O143" s="48">
        <f ca="1">IFERROR(__xludf.DUMMYFUNCTION("googlefinance(""nse:""&amp;A143,""LOW"")"),27.7)</f>
        <v>27.7</v>
      </c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82" t="s">
        <v>211</v>
      </c>
      <c r="B144" s="83" t="e">
        <f t="shared" ca="1" si="0"/>
        <v>#VALUE!</v>
      </c>
      <c r="C144" s="84">
        <f ca="1">IFERROR(__xludf.DUMMYFUNCTION("googlefinance(""nse:""&amp;A144,""changepct"")"),0.13)</f>
        <v>0.13</v>
      </c>
      <c r="D144" s="84">
        <f ca="1">IFERROR(__xludf.DUMMYFUNCTION("googlefinance(""nse:""&amp;A144,""change"")"),0.2)</f>
        <v>0.2</v>
      </c>
      <c r="E144" s="84" t="str">
        <f ca="1">IFERROR(__xludf.DUMMYFUNCTION("ArrayFormula( AVERAGE( QUERY( SORT(GOOGLEFINANCE(""NSE:""&amp;A144,""all"",workday.intl(TODAY(),-4),TODAY(),""daily""),2,0) , ""select Col6 "" ) ))"),"#N/A")</f>
        <v>#N/A</v>
      </c>
      <c r="F144" s="84">
        <f ca="1">IFERROR(__xludf.DUMMYFUNCTION("googlefinance(""nse:""&amp;A144,""volume"")"),14614588)</f>
        <v>14614588</v>
      </c>
      <c r="G144" s="85" t="e">
        <f t="shared" ca="1" si="1"/>
        <v>#VALUE!</v>
      </c>
      <c r="H144" s="86" t="e">
        <f t="shared" ca="1" si="2"/>
        <v>#VALUE!</v>
      </c>
      <c r="I144" s="86" t="e">
        <f t="shared" ca="1" si="3"/>
        <v>#VALUE!</v>
      </c>
      <c r="J144" s="86" t="e">
        <f t="shared" ca="1" si="4"/>
        <v>#VALUE!</v>
      </c>
      <c r="K144" s="87">
        <f t="shared" ca="1" si="5"/>
        <v>0</v>
      </c>
      <c r="L144" s="88">
        <f ca="1">IFERROR(__xludf.DUMMYFUNCTION("googlefinance(""nse:""&amp;A144,""PRICEOPEN"")"),163.15)</f>
        <v>163.15</v>
      </c>
      <c r="M144" s="88">
        <f ca="1">IFERROR(__xludf.DUMMYFUNCTION("googlefinance(""nse:""&amp;A144,""PRICE"")"),159.6)</f>
        <v>159.6</v>
      </c>
      <c r="N144" s="87">
        <f ca="1">IFERROR(__xludf.DUMMYFUNCTION("googlefinance(""nse:""&amp;A144,""HIGH"")"),164)</f>
        <v>164</v>
      </c>
      <c r="O144" s="89">
        <f ca="1">IFERROR(__xludf.DUMMYFUNCTION("googlefinance(""nse:""&amp;A144,""LOW"")"),155.95)</f>
        <v>155.94999999999999</v>
      </c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A1:O144"/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showGridLines="0" workbookViewId="0"/>
  </sheetViews>
  <sheetFormatPr defaultColWidth="14.42578125" defaultRowHeight="15" customHeight="1"/>
  <cols>
    <col min="1" max="1" width="17.140625" customWidth="1"/>
    <col min="2" max="2" width="18" customWidth="1"/>
    <col min="3" max="3" width="11.28515625" customWidth="1"/>
    <col min="4" max="4" width="12.28515625" customWidth="1"/>
    <col min="5" max="5" width="18.5703125" customWidth="1"/>
    <col min="6" max="8" width="12.28515625" customWidth="1"/>
    <col min="9" max="9" width="8.5703125" customWidth="1"/>
    <col min="10" max="10" width="8.42578125" customWidth="1"/>
    <col min="11" max="11" width="14.42578125" customWidth="1"/>
    <col min="12" max="12" width="10.28515625" customWidth="1"/>
    <col min="13" max="13" width="13.140625" customWidth="1"/>
    <col min="14" max="14" width="13.28515625" customWidth="1"/>
    <col min="15" max="15" width="12.5703125" customWidth="1"/>
    <col min="16" max="16" width="11.5703125" customWidth="1"/>
    <col min="17" max="17" width="14.5703125" customWidth="1"/>
    <col min="18" max="19" width="9.28515625" customWidth="1"/>
    <col min="20" max="20" width="13.85546875" customWidth="1"/>
    <col min="21" max="21" width="12.28515625" customWidth="1"/>
    <col min="22" max="27" width="14.42578125" customWidth="1"/>
  </cols>
  <sheetData>
    <row r="1" spans="1:27" ht="15.75" customHeight="1">
      <c r="A1" s="93" t="s">
        <v>214</v>
      </c>
      <c r="B1" s="93" t="s">
        <v>18</v>
      </c>
      <c r="C1" s="94" t="s">
        <v>215</v>
      </c>
      <c r="D1" s="94" t="s">
        <v>15</v>
      </c>
      <c r="E1" s="94" t="s">
        <v>216</v>
      </c>
      <c r="F1" s="94" t="s">
        <v>217</v>
      </c>
      <c r="G1" s="94" t="s">
        <v>32</v>
      </c>
      <c r="H1" s="94" t="s">
        <v>218</v>
      </c>
      <c r="I1" s="94" t="s">
        <v>219</v>
      </c>
      <c r="J1" s="94" t="s">
        <v>220</v>
      </c>
      <c r="K1" s="95" t="s">
        <v>221</v>
      </c>
      <c r="L1" s="95" t="s">
        <v>222</v>
      </c>
      <c r="M1" s="96"/>
      <c r="N1" s="93" t="s">
        <v>223</v>
      </c>
      <c r="O1" s="93" t="s">
        <v>224</v>
      </c>
      <c r="P1" s="93" t="s">
        <v>223</v>
      </c>
      <c r="Q1" s="95" t="s">
        <v>225</v>
      </c>
      <c r="R1" s="95" t="s">
        <v>226</v>
      </c>
      <c r="S1" s="95" t="s">
        <v>227</v>
      </c>
      <c r="T1" s="95" t="s">
        <v>228</v>
      </c>
      <c r="U1" s="93" t="s">
        <v>229</v>
      </c>
      <c r="V1" s="97"/>
      <c r="W1" s="97"/>
      <c r="X1" s="96"/>
      <c r="Y1" s="96"/>
      <c r="Z1" s="96"/>
      <c r="AA1" s="96"/>
    </row>
    <row r="2" spans="1:27" ht="15.75" customHeight="1">
      <c r="A2" s="98" t="s">
        <v>230</v>
      </c>
      <c r="B2" s="99">
        <f ca="1">IFERROR(__xludf.DUMMYFUNCTION("GOOGLEFINANCE(""NSE:""&amp;A2,""price"")"),1005.05)</f>
        <v>1005.05</v>
      </c>
      <c r="C2" s="99">
        <f ca="1">IFERROR(__xludf.DUMMYFUNCTION("GOOGLEFINANCE(""NSE:""&amp;A2,""priceopen"")"),1030)</f>
        <v>1030</v>
      </c>
      <c r="D2" s="99">
        <f ca="1">IFERROR(__xludf.DUMMYFUNCTION("GOOGLEFINANCE(""NSE:""&amp;A2,""high"")"),1059.95)</f>
        <v>1059.95</v>
      </c>
      <c r="E2" s="99">
        <f ca="1">IFERROR(__xludf.DUMMYFUNCTION("GOOGLEFINANCE(""NSE:""&amp;A2,""low"")"),1000.55)</f>
        <v>1000.55</v>
      </c>
      <c r="F2" s="99">
        <f ca="1">IFERROR(__xludf.DUMMYFUNCTION("GOOGLEFINANCE(""NSE:""&amp;A2,""CLOSEYEST"")"),1009.3)</f>
        <v>1009.3</v>
      </c>
      <c r="G2" s="99">
        <f ca="1">IFERROR(__xludf.DUMMYFUNCTION("GOOGLEFINANCE(""NSE:""&amp;A2,""VOLUME"")"),1644235)</f>
        <v>1644235</v>
      </c>
      <c r="H2" s="99" t="str">
        <f ca="1">IF(AND(C2&lt;&gt;"",C2&lt;&gt;"-",D2&lt;&gt;E2),IF(AND(C2=D2,C2&lt;&gt;"-",D2&lt;&gt;E2),"O=H",IF(C2=E2,"O=L","")),"")</f>
        <v/>
      </c>
      <c r="I2" s="99" t="str">
        <f ca="1">IFERROR(__xludf.DUMMYFUNCTION("GOOGLEFINANCE(""NSE:INDIAVIX"",""PRICE"")"),"#N/A")</f>
        <v>#N/A</v>
      </c>
      <c r="J2" s="99" t="e">
        <f ca="1">ROUNDUP((C2*I2/100*SQRT(1))/SQRT(365),2)</f>
        <v>#VALUE!</v>
      </c>
      <c r="K2" s="99" t="e">
        <f ca="1">J2+F2</f>
        <v>#VALUE!</v>
      </c>
      <c r="L2" s="99" t="e">
        <f ca="1">J2-F2</f>
        <v>#VALUE!</v>
      </c>
      <c r="M2" s="96"/>
      <c r="N2" s="99" t="e">
        <f ca="1">ROUNDUP((C2*L30),2)</f>
        <v>#DIV/0!</v>
      </c>
      <c r="O2" s="100" t="e">
        <f ca="1">C2+N2</f>
        <v>#DIV/0!</v>
      </c>
      <c r="P2" s="99" t="e">
        <f ca="1">ROUNDUP((C2*L31),2)</f>
        <v>#DIV/0!</v>
      </c>
      <c r="Q2" s="100" t="e">
        <f ca="1">C2-2*S2</f>
        <v>#DIV/0!</v>
      </c>
      <c r="R2" s="101" t="e">
        <f>L28+L27</f>
        <v>#DIV/0!</v>
      </c>
      <c r="S2" s="102" t="e">
        <f ca="1">ROUNDUP((C2*R2),2)</f>
        <v>#DIV/0!</v>
      </c>
      <c r="T2" s="102" t="e">
        <f ca="1">C2+S2</f>
        <v>#DIV/0!</v>
      </c>
      <c r="U2" s="103" t="e">
        <f ca="1">C2-S2</f>
        <v>#DIV/0!</v>
      </c>
      <c r="V2" s="97"/>
      <c r="W2" s="97"/>
      <c r="X2" s="96"/>
      <c r="Y2" s="96"/>
      <c r="Z2" s="96"/>
      <c r="AA2" s="96"/>
    </row>
    <row r="3" spans="1:27" ht="15.75" customHeight="1">
      <c r="A3" s="4"/>
      <c r="B3" s="104"/>
      <c r="C3" s="105"/>
      <c r="D3" s="105"/>
      <c r="E3" s="105"/>
      <c r="F3" s="105"/>
      <c r="G3" s="105"/>
      <c r="H3" s="7"/>
      <c r="I3" s="7"/>
      <c r="J3" s="7"/>
      <c r="K3" s="7"/>
      <c r="L3" s="97"/>
      <c r="M3" s="97"/>
      <c r="N3" s="97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</row>
    <row r="4" spans="1:27" ht="15.75" customHeight="1">
      <c r="A4" s="96"/>
      <c r="B4" s="106"/>
      <c r="C4" s="107"/>
      <c r="D4" s="107"/>
      <c r="E4" s="108" t="s">
        <v>231</v>
      </c>
      <c r="F4" s="107"/>
      <c r="G4" s="109"/>
      <c r="H4" s="96"/>
      <c r="I4" s="96"/>
      <c r="J4" s="110">
        <v>0.125</v>
      </c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</row>
    <row r="5" spans="1:27" ht="15.75" customHeight="1">
      <c r="A5" s="96"/>
      <c r="B5" s="96"/>
      <c r="C5" s="111"/>
      <c r="D5" s="112"/>
      <c r="E5" s="113"/>
      <c r="F5" s="112"/>
      <c r="G5" s="97"/>
      <c r="H5" s="96"/>
      <c r="I5" s="96"/>
      <c r="J5" s="110">
        <v>0.25</v>
      </c>
      <c r="K5" s="96"/>
      <c r="L5" s="96"/>
      <c r="M5" s="114"/>
      <c r="N5" s="114"/>
      <c r="O5" s="114"/>
      <c r="P5" s="114"/>
      <c r="Q5" s="114"/>
      <c r="R5" s="96"/>
      <c r="S5" s="96"/>
      <c r="T5" s="96"/>
      <c r="U5" s="96"/>
      <c r="V5" s="96"/>
      <c r="W5" s="96"/>
      <c r="X5" s="96"/>
      <c r="Y5" s="96"/>
      <c r="Z5" s="96"/>
      <c r="AA5" s="96"/>
    </row>
    <row r="6" spans="1:27" ht="15.75" customHeight="1">
      <c r="A6" s="96"/>
      <c r="B6" s="96"/>
      <c r="C6" s="96"/>
      <c r="D6" s="4"/>
      <c r="E6" s="96"/>
      <c r="F6" s="96"/>
      <c r="G6" s="96"/>
      <c r="H6" s="96"/>
      <c r="I6" s="96"/>
      <c r="J6" s="110">
        <v>0.375</v>
      </c>
      <c r="K6" s="96"/>
      <c r="L6" s="106"/>
      <c r="M6" s="115" t="s">
        <v>232</v>
      </c>
      <c r="N6" s="116">
        <f ca="1">B17</f>
        <v>1032.015625</v>
      </c>
      <c r="O6" s="117" t="s">
        <v>18</v>
      </c>
      <c r="P6" s="115" t="s">
        <v>233</v>
      </c>
      <c r="Q6" s="118">
        <f ca="1">B19</f>
        <v>1024</v>
      </c>
      <c r="R6" s="96"/>
      <c r="S6" s="96"/>
      <c r="T6" s="96"/>
      <c r="U6" s="96"/>
      <c r="V6" s="96"/>
      <c r="W6" s="96"/>
      <c r="X6" s="96"/>
      <c r="Y6" s="96"/>
      <c r="Z6" s="96"/>
      <c r="AA6" s="96"/>
    </row>
    <row r="7" spans="1:27" ht="15.75" customHeight="1">
      <c r="A7" s="96"/>
      <c r="B7" s="119">
        <f ca="1">C7-1</f>
        <v>31</v>
      </c>
      <c r="C7" s="119">
        <f ca="1">FLOOR(E7,1)</f>
        <v>32</v>
      </c>
      <c r="D7" s="120">
        <f ca="1">C2</f>
        <v>1030</v>
      </c>
      <c r="E7" s="119">
        <f ca="1">SQRT(D7)</f>
        <v>32.093613071762427</v>
      </c>
      <c r="F7" s="119">
        <f ca="1">IF(INT(E7)=E7,E7+1,CEILING(E7,1))</f>
        <v>33</v>
      </c>
      <c r="G7" s="119">
        <f ca="1">F7+1</f>
        <v>34</v>
      </c>
      <c r="H7" s="119"/>
      <c r="I7" s="96"/>
      <c r="J7" s="110">
        <v>0.5</v>
      </c>
      <c r="K7" s="96"/>
      <c r="L7" s="106"/>
      <c r="M7" s="115" t="s">
        <v>234</v>
      </c>
      <c r="N7" s="121">
        <f ca="1">D17</f>
        <v>1039.5424687500001</v>
      </c>
      <c r="O7" s="122">
        <f ca="1">B2</f>
        <v>1005.05</v>
      </c>
      <c r="P7" s="115" t="s">
        <v>234</v>
      </c>
      <c r="Q7" s="123">
        <f ca="1">D19</f>
        <v>1016.5236328125</v>
      </c>
      <c r="R7" s="96"/>
      <c r="S7" s="96"/>
      <c r="T7" s="96"/>
      <c r="U7" s="96"/>
      <c r="V7" s="96"/>
      <c r="W7" s="96"/>
      <c r="X7" s="96"/>
      <c r="Y7" s="96"/>
      <c r="Z7" s="96"/>
      <c r="AA7" s="96"/>
    </row>
    <row r="8" spans="1:27" ht="15.75" customHeight="1">
      <c r="A8" s="96"/>
      <c r="B8" s="96"/>
      <c r="C8" s="96"/>
      <c r="D8" s="96"/>
      <c r="E8" s="96"/>
      <c r="F8" s="96"/>
      <c r="G8" s="96"/>
      <c r="H8" s="96"/>
      <c r="I8" s="96"/>
      <c r="J8" s="110">
        <v>0.625</v>
      </c>
      <c r="K8" s="96"/>
      <c r="L8" s="106"/>
      <c r="M8" s="115" t="s">
        <v>235</v>
      </c>
      <c r="N8" s="121">
        <f ca="1">E17</f>
        <v>1047.6165546875</v>
      </c>
      <c r="O8" s="111"/>
      <c r="P8" s="115" t="s">
        <v>235</v>
      </c>
      <c r="Q8" s="124">
        <f ca="1">E19</f>
        <v>1008.5665312499999</v>
      </c>
      <c r="R8" s="96"/>
      <c r="S8" s="96"/>
      <c r="T8" s="96"/>
      <c r="U8" s="96"/>
      <c r="V8" s="96"/>
      <c r="W8" s="96"/>
      <c r="X8" s="96"/>
      <c r="Y8" s="96"/>
      <c r="Z8" s="96"/>
      <c r="AA8" s="96"/>
    </row>
    <row r="9" spans="1:27" ht="15.75" customHeight="1">
      <c r="A9" s="96"/>
      <c r="B9" s="125">
        <f ca="1">($F$7+J5)*($F$7+J5)</f>
        <v>1105.5625</v>
      </c>
      <c r="C9" s="126" t="str">
        <f ca="1">IF(AND($D$7&gt;=B9,$D$7&lt;E9),VALUE($D$7),"")</f>
        <v/>
      </c>
      <c r="D9" s="126"/>
      <c r="E9" s="127">
        <f ca="1">($F$7+J6)*($F$7+J6)</f>
        <v>1113.890625</v>
      </c>
      <c r="F9" s="126" t="str">
        <f ca="1">IF(AND($D$7&gt;=E9,$D$7&lt;H9),VALUE($D$7),"")</f>
        <v/>
      </c>
      <c r="G9" s="126"/>
      <c r="H9" s="128">
        <f ca="1">($F$7+J7)*($F$7+J7)</f>
        <v>1122.25</v>
      </c>
      <c r="I9" s="96"/>
      <c r="J9" s="110">
        <v>0.75</v>
      </c>
      <c r="K9" s="96"/>
      <c r="L9" s="106"/>
      <c r="M9" s="115" t="s">
        <v>236</v>
      </c>
      <c r="N9" s="121">
        <f ca="1">F17</f>
        <v>1055.721875</v>
      </c>
      <c r="O9" s="106"/>
      <c r="P9" s="115" t="s">
        <v>236</v>
      </c>
      <c r="Q9" s="129">
        <f ca="1">F19</f>
        <v>1000.6406953124999</v>
      </c>
      <c r="R9" s="96"/>
      <c r="S9" s="96"/>
      <c r="T9" s="96"/>
      <c r="U9" s="96"/>
      <c r="V9" s="96"/>
      <c r="W9" s="96"/>
      <c r="X9" s="96"/>
      <c r="Y9" s="96"/>
      <c r="Z9" s="96"/>
      <c r="AA9" s="96"/>
    </row>
    <row r="10" spans="1:27" ht="15.75" customHeight="1">
      <c r="A10" s="96"/>
      <c r="B10" s="130"/>
      <c r="C10" s="131">
        <f ca="1">($C$7+J5)*($C$7+J5)</f>
        <v>1040.0625</v>
      </c>
      <c r="D10" s="132" t="str">
        <f ca="1">IF(AND($D$7&gt;=C10,$D$7&lt;E10),VALUE($D$7),"")</f>
        <v/>
      </c>
      <c r="E10" s="133">
        <f ca="1">($C$7+J6)*($C$7+J6)</f>
        <v>1048.140625</v>
      </c>
      <c r="F10" s="134" t="str">
        <f ca="1">IF(AND($D$7&gt;=E10,$D$7&lt;G10),VALUE($D$7),"")</f>
        <v/>
      </c>
      <c r="G10" s="131">
        <f ca="1">($C$7+J7)*($C$7+J7)</f>
        <v>1056.25</v>
      </c>
      <c r="H10" s="135" t="str">
        <f ca="1">IF(AND($D$7&gt;=H9,$D$7&lt;H12),VALUE($D$7),"")</f>
        <v/>
      </c>
      <c r="I10" s="96"/>
      <c r="J10" s="110">
        <v>0.875</v>
      </c>
      <c r="K10" s="96"/>
      <c r="L10" s="106"/>
      <c r="M10" s="115" t="s">
        <v>237</v>
      </c>
      <c r="N10" s="121">
        <f ca="1">G17</f>
        <v>1063.8584296875001</v>
      </c>
      <c r="O10" s="106"/>
      <c r="P10" s="115" t="s">
        <v>237</v>
      </c>
      <c r="Q10" s="136">
        <f ca="1">G19</f>
        <v>992.74612499999989</v>
      </c>
      <c r="R10" s="96"/>
      <c r="S10" s="96"/>
      <c r="T10" s="96"/>
      <c r="U10" s="96"/>
      <c r="V10" s="96"/>
      <c r="W10" s="96"/>
      <c r="X10" s="96"/>
      <c r="Y10" s="96"/>
      <c r="Z10" s="96"/>
      <c r="AA10" s="96"/>
    </row>
    <row r="11" spans="1:27" ht="15.75" customHeight="1">
      <c r="A11" s="96"/>
      <c r="B11" s="130" t="str">
        <f ca="1">IF(AND($D$7&gt;=B12,$D$7&lt;B9),VALUE($D$7),"")</f>
        <v/>
      </c>
      <c r="C11" s="134" t="str">
        <f ca="1">IF(AND($D$7&gt;=C12,$D$7&lt;C10),VALUE($D$7),"")</f>
        <v/>
      </c>
      <c r="D11" s="131">
        <f ca="1">POWER(($B$7+J5),2)</f>
        <v>976.5625</v>
      </c>
      <c r="E11" s="133">
        <f ca="1">POWER(($B$7+J6),2)</f>
        <v>984.390625</v>
      </c>
      <c r="F11" s="137">
        <f t="shared" ref="F11:F13" ca="1" si="0">POWER(($B$7+J7),2)</f>
        <v>992.25</v>
      </c>
      <c r="G11" s="134" t="str">
        <f ca="1">IF(AND($D$7&gt;=G10,$D$7&lt;G12),VALUE($D$7),"")</f>
        <v/>
      </c>
      <c r="H11" s="135"/>
      <c r="I11" s="96"/>
      <c r="J11" s="110">
        <v>1</v>
      </c>
      <c r="K11" s="96"/>
      <c r="L11" s="106"/>
      <c r="M11" s="115" t="s">
        <v>238</v>
      </c>
      <c r="N11" s="121">
        <f ca="1">H17</f>
        <v>1072.02621875</v>
      </c>
      <c r="O11" s="106"/>
      <c r="P11" s="115" t="s">
        <v>238</v>
      </c>
      <c r="Q11" s="138">
        <f ca="1">H19</f>
        <v>984.88282031249992</v>
      </c>
      <c r="R11" s="96"/>
      <c r="S11" s="96"/>
      <c r="T11" s="96"/>
      <c r="U11" s="96"/>
      <c r="V11" s="96"/>
      <c r="W11" s="96"/>
      <c r="X11" s="96"/>
      <c r="Y11" s="96"/>
      <c r="Z11" s="96"/>
      <c r="AA11" s="96"/>
    </row>
    <row r="12" spans="1:27" ht="15.75" customHeight="1">
      <c r="A12" s="96"/>
      <c r="B12" s="139">
        <f ca="1">($F$7+J4)*($F$7+J4)</f>
        <v>1097.265625</v>
      </c>
      <c r="C12" s="133">
        <f ca="1">($C$7+J4)*($C$7+J4)</f>
        <v>1032.015625</v>
      </c>
      <c r="D12" s="133">
        <f ca="1">POWER(($B$7+J4),2)</f>
        <v>968.765625</v>
      </c>
      <c r="E12" s="140">
        <f ca="1">POWER(B7,2)</f>
        <v>961</v>
      </c>
      <c r="F12" s="133">
        <f t="shared" ca="1" si="0"/>
        <v>1000.140625</v>
      </c>
      <c r="G12" s="141">
        <f ca="1">($C$7+J8)*($C$7+J8)</f>
        <v>1064.390625</v>
      </c>
      <c r="H12" s="142">
        <f ca="1">($F$7+J8)*($F$7+J8)</f>
        <v>1130.640625</v>
      </c>
      <c r="I12" s="96"/>
      <c r="J12" s="96"/>
      <c r="K12" s="96"/>
      <c r="L12" s="106"/>
      <c r="M12" s="115" t="s">
        <v>239</v>
      </c>
      <c r="N12" s="143">
        <f ca="1">B22</f>
        <v>1024</v>
      </c>
      <c r="O12" s="106"/>
      <c r="P12" s="115" t="s">
        <v>239</v>
      </c>
      <c r="Q12" s="121">
        <f ca="1">B24</f>
        <v>1032.015625</v>
      </c>
      <c r="R12" s="96"/>
      <c r="S12" s="96"/>
      <c r="T12" s="96"/>
      <c r="U12" s="96"/>
      <c r="V12" s="96"/>
      <c r="W12" s="96"/>
      <c r="X12" s="96"/>
      <c r="Y12" s="96"/>
      <c r="Z12" s="96"/>
      <c r="AA12" s="96"/>
    </row>
    <row r="13" spans="1:27" ht="15.75" customHeight="1">
      <c r="A13" s="96"/>
      <c r="B13" s="130"/>
      <c r="C13" s="134">
        <f ca="1">IF(AND($D$7&gt;=D13,$D$7&lt;C12),VALUE($D$7),"")</f>
        <v>1030</v>
      </c>
      <c r="D13" s="131">
        <f ca="1">POWER(($B$7+J11),2)</f>
        <v>1024</v>
      </c>
      <c r="E13" s="133">
        <f ca="1">POWER(($B$7+J10),2)</f>
        <v>1016.015625</v>
      </c>
      <c r="F13" s="131">
        <f t="shared" ca="1" si="0"/>
        <v>1008.0625</v>
      </c>
      <c r="G13" s="134" t="str">
        <f ca="1">IF(AND($D$7&gt;=G12,$D$7&lt;G14),VALUE($D$7),"")</f>
        <v/>
      </c>
      <c r="H13" s="135" t="str">
        <f ca="1">IF(AND($D$7&gt;=H12,$D$7&lt;H15),VALUE($D$7),"")</f>
        <v/>
      </c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</row>
    <row r="14" spans="1:27" ht="15.75" customHeight="1">
      <c r="A14" s="96"/>
      <c r="B14" s="130" t="str">
        <f ca="1">IF(AND($D$7&gt;=C14,$D$7&lt;B12),VALUE($D$7),"")</f>
        <v/>
      </c>
      <c r="C14" s="131">
        <f ca="1">($C$7+J11)*($C$7+J11)</f>
        <v>1089</v>
      </c>
      <c r="D14" s="144" t="str">
        <f ca="1">IF(AND($D$7&gt;=E14,$D$7&lt;C14),VALUE($D$7),"")</f>
        <v/>
      </c>
      <c r="E14" s="133">
        <f ca="1">($C$7+J10)*($C$7+J10)</f>
        <v>1080.765625</v>
      </c>
      <c r="F14" s="134" t="str">
        <f ca="1">IF(AND($D$7&gt;=G14,$D$7&lt;E14),VALUE($D$7),"")</f>
        <v/>
      </c>
      <c r="G14" s="131">
        <f ca="1">($C$7+J9)*($C$7+J9)</f>
        <v>1072.5625</v>
      </c>
      <c r="H14" s="135"/>
      <c r="I14" s="96"/>
      <c r="J14" s="96"/>
      <c r="K14" s="96"/>
      <c r="L14" s="96"/>
      <c r="M14" s="145" t="s">
        <v>240</v>
      </c>
      <c r="N14" s="146" t="s">
        <v>241</v>
      </c>
      <c r="O14" s="146" t="s">
        <v>242</v>
      </c>
      <c r="P14" s="146" t="s">
        <v>243</v>
      </c>
      <c r="Q14" s="146" t="s">
        <v>215</v>
      </c>
      <c r="R14" s="146" t="s">
        <v>15</v>
      </c>
      <c r="S14" s="147" t="s">
        <v>17</v>
      </c>
      <c r="T14" s="96"/>
      <c r="U14" s="96"/>
      <c r="V14" s="96"/>
      <c r="W14" s="96"/>
      <c r="X14" s="96"/>
      <c r="Y14" s="96"/>
      <c r="Z14" s="96"/>
      <c r="AA14" s="96"/>
    </row>
    <row r="15" spans="1:27" ht="15.75" customHeight="1">
      <c r="A15" s="114"/>
      <c r="B15" s="148">
        <f ca="1">($F$7+J11)*($F$7+J11)</f>
        <v>1156</v>
      </c>
      <c r="C15" s="149"/>
      <c r="D15" s="149" t="str">
        <f ca="1">IF(AND($D$7&gt;=E15,$D$7&lt;B15),VALUE($D$7),"")</f>
        <v/>
      </c>
      <c r="E15" s="150">
        <f ca="1">($F$7+J10)*($F$7+J10)</f>
        <v>1147.515625</v>
      </c>
      <c r="F15" s="149"/>
      <c r="G15" s="149" t="str">
        <f ca="1">IF(AND($D$7&gt;=H15,$D$7&lt;E15),VALUE($D$7),"")</f>
        <v/>
      </c>
      <c r="H15" s="151">
        <f ca="1">($F$7+J9)*($F$7+J9)</f>
        <v>1139.0625</v>
      </c>
      <c r="I15" s="96"/>
      <c r="J15" s="96"/>
      <c r="K15" s="96"/>
      <c r="L15" s="96"/>
      <c r="M15" s="152" t="s">
        <v>212</v>
      </c>
      <c r="N15" s="153" t="s">
        <v>212</v>
      </c>
      <c r="O15" s="154">
        <f ca="1">IFERROR(__xludf.DUMMYFUNCTION("GOOGLEFINANCE(M15,""PRICE"")"),9859.9)</f>
        <v>9859.9</v>
      </c>
      <c r="P15" s="154">
        <f ca="1">IFERROR(__xludf.DUMMYFUNCTION("GOOGLEFINANCE(M15,""CHANGEPCT"")"),3.21)</f>
        <v>3.21</v>
      </c>
      <c r="Q15" s="154">
        <f ca="1">IFERROR(__xludf.DUMMYFUNCTION("GOOGLEFINANCE(N15,""PRICEOPEN"")"),9753.5)</f>
        <v>9753.5</v>
      </c>
      <c r="R15" s="154">
        <f ca="1">IFERROR(__xludf.DUMMYFUNCTION("GOOGLEFINANCE(N15,""HIGH"")"),9889.05)</f>
        <v>9889.0499999999993</v>
      </c>
      <c r="S15" s="155">
        <f ca="1">IFERROR(__xludf.DUMMYFUNCTION("GOOGLEFINANCE(N15,""LOW"")"),9731.5)</f>
        <v>9731.5</v>
      </c>
      <c r="T15" s="96"/>
      <c r="U15" s="96"/>
      <c r="V15" s="96"/>
      <c r="W15" s="96"/>
      <c r="X15" s="96"/>
      <c r="Y15" s="96"/>
      <c r="Z15" s="96"/>
      <c r="AA15" s="96"/>
    </row>
    <row r="16" spans="1:27" ht="15.75" customHeight="1">
      <c r="A16" s="156" t="s">
        <v>244</v>
      </c>
      <c r="B16" s="157"/>
      <c r="C16" s="157"/>
      <c r="D16" s="158">
        <v>1</v>
      </c>
      <c r="E16" s="158">
        <v>2</v>
      </c>
      <c r="F16" s="158">
        <v>3</v>
      </c>
      <c r="G16" s="158">
        <v>4</v>
      </c>
      <c r="H16" s="158">
        <v>5</v>
      </c>
      <c r="I16" s="96"/>
      <c r="J16" s="96"/>
      <c r="K16" s="96"/>
      <c r="L16" s="96"/>
      <c r="M16" s="152" t="s">
        <v>245</v>
      </c>
      <c r="N16" s="153" t="s">
        <v>213</v>
      </c>
      <c r="O16" s="154">
        <f ca="1">IFERROR(__xludf.DUMMYFUNCTION("GOOGLEFINANCE(N16,""PRICE"")"),21534.5)</f>
        <v>21534.5</v>
      </c>
      <c r="P16" s="154">
        <f ca="1">IFERROR(__xludf.DUMMYFUNCTION("GOOGLEFINANCE(N16,""CHANGEPCT"")"),2.11)</f>
        <v>2.11</v>
      </c>
      <c r="Q16" s="154">
        <f ca="1">IFERROR(__xludf.DUMMYFUNCTION("GOOGLEFINANCE(N16,""PRICEOPEN"")"),21589.2)</f>
        <v>21589.200000000001</v>
      </c>
      <c r="R16" s="154">
        <f ca="1">IFERROR(__xludf.DUMMYFUNCTION("GOOGLEFINANCE(N16,""HIGH"")"),21967)</f>
        <v>21967</v>
      </c>
      <c r="S16" s="155">
        <f ca="1">IFERROR(__xludf.DUMMYFUNCTION("GOOGLEFINANCE(N16,""LOW"")"),21353.65)</f>
        <v>21353.65</v>
      </c>
      <c r="T16" s="96"/>
      <c r="U16" s="96"/>
      <c r="V16" s="96"/>
      <c r="W16" s="96"/>
      <c r="X16" s="96"/>
      <c r="Y16" s="96"/>
      <c r="Z16" s="96"/>
      <c r="AA16" s="96"/>
    </row>
    <row r="17" spans="1:27" ht="15.75" customHeight="1">
      <c r="A17" s="159" t="s">
        <v>246</v>
      </c>
      <c r="B17" s="133">
        <f ca="1">IF(C13&lt;&gt;"",VALUE(C12),IF(C11&lt;&gt;"",VALUE(C10),IF(D10&lt;&gt;"",VALUE(E10),IF(F10&lt;&gt;"",VALUE(G10),IF(G11&lt;&gt;"",VALUE(G12),IF(G13&lt;&gt;"",VALUE(G14),IF(F14&lt;&gt;"",VALUE(E14),IF(D14&lt;&gt;"",VALUE(C14),IF(B14&lt;&gt;"",VALUE(B12),IF(B11&lt;&gt;"",VALUE(B9),IF(C9&lt;&gt;"",VALUE(E9),IF(F9&lt;&gt;"",VALUE(H9),IF(H10&lt;&gt;"",VALUE(H12),IF(H13&lt;&gt;"",VALUE(H15),IF(G15&lt;&gt;"",VALUE(E15),IF(D15&lt;&gt;"",VALUE(B15),""))))))))))))))))</f>
        <v>1032.015625</v>
      </c>
      <c r="C17" s="160" t="s">
        <v>247</v>
      </c>
      <c r="D17" s="133">
        <f t="shared" ref="D17:H17" ca="1" si="1">B21*0.9995</f>
        <v>1039.5424687500001</v>
      </c>
      <c r="E17" s="133">
        <f t="shared" ca="1" si="1"/>
        <v>1047.6165546875</v>
      </c>
      <c r="F17" s="133">
        <f t="shared" ca="1" si="1"/>
        <v>1055.721875</v>
      </c>
      <c r="G17" s="133">
        <f t="shared" ca="1" si="1"/>
        <v>1063.8584296875001</v>
      </c>
      <c r="H17" s="133">
        <f t="shared" ca="1" si="1"/>
        <v>1072.02621875</v>
      </c>
      <c r="I17" s="96"/>
      <c r="J17" s="96"/>
      <c r="K17" s="96"/>
      <c r="L17" s="96"/>
      <c r="M17" s="152" t="s">
        <v>248</v>
      </c>
      <c r="N17" s="153" t="s">
        <v>249</v>
      </c>
      <c r="O17" s="154" t="str">
        <f ca="1">IFERROR(__xludf.DUMMYFUNCTION("GOOGLEFINANCE(N17,""PRICE"")"),"#N/A")</f>
        <v>#N/A</v>
      </c>
      <c r="P17" s="154" t="str">
        <f ca="1">IFERROR(__xludf.DUMMYFUNCTION("GOOGLEFINANCE(N17,""CHANGEPCT"")"),"#N/A")</f>
        <v>#N/A</v>
      </c>
      <c r="Q17" s="154" t="str">
        <f ca="1">IFERROR(__xludf.DUMMYFUNCTION("GOOGLEFINANCE(N17,""PRICEOPEN"")"),"#N/A")</f>
        <v>#N/A</v>
      </c>
      <c r="R17" s="154" t="str">
        <f ca="1">IFERROR(__xludf.DUMMYFUNCTION("GOOGLEFINANCE(N17,""HIGH"")"),"#N/A")</f>
        <v>#N/A</v>
      </c>
      <c r="S17" s="155" t="str">
        <f ca="1">IFERROR(__xludf.DUMMYFUNCTION("GOOGLEFINANCE(N17,""LOW"")"),"#N/A")</f>
        <v>#N/A</v>
      </c>
      <c r="T17" s="96"/>
      <c r="U17" s="96"/>
      <c r="V17" s="96"/>
      <c r="W17" s="96"/>
      <c r="X17" s="96"/>
      <c r="Y17" s="96"/>
      <c r="Z17" s="96"/>
      <c r="AA17" s="96"/>
    </row>
    <row r="18" spans="1:27" ht="15.75" customHeight="1">
      <c r="A18" s="114"/>
      <c r="B18" s="114"/>
      <c r="C18" s="114"/>
      <c r="D18" s="114"/>
      <c r="E18" s="114"/>
      <c r="F18" s="114"/>
      <c r="G18" s="114"/>
      <c r="H18" s="114"/>
      <c r="I18" s="96"/>
      <c r="J18" s="96"/>
      <c r="K18" s="96"/>
      <c r="L18" s="96"/>
      <c r="M18" s="152" t="s">
        <v>250</v>
      </c>
      <c r="N18" s="153" t="s">
        <v>251</v>
      </c>
      <c r="O18" s="154" t="str">
        <f ca="1">IFERROR(__xludf.DUMMYFUNCTION("GOOGLEFINANCE(N18,""PRICE"")"),"#N/A")</f>
        <v>#N/A</v>
      </c>
      <c r="P18" s="154" t="str">
        <f ca="1">IFERROR(__xludf.DUMMYFUNCTION("GOOGLEFINANCE(N18,""CHANGEPCT"")"),"#N/A")</f>
        <v>#N/A</v>
      </c>
      <c r="Q18" s="154" t="str">
        <f ca="1">IFERROR(__xludf.DUMMYFUNCTION("GOOGLEFINANCE(N18,""PRICEOPEN"")"),"#N/A")</f>
        <v>#N/A</v>
      </c>
      <c r="R18" s="154" t="str">
        <f ca="1">IFERROR(__xludf.DUMMYFUNCTION("GOOGLEFINANCE(N18,""HIGH"")"),"#N/A")</f>
        <v>#N/A</v>
      </c>
      <c r="S18" s="155" t="str">
        <f ca="1">IFERROR(__xludf.DUMMYFUNCTION("GOOGLEFINANCE(N18,""LOW"")"),"#N/A")</f>
        <v>#N/A</v>
      </c>
      <c r="T18" s="96"/>
      <c r="U18" s="96"/>
      <c r="V18" s="96"/>
      <c r="W18" s="96"/>
      <c r="X18" s="96"/>
      <c r="Y18" s="96"/>
      <c r="Z18" s="96"/>
      <c r="AA18" s="96"/>
    </row>
    <row r="19" spans="1:27" ht="15.75" customHeight="1">
      <c r="A19" s="161" t="s">
        <v>252</v>
      </c>
      <c r="B19" s="162">
        <f ca="1">IF(C13&lt;&gt;"",VALUE(D13),IF(C11&lt;&gt;"",VALUE(C12),IF(D10&lt;&gt;"",VALUE(C10),IF(F10&lt;&gt;"",VALUE(E10),IF(G11&lt;&gt;"",VALUE(G10),IF(G13&lt;&gt;"",VALUE(G12),IF(F14&lt;&gt;"",VALUE(G14),IF(D14&lt;&gt;"",VALUE(E14),IF(B14&lt;&gt;"",VALUE(C14),IF(B11&lt;&gt;"",VALUE(B12),IF(C9&lt;&gt;"",VALUE(B9),IF(F9&lt;&gt;"",VALUE(E9),IF(H10&lt;&gt;"",VALUE(H9),IF(H13&lt;&gt;"",VALUE(H12),IF(G15&lt;&gt;"",VALUE(H15),IF(D15&lt;&gt;"",VALUE(E15),""))))))))))))))))</f>
        <v>1024</v>
      </c>
      <c r="C19" s="163" t="s">
        <v>247</v>
      </c>
      <c r="D19" s="164">
        <f t="shared" ref="D19:H19" ca="1" si="2">B23*1.0005</f>
        <v>1016.5236328125</v>
      </c>
      <c r="E19" s="164">
        <f t="shared" ca="1" si="2"/>
        <v>1008.5665312499999</v>
      </c>
      <c r="F19" s="164">
        <f t="shared" ca="1" si="2"/>
        <v>1000.6406953124999</v>
      </c>
      <c r="G19" s="164">
        <f t="shared" ca="1" si="2"/>
        <v>992.74612499999989</v>
      </c>
      <c r="H19" s="164">
        <f t="shared" ca="1" si="2"/>
        <v>984.88282031249992</v>
      </c>
      <c r="I19" s="96"/>
      <c r="J19" s="96"/>
      <c r="K19" s="96"/>
      <c r="L19" s="96"/>
      <c r="M19" s="152" t="s">
        <v>253</v>
      </c>
      <c r="N19" s="153" t="s">
        <v>254</v>
      </c>
      <c r="O19" s="154">
        <f ca="1">IFERROR(__xludf.DUMMYFUNCTION("GOOGLEFINANCE(N19,""PRICE"")"),9327.1)</f>
        <v>9327.1</v>
      </c>
      <c r="P19" s="154">
        <f ca="1">IFERROR(__xludf.DUMMYFUNCTION("GOOGLEFINANCE(N19,""CHANGEPCT"")"),-0.62)</f>
        <v>-0.62</v>
      </c>
      <c r="Q19" s="154">
        <f ca="1">IFERROR(__xludf.DUMMYFUNCTION("GOOGLEFINANCE(N19,""PRICEOPEN"")"),9522.55)</f>
        <v>9522.5499999999993</v>
      </c>
      <c r="R19" s="154">
        <f ca="1">IFERROR(__xludf.DUMMYFUNCTION("GOOGLEFINANCE(N19,""HIGH"")"),9556.5)</f>
        <v>9556.5</v>
      </c>
      <c r="S19" s="155">
        <f ca="1">IFERROR(__xludf.DUMMYFUNCTION("GOOGLEFINANCE(N19,""LOW"")"),9253.9)</f>
        <v>9253.9</v>
      </c>
      <c r="T19" s="96"/>
      <c r="U19" s="96"/>
      <c r="V19" s="96"/>
      <c r="W19" s="96"/>
      <c r="X19" s="96"/>
      <c r="Y19" s="96"/>
      <c r="Z19" s="96"/>
      <c r="AA19" s="96"/>
    </row>
    <row r="20" spans="1:27" ht="15.75" customHeight="1">
      <c r="A20" s="96"/>
      <c r="B20" s="165">
        <v>1</v>
      </c>
      <c r="C20" s="165">
        <v>2</v>
      </c>
      <c r="D20" s="165">
        <v>3</v>
      </c>
      <c r="E20" s="165">
        <v>4</v>
      </c>
      <c r="F20" s="165">
        <v>5</v>
      </c>
      <c r="G20" s="96"/>
      <c r="H20" s="96"/>
      <c r="I20" s="96"/>
      <c r="J20" s="96"/>
      <c r="K20" s="96"/>
      <c r="L20" s="96"/>
      <c r="M20" s="152" t="s">
        <v>255</v>
      </c>
      <c r="N20" s="166" t="s">
        <v>256</v>
      </c>
      <c r="O20" s="154">
        <f ca="1">IFERROR(__xludf.DUMMYFUNCTION("GOOGLEFINANCE(N20,""PRICE"")"),2753.15)</f>
        <v>2753.15</v>
      </c>
      <c r="P20" s="154">
        <f ca="1">IFERROR(__xludf.DUMMYFUNCTION("GOOGLEFINANCE(N20,""CHANGEPCT"")"),3.33)</f>
        <v>3.33</v>
      </c>
      <c r="Q20" s="154">
        <f ca="1">IFERROR(__xludf.DUMMYFUNCTION("GOOGLEFINANCE(N20,""PRICEOPEN"")"),2706.25)</f>
        <v>2706.25</v>
      </c>
      <c r="R20" s="154">
        <f ca="1">IFERROR(__xludf.DUMMYFUNCTION("GOOGLEFINANCE(N20,""HIGH"")"),2762.9)</f>
        <v>2762.9</v>
      </c>
      <c r="S20" s="155">
        <f ca="1">IFERROR(__xludf.DUMMYFUNCTION("GOOGLEFINANCE(N20,""LOW"")"),2688.55)</f>
        <v>2688.55</v>
      </c>
      <c r="T20" s="96"/>
      <c r="U20" s="96"/>
      <c r="V20" s="96"/>
      <c r="W20" s="96"/>
      <c r="X20" s="96"/>
      <c r="Y20" s="96"/>
      <c r="Z20" s="96"/>
      <c r="AA20" s="96"/>
    </row>
    <row r="21" spans="1:27" ht="15.75" customHeight="1">
      <c r="A21" s="160" t="s">
        <v>257</v>
      </c>
      <c r="B21" s="132">
        <f ca="1">IF(C13&lt;&gt;"",VALUE(C10),IF(C11&lt;&gt;"",VALUE(E10),IF(D10&lt;&gt;"",VALUE(G10),IF(F10&lt;&gt;"",VALUE(G12),IF(G11&lt;&gt;"",VALUE(G14),IF(G13&lt;&gt;"",VALUE(E14),IF(F14&lt;&gt;"",VALUE(C14),IF(D14&lt;&gt;"",VALUE(B12),IF(B14&lt;&gt;"",VALUE(B9),IF(B11&lt;&gt;"",VALUE(E9),IF(C9&lt;&gt;"",VALUE(H9),IF(F9&lt;&gt;"",VALUE(H12),IF(H10&lt;&gt;"",VALUE(H15),IF(H13&lt;&gt;"",VALUE(E15),IF(G15&lt;&gt;"",VALUE(B15),IF(D15&lt;&gt;"",VALUE(B15),""))))))))))))))))</f>
        <v>1040.0625</v>
      </c>
      <c r="C21" s="132">
        <f ca="1">IF(C13&lt;&gt;"",VALUE(E10),IF(C11&lt;&gt;"",VALUE(G10),IF(D10&lt;&gt;"",VALUE(G12),IF(F10&lt;&gt;"",VALUE(G14),IF(G11&lt;&gt;"",VALUE(E14),IF(G13&lt;&gt;"",VALUE(C14),IF(F14&lt;&gt;"",VALUE(B12),IF(D14&lt;&gt;"",VALUE(B9),IF(B14&lt;&gt;"",VALUE(E9),IF(B11&lt;&gt;"",VALUE(H9),IF(C9&lt;&gt;"",VALUE(H12),IF(F9&lt;&gt;"",VALUE(H15),IF(H10&lt;&gt;"",VALUE(E15),IF(H13&lt;&gt;"",VALUE(B15),IF(G15&lt;&gt;"",VALUE(B15),IF(D15&lt;&gt;"",VALUE(B15),""))))))))))))))))</f>
        <v>1048.140625</v>
      </c>
      <c r="D21" s="132">
        <f ca="1">IF(C13&lt;&gt;"",VALUE(G10),IF(C11&lt;&gt;"",VALUE(G12),IF(D10&lt;&gt;"",VALUE(G14),IF(F10&lt;&gt;"",VALUE(E14),IF(G11&lt;&gt;"",VALUE(C14),IF(G13&lt;&gt;"",VALUE(B12),IF(F14&lt;&gt;"",VALUE(B9),IF(D14&lt;&gt;"",VALUE(E9),IF(B14&lt;&gt;"",VALUE(H9),IF(B11&lt;&gt;"",VALUE(H12),IF(C9&lt;&gt;"",VALUE(H15),IF(F9&lt;&gt;"",VALUE(E15),IF(H10&lt;&gt;"",VALUE(B15),IF(H13&lt;&gt;"",VALUE(B15),IF(G15&lt;&gt;"",VALUE(B15),IF(D15&lt;&gt;"",VALUE(B15),""))))))))))))))))</f>
        <v>1056.25</v>
      </c>
      <c r="E21" s="132">
        <f ca="1">IF(C13&lt;&gt;"",VALUE(G12),IF(C11&lt;&gt;"",VALUE(G14),IF(D10&lt;&gt;"",VALUE(E14),IF(F10&lt;&gt;"",VALUE(C14),IF(G11&lt;&gt;"",VALUE(B12),IF(G13&lt;&gt;"",VALUE(B9),IF(F14&lt;&gt;"",VALUE(E9),IF(D14&lt;&gt;"",VALUE(H9),IF(B14&lt;&gt;"",VALUE(H12),IF(B11&lt;&gt;"",VALUE(H15),IF(C9&lt;&gt;"",VALUE(E15),IF(F9&lt;&gt;"",VALUE(B15),IF(H10&lt;&gt;"",VALUE(B15),IF(H13&lt;&gt;"",VALUE(B15),IF(G15&lt;&gt;"",VALUE(B15),IF(D15&lt;&gt;"",VALUE(B15),""))))))))))))))))</f>
        <v>1064.390625</v>
      </c>
      <c r="F21" s="132">
        <f ca="1">IF(C13&lt;&gt;"",VALUE(G14),IF(C11&lt;&gt;"",VALUE(E14),IF(D10&lt;&gt;"",VALUE(C14),IF(F10&lt;&gt;"",VALUE(B12),IF(G11&lt;&gt;"",VALUE(B9),IF(G13&lt;&gt;"",VALUE(E9),IF(F14&lt;&gt;"",VALUE(H9),IF(D14&lt;&gt;"",VALUE(H12),IF(B14&lt;&gt;"",VALUE(H15),IF(B11&lt;&gt;"",VALUE(E15),IF(C9&lt;&gt;"",VALUE(B15),IF(F9&lt;&gt;"",VALUE(B15),IF(H10&lt;&gt;"",VALUE(B15),IF(H13&lt;&gt;"",VALUE(B15),IF(G15&lt;&gt;"",VALUE(B15),IF(D15&lt;&gt;"",VALUE(B15),""))))))))))))))))</f>
        <v>1072.5625</v>
      </c>
      <c r="G21" s="96"/>
      <c r="H21" s="96"/>
      <c r="I21" s="96"/>
      <c r="J21" s="96"/>
      <c r="K21" s="96"/>
      <c r="L21" s="96"/>
      <c r="M21" s="152" t="s">
        <v>258</v>
      </c>
      <c r="N21" s="166" t="s">
        <v>259</v>
      </c>
      <c r="O21" s="154">
        <f ca="1">IFERROR(__xludf.DUMMYFUNCTION("GOOGLEFINANCE(N21,""PRICE"")"),1326.05)</f>
        <v>1326.05</v>
      </c>
      <c r="P21" s="154">
        <f ca="1">IFERROR(__xludf.DUMMYFUNCTION("GOOGLEFINANCE(N21,""CHANGEPCT"")"),0.79)</f>
        <v>0.79</v>
      </c>
      <c r="Q21" s="154">
        <f ca="1">IFERROR(__xludf.DUMMYFUNCTION("GOOGLEFINANCE(N21,""PRICEOPEN"")"),1338.05)</f>
        <v>1338.05</v>
      </c>
      <c r="R21" s="154">
        <f ca="1">IFERROR(__xludf.DUMMYFUNCTION("GOOGLEFINANCE(N21,""HIGH"")"),1364.6)</f>
        <v>1364.6</v>
      </c>
      <c r="S21" s="155">
        <f ca="1">IFERROR(__xludf.DUMMYFUNCTION("GOOGLEFINANCE(N21,""LOW"")"),1321.05)</f>
        <v>1321.05</v>
      </c>
      <c r="T21" s="96"/>
      <c r="U21" s="96"/>
      <c r="V21" s="96"/>
      <c r="W21" s="96"/>
      <c r="X21" s="96"/>
      <c r="Y21" s="96"/>
      <c r="Z21" s="96"/>
      <c r="AA21" s="96"/>
    </row>
    <row r="22" spans="1:27" ht="15.75" customHeight="1">
      <c r="A22" s="167" t="s">
        <v>40</v>
      </c>
      <c r="B22" s="168">
        <f ca="1">IF(C13&lt;&gt;"",VALUE(D13),IF(C11&lt;&gt;"",VALUE(C12),IF(D10&lt;&gt;"",VALUE(C10),IF(F10&lt;&gt;"",VALUE(E10),IF(G11&lt;&gt;"",VALUE(G10),IF(G13&lt;&gt;"",VALUE(G12),IF(F14&lt;&gt;"",VALUE(G14),IF(D14&lt;&gt;"",VALUE(E14),IF(B14&lt;&gt;"",VALUE(C14),IF(B11&lt;&gt;"",VALUE(B12),IF(C9&lt;&gt;"",VALUE(B9),IF(F9&lt;&gt;"",VALUE(E9),IF(H10&lt;&gt;"",VALUE(H9),IF(H13&lt;&gt;"",VALUE(H12),IF(G15&lt;&gt;"",VALUE(H15),IF(D15&lt;&gt;"",VALUE(E15),""))))))))))))))))</f>
        <v>1024</v>
      </c>
      <c r="C22" s="114"/>
      <c r="D22" s="114"/>
      <c r="E22" s="114"/>
      <c r="F22" s="114"/>
      <c r="G22" s="169"/>
      <c r="H22" s="169"/>
      <c r="I22" s="169"/>
      <c r="J22" s="169"/>
      <c r="K22" s="169"/>
      <c r="L22" s="169"/>
      <c r="M22" s="152" t="s">
        <v>260</v>
      </c>
      <c r="N22" s="166" t="s">
        <v>261</v>
      </c>
      <c r="O22" s="154">
        <f ca="1">IFERROR(__xludf.DUMMYFUNCTION("GOOGLEFINANCE(N22,""PRICE"")"),187.3)</f>
        <v>187.3</v>
      </c>
      <c r="P22" s="154">
        <f ca="1">IFERROR(__xludf.DUMMYFUNCTION("GOOGLEFINANCE(N22,""CHANGEPCT"")"),2.27)</f>
        <v>2.27</v>
      </c>
      <c r="Q22" s="154">
        <f ca="1">IFERROR(__xludf.DUMMYFUNCTION("GOOGLEFINANCE(N22,""PRICEOPEN"")"),185.65)</f>
        <v>185.65</v>
      </c>
      <c r="R22" s="154">
        <f ca="1">IFERROR(__xludf.DUMMYFUNCTION("GOOGLEFINANCE(N22,""HIGH"")"),191.75)</f>
        <v>191.75</v>
      </c>
      <c r="S22" s="155">
        <f ca="1">IFERROR(__xludf.DUMMYFUNCTION("GOOGLEFINANCE(N22,""LOW"")"),185.05)</f>
        <v>185.05</v>
      </c>
      <c r="T22" s="169"/>
      <c r="U22" s="169"/>
      <c r="V22" s="169"/>
      <c r="W22" s="169"/>
      <c r="X22" s="96"/>
      <c r="Y22" s="96"/>
      <c r="Z22" s="96"/>
      <c r="AA22" s="96"/>
    </row>
    <row r="23" spans="1:27" ht="15.75" customHeight="1">
      <c r="A23" s="170" t="s">
        <v>262</v>
      </c>
      <c r="B23" s="171">
        <f ca="1">IF(C13&lt;&gt;"",VALUE(E13),IF(C11&lt;&gt;"",VALUE(D13),IF(D10&lt;&gt;"",VALUE(C12),IF(F10&lt;&gt;"",VALUE(C10),IF(G11&lt;&gt;"",VALUE(E10),IF(G13&lt;&gt;"",VALUE(G10),IF(F14&lt;&gt;"",VALUE(G12),IF(D14&lt;&gt;"",VALUE(G14),IF(B14&lt;&gt;"",VALUE(E14),IF(B11&lt;&gt;"",VALUE(C14),IF(C9&lt;&gt;"",VALUE(B12),IF(F9&lt;&gt;"",VALUE(B9),IF(H10&lt;&gt;"",VALUE(E9),IF(H13&lt;&gt;"",VALUE(H9),IF(G15&lt;&gt;"",VALUE(H12),IF(D15&lt;&gt;"",VALUE(H15),""))))))))))))))))</f>
        <v>1016.015625</v>
      </c>
      <c r="C23" s="171">
        <f ca="1">IF(C13&lt;&gt;"",VALUE(F13),IF(C11&lt;&gt;"",VALUE(E13),IF(D10&lt;&gt;"",VALUE(D13),IF(F10&lt;&gt;"",VALUE(C12),IF(G11&lt;&gt;"",VALUE(C10),IF(G13&lt;&gt;"",VALUE(E10),IF(F14&lt;&gt;"",VALUE(G10),IF(D14&lt;&gt;"",VALUE(G12),IF(B14&lt;&gt;"",VALUE(G14),IF(B11&lt;&gt;"",VALUE(E14),IF(C9&lt;&gt;"",VALUE(C14),IF(F9&lt;&gt;"",VALUE(B12),IF(H10&lt;&gt;"",VALUE(B9),IF(H13&lt;&gt;"",VALUE(E9),IF(G15&lt;&gt;"",VALUE(H9),IF(D15&lt;&gt;"",VALUE(H12),""))))))))))))))))</f>
        <v>1008.0625</v>
      </c>
      <c r="D23" s="171">
        <f ca="1">IF(C13&lt;&gt;"",VALUE(F12),IF(C11&lt;&gt;"",VALUE(F13),IF(D10&lt;&gt;"",VALUE(E13),IF(F10&lt;&gt;"",VALUE(D13),IF(G11&lt;&gt;"",VALUE(C12),IF(G13&lt;&gt;"",VALUE(C10),IF(F14&lt;&gt;"",VALUE(E10),IF(D14&lt;&gt;"",VALUE(G10),IF(B14&lt;&gt;"",VALUE(G12),IF(B11&lt;&gt;"",VALUE(G14),IF(C9&lt;&gt;"",VALUE(E14),IF(F9&lt;&gt;"",VALUE(C14),IF(H10&lt;&gt;"",VALUE(B12),IF(H13&lt;&gt;"",VALUE(B9),IF(G15&lt;&gt;"",VALUE(E9),IF(D15&lt;&gt;"",VALUE(H9),""))))))))))))))))</f>
        <v>1000.140625</v>
      </c>
      <c r="E23" s="171">
        <f ca="1">IF(C13&lt;&gt;"",VALUE(F11),IF(C11&lt;&gt;"",VALUE(F12),IF(D10&lt;&gt;"",VALUE(F13),IF(F10&lt;&gt;"",VALUE(E13),IF(G11&lt;&gt;"",VALUE(D13),IF(G13&lt;&gt;"",VALUE(C12),IF(F14&lt;&gt;"",VALUE(C10),IF(D14&lt;&gt;"",VALUE(E10),IF(B14&lt;&gt;"",VALUE(G10),IF(B11&lt;&gt;"",VALUE(G12),IF(C9&lt;&gt;"",VALUE(G14),IF(F9&lt;&gt;"",VALUE(E14),IF(H10&lt;&gt;"",VALUE(C14),IF(H13&lt;&gt;"",VALUE(B12),IF(G15&lt;&gt;"",VALUE(B9),IF(D15&lt;&gt;"",VALUE(E9),""))))))))))))))))</f>
        <v>992.25</v>
      </c>
      <c r="F23" s="172">
        <f ca="1">IF(C13&lt;&gt;"",VALUE(E11),IF(C11&lt;&gt;"",VALUE(F11),IF(D10&lt;&gt;"",VALUE(F12),IF(F10&lt;&gt;"",VALUE(F13),IF(G11&lt;&gt;"",VALUE(E13),IF(G13&lt;&gt;"",VALUE(D13),IF(F14&lt;&gt;"",VALUE(C12),IF(D14&lt;&gt;"",VALUE(C10),IF(B14&lt;&gt;"",VALUE(E10),IF(B11&lt;&gt;"",VALUE(G10),IF(C9&lt;&gt;"",VALUE(G12),IF(F9&lt;&gt;"",VALUE(G14),IF(H10&lt;&gt;"",VALUE(E14),IF(H13&lt;&gt;"",VALUE(C14),IF(G15&lt;&gt;"",VALUE(B12),IF(D15&lt;&gt;"",VALUE(B9),""))))))))))))))))</f>
        <v>984.390625</v>
      </c>
      <c r="G23" s="96"/>
      <c r="H23" s="96"/>
      <c r="I23" s="96"/>
      <c r="J23" s="96"/>
      <c r="K23" s="96"/>
      <c r="L23" s="96"/>
      <c r="M23" s="173" t="s">
        <v>263</v>
      </c>
      <c r="N23" s="174" t="s">
        <v>264</v>
      </c>
      <c r="O23" s="175">
        <f ca="1">IFERROR(__xludf.DUMMYFUNCTION("GOOGLEFINANCE(N23,""PRICE"")"),28669.3)</f>
        <v>28669.3</v>
      </c>
      <c r="P23" s="175">
        <f ca="1">IFERROR(__xludf.DUMMYFUNCTION("GOOGLEFINANCE(N23,""CHANGEPCT"")"),0.02)</f>
        <v>0.02</v>
      </c>
      <c r="Q23" s="175">
        <f ca="1">IFERROR(__xludf.DUMMYFUNCTION("GOOGLEFINANCE(N23,""PRICEOPEN"")"),29078.45)</f>
        <v>29078.45</v>
      </c>
      <c r="R23" s="175">
        <f ca="1">IFERROR(__xludf.DUMMYFUNCTION("GOOGLEFINANCE(N23,""HIGH"")"),29078.45)</f>
        <v>29078.45</v>
      </c>
      <c r="S23" s="176">
        <f ca="1">IFERROR(__xludf.DUMMYFUNCTION("GOOGLEFINANCE(N23,""LOW"")"),28460.05)</f>
        <v>28460.05</v>
      </c>
      <c r="T23" s="96"/>
      <c r="U23" s="96"/>
      <c r="V23" s="96"/>
      <c r="W23" s="96"/>
      <c r="X23" s="96"/>
      <c r="Y23" s="96"/>
      <c r="Z23" s="96"/>
      <c r="AA23" s="96"/>
    </row>
    <row r="24" spans="1:27" ht="15.75" customHeight="1">
      <c r="A24" s="177" t="s">
        <v>40</v>
      </c>
      <c r="B24" s="168">
        <f ca="1">IF(C13&lt;&gt;"",VALUE(C12),IF(C11&lt;&gt;"",VALUE(C10),IF(D10&lt;&gt;"",VALUE(E10),IF(F10&lt;&gt;"",VALUE(G10),IF(G11&lt;&gt;"",VALUE(G12),IF(G13&lt;&gt;"",VALUE(G14),IF(F14&lt;&gt;"",VALUE(E14),IF(D14&lt;&gt;"",VALUE(C14),IF(B14&lt;&gt;"",VALUE(B12),IF(B11&lt;&gt;"",VALUE(B9),IF(C9&lt;&gt;"",VALUE(E9),IF(F9&lt;&gt;"",VALUE(H9),IF(H10&lt;&gt;"",VALUE(H12),IF(H13&lt;&gt;"",VALUE(H15),IF(G15&lt;&gt;"",VALUE(E15),IF(D15&lt;&gt;"",VALUE(B15),""))))))))))))))))</f>
        <v>1032.015625</v>
      </c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178" t="s">
        <v>265</v>
      </c>
      <c r="N24" s="179" t="s">
        <v>265</v>
      </c>
      <c r="O24" s="180">
        <f ca="1">IFERROR(__xludf.DUMMYFUNCTION("GOOGLEFINANCE(N24,""PRICE"")"),22.19)</f>
        <v>22.19</v>
      </c>
      <c r="P24" s="181">
        <f ca="1">IFERROR(__xludf.DUMMYFUNCTION("GOOGLEFINANCE(N24,""CHANGEPCT"")"),-2.38)</f>
        <v>-2.38</v>
      </c>
      <c r="Q24" s="181">
        <f ca="1">IFERROR(__xludf.DUMMYFUNCTION("GOOGLEFINANCE(N24,""PRICEOPEN"")"),22.24)</f>
        <v>22.24</v>
      </c>
      <c r="R24" s="181">
        <f ca="1">IFERROR(__xludf.DUMMYFUNCTION("GOOGLEFINANCE(N24,""HIGH"")"),22.43)</f>
        <v>22.43</v>
      </c>
      <c r="S24" s="182">
        <f ca="1">IFERROR(__xludf.DUMMYFUNCTION("GOOGLEFINANCE(N24,""LOW"")"),22.02)</f>
        <v>22.02</v>
      </c>
      <c r="T24" s="96"/>
      <c r="U24" s="96"/>
      <c r="V24" s="96"/>
      <c r="W24" s="96"/>
      <c r="X24" s="96"/>
      <c r="Y24" s="96"/>
      <c r="Z24" s="96"/>
      <c r="AA24" s="96"/>
    </row>
    <row r="25" spans="1:27" ht="15.75" customHeight="1">
      <c r="A25" s="96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183" t="s">
        <v>266</v>
      </c>
      <c r="N25" s="184" t="s">
        <v>266</v>
      </c>
      <c r="O25" s="185">
        <f ca="1">IFERROR(__xludf.DUMMYFUNCTION("GOOGLEFINANCE(N25,""PRICE"")"),32.62)</f>
        <v>32.619999999999997</v>
      </c>
      <c r="P25" s="185">
        <f ca="1">IFERROR(__xludf.DUMMYFUNCTION("GOOGLEFINANCE(N25,""CHANGEPCT"")"),-0.4)</f>
        <v>-0.4</v>
      </c>
      <c r="Q25" s="185">
        <f ca="1">IFERROR(__xludf.DUMMYFUNCTION("GOOGLEFINANCE(N25,""PRICEOPEN"")"),32.66)</f>
        <v>32.659999999999997</v>
      </c>
      <c r="R25" s="185">
        <f ca="1">IFERROR(__xludf.DUMMYFUNCTION("GOOGLEFINANCE(N25,""HIGH"")"),32.88)</f>
        <v>32.880000000000003</v>
      </c>
      <c r="S25" s="186">
        <f ca="1">IFERROR(__xludf.DUMMYFUNCTION("GOOGLEFINANCE(N25,""LOW"")"),31.71)</f>
        <v>31.71</v>
      </c>
      <c r="T25" s="96"/>
      <c r="U25" s="96"/>
      <c r="V25" s="96"/>
      <c r="W25" s="96"/>
      <c r="X25" s="96"/>
      <c r="Y25" s="96"/>
      <c r="Z25" s="96"/>
      <c r="AA25" s="96"/>
    </row>
    <row r="26" spans="1:27" ht="15.75" customHeight="1">
      <c r="A26" s="96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187" t="s">
        <v>267</v>
      </c>
      <c r="N26" s="188" t="s">
        <v>268</v>
      </c>
      <c r="O26" s="189">
        <f ca="1">IFERROR(__xludf.DUMMYFUNCTION("GOOGLEFINANCE(N26,""PRICE"")"),23723.69)</f>
        <v>23723.69</v>
      </c>
      <c r="P26" s="189">
        <f ca="1">IFERROR(__xludf.DUMMYFUNCTION("GOOGLEFINANCE(N26,""CHANGEPCT"")"),-2.55)</f>
        <v>-2.5499999999999998</v>
      </c>
      <c r="Q26" s="189">
        <f ca="1">IFERROR(__xludf.DUMMYFUNCTION("GOOGLEFINANCE(N26,""PRICEOPEN"")"),24120.78)</f>
        <v>24120.78</v>
      </c>
      <c r="R26" s="189">
        <f ca="1">IFERROR(__xludf.DUMMYFUNCTION("GOOGLEFINANCE(N26,""HIGH"")"),24120.78)</f>
        <v>24120.78</v>
      </c>
      <c r="S26" s="190">
        <f ca="1">IFERROR(__xludf.DUMMYFUNCTION("GOOGLEFINANCE(N26,""LOW"")"),23645.3)</f>
        <v>23645.3</v>
      </c>
      <c r="T26" s="96"/>
      <c r="U26" s="96"/>
      <c r="V26" s="96"/>
      <c r="W26" s="96"/>
      <c r="X26" s="96"/>
      <c r="Y26" s="96"/>
      <c r="Z26" s="96"/>
      <c r="AA26" s="96"/>
    </row>
    <row r="27" spans="1:27" ht="15.75" customHeight="1">
      <c r="A27" s="191"/>
      <c r="B27" s="192" t="str">
        <f ca="1">IFERROR(__xludf.DUMMYFUNCTION("GOOGLEFINANCE(""NSE:""&amp;A2,""ALL"",TODAY()-366,TODAY(),""DAILY"")"),"#N/A")</f>
        <v>#N/A</v>
      </c>
      <c r="C27" s="193"/>
      <c r="D27" s="193"/>
      <c r="E27" s="193"/>
      <c r="F27" s="193"/>
      <c r="G27" s="193"/>
      <c r="H27" s="194" t="s">
        <v>269</v>
      </c>
      <c r="I27" s="194" t="s">
        <v>270</v>
      </c>
      <c r="J27" s="106"/>
      <c r="K27" s="195" t="s">
        <v>271</v>
      </c>
      <c r="L27" s="196" t="e">
        <f>AVERAGE(I251:I274)</f>
        <v>#DIV/0!</v>
      </c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</row>
    <row r="28" spans="1:27" ht="15.75" customHeight="1">
      <c r="A28" s="197"/>
      <c r="B28" s="198"/>
      <c r="C28" s="199"/>
      <c r="D28" s="199"/>
      <c r="E28" s="199"/>
      <c r="F28" s="199"/>
      <c r="G28" s="199"/>
      <c r="H28" s="157"/>
      <c r="I28" s="157"/>
      <c r="J28" s="106"/>
      <c r="K28" s="200" t="s">
        <v>272</v>
      </c>
      <c r="L28" s="201" t="e">
        <f>STDEV(I251:I274)</f>
        <v>#DIV/0!</v>
      </c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</row>
    <row r="29" spans="1:27" ht="15.75" customHeight="1">
      <c r="A29" s="202"/>
      <c r="B29" s="198"/>
      <c r="C29" s="199"/>
      <c r="D29" s="199"/>
      <c r="E29" s="199"/>
      <c r="F29" s="199"/>
      <c r="G29" s="199"/>
      <c r="H29" s="203" t="e">
        <f t="shared" ref="H29:H272" si="3">LN(F29/F28)</f>
        <v>#DIV/0!</v>
      </c>
      <c r="I29" s="203" t="e">
        <f t="shared" ref="I29:I272" si="4">(F29/F28)-1</f>
        <v>#DIV/0!</v>
      </c>
      <c r="J29" s="96"/>
      <c r="K29" s="114"/>
      <c r="L29" s="114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</row>
    <row r="30" spans="1:27" ht="15.75" customHeight="1">
      <c r="A30" s="202"/>
      <c r="B30" s="198"/>
      <c r="C30" s="199"/>
      <c r="D30" s="199"/>
      <c r="E30" s="199"/>
      <c r="F30" s="199"/>
      <c r="G30" s="199"/>
      <c r="H30" s="203" t="e">
        <f t="shared" si="3"/>
        <v>#DIV/0!</v>
      </c>
      <c r="I30" s="203" t="e">
        <f t="shared" si="4"/>
        <v>#DIV/0!</v>
      </c>
      <c r="J30" s="106"/>
      <c r="K30" s="160" t="s">
        <v>273</v>
      </c>
      <c r="L30" s="204" t="e">
        <f>(2*L28)+L27</f>
        <v>#DIV/0!</v>
      </c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</row>
    <row r="31" spans="1:27" ht="15.75" customHeight="1">
      <c r="A31" s="202"/>
      <c r="B31" s="198"/>
      <c r="C31" s="199"/>
      <c r="D31" s="199"/>
      <c r="E31" s="199"/>
      <c r="F31" s="199"/>
      <c r="G31" s="199"/>
      <c r="H31" s="203" t="e">
        <f t="shared" si="3"/>
        <v>#DIV/0!</v>
      </c>
      <c r="I31" s="203" t="e">
        <f t="shared" si="4"/>
        <v>#DIV/0!</v>
      </c>
      <c r="J31" s="96"/>
      <c r="K31" s="157"/>
      <c r="L31" s="205" t="e">
        <f>L27-(2*L28)</f>
        <v>#DIV/0!</v>
      </c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</row>
    <row r="32" spans="1:27" ht="15.75" customHeight="1">
      <c r="A32" s="202"/>
      <c r="B32" s="198"/>
      <c r="C32" s="199"/>
      <c r="D32" s="199"/>
      <c r="E32" s="199"/>
      <c r="F32" s="199"/>
      <c r="G32" s="199"/>
      <c r="H32" s="203" t="e">
        <f t="shared" si="3"/>
        <v>#DIV/0!</v>
      </c>
      <c r="I32" s="203" t="e">
        <f t="shared" si="4"/>
        <v>#DIV/0!</v>
      </c>
      <c r="J32" s="106"/>
      <c r="K32" s="206" t="s">
        <v>274</v>
      </c>
      <c r="L32" s="207" t="e">
        <f>(3*L28)+L27</f>
        <v>#DIV/0!</v>
      </c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</row>
    <row r="33" spans="1:27" ht="15.75" customHeight="1">
      <c r="A33" s="202"/>
      <c r="B33" s="198"/>
      <c r="C33" s="199"/>
      <c r="D33" s="199"/>
      <c r="E33" s="199"/>
      <c r="F33" s="199"/>
      <c r="G33" s="199"/>
      <c r="H33" s="203" t="e">
        <f t="shared" si="3"/>
        <v>#DIV/0!</v>
      </c>
      <c r="I33" s="203" t="e">
        <f t="shared" si="4"/>
        <v>#DIV/0!</v>
      </c>
      <c r="J33" s="96"/>
      <c r="K33" s="106"/>
      <c r="L33" s="208" t="e">
        <f>L27-(3*L28)</f>
        <v>#DIV/0!</v>
      </c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</row>
    <row r="34" spans="1:27" ht="15.75" customHeight="1">
      <c r="A34" s="202"/>
      <c r="B34" s="198"/>
      <c r="C34" s="199"/>
      <c r="D34" s="199"/>
      <c r="E34" s="199"/>
      <c r="F34" s="199"/>
      <c r="G34" s="199"/>
      <c r="H34" s="203" t="e">
        <f t="shared" si="3"/>
        <v>#DIV/0!</v>
      </c>
      <c r="I34" s="203" t="e">
        <f t="shared" si="4"/>
        <v>#DIV/0!</v>
      </c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</row>
    <row r="35" spans="1:27" ht="15.75" customHeight="1">
      <c r="A35" s="202"/>
      <c r="B35" s="198"/>
      <c r="C35" s="199"/>
      <c r="D35" s="199"/>
      <c r="E35" s="199"/>
      <c r="F35" s="199"/>
      <c r="G35" s="199"/>
      <c r="H35" s="203" t="e">
        <f t="shared" si="3"/>
        <v>#DIV/0!</v>
      </c>
      <c r="I35" s="203" t="e">
        <f t="shared" si="4"/>
        <v>#DIV/0!</v>
      </c>
      <c r="J35" s="96"/>
      <c r="K35" s="209" t="s">
        <v>275</v>
      </c>
      <c r="L35" s="210" t="e">
        <f>L28*SQRT(365)</f>
        <v>#DIV/0!</v>
      </c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</row>
    <row r="36" spans="1:27" ht="15.75" customHeight="1">
      <c r="A36" s="202"/>
      <c r="B36" s="198"/>
      <c r="C36" s="199"/>
      <c r="D36" s="199"/>
      <c r="E36" s="199"/>
      <c r="F36" s="199"/>
      <c r="G36" s="199"/>
      <c r="H36" s="203" t="e">
        <f t="shared" si="3"/>
        <v>#DIV/0!</v>
      </c>
      <c r="I36" s="203" t="e">
        <f t="shared" si="4"/>
        <v>#DIV/0!</v>
      </c>
      <c r="J36" s="96"/>
      <c r="K36" s="211" t="s">
        <v>276</v>
      </c>
      <c r="L36" s="212" t="e">
        <f>L28*(SQRT(30))</f>
        <v>#DIV/0!</v>
      </c>
      <c r="M36" s="96"/>
      <c r="N36" s="96"/>
      <c r="O36" s="213"/>
      <c r="P36" s="213"/>
      <c r="Q36" s="213"/>
      <c r="R36" s="213"/>
      <c r="S36" s="213"/>
      <c r="T36" s="213"/>
      <c r="U36" s="213"/>
      <c r="V36" s="96"/>
      <c r="W36" s="96"/>
      <c r="X36" s="96"/>
      <c r="Y36" s="96"/>
      <c r="Z36" s="96"/>
      <c r="AA36" s="96"/>
    </row>
    <row r="37" spans="1:27" ht="15.75" customHeight="1">
      <c r="A37" s="202"/>
      <c r="B37" s="198"/>
      <c r="C37" s="199"/>
      <c r="D37" s="199"/>
      <c r="E37" s="199"/>
      <c r="F37" s="199"/>
      <c r="G37" s="199"/>
      <c r="H37" s="203" t="e">
        <f t="shared" si="3"/>
        <v>#DIV/0!</v>
      </c>
      <c r="I37" s="203" t="e">
        <f t="shared" si="4"/>
        <v>#DIV/0!</v>
      </c>
      <c r="J37" s="96"/>
      <c r="K37" s="119" t="s">
        <v>277</v>
      </c>
      <c r="L37" s="214" t="str">
        <f ca="1">IFERROR(__xludf.DUMMYFUNCTION("average(query(sort(GoogleFinance(""NSE:""&amp;A2,""price"",TODAY()-320, TODAY()),1,0),""select Col2 limit 10""))"),"#N/A")</f>
        <v>#N/A</v>
      </c>
      <c r="M37" s="96"/>
      <c r="N37" s="96"/>
      <c r="O37" s="215"/>
      <c r="P37" s="104"/>
      <c r="Q37" s="216"/>
      <c r="R37" s="216"/>
      <c r="S37" s="216"/>
      <c r="T37" s="216"/>
      <c r="U37" s="216"/>
      <c r="V37" s="96"/>
      <c r="W37" s="96"/>
      <c r="X37" s="96"/>
      <c r="Y37" s="96"/>
      <c r="Z37" s="96"/>
      <c r="AA37" s="96"/>
    </row>
    <row r="38" spans="1:27" ht="15.75" customHeight="1">
      <c r="A38" s="202"/>
      <c r="B38" s="198"/>
      <c r="C38" s="199"/>
      <c r="D38" s="199"/>
      <c r="E38" s="199"/>
      <c r="F38" s="199"/>
      <c r="G38" s="199"/>
      <c r="H38" s="203" t="e">
        <f t="shared" si="3"/>
        <v>#DIV/0!</v>
      </c>
      <c r="I38" s="203" t="e">
        <f t="shared" si="4"/>
        <v>#DIV/0!</v>
      </c>
      <c r="J38" s="96"/>
      <c r="K38" s="119" t="s">
        <v>278</v>
      </c>
      <c r="L38" s="214" t="str">
        <f ca="1">IFERROR(__xludf.DUMMYFUNCTION("average(query(sort(GoogleFinance(""NSE:""&amp;A2,""price"",TODAY()-320, TODAY()),1,0),""select Col2 limit 20""))"),"#N/A")</f>
        <v>#N/A</v>
      </c>
      <c r="M38" s="96"/>
      <c r="N38" s="96"/>
      <c r="O38" s="215"/>
      <c r="P38" s="104"/>
      <c r="Q38" s="216"/>
      <c r="R38" s="216"/>
      <c r="S38" s="216"/>
      <c r="T38" s="216"/>
      <c r="U38" s="216"/>
      <c r="V38" s="96"/>
      <c r="W38" s="96"/>
      <c r="X38" s="96"/>
      <c r="Y38" s="96"/>
      <c r="Z38" s="96"/>
      <c r="AA38" s="96"/>
    </row>
    <row r="39" spans="1:27" ht="15.75" customHeight="1">
      <c r="A39" s="202"/>
      <c r="B39" s="198"/>
      <c r="C39" s="199"/>
      <c r="D39" s="199"/>
      <c r="E39" s="199"/>
      <c r="F39" s="199"/>
      <c r="G39" s="199"/>
      <c r="H39" s="203" t="e">
        <f t="shared" si="3"/>
        <v>#DIV/0!</v>
      </c>
      <c r="I39" s="203" t="e">
        <f t="shared" si="4"/>
        <v>#DIV/0!</v>
      </c>
      <c r="J39" s="217"/>
      <c r="K39" s="119" t="s">
        <v>279</v>
      </c>
      <c r="L39" s="214" t="str">
        <f ca="1">IFERROR(__xludf.DUMMYFUNCTION("average(query(sort(GoogleFinance(""NSE:""&amp;A2,""price"",TODAY()-320, TODAY()),1,0),""select Col2 limit 50""))"),"#N/A")</f>
        <v>#N/A</v>
      </c>
      <c r="M39" s="96"/>
      <c r="N39" s="96"/>
      <c r="O39" s="215"/>
      <c r="P39" s="104"/>
      <c r="Q39" s="216"/>
      <c r="R39" s="216"/>
      <c r="S39" s="216"/>
      <c r="T39" s="216"/>
      <c r="U39" s="216"/>
      <c r="V39" s="96"/>
      <c r="W39" s="96"/>
      <c r="X39" s="96"/>
      <c r="Y39" s="96"/>
      <c r="Z39" s="96"/>
      <c r="AA39" s="96"/>
    </row>
    <row r="40" spans="1:27" ht="15.75" customHeight="1">
      <c r="A40" s="202"/>
      <c r="B40" s="198"/>
      <c r="C40" s="199"/>
      <c r="D40" s="199"/>
      <c r="E40" s="199"/>
      <c r="F40" s="199"/>
      <c r="G40" s="199"/>
      <c r="H40" s="203" t="e">
        <f t="shared" si="3"/>
        <v>#DIV/0!</v>
      </c>
      <c r="I40" s="203" t="e">
        <f t="shared" si="4"/>
        <v>#DIV/0!</v>
      </c>
      <c r="J40" s="96"/>
      <c r="K40" s="119" t="s">
        <v>280</v>
      </c>
      <c r="L40" s="214" t="str">
        <f ca="1">IFERROR(__xludf.DUMMYFUNCTION("average(query(sort(GoogleFinance(""NSE:""&amp;A2,""price"",TODAY()-320, TODAY()),1,0),""select Col2 limit 100""))"),"#N/A")</f>
        <v>#N/A</v>
      </c>
      <c r="M40" s="96"/>
      <c r="N40" s="96"/>
      <c r="O40" s="215"/>
      <c r="P40" s="104"/>
      <c r="Q40" s="216"/>
      <c r="R40" s="216"/>
      <c r="S40" s="216"/>
      <c r="T40" s="216"/>
      <c r="U40" s="216"/>
      <c r="V40" s="96"/>
      <c r="W40" s="96"/>
      <c r="X40" s="96"/>
      <c r="Y40" s="96"/>
      <c r="Z40" s="96"/>
      <c r="AA40" s="96"/>
    </row>
    <row r="41" spans="1:27" ht="15.75" customHeight="1">
      <c r="A41" s="202"/>
      <c r="B41" s="198"/>
      <c r="C41" s="199"/>
      <c r="D41" s="199"/>
      <c r="E41" s="199"/>
      <c r="F41" s="199"/>
      <c r="G41" s="199"/>
      <c r="H41" s="203" t="e">
        <f t="shared" si="3"/>
        <v>#DIV/0!</v>
      </c>
      <c r="I41" s="203" t="e">
        <f t="shared" si="4"/>
        <v>#DIV/0!</v>
      </c>
      <c r="J41" s="96"/>
      <c r="K41" s="119" t="s">
        <v>281</v>
      </c>
      <c r="L41" s="214" t="str">
        <f ca="1">IFERROR(__xludf.DUMMYFUNCTION("average(query(sort(GoogleFinance(""NSE:""&amp;A2,""price"",TODAY()-320, TODAY()),1,0),""select Col2 limit 150""))"),"#N/A")</f>
        <v>#N/A</v>
      </c>
      <c r="M41" s="96"/>
      <c r="N41" s="96"/>
      <c r="O41" s="215"/>
      <c r="P41" s="104"/>
      <c r="Q41" s="216"/>
      <c r="R41" s="216"/>
      <c r="S41" s="216"/>
      <c r="T41" s="216"/>
      <c r="U41" s="216"/>
      <c r="V41" s="96"/>
      <c r="W41" s="96"/>
      <c r="X41" s="96"/>
      <c r="Y41" s="96"/>
      <c r="Z41" s="96"/>
      <c r="AA41" s="96"/>
    </row>
    <row r="42" spans="1:27" ht="15.75" customHeight="1">
      <c r="A42" s="202"/>
      <c r="B42" s="198"/>
      <c r="C42" s="199"/>
      <c r="D42" s="199"/>
      <c r="E42" s="199"/>
      <c r="F42" s="199"/>
      <c r="G42" s="199"/>
      <c r="H42" s="203" t="e">
        <f t="shared" si="3"/>
        <v>#DIV/0!</v>
      </c>
      <c r="I42" s="203" t="e">
        <f t="shared" si="4"/>
        <v>#DIV/0!</v>
      </c>
      <c r="J42" s="96"/>
      <c r="K42" s="119" t="s">
        <v>282</v>
      </c>
      <c r="L42" s="214" t="str">
        <f ca="1">IFERROR(__xludf.DUMMYFUNCTION("average(query(sort(GoogleFinance(""NSE:""&amp;A2,""price"",TODAY()-320, TODAY()),1,0),""select Col2 limit 200""))"),"#N/A")</f>
        <v>#N/A</v>
      </c>
      <c r="M42" s="96"/>
      <c r="N42" s="96"/>
      <c r="O42" s="215"/>
      <c r="P42" s="97"/>
      <c r="Q42" s="216"/>
      <c r="R42" s="216"/>
      <c r="S42" s="216"/>
      <c r="T42" s="216"/>
      <c r="U42" s="216"/>
      <c r="V42" s="96"/>
      <c r="W42" s="96"/>
      <c r="X42" s="96"/>
      <c r="Y42" s="96"/>
      <c r="Z42" s="96"/>
      <c r="AA42" s="96"/>
    </row>
    <row r="43" spans="1:27" ht="15.75" customHeight="1">
      <c r="A43" s="202"/>
      <c r="B43" s="198"/>
      <c r="C43" s="199"/>
      <c r="D43" s="199"/>
      <c r="E43" s="199"/>
      <c r="F43" s="199"/>
      <c r="G43" s="199"/>
      <c r="H43" s="203" t="e">
        <f t="shared" si="3"/>
        <v>#DIV/0!</v>
      </c>
      <c r="I43" s="203" t="e">
        <f t="shared" si="4"/>
        <v>#DIV/0!</v>
      </c>
      <c r="J43" s="96"/>
      <c r="K43" s="96"/>
      <c r="L43" s="96"/>
      <c r="M43" s="96"/>
      <c r="N43" s="96"/>
      <c r="O43" s="215"/>
      <c r="P43" s="97"/>
      <c r="Q43" s="216"/>
      <c r="R43" s="216"/>
      <c r="S43" s="216"/>
      <c r="T43" s="216"/>
      <c r="U43" s="216"/>
      <c r="V43" s="96"/>
      <c r="W43" s="96"/>
      <c r="X43" s="96"/>
      <c r="Y43" s="96"/>
      <c r="Z43" s="96"/>
      <c r="AA43" s="96"/>
    </row>
    <row r="44" spans="1:27" ht="15.75" customHeight="1">
      <c r="A44" s="202"/>
      <c r="B44" s="198"/>
      <c r="C44" s="199"/>
      <c r="D44" s="199"/>
      <c r="E44" s="199"/>
      <c r="F44" s="199"/>
      <c r="G44" s="199"/>
      <c r="H44" s="203" t="e">
        <f t="shared" si="3"/>
        <v>#DIV/0!</v>
      </c>
      <c r="I44" s="203" t="e">
        <f t="shared" si="4"/>
        <v>#DIV/0!</v>
      </c>
      <c r="J44" s="96"/>
      <c r="K44" s="96"/>
      <c r="L44" s="96"/>
      <c r="M44" s="96"/>
      <c r="N44" s="96"/>
      <c r="O44" s="215"/>
      <c r="P44" s="97"/>
      <c r="Q44" s="216"/>
      <c r="R44" s="216"/>
      <c r="S44" s="216"/>
      <c r="T44" s="216"/>
      <c r="U44" s="216"/>
      <c r="V44" s="96"/>
      <c r="W44" s="96"/>
      <c r="X44" s="96"/>
      <c r="Y44" s="96"/>
      <c r="Z44" s="96"/>
      <c r="AA44" s="96"/>
    </row>
    <row r="45" spans="1:27" ht="15.75" customHeight="1">
      <c r="A45" s="202"/>
      <c r="B45" s="198"/>
      <c r="C45" s="199"/>
      <c r="D45" s="199"/>
      <c r="E45" s="199"/>
      <c r="F45" s="199"/>
      <c r="G45" s="199"/>
      <c r="H45" s="203" t="e">
        <f t="shared" si="3"/>
        <v>#DIV/0!</v>
      </c>
      <c r="I45" s="203" t="e">
        <f t="shared" si="4"/>
        <v>#DIV/0!</v>
      </c>
      <c r="J45" s="96"/>
      <c r="K45" s="96"/>
      <c r="L45" s="96"/>
      <c r="M45" s="96"/>
      <c r="N45" s="96"/>
      <c r="O45" s="215"/>
      <c r="P45" s="97"/>
      <c r="Q45" s="216"/>
      <c r="R45" s="216"/>
      <c r="S45" s="216"/>
      <c r="T45" s="216"/>
      <c r="U45" s="216"/>
      <c r="V45" s="96"/>
      <c r="W45" s="96"/>
      <c r="X45" s="96"/>
      <c r="Y45" s="96"/>
      <c r="Z45" s="96"/>
      <c r="AA45" s="96"/>
    </row>
    <row r="46" spans="1:27" ht="15.75" customHeight="1">
      <c r="A46" s="202"/>
      <c r="B46" s="198"/>
      <c r="C46" s="199"/>
      <c r="D46" s="199"/>
      <c r="E46" s="199"/>
      <c r="F46" s="199"/>
      <c r="G46" s="199"/>
      <c r="H46" s="203" t="e">
        <f t="shared" si="3"/>
        <v>#DIV/0!</v>
      </c>
      <c r="I46" s="203" t="e">
        <f t="shared" si="4"/>
        <v>#DIV/0!</v>
      </c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</row>
    <row r="47" spans="1:27" ht="15.75" customHeight="1">
      <c r="A47" s="202"/>
      <c r="B47" s="198"/>
      <c r="C47" s="199"/>
      <c r="D47" s="199"/>
      <c r="E47" s="199"/>
      <c r="F47" s="199"/>
      <c r="G47" s="199"/>
      <c r="H47" s="203" t="e">
        <f t="shared" si="3"/>
        <v>#DIV/0!</v>
      </c>
      <c r="I47" s="203" t="e">
        <f t="shared" si="4"/>
        <v>#DIV/0!</v>
      </c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</row>
    <row r="48" spans="1:27" ht="15.75" customHeight="1">
      <c r="A48" s="202"/>
      <c r="B48" s="198"/>
      <c r="C48" s="199"/>
      <c r="D48" s="199"/>
      <c r="E48" s="199"/>
      <c r="F48" s="199"/>
      <c r="G48" s="199"/>
      <c r="H48" s="203" t="e">
        <f t="shared" si="3"/>
        <v>#DIV/0!</v>
      </c>
      <c r="I48" s="203" t="e">
        <f t="shared" si="4"/>
        <v>#DIV/0!</v>
      </c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</row>
    <row r="49" spans="1:27" ht="15.75" customHeight="1">
      <c r="A49" s="202"/>
      <c r="B49" s="198"/>
      <c r="C49" s="199"/>
      <c r="D49" s="199"/>
      <c r="E49" s="199"/>
      <c r="F49" s="199"/>
      <c r="G49" s="199"/>
      <c r="H49" s="203" t="e">
        <f t="shared" si="3"/>
        <v>#DIV/0!</v>
      </c>
      <c r="I49" s="203" t="e">
        <f t="shared" si="4"/>
        <v>#DIV/0!</v>
      </c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</row>
    <row r="50" spans="1:27" ht="15.75" customHeight="1">
      <c r="A50" s="202"/>
      <c r="B50" s="198"/>
      <c r="C50" s="199"/>
      <c r="D50" s="199"/>
      <c r="E50" s="199"/>
      <c r="F50" s="199"/>
      <c r="G50" s="199"/>
      <c r="H50" s="203" t="e">
        <f t="shared" si="3"/>
        <v>#DIV/0!</v>
      </c>
      <c r="I50" s="203" t="e">
        <f t="shared" si="4"/>
        <v>#DIV/0!</v>
      </c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</row>
    <row r="51" spans="1:27" ht="15.75" customHeight="1">
      <c r="A51" s="202"/>
      <c r="B51" s="198"/>
      <c r="C51" s="199"/>
      <c r="D51" s="199"/>
      <c r="E51" s="199"/>
      <c r="F51" s="199"/>
      <c r="G51" s="199"/>
      <c r="H51" s="203" t="e">
        <f t="shared" si="3"/>
        <v>#DIV/0!</v>
      </c>
      <c r="I51" s="203" t="e">
        <f t="shared" si="4"/>
        <v>#DIV/0!</v>
      </c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</row>
    <row r="52" spans="1:27" ht="15.75" customHeight="1">
      <c r="A52" s="202"/>
      <c r="B52" s="198"/>
      <c r="C52" s="199"/>
      <c r="D52" s="199"/>
      <c r="E52" s="199"/>
      <c r="F52" s="199"/>
      <c r="G52" s="199"/>
      <c r="H52" s="203" t="e">
        <f t="shared" si="3"/>
        <v>#DIV/0!</v>
      </c>
      <c r="I52" s="203" t="e">
        <f t="shared" si="4"/>
        <v>#DIV/0!</v>
      </c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</row>
    <row r="53" spans="1:27" ht="15.75" customHeight="1">
      <c r="A53" s="202"/>
      <c r="B53" s="198"/>
      <c r="C53" s="199"/>
      <c r="D53" s="199"/>
      <c r="E53" s="199"/>
      <c r="F53" s="199"/>
      <c r="G53" s="199"/>
      <c r="H53" s="203" t="e">
        <f t="shared" si="3"/>
        <v>#DIV/0!</v>
      </c>
      <c r="I53" s="203" t="e">
        <f t="shared" si="4"/>
        <v>#DIV/0!</v>
      </c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</row>
    <row r="54" spans="1:27" ht="15.75" customHeight="1">
      <c r="A54" s="202"/>
      <c r="B54" s="198"/>
      <c r="C54" s="199"/>
      <c r="D54" s="199"/>
      <c r="E54" s="199"/>
      <c r="F54" s="199"/>
      <c r="G54" s="199"/>
      <c r="H54" s="203" t="e">
        <f t="shared" si="3"/>
        <v>#DIV/0!</v>
      </c>
      <c r="I54" s="203" t="e">
        <f t="shared" si="4"/>
        <v>#DIV/0!</v>
      </c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</row>
    <row r="55" spans="1:27" ht="15.75" customHeight="1">
      <c r="A55" s="202"/>
      <c r="B55" s="198"/>
      <c r="C55" s="199"/>
      <c r="D55" s="199"/>
      <c r="E55" s="199"/>
      <c r="F55" s="199"/>
      <c r="G55" s="199"/>
      <c r="H55" s="203" t="e">
        <f t="shared" si="3"/>
        <v>#DIV/0!</v>
      </c>
      <c r="I55" s="203" t="e">
        <f t="shared" si="4"/>
        <v>#DIV/0!</v>
      </c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</row>
    <row r="56" spans="1:27" ht="15.75" customHeight="1">
      <c r="A56" s="202"/>
      <c r="B56" s="198"/>
      <c r="C56" s="199"/>
      <c r="D56" s="199"/>
      <c r="E56" s="199"/>
      <c r="F56" s="199"/>
      <c r="G56" s="199"/>
      <c r="H56" s="203" t="e">
        <f t="shared" si="3"/>
        <v>#DIV/0!</v>
      </c>
      <c r="I56" s="203" t="e">
        <f t="shared" si="4"/>
        <v>#DIV/0!</v>
      </c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</row>
    <row r="57" spans="1:27" ht="15.75" customHeight="1">
      <c r="A57" s="202"/>
      <c r="B57" s="198"/>
      <c r="C57" s="199"/>
      <c r="D57" s="199"/>
      <c r="E57" s="199"/>
      <c r="F57" s="199"/>
      <c r="G57" s="199"/>
      <c r="H57" s="203" t="e">
        <f t="shared" si="3"/>
        <v>#DIV/0!</v>
      </c>
      <c r="I57" s="203" t="e">
        <f t="shared" si="4"/>
        <v>#DIV/0!</v>
      </c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</row>
    <row r="58" spans="1:27" ht="15.75" customHeight="1">
      <c r="A58" s="202"/>
      <c r="B58" s="198"/>
      <c r="C58" s="199"/>
      <c r="D58" s="199"/>
      <c r="E58" s="199"/>
      <c r="F58" s="199"/>
      <c r="G58" s="199"/>
      <c r="H58" s="203" t="e">
        <f t="shared" si="3"/>
        <v>#DIV/0!</v>
      </c>
      <c r="I58" s="203" t="e">
        <f t="shared" si="4"/>
        <v>#DIV/0!</v>
      </c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</row>
    <row r="59" spans="1:27" ht="15.75" customHeight="1">
      <c r="A59" s="202"/>
      <c r="B59" s="198"/>
      <c r="C59" s="199"/>
      <c r="D59" s="199"/>
      <c r="E59" s="199"/>
      <c r="F59" s="199"/>
      <c r="G59" s="199"/>
      <c r="H59" s="203" t="e">
        <f t="shared" si="3"/>
        <v>#DIV/0!</v>
      </c>
      <c r="I59" s="203" t="e">
        <f t="shared" si="4"/>
        <v>#DIV/0!</v>
      </c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</row>
    <row r="60" spans="1:27" ht="15.75" customHeight="1">
      <c r="A60" s="202"/>
      <c r="B60" s="198"/>
      <c r="C60" s="199"/>
      <c r="D60" s="199"/>
      <c r="E60" s="199"/>
      <c r="F60" s="199"/>
      <c r="G60" s="199"/>
      <c r="H60" s="203" t="e">
        <f t="shared" si="3"/>
        <v>#DIV/0!</v>
      </c>
      <c r="I60" s="203" t="e">
        <f t="shared" si="4"/>
        <v>#DIV/0!</v>
      </c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</row>
    <row r="61" spans="1:27" ht="15.75" customHeight="1">
      <c r="A61" s="202"/>
      <c r="B61" s="198"/>
      <c r="C61" s="199"/>
      <c r="D61" s="199"/>
      <c r="E61" s="199"/>
      <c r="F61" s="199"/>
      <c r="G61" s="199"/>
      <c r="H61" s="203" t="e">
        <f t="shared" si="3"/>
        <v>#DIV/0!</v>
      </c>
      <c r="I61" s="203" t="e">
        <f t="shared" si="4"/>
        <v>#DIV/0!</v>
      </c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</row>
    <row r="62" spans="1:27" ht="15.75" customHeight="1">
      <c r="A62" s="202"/>
      <c r="B62" s="198"/>
      <c r="C62" s="199"/>
      <c r="D62" s="199"/>
      <c r="E62" s="199"/>
      <c r="F62" s="199"/>
      <c r="G62" s="199"/>
      <c r="H62" s="203" t="e">
        <f t="shared" si="3"/>
        <v>#DIV/0!</v>
      </c>
      <c r="I62" s="203" t="e">
        <f t="shared" si="4"/>
        <v>#DIV/0!</v>
      </c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</row>
    <row r="63" spans="1:27" ht="15.75" customHeight="1">
      <c r="A63" s="202"/>
      <c r="B63" s="198"/>
      <c r="C63" s="199"/>
      <c r="D63" s="199"/>
      <c r="E63" s="199"/>
      <c r="F63" s="199"/>
      <c r="G63" s="199"/>
      <c r="H63" s="203" t="e">
        <f t="shared" si="3"/>
        <v>#DIV/0!</v>
      </c>
      <c r="I63" s="203" t="e">
        <f t="shared" si="4"/>
        <v>#DIV/0!</v>
      </c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</row>
    <row r="64" spans="1:27" ht="15.75" customHeight="1">
      <c r="A64" s="202"/>
      <c r="B64" s="198"/>
      <c r="C64" s="199"/>
      <c r="D64" s="199"/>
      <c r="E64" s="199"/>
      <c r="F64" s="199"/>
      <c r="G64" s="199"/>
      <c r="H64" s="203" t="e">
        <f t="shared" si="3"/>
        <v>#DIV/0!</v>
      </c>
      <c r="I64" s="203" t="e">
        <f t="shared" si="4"/>
        <v>#DIV/0!</v>
      </c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</row>
    <row r="65" spans="1:27" ht="15.75" customHeight="1">
      <c r="A65" s="202"/>
      <c r="B65" s="198"/>
      <c r="C65" s="199"/>
      <c r="D65" s="199"/>
      <c r="E65" s="199"/>
      <c r="F65" s="199"/>
      <c r="G65" s="199"/>
      <c r="H65" s="203" t="e">
        <f t="shared" si="3"/>
        <v>#DIV/0!</v>
      </c>
      <c r="I65" s="203" t="e">
        <f t="shared" si="4"/>
        <v>#DIV/0!</v>
      </c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</row>
    <row r="66" spans="1:27" ht="15.75" customHeight="1">
      <c r="A66" s="202"/>
      <c r="B66" s="198"/>
      <c r="C66" s="199"/>
      <c r="D66" s="199"/>
      <c r="E66" s="199"/>
      <c r="F66" s="199"/>
      <c r="G66" s="199"/>
      <c r="H66" s="203" t="e">
        <f t="shared" si="3"/>
        <v>#DIV/0!</v>
      </c>
      <c r="I66" s="203" t="e">
        <f t="shared" si="4"/>
        <v>#DIV/0!</v>
      </c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</row>
    <row r="67" spans="1:27" ht="15.75" customHeight="1">
      <c r="A67" s="202"/>
      <c r="B67" s="198"/>
      <c r="C67" s="199"/>
      <c r="D67" s="199"/>
      <c r="E67" s="199"/>
      <c r="F67" s="199"/>
      <c r="G67" s="199"/>
      <c r="H67" s="203" t="e">
        <f t="shared" si="3"/>
        <v>#DIV/0!</v>
      </c>
      <c r="I67" s="203" t="e">
        <f t="shared" si="4"/>
        <v>#DIV/0!</v>
      </c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</row>
    <row r="68" spans="1:27" ht="15.75" customHeight="1">
      <c r="A68" s="202"/>
      <c r="B68" s="198"/>
      <c r="C68" s="199"/>
      <c r="D68" s="199"/>
      <c r="E68" s="199"/>
      <c r="F68" s="199"/>
      <c r="G68" s="199"/>
      <c r="H68" s="203" t="e">
        <f t="shared" si="3"/>
        <v>#DIV/0!</v>
      </c>
      <c r="I68" s="203" t="e">
        <f t="shared" si="4"/>
        <v>#DIV/0!</v>
      </c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</row>
    <row r="69" spans="1:27" ht="15.75" customHeight="1">
      <c r="A69" s="202"/>
      <c r="B69" s="198"/>
      <c r="C69" s="199"/>
      <c r="D69" s="199"/>
      <c r="E69" s="199"/>
      <c r="F69" s="199"/>
      <c r="G69" s="199"/>
      <c r="H69" s="203" t="e">
        <f t="shared" si="3"/>
        <v>#DIV/0!</v>
      </c>
      <c r="I69" s="203" t="e">
        <f t="shared" si="4"/>
        <v>#DIV/0!</v>
      </c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</row>
    <row r="70" spans="1:27" ht="15.75" customHeight="1">
      <c r="A70" s="202"/>
      <c r="B70" s="198"/>
      <c r="C70" s="199"/>
      <c r="D70" s="199"/>
      <c r="E70" s="199"/>
      <c r="F70" s="199"/>
      <c r="G70" s="199"/>
      <c r="H70" s="203" t="e">
        <f t="shared" si="3"/>
        <v>#DIV/0!</v>
      </c>
      <c r="I70" s="203" t="e">
        <f t="shared" si="4"/>
        <v>#DIV/0!</v>
      </c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</row>
    <row r="71" spans="1:27" ht="15.75" customHeight="1">
      <c r="A71" s="202"/>
      <c r="B71" s="198"/>
      <c r="C71" s="199"/>
      <c r="D71" s="199"/>
      <c r="E71" s="199"/>
      <c r="F71" s="199"/>
      <c r="G71" s="199"/>
      <c r="H71" s="203" t="e">
        <f t="shared" si="3"/>
        <v>#DIV/0!</v>
      </c>
      <c r="I71" s="203" t="e">
        <f t="shared" si="4"/>
        <v>#DIV/0!</v>
      </c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</row>
    <row r="72" spans="1:27" ht="15.75" customHeight="1">
      <c r="A72" s="202"/>
      <c r="B72" s="198"/>
      <c r="C72" s="199"/>
      <c r="D72" s="199"/>
      <c r="E72" s="199"/>
      <c r="F72" s="199"/>
      <c r="G72" s="199"/>
      <c r="H72" s="203" t="e">
        <f t="shared" si="3"/>
        <v>#DIV/0!</v>
      </c>
      <c r="I72" s="203" t="e">
        <f t="shared" si="4"/>
        <v>#DIV/0!</v>
      </c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</row>
    <row r="73" spans="1:27" ht="15.75" customHeight="1">
      <c r="A73" s="202"/>
      <c r="B73" s="198"/>
      <c r="C73" s="199"/>
      <c r="D73" s="199"/>
      <c r="E73" s="199"/>
      <c r="F73" s="199"/>
      <c r="G73" s="199"/>
      <c r="H73" s="203" t="e">
        <f t="shared" si="3"/>
        <v>#DIV/0!</v>
      </c>
      <c r="I73" s="203" t="e">
        <f t="shared" si="4"/>
        <v>#DIV/0!</v>
      </c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</row>
    <row r="74" spans="1:27" ht="15.75" customHeight="1">
      <c r="A74" s="202"/>
      <c r="B74" s="198"/>
      <c r="C74" s="199"/>
      <c r="D74" s="199"/>
      <c r="E74" s="199"/>
      <c r="F74" s="199"/>
      <c r="G74" s="199"/>
      <c r="H74" s="203" t="e">
        <f t="shared" si="3"/>
        <v>#DIV/0!</v>
      </c>
      <c r="I74" s="203" t="e">
        <f t="shared" si="4"/>
        <v>#DIV/0!</v>
      </c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</row>
    <row r="75" spans="1:27" ht="15.75" customHeight="1">
      <c r="A75" s="202"/>
      <c r="B75" s="198"/>
      <c r="C75" s="199"/>
      <c r="D75" s="199"/>
      <c r="E75" s="199"/>
      <c r="F75" s="199"/>
      <c r="G75" s="199"/>
      <c r="H75" s="203" t="e">
        <f t="shared" si="3"/>
        <v>#DIV/0!</v>
      </c>
      <c r="I75" s="203" t="e">
        <f t="shared" si="4"/>
        <v>#DIV/0!</v>
      </c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</row>
    <row r="76" spans="1:27" ht="15.75" customHeight="1">
      <c r="A76" s="202"/>
      <c r="B76" s="198"/>
      <c r="C76" s="199"/>
      <c r="D76" s="199"/>
      <c r="E76" s="199"/>
      <c r="F76" s="199"/>
      <c r="G76" s="199"/>
      <c r="H76" s="203" t="e">
        <f t="shared" si="3"/>
        <v>#DIV/0!</v>
      </c>
      <c r="I76" s="203" t="e">
        <f t="shared" si="4"/>
        <v>#DIV/0!</v>
      </c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</row>
    <row r="77" spans="1:27" ht="15.75" customHeight="1">
      <c r="A77" s="202"/>
      <c r="B77" s="198"/>
      <c r="C77" s="199"/>
      <c r="D77" s="199"/>
      <c r="E77" s="199"/>
      <c r="F77" s="199"/>
      <c r="G77" s="199"/>
      <c r="H77" s="203" t="e">
        <f t="shared" si="3"/>
        <v>#DIV/0!</v>
      </c>
      <c r="I77" s="203" t="e">
        <f t="shared" si="4"/>
        <v>#DIV/0!</v>
      </c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</row>
    <row r="78" spans="1:27" ht="15.75" customHeight="1">
      <c r="A78" s="202"/>
      <c r="B78" s="198"/>
      <c r="C78" s="199"/>
      <c r="D78" s="199"/>
      <c r="E78" s="199"/>
      <c r="F78" s="199"/>
      <c r="G78" s="199"/>
      <c r="H78" s="203" t="e">
        <f t="shared" si="3"/>
        <v>#DIV/0!</v>
      </c>
      <c r="I78" s="203" t="e">
        <f t="shared" si="4"/>
        <v>#DIV/0!</v>
      </c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</row>
    <row r="79" spans="1:27" ht="15.75" customHeight="1">
      <c r="A79" s="202"/>
      <c r="B79" s="198"/>
      <c r="C79" s="199"/>
      <c r="D79" s="199"/>
      <c r="E79" s="199"/>
      <c r="F79" s="199"/>
      <c r="G79" s="199"/>
      <c r="H79" s="203" t="e">
        <f t="shared" si="3"/>
        <v>#DIV/0!</v>
      </c>
      <c r="I79" s="203" t="e">
        <f t="shared" si="4"/>
        <v>#DIV/0!</v>
      </c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</row>
    <row r="80" spans="1:27" ht="15.75" customHeight="1">
      <c r="A80" s="202"/>
      <c r="B80" s="198"/>
      <c r="C80" s="199"/>
      <c r="D80" s="199"/>
      <c r="E80" s="199"/>
      <c r="F80" s="199"/>
      <c r="G80" s="199"/>
      <c r="H80" s="203" t="e">
        <f t="shared" si="3"/>
        <v>#DIV/0!</v>
      </c>
      <c r="I80" s="203" t="e">
        <f t="shared" si="4"/>
        <v>#DIV/0!</v>
      </c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</row>
    <row r="81" spans="1:27" ht="15.75" customHeight="1">
      <c r="A81" s="202"/>
      <c r="B81" s="198"/>
      <c r="C81" s="199"/>
      <c r="D81" s="199"/>
      <c r="E81" s="199"/>
      <c r="F81" s="199"/>
      <c r="G81" s="199"/>
      <c r="H81" s="203" t="e">
        <f t="shared" si="3"/>
        <v>#DIV/0!</v>
      </c>
      <c r="I81" s="203" t="e">
        <f t="shared" si="4"/>
        <v>#DIV/0!</v>
      </c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</row>
    <row r="82" spans="1:27" ht="15.75" customHeight="1">
      <c r="A82" s="202"/>
      <c r="B82" s="198"/>
      <c r="C82" s="199"/>
      <c r="D82" s="199"/>
      <c r="E82" s="199"/>
      <c r="F82" s="199"/>
      <c r="G82" s="199"/>
      <c r="H82" s="203" t="e">
        <f t="shared" si="3"/>
        <v>#DIV/0!</v>
      </c>
      <c r="I82" s="203" t="e">
        <f t="shared" si="4"/>
        <v>#DIV/0!</v>
      </c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</row>
    <row r="83" spans="1:27" ht="15.75" customHeight="1">
      <c r="A83" s="202"/>
      <c r="B83" s="198"/>
      <c r="C83" s="199"/>
      <c r="D83" s="199"/>
      <c r="E83" s="199"/>
      <c r="F83" s="199"/>
      <c r="G83" s="199"/>
      <c r="H83" s="203" t="e">
        <f t="shared" si="3"/>
        <v>#DIV/0!</v>
      </c>
      <c r="I83" s="203" t="e">
        <f t="shared" si="4"/>
        <v>#DIV/0!</v>
      </c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</row>
    <row r="84" spans="1:27" ht="15.75" customHeight="1">
      <c r="A84" s="202"/>
      <c r="B84" s="198"/>
      <c r="C84" s="199"/>
      <c r="D84" s="199"/>
      <c r="E84" s="199"/>
      <c r="F84" s="199"/>
      <c r="G84" s="199"/>
      <c r="H84" s="203" t="e">
        <f t="shared" si="3"/>
        <v>#DIV/0!</v>
      </c>
      <c r="I84" s="203" t="e">
        <f t="shared" si="4"/>
        <v>#DIV/0!</v>
      </c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</row>
    <row r="85" spans="1:27" ht="15.75" customHeight="1">
      <c r="A85" s="202"/>
      <c r="B85" s="198"/>
      <c r="C85" s="199"/>
      <c r="D85" s="199"/>
      <c r="E85" s="199"/>
      <c r="F85" s="199"/>
      <c r="G85" s="199"/>
      <c r="H85" s="203" t="e">
        <f t="shared" si="3"/>
        <v>#DIV/0!</v>
      </c>
      <c r="I85" s="203" t="e">
        <f t="shared" si="4"/>
        <v>#DIV/0!</v>
      </c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</row>
    <row r="86" spans="1:27" ht="15.75" customHeight="1">
      <c r="A86" s="202"/>
      <c r="B86" s="198"/>
      <c r="C86" s="199"/>
      <c r="D86" s="199"/>
      <c r="E86" s="199"/>
      <c r="F86" s="199"/>
      <c r="G86" s="199"/>
      <c r="H86" s="203" t="e">
        <f t="shared" si="3"/>
        <v>#DIV/0!</v>
      </c>
      <c r="I86" s="203" t="e">
        <f t="shared" si="4"/>
        <v>#DIV/0!</v>
      </c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</row>
    <row r="87" spans="1:27" ht="15.75" customHeight="1">
      <c r="A87" s="202"/>
      <c r="B87" s="198"/>
      <c r="C87" s="199"/>
      <c r="D87" s="199"/>
      <c r="E87" s="199"/>
      <c r="F87" s="199"/>
      <c r="G87" s="199"/>
      <c r="H87" s="203" t="e">
        <f t="shared" si="3"/>
        <v>#DIV/0!</v>
      </c>
      <c r="I87" s="203" t="e">
        <f t="shared" si="4"/>
        <v>#DIV/0!</v>
      </c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</row>
    <row r="88" spans="1:27" ht="15.75" customHeight="1">
      <c r="A88" s="202"/>
      <c r="B88" s="198"/>
      <c r="C88" s="199"/>
      <c r="D88" s="199"/>
      <c r="E88" s="199"/>
      <c r="F88" s="199"/>
      <c r="G88" s="199"/>
      <c r="H88" s="203" t="e">
        <f t="shared" si="3"/>
        <v>#DIV/0!</v>
      </c>
      <c r="I88" s="203" t="e">
        <f t="shared" si="4"/>
        <v>#DIV/0!</v>
      </c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</row>
    <row r="89" spans="1:27" ht="15.75" customHeight="1">
      <c r="A89" s="202"/>
      <c r="B89" s="198"/>
      <c r="C89" s="199"/>
      <c r="D89" s="199"/>
      <c r="E89" s="199"/>
      <c r="F89" s="199"/>
      <c r="G89" s="199"/>
      <c r="H89" s="203" t="e">
        <f t="shared" si="3"/>
        <v>#DIV/0!</v>
      </c>
      <c r="I89" s="203" t="e">
        <f t="shared" si="4"/>
        <v>#DIV/0!</v>
      </c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</row>
    <row r="90" spans="1:27" ht="15.75" customHeight="1">
      <c r="A90" s="202"/>
      <c r="B90" s="198"/>
      <c r="C90" s="199"/>
      <c r="D90" s="199"/>
      <c r="E90" s="199"/>
      <c r="F90" s="199"/>
      <c r="G90" s="199"/>
      <c r="H90" s="203" t="e">
        <f t="shared" si="3"/>
        <v>#DIV/0!</v>
      </c>
      <c r="I90" s="203" t="e">
        <f t="shared" si="4"/>
        <v>#DIV/0!</v>
      </c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</row>
    <row r="91" spans="1:27" ht="15.75" customHeight="1">
      <c r="A91" s="202"/>
      <c r="B91" s="198"/>
      <c r="C91" s="199"/>
      <c r="D91" s="199"/>
      <c r="E91" s="199"/>
      <c r="F91" s="199"/>
      <c r="G91" s="199"/>
      <c r="H91" s="203" t="e">
        <f t="shared" si="3"/>
        <v>#DIV/0!</v>
      </c>
      <c r="I91" s="203" t="e">
        <f t="shared" si="4"/>
        <v>#DIV/0!</v>
      </c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</row>
    <row r="92" spans="1:27" ht="15.75" customHeight="1">
      <c r="A92" s="202"/>
      <c r="B92" s="198"/>
      <c r="C92" s="199"/>
      <c r="D92" s="199"/>
      <c r="E92" s="199"/>
      <c r="F92" s="199"/>
      <c r="G92" s="199"/>
      <c r="H92" s="203" t="e">
        <f t="shared" si="3"/>
        <v>#DIV/0!</v>
      </c>
      <c r="I92" s="203" t="e">
        <f t="shared" si="4"/>
        <v>#DIV/0!</v>
      </c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</row>
    <row r="93" spans="1:27" ht="15.75" customHeight="1">
      <c r="A93" s="202"/>
      <c r="B93" s="198"/>
      <c r="C93" s="199"/>
      <c r="D93" s="199"/>
      <c r="E93" s="199"/>
      <c r="F93" s="199"/>
      <c r="G93" s="199"/>
      <c r="H93" s="203" t="e">
        <f t="shared" si="3"/>
        <v>#DIV/0!</v>
      </c>
      <c r="I93" s="203" t="e">
        <f t="shared" si="4"/>
        <v>#DIV/0!</v>
      </c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</row>
    <row r="94" spans="1:27" ht="15.75" customHeight="1">
      <c r="A94" s="202"/>
      <c r="B94" s="198"/>
      <c r="C94" s="199"/>
      <c r="D94" s="199"/>
      <c r="E94" s="199"/>
      <c r="F94" s="199"/>
      <c r="G94" s="199"/>
      <c r="H94" s="203" t="e">
        <f t="shared" si="3"/>
        <v>#DIV/0!</v>
      </c>
      <c r="I94" s="203" t="e">
        <f t="shared" si="4"/>
        <v>#DIV/0!</v>
      </c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</row>
    <row r="95" spans="1:27" ht="15.75" customHeight="1">
      <c r="A95" s="202"/>
      <c r="B95" s="198"/>
      <c r="C95" s="199"/>
      <c r="D95" s="199"/>
      <c r="E95" s="199"/>
      <c r="F95" s="199"/>
      <c r="G95" s="199"/>
      <c r="H95" s="203" t="e">
        <f t="shared" si="3"/>
        <v>#DIV/0!</v>
      </c>
      <c r="I95" s="203" t="e">
        <f t="shared" si="4"/>
        <v>#DIV/0!</v>
      </c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</row>
    <row r="96" spans="1:27" ht="15.75" customHeight="1">
      <c r="A96" s="202"/>
      <c r="B96" s="198"/>
      <c r="C96" s="199"/>
      <c r="D96" s="199"/>
      <c r="E96" s="199"/>
      <c r="F96" s="199"/>
      <c r="G96" s="199"/>
      <c r="H96" s="203" t="e">
        <f t="shared" si="3"/>
        <v>#DIV/0!</v>
      </c>
      <c r="I96" s="203" t="e">
        <f t="shared" si="4"/>
        <v>#DIV/0!</v>
      </c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</row>
    <row r="97" spans="1:27" ht="15.75" customHeight="1">
      <c r="A97" s="202"/>
      <c r="B97" s="198"/>
      <c r="C97" s="199"/>
      <c r="D97" s="199"/>
      <c r="E97" s="199"/>
      <c r="F97" s="199"/>
      <c r="G97" s="199"/>
      <c r="H97" s="203" t="e">
        <f t="shared" si="3"/>
        <v>#DIV/0!</v>
      </c>
      <c r="I97" s="203" t="e">
        <f t="shared" si="4"/>
        <v>#DIV/0!</v>
      </c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</row>
    <row r="98" spans="1:27" ht="15.75" customHeight="1">
      <c r="A98" s="202"/>
      <c r="B98" s="198"/>
      <c r="C98" s="199"/>
      <c r="D98" s="199"/>
      <c r="E98" s="199"/>
      <c r="F98" s="199"/>
      <c r="G98" s="199"/>
      <c r="H98" s="203" t="e">
        <f t="shared" si="3"/>
        <v>#DIV/0!</v>
      </c>
      <c r="I98" s="203" t="e">
        <f t="shared" si="4"/>
        <v>#DIV/0!</v>
      </c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</row>
    <row r="99" spans="1:27" ht="15.75" customHeight="1">
      <c r="A99" s="202"/>
      <c r="B99" s="198"/>
      <c r="C99" s="199"/>
      <c r="D99" s="199"/>
      <c r="E99" s="199"/>
      <c r="F99" s="199"/>
      <c r="G99" s="199"/>
      <c r="H99" s="203" t="e">
        <f t="shared" si="3"/>
        <v>#DIV/0!</v>
      </c>
      <c r="I99" s="203" t="e">
        <f t="shared" si="4"/>
        <v>#DIV/0!</v>
      </c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</row>
    <row r="100" spans="1:27" ht="15.75" customHeight="1">
      <c r="A100" s="202"/>
      <c r="B100" s="198"/>
      <c r="C100" s="199"/>
      <c r="D100" s="199"/>
      <c r="E100" s="199"/>
      <c r="F100" s="199"/>
      <c r="G100" s="199"/>
      <c r="H100" s="203" t="e">
        <f t="shared" si="3"/>
        <v>#DIV/0!</v>
      </c>
      <c r="I100" s="203" t="e">
        <f t="shared" si="4"/>
        <v>#DIV/0!</v>
      </c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</row>
    <row r="101" spans="1:27" ht="15.75" customHeight="1">
      <c r="A101" s="202"/>
      <c r="B101" s="198"/>
      <c r="C101" s="199"/>
      <c r="D101" s="199"/>
      <c r="E101" s="199"/>
      <c r="F101" s="199"/>
      <c r="G101" s="199"/>
      <c r="H101" s="203" t="e">
        <f t="shared" si="3"/>
        <v>#DIV/0!</v>
      </c>
      <c r="I101" s="203" t="e">
        <f t="shared" si="4"/>
        <v>#DIV/0!</v>
      </c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</row>
    <row r="102" spans="1:27" ht="15.75" customHeight="1">
      <c r="A102" s="202"/>
      <c r="B102" s="198"/>
      <c r="C102" s="199"/>
      <c r="D102" s="199"/>
      <c r="E102" s="199"/>
      <c r="F102" s="199"/>
      <c r="G102" s="199"/>
      <c r="H102" s="203" t="e">
        <f t="shared" si="3"/>
        <v>#DIV/0!</v>
      </c>
      <c r="I102" s="203" t="e">
        <f t="shared" si="4"/>
        <v>#DIV/0!</v>
      </c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</row>
    <row r="103" spans="1:27" ht="15.75" customHeight="1">
      <c r="A103" s="202"/>
      <c r="B103" s="198"/>
      <c r="C103" s="199"/>
      <c r="D103" s="199"/>
      <c r="E103" s="199"/>
      <c r="F103" s="199"/>
      <c r="G103" s="199"/>
      <c r="H103" s="203" t="e">
        <f t="shared" si="3"/>
        <v>#DIV/0!</v>
      </c>
      <c r="I103" s="203" t="e">
        <f t="shared" si="4"/>
        <v>#DIV/0!</v>
      </c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</row>
    <row r="104" spans="1:27" ht="15.75" customHeight="1">
      <c r="A104" s="202"/>
      <c r="B104" s="198"/>
      <c r="C104" s="199"/>
      <c r="D104" s="199"/>
      <c r="E104" s="199"/>
      <c r="F104" s="199"/>
      <c r="G104" s="199"/>
      <c r="H104" s="203" t="e">
        <f t="shared" si="3"/>
        <v>#DIV/0!</v>
      </c>
      <c r="I104" s="203" t="e">
        <f t="shared" si="4"/>
        <v>#DIV/0!</v>
      </c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</row>
    <row r="105" spans="1:27" ht="15.75" customHeight="1">
      <c r="A105" s="202"/>
      <c r="B105" s="198"/>
      <c r="C105" s="199"/>
      <c r="D105" s="199"/>
      <c r="E105" s="199"/>
      <c r="F105" s="199"/>
      <c r="G105" s="199"/>
      <c r="H105" s="203" t="e">
        <f t="shared" si="3"/>
        <v>#DIV/0!</v>
      </c>
      <c r="I105" s="203" t="e">
        <f t="shared" si="4"/>
        <v>#DIV/0!</v>
      </c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</row>
    <row r="106" spans="1:27" ht="15.75" customHeight="1">
      <c r="A106" s="202"/>
      <c r="B106" s="198"/>
      <c r="C106" s="199"/>
      <c r="D106" s="199"/>
      <c r="E106" s="199"/>
      <c r="F106" s="199"/>
      <c r="G106" s="199"/>
      <c r="H106" s="203" t="e">
        <f t="shared" si="3"/>
        <v>#DIV/0!</v>
      </c>
      <c r="I106" s="203" t="e">
        <f t="shared" si="4"/>
        <v>#DIV/0!</v>
      </c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</row>
    <row r="107" spans="1:27" ht="15.75" customHeight="1">
      <c r="A107" s="202"/>
      <c r="B107" s="198"/>
      <c r="C107" s="199"/>
      <c r="D107" s="199"/>
      <c r="E107" s="199"/>
      <c r="F107" s="199"/>
      <c r="G107" s="199"/>
      <c r="H107" s="203" t="e">
        <f t="shared" si="3"/>
        <v>#DIV/0!</v>
      </c>
      <c r="I107" s="203" t="e">
        <f t="shared" si="4"/>
        <v>#DIV/0!</v>
      </c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</row>
    <row r="108" spans="1:27" ht="15.75" customHeight="1">
      <c r="A108" s="202"/>
      <c r="B108" s="198"/>
      <c r="C108" s="199"/>
      <c r="D108" s="199"/>
      <c r="E108" s="199"/>
      <c r="F108" s="199"/>
      <c r="G108" s="199"/>
      <c r="H108" s="203" t="e">
        <f t="shared" si="3"/>
        <v>#DIV/0!</v>
      </c>
      <c r="I108" s="203" t="e">
        <f t="shared" si="4"/>
        <v>#DIV/0!</v>
      </c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</row>
    <row r="109" spans="1:27" ht="15.75" customHeight="1">
      <c r="A109" s="202"/>
      <c r="B109" s="198"/>
      <c r="C109" s="199"/>
      <c r="D109" s="199"/>
      <c r="E109" s="199"/>
      <c r="F109" s="199"/>
      <c r="G109" s="199"/>
      <c r="H109" s="203" t="e">
        <f t="shared" si="3"/>
        <v>#DIV/0!</v>
      </c>
      <c r="I109" s="203" t="e">
        <f t="shared" si="4"/>
        <v>#DIV/0!</v>
      </c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</row>
    <row r="110" spans="1:27" ht="15.75" customHeight="1">
      <c r="A110" s="202"/>
      <c r="B110" s="198"/>
      <c r="C110" s="199"/>
      <c r="D110" s="199"/>
      <c r="E110" s="199"/>
      <c r="F110" s="199"/>
      <c r="G110" s="199"/>
      <c r="H110" s="203" t="e">
        <f t="shared" si="3"/>
        <v>#DIV/0!</v>
      </c>
      <c r="I110" s="203" t="e">
        <f t="shared" si="4"/>
        <v>#DIV/0!</v>
      </c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</row>
    <row r="111" spans="1:27" ht="15.75" customHeight="1">
      <c r="A111" s="202"/>
      <c r="B111" s="198"/>
      <c r="C111" s="199"/>
      <c r="D111" s="199"/>
      <c r="E111" s="199"/>
      <c r="F111" s="199"/>
      <c r="G111" s="199"/>
      <c r="H111" s="203" t="e">
        <f t="shared" si="3"/>
        <v>#DIV/0!</v>
      </c>
      <c r="I111" s="203" t="e">
        <f t="shared" si="4"/>
        <v>#DIV/0!</v>
      </c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</row>
    <row r="112" spans="1:27" ht="15.75" customHeight="1">
      <c r="A112" s="202"/>
      <c r="B112" s="198"/>
      <c r="C112" s="199"/>
      <c r="D112" s="199"/>
      <c r="E112" s="199"/>
      <c r="F112" s="199"/>
      <c r="G112" s="199"/>
      <c r="H112" s="203" t="e">
        <f t="shared" si="3"/>
        <v>#DIV/0!</v>
      </c>
      <c r="I112" s="203" t="e">
        <f t="shared" si="4"/>
        <v>#DIV/0!</v>
      </c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</row>
    <row r="113" spans="1:27" ht="15.75" customHeight="1">
      <c r="A113" s="202"/>
      <c r="B113" s="198"/>
      <c r="C113" s="199"/>
      <c r="D113" s="199"/>
      <c r="E113" s="199"/>
      <c r="F113" s="199"/>
      <c r="G113" s="199"/>
      <c r="H113" s="203" t="e">
        <f t="shared" si="3"/>
        <v>#DIV/0!</v>
      </c>
      <c r="I113" s="203" t="e">
        <f t="shared" si="4"/>
        <v>#DIV/0!</v>
      </c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</row>
    <row r="114" spans="1:27" ht="15.75" customHeight="1">
      <c r="A114" s="202"/>
      <c r="B114" s="198"/>
      <c r="C114" s="199"/>
      <c r="D114" s="199"/>
      <c r="E114" s="199"/>
      <c r="F114" s="199"/>
      <c r="G114" s="199"/>
      <c r="H114" s="203" t="e">
        <f t="shared" si="3"/>
        <v>#DIV/0!</v>
      </c>
      <c r="I114" s="203" t="e">
        <f t="shared" si="4"/>
        <v>#DIV/0!</v>
      </c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</row>
    <row r="115" spans="1:27" ht="15.75" customHeight="1">
      <c r="A115" s="202"/>
      <c r="B115" s="198"/>
      <c r="C115" s="199"/>
      <c r="D115" s="199"/>
      <c r="E115" s="199"/>
      <c r="F115" s="199"/>
      <c r="G115" s="199"/>
      <c r="H115" s="203" t="e">
        <f t="shared" si="3"/>
        <v>#DIV/0!</v>
      </c>
      <c r="I115" s="203" t="e">
        <f t="shared" si="4"/>
        <v>#DIV/0!</v>
      </c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</row>
    <row r="116" spans="1:27" ht="15.75" customHeight="1">
      <c r="A116" s="202"/>
      <c r="B116" s="198"/>
      <c r="C116" s="199"/>
      <c r="D116" s="199"/>
      <c r="E116" s="199"/>
      <c r="F116" s="199"/>
      <c r="G116" s="199"/>
      <c r="H116" s="203" t="e">
        <f t="shared" si="3"/>
        <v>#DIV/0!</v>
      </c>
      <c r="I116" s="203" t="e">
        <f t="shared" si="4"/>
        <v>#DIV/0!</v>
      </c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6"/>
    </row>
    <row r="117" spans="1:27" ht="15.75" customHeight="1">
      <c r="A117" s="202"/>
      <c r="B117" s="198"/>
      <c r="C117" s="199"/>
      <c r="D117" s="199"/>
      <c r="E117" s="199"/>
      <c r="F117" s="199"/>
      <c r="G117" s="199"/>
      <c r="H117" s="203" t="e">
        <f t="shared" si="3"/>
        <v>#DIV/0!</v>
      </c>
      <c r="I117" s="203" t="e">
        <f t="shared" si="4"/>
        <v>#DIV/0!</v>
      </c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</row>
    <row r="118" spans="1:27" ht="15.75" customHeight="1">
      <c r="A118" s="202"/>
      <c r="B118" s="198"/>
      <c r="C118" s="199"/>
      <c r="D118" s="199"/>
      <c r="E118" s="199"/>
      <c r="F118" s="199"/>
      <c r="G118" s="199"/>
      <c r="H118" s="203" t="e">
        <f t="shared" si="3"/>
        <v>#DIV/0!</v>
      </c>
      <c r="I118" s="203" t="e">
        <f t="shared" si="4"/>
        <v>#DIV/0!</v>
      </c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</row>
    <row r="119" spans="1:27" ht="15.75" customHeight="1">
      <c r="A119" s="202"/>
      <c r="B119" s="198"/>
      <c r="C119" s="199"/>
      <c r="D119" s="199"/>
      <c r="E119" s="199"/>
      <c r="F119" s="199"/>
      <c r="G119" s="199"/>
      <c r="H119" s="203" t="e">
        <f t="shared" si="3"/>
        <v>#DIV/0!</v>
      </c>
      <c r="I119" s="203" t="e">
        <f t="shared" si="4"/>
        <v>#DIV/0!</v>
      </c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</row>
    <row r="120" spans="1:27" ht="15.75" customHeight="1">
      <c r="A120" s="202"/>
      <c r="B120" s="198"/>
      <c r="C120" s="199"/>
      <c r="D120" s="199"/>
      <c r="E120" s="199"/>
      <c r="F120" s="199"/>
      <c r="G120" s="199"/>
      <c r="H120" s="203" t="e">
        <f t="shared" si="3"/>
        <v>#DIV/0!</v>
      </c>
      <c r="I120" s="203" t="e">
        <f t="shared" si="4"/>
        <v>#DIV/0!</v>
      </c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</row>
    <row r="121" spans="1:27" ht="15.75" customHeight="1">
      <c r="A121" s="202"/>
      <c r="B121" s="198"/>
      <c r="C121" s="199"/>
      <c r="D121" s="199"/>
      <c r="E121" s="199"/>
      <c r="F121" s="199"/>
      <c r="G121" s="199"/>
      <c r="H121" s="203" t="e">
        <f t="shared" si="3"/>
        <v>#DIV/0!</v>
      </c>
      <c r="I121" s="203" t="e">
        <f t="shared" si="4"/>
        <v>#DIV/0!</v>
      </c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</row>
    <row r="122" spans="1:27" ht="15.75" customHeight="1">
      <c r="A122" s="202"/>
      <c r="B122" s="198"/>
      <c r="C122" s="199"/>
      <c r="D122" s="199"/>
      <c r="E122" s="199"/>
      <c r="F122" s="199"/>
      <c r="G122" s="199"/>
      <c r="H122" s="203" t="e">
        <f t="shared" si="3"/>
        <v>#DIV/0!</v>
      </c>
      <c r="I122" s="203" t="e">
        <f t="shared" si="4"/>
        <v>#DIV/0!</v>
      </c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</row>
    <row r="123" spans="1:27" ht="15.75" customHeight="1">
      <c r="A123" s="202"/>
      <c r="B123" s="198"/>
      <c r="C123" s="199"/>
      <c r="D123" s="199"/>
      <c r="E123" s="199"/>
      <c r="F123" s="199"/>
      <c r="G123" s="199"/>
      <c r="H123" s="203" t="e">
        <f t="shared" si="3"/>
        <v>#DIV/0!</v>
      </c>
      <c r="I123" s="203" t="e">
        <f t="shared" si="4"/>
        <v>#DIV/0!</v>
      </c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</row>
    <row r="124" spans="1:27" ht="15.75" customHeight="1">
      <c r="A124" s="202"/>
      <c r="B124" s="198"/>
      <c r="C124" s="199"/>
      <c r="D124" s="199"/>
      <c r="E124" s="199"/>
      <c r="F124" s="199"/>
      <c r="G124" s="199"/>
      <c r="H124" s="203" t="e">
        <f t="shared" si="3"/>
        <v>#DIV/0!</v>
      </c>
      <c r="I124" s="203" t="e">
        <f t="shared" si="4"/>
        <v>#DIV/0!</v>
      </c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</row>
    <row r="125" spans="1:27" ht="15.75" customHeight="1">
      <c r="A125" s="202"/>
      <c r="B125" s="198"/>
      <c r="C125" s="199"/>
      <c r="D125" s="199"/>
      <c r="E125" s="199"/>
      <c r="F125" s="199"/>
      <c r="G125" s="199"/>
      <c r="H125" s="203" t="e">
        <f t="shared" si="3"/>
        <v>#DIV/0!</v>
      </c>
      <c r="I125" s="203" t="e">
        <f t="shared" si="4"/>
        <v>#DIV/0!</v>
      </c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</row>
    <row r="126" spans="1:27" ht="15.75" customHeight="1">
      <c r="A126" s="202"/>
      <c r="B126" s="198"/>
      <c r="C126" s="199"/>
      <c r="D126" s="199"/>
      <c r="E126" s="199"/>
      <c r="F126" s="199"/>
      <c r="G126" s="199"/>
      <c r="H126" s="203" t="e">
        <f t="shared" si="3"/>
        <v>#DIV/0!</v>
      </c>
      <c r="I126" s="203" t="e">
        <f t="shared" si="4"/>
        <v>#DIV/0!</v>
      </c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</row>
    <row r="127" spans="1:27" ht="15.75" customHeight="1">
      <c r="A127" s="202"/>
      <c r="B127" s="198"/>
      <c r="C127" s="199"/>
      <c r="D127" s="199"/>
      <c r="E127" s="199"/>
      <c r="F127" s="199"/>
      <c r="G127" s="199"/>
      <c r="H127" s="203" t="e">
        <f t="shared" si="3"/>
        <v>#DIV/0!</v>
      </c>
      <c r="I127" s="203" t="e">
        <f t="shared" si="4"/>
        <v>#DIV/0!</v>
      </c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</row>
    <row r="128" spans="1:27" ht="15.75" customHeight="1">
      <c r="A128" s="202"/>
      <c r="B128" s="198"/>
      <c r="C128" s="199"/>
      <c r="D128" s="199"/>
      <c r="E128" s="199"/>
      <c r="F128" s="199"/>
      <c r="G128" s="199"/>
      <c r="H128" s="203" t="e">
        <f t="shared" si="3"/>
        <v>#DIV/0!</v>
      </c>
      <c r="I128" s="203" t="e">
        <f t="shared" si="4"/>
        <v>#DIV/0!</v>
      </c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  <c r="AA128" s="96"/>
    </row>
    <row r="129" spans="1:27" ht="15.75" customHeight="1">
      <c r="A129" s="202"/>
      <c r="B129" s="198"/>
      <c r="C129" s="199"/>
      <c r="D129" s="199"/>
      <c r="E129" s="199"/>
      <c r="F129" s="199"/>
      <c r="G129" s="199"/>
      <c r="H129" s="203" t="e">
        <f t="shared" si="3"/>
        <v>#DIV/0!</v>
      </c>
      <c r="I129" s="203" t="e">
        <f t="shared" si="4"/>
        <v>#DIV/0!</v>
      </c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  <c r="AA129" s="96"/>
    </row>
    <row r="130" spans="1:27" ht="15.75" customHeight="1">
      <c r="A130" s="202"/>
      <c r="B130" s="198"/>
      <c r="C130" s="199"/>
      <c r="D130" s="199"/>
      <c r="E130" s="199"/>
      <c r="F130" s="199"/>
      <c r="G130" s="199"/>
      <c r="H130" s="203" t="e">
        <f t="shared" si="3"/>
        <v>#DIV/0!</v>
      </c>
      <c r="I130" s="203" t="e">
        <f t="shared" si="4"/>
        <v>#DIV/0!</v>
      </c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</row>
    <row r="131" spans="1:27" ht="15.75" customHeight="1">
      <c r="A131" s="202"/>
      <c r="B131" s="198"/>
      <c r="C131" s="199"/>
      <c r="D131" s="199"/>
      <c r="E131" s="199"/>
      <c r="F131" s="199"/>
      <c r="G131" s="199"/>
      <c r="H131" s="203" t="e">
        <f t="shared" si="3"/>
        <v>#DIV/0!</v>
      </c>
      <c r="I131" s="203" t="e">
        <f t="shared" si="4"/>
        <v>#DIV/0!</v>
      </c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6"/>
    </row>
    <row r="132" spans="1:27" ht="15.75" customHeight="1">
      <c r="A132" s="202"/>
      <c r="B132" s="198"/>
      <c r="C132" s="199"/>
      <c r="D132" s="199"/>
      <c r="E132" s="199"/>
      <c r="F132" s="199"/>
      <c r="G132" s="199"/>
      <c r="H132" s="203" t="e">
        <f t="shared" si="3"/>
        <v>#DIV/0!</v>
      </c>
      <c r="I132" s="203" t="e">
        <f t="shared" si="4"/>
        <v>#DIV/0!</v>
      </c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  <c r="AA132" s="96"/>
    </row>
    <row r="133" spans="1:27" ht="15.75" customHeight="1">
      <c r="A133" s="202"/>
      <c r="B133" s="198"/>
      <c r="C133" s="199"/>
      <c r="D133" s="199"/>
      <c r="E133" s="199"/>
      <c r="F133" s="199"/>
      <c r="G133" s="199"/>
      <c r="H133" s="203" t="e">
        <f t="shared" si="3"/>
        <v>#DIV/0!</v>
      </c>
      <c r="I133" s="203" t="e">
        <f t="shared" si="4"/>
        <v>#DIV/0!</v>
      </c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</row>
    <row r="134" spans="1:27" ht="15.75" customHeight="1">
      <c r="A134" s="202"/>
      <c r="B134" s="198"/>
      <c r="C134" s="199"/>
      <c r="D134" s="199"/>
      <c r="E134" s="199"/>
      <c r="F134" s="199"/>
      <c r="G134" s="199"/>
      <c r="H134" s="203" t="e">
        <f t="shared" si="3"/>
        <v>#DIV/0!</v>
      </c>
      <c r="I134" s="203" t="e">
        <f t="shared" si="4"/>
        <v>#DIV/0!</v>
      </c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</row>
    <row r="135" spans="1:27" ht="15.75" customHeight="1">
      <c r="A135" s="202"/>
      <c r="B135" s="198"/>
      <c r="C135" s="199"/>
      <c r="D135" s="199"/>
      <c r="E135" s="199"/>
      <c r="F135" s="199"/>
      <c r="G135" s="199"/>
      <c r="H135" s="203" t="e">
        <f t="shared" si="3"/>
        <v>#DIV/0!</v>
      </c>
      <c r="I135" s="203" t="e">
        <f t="shared" si="4"/>
        <v>#DIV/0!</v>
      </c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  <c r="AA135" s="96"/>
    </row>
    <row r="136" spans="1:27" ht="15.75" customHeight="1">
      <c r="A136" s="202"/>
      <c r="B136" s="198"/>
      <c r="C136" s="199"/>
      <c r="D136" s="199"/>
      <c r="E136" s="199"/>
      <c r="F136" s="199"/>
      <c r="G136" s="199"/>
      <c r="H136" s="203" t="e">
        <f t="shared" si="3"/>
        <v>#DIV/0!</v>
      </c>
      <c r="I136" s="203" t="e">
        <f t="shared" si="4"/>
        <v>#DIV/0!</v>
      </c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  <c r="AA136" s="96"/>
    </row>
    <row r="137" spans="1:27" ht="15.75" customHeight="1">
      <c r="A137" s="202"/>
      <c r="B137" s="198"/>
      <c r="C137" s="199"/>
      <c r="D137" s="199"/>
      <c r="E137" s="199"/>
      <c r="F137" s="199"/>
      <c r="G137" s="199"/>
      <c r="H137" s="203" t="e">
        <f t="shared" si="3"/>
        <v>#DIV/0!</v>
      </c>
      <c r="I137" s="203" t="e">
        <f t="shared" si="4"/>
        <v>#DIV/0!</v>
      </c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</row>
    <row r="138" spans="1:27" ht="15.75" customHeight="1">
      <c r="A138" s="202"/>
      <c r="B138" s="198"/>
      <c r="C138" s="199"/>
      <c r="D138" s="199"/>
      <c r="E138" s="199"/>
      <c r="F138" s="199"/>
      <c r="G138" s="199"/>
      <c r="H138" s="203" t="e">
        <f t="shared" si="3"/>
        <v>#DIV/0!</v>
      </c>
      <c r="I138" s="203" t="e">
        <f t="shared" si="4"/>
        <v>#DIV/0!</v>
      </c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</row>
    <row r="139" spans="1:27" ht="15.75" customHeight="1">
      <c r="A139" s="202"/>
      <c r="B139" s="198"/>
      <c r="C139" s="199"/>
      <c r="D139" s="199"/>
      <c r="E139" s="199"/>
      <c r="F139" s="199"/>
      <c r="G139" s="199"/>
      <c r="H139" s="203" t="e">
        <f t="shared" si="3"/>
        <v>#DIV/0!</v>
      </c>
      <c r="I139" s="203" t="e">
        <f t="shared" si="4"/>
        <v>#DIV/0!</v>
      </c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  <c r="AA139" s="96"/>
    </row>
    <row r="140" spans="1:27" ht="15.75" customHeight="1">
      <c r="A140" s="202"/>
      <c r="B140" s="198"/>
      <c r="C140" s="199"/>
      <c r="D140" s="199"/>
      <c r="E140" s="199"/>
      <c r="F140" s="199"/>
      <c r="G140" s="199"/>
      <c r="H140" s="203" t="e">
        <f t="shared" si="3"/>
        <v>#DIV/0!</v>
      </c>
      <c r="I140" s="203" t="e">
        <f t="shared" si="4"/>
        <v>#DIV/0!</v>
      </c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  <c r="AA140" s="96"/>
    </row>
    <row r="141" spans="1:27" ht="15.75" customHeight="1">
      <c r="A141" s="202"/>
      <c r="B141" s="198"/>
      <c r="C141" s="199"/>
      <c r="D141" s="199"/>
      <c r="E141" s="199"/>
      <c r="F141" s="199"/>
      <c r="G141" s="199"/>
      <c r="H141" s="203" t="e">
        <f t="shared" si="3"/>
        <v>#DIV/0!</v>
      </c>
      <c r="I141" s="203" t="e">
        <f t="shared" si="4"/>
        <v>#DIV/0!</v>
      </c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  <c r="AA141" s="96"/>
    </row>
    <row r="142" spans="1:27" ht="15.75" customHeight="1">
      <c r="A142" s="202"/>
      <c r="B142" s="198"/>
      <c r="C142" s="199"/>
      <c r="D142" s="199"/>
      <c r="E142" s="199"/>
      <c r="F142" s="199"/>
      <c r="G142" s="199"/>
      <c r="H142" s="203" t="e">
        <f t="shared" si="3"/>
        <v>#DIV/0!</v>
      </c>
      <c r="I142" s="203" t="e">
        <f t="shared" si="4"/>
        <v>#DIV/0!</v>
      </c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  <c r="AA142" s="96"/>
    </row>
    <row r="143" spans="1:27" ht="15.75" customHeight="1">
      <c r="A143" s="202"/>
      <c r="B143" s="198"/>
      <c r="C143" s="199"/>
      <c r="D143" s="199"/>
      <c r="E143" s="199"/>
      <c r="F143" s="199"/>
      <c r="G143" s="199"/>
      <c r="H143" s="203" t="e">
        <f t="shared" si="3"/>
        <v>#DIV/0!</v>
      </c>
      <c r="I143" s="203" t="e">
        <f t="shared" si="4"/>
        <v>#DIV/0!</v>
      </c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6"/>
    </row>
    <row r="144" spans="1:27" ht="15.75" customHeight="1">
      <c r="A144" s="202"/>
      <c r="B144" s="198"/>
      <c r="C144" s="199"/>
      <c r="D144" s="199"/>
      <c r="E144" s="199"/>
      <c r="F144" s="199"/>
      <c r="G144" s="199"/>
      <c r="H144" s="203" t="e">
        <f t="shared" si="3"/>
        <v>#DIV/0!</v>
      </c>
      <c r="I144" s="203" t="e">
        <f t="shared" si="4"/>
        <v>#DIV/0!</v>
      </c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</row>
    <row r="145" spans="1:27" ht="15.75" customHeight="1">
      <c r="A145" s="202"/>
      <c r="B145" s="198"/>
      <c r="C145" s="199"/>
      <c r="D145" s="199"/>
      <c r="E145" s="199"/>
      <c r="F145" s="199"/>
      <c r="G145" s="199"/>
      <c r="H145" s="203" t="e">
        <f t="shared" si="3"/>
        <v>#DIV/0!</v>
      </c>
      <c r="I145" s="203" t="e">
        <f t="shared" si="4"/>
        <v>#DIV/0!</v>
      </c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</row>
    <row r="146" spans="1:27" ht="15.75" customHeight="1">
      <c r="A146" s="202"/>
      <c r="B146" s="198"/>
      <c r="C146" s="199"/>
      <c r="D146" s="199"/>
      <c r="E146" s="199"/>
      <c r="F146" s="199"/>
      <c r="G146" s="199"/>
      <c r="H146" s="203" t="e">
        <f t="shared" si="3"/>
        <v>#DIV/0!</v>
      </c>
      <c r="I146" s="203" t="e">
        <f t="shared" si="4"/>
        <v>#DIV/0!</v>
      </c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</row>
    <row r="147" spans="1:27" ht="15.75" customHeight="1">
      <c r="A147" s="202"/>
      <c r="B147" s="198"/>
      <c r="C147" s="199"/>
      <c r="D147" s="199"/>
      <c r="E147" s="199"/>
      <c r="F147" s="199"/>
      <c r="G147" s="199"/>
      <c r="H147" s="203" t="e">
        <f t="shared" si="3"/>
        <v>#DIV/0!</v>
      </c>
      <c r="I147" s="203" t="e">
        <f t="shared" si="4"/>
        <v>#DIV/0!</v>
      </c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</row>
    <row r="148" spans="1:27" ht="15.75" customHeight="1">
      <c r="A148" s="202"/>
      <c r="B148" s="198"/>
      <c r="C148" s="199"/>
      <c r="D148" s="199"/>
      <c r="E148" s="199"/>
      <c r="F148" s="199"/>
      <c r="G148" s="199"/>
      <c r="H148" s="203" t="e">
        <f t="shared" si="3"/>
        <v>#DIV/0!</v>
      </c>
      <c r="I148" s="203" t="e">
        <f t="shared" si="4"/>
        <v>#DIV/0!</v>
      </c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</row>
    <row r="149" spans="1:27" ht="15.75" customHeight="1">
      <c r="A149" s="202"/>
      <c r="B149" s="198"/>
      <c r="C149" s="199"/>
      <c r="D149" s="199"/>
      <c r="E149" s="199"/>
      <c r="F149" s="199"/>
      <c r="G149" s="199"/>
      <c r="H149" s="203" t="e">
        <f t="shared" si="3"/>
        <v>#DIV/0!</v>
      </c>
      <c r="I149" s="203" t="e">
        <f t="shared" si="4"/>
        <v>#DIV/0!</v>
      </c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</row>
    <row r="150" spans="1:27" ht="15.75" customHeight="1">
      <c r="A150" s="202"/>
      <c r="B150" s="198"/>
      <c r="C150" s="199"/>
      <c r="D150" s="199"/>
      <c r="E150" s="199"/>
      <c r="F150" s="199"/>
      <c r="G150" s="199"/>
      <c r="H150" s="203" t="e">
        <f t="shared" si="3"/>
        <v>#DIV/0!</v>
      </c>
      <c r="I150" s="203" t="e">
        <f t="shared" si="4"/>
        <v>#DIV/0!</v>
      </c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</row>
    <row r="151" spans="1:27" ht="15.75" customHeight="1">
      <c r="A151" s="202"/>
      <c r="B151" s="198"/>
      <c r="C151" s="199"/>
      <c r="D151" s="199"/>
      <c r="E151" s="199"/>
      <c r="F151" s="199"/>
      <c r="G151" s="199"/>
      <c r="H151" s="203" t="e">
        <f t="shared" si="3"/>
        <v>#DIV/0!</v>
      </c>
      <c r="I151" s="203" t="e">
        <f t="shared" si="4"/>
        <v>#DIV/0!</v>
      </c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6"/>
    </row>
    <row r="152" spans="1:27" ht="15.75" customHeight="1">
      <c r="A152" s="202"/>
      <c r="B152" s="198"/>
      <c r="C152" s="199"/>
      <c r="D152" s="199"/>
      <c r="E152" s="199"/>
      <c r="F152" s="199"/>
      <c r="G152" s="199"/>
      <c r="H152" s="203" t="e">
        <f t="shared" si="3"/>
        <v>#DIV/0!</v>
      </c>
      <c r="I152" s="203" t="e">
        <f t="shared" si="4"/>
        <v>#DIV/0!</v>
      </c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</row>
    <row r="153" spans="1:27" ht="15.75" customHeight="1">
      <c r="A153" s="202"/>
      <c r="B153" s="198"/>
      <c r="C153" s="199"/>
      <c r="D153" s="199"/>
      <c r="E153" s="199"/>
      <c r="F153" s="199"/>
      <c r="G153" s="199"/>
      <c r="H153" s="203" t="e">
        <f t="shared" si="3"/>
        <v>#DIV/0!</v>
      </c>
      <c r="I153" s="203" t="e">
        <f t="shared" si="4"/>
        <v>#DIV/0!</v>
      </c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</row>
    <row r="154" spans="1:27" ht="15.75" customHeight="1">
      <c r="A154" s="202"/>
      <c r="B154" s="198"/>
      <c r="C154" s="199"/>
      <c r="D154" s="199"/>
      <c r="E154" s="199"/>
      <c r="F154" s="199"/>
      <c r="G154" s="199"/>
      <c r="H154" s="203" t="e">
        <f t="shared" si="3"/>
        <v>#DIV/0!</v>
      </c>
      <c r="I154" s="203" t="e">
        <f t="shared" si="4"/>
        <v>#DIV/0!</v>
      </c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</row>
    <row r="155" spans="1:27" ht="15.75" customHeight="1">
      <c r="A155" s="202"/>
      <c r="B155" s="198"/>
      <c r="C155" s="199"/>
      <c r="D155" s="199"/>
      <c r="E155" s="199"/>
      <c r="F155" s="199"/>
      <c r="G155" s="199"/>
      <c r="H155" s="203" t="e">
        <f t="shared" si="3"/>
        <v>#DIV/0!</v>
      </c>
      <c r="I155" s="203" t="e">
        <f t="shared" si="4"/>
        <v>#DIV/0!</v>
      </c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</row>
    <row r="156" spans="1:27" ht="15.75" customHeight="1">
      <c r="A156" s="202"/>
      <c r="B156" s="198"/>
      <c r="C156" s="199"/>
      <c r="D156" s="199"/>
      <c r="E156" s="199"/>
      <c r="F156" s="199"/>
      <c r="G156" s="199"/>
      <c r="H156" s="203" t="e">
        <f t="shared" si="3"/>
        <v>#DIV/0!</v>
      </c>
      <c r="I156" s="203" t="e">
        <f t="shared" si="4"/>
        <v>#DIV/0!</v>
      </c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</row>
    <row r="157" spans="1:27" ht="15.75" customHeight="1">
      <c r="A157" s="202"/>
      <c r="B157" s="198"/>
      <c r="C157" s="199"/>
      <c r="D157" s="199"/>
      <c r="E157" s="199"/>
      <c r="F157" s="199"/>
      <c r="G157" s="199"/>
      <c r="H157" s="203" t="e">
        <f t="shared" si="3"/>
        <v>#DIV/0!</v>
      </c>
      <c r="I157" s="203" t="e">
        <f t="shared" si="4"/>
        <v>#DIV/0!</v>
      </c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</row>
    <row r="158" spans="1:27" ht="15.75" customHeight="1">
      <c r="A158" s="202"/>
      <c r="B158" s="198"/>
      <c r="C158" s="199"/>
      <c r="D158" s="199"/>
      <c r="E158" s="199"/>
      <c r="F158" s="199"/>
      <c r="G158" s="199"/>
      <c r="H158" s="203" t="e">
        <f t="shared" si="3"/>
        <v>#DIV/0!</v>
      </c>
      <c r="I158" s="203" t="e">
        <f t="shared" si="4"/>
        <v>#DIV/0!</v>
      </c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</row>
    <row r="159" spans="1:27" ht="15.75" customHeight="1">
      <c r="A159" s="202"/>
      <c r="B159" s="198"/>
      <c r="C159" s="199"/>
      <c r="D159" s="199"/>
      <c r="E159" s="199"/>
      <c r="F159" s="199"/>
      <c r="G159" s="199"/>
      <c r="H159" s="203" t="e">
        <f t="shared" si="3"/>
        <v>#DIV/0!</v>
      </c>
      <c r="I159" s="203" t="e">
        <f t="shared" si="4"/>
        <v>#DIV/0!</v>
      </c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</row>
    <row r="160" spans="1:27" ht="15.75" customHeight="1">
      <c r="A160" s="202"/>
      <c r="B160" s="198"/>
      <c r="C160" s="199"/>
      <c r="D160" s="199"/>
      <c r="E160" s="199"/>
      <c r="F160" s="199"/>
      <c r="G160" s="199"/>
      <c r="H160" s="203" t="e">
        <f t="shared" si="3"/>
        <v>#DIV/0!</v>
      </c>
      <c r="I160" s="203" t="e">
        <f t="shared" si="4"/>
        <v>#DIV/0!</v>
      </c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</row>
    <row r="161" spans="1:27" ht="15.75" customHeight="1">
      <c r="A161" s="202"/>
      <c r="B161" s="198"/>
      <c r="C161" s="199"/>
      <c r="D161" s="199"/>
      <c r="E161" s="199"/>
      <c r="F161" s="199"/>
      <c r="G161" s="199"/>
      <c r="H161" s="203" t="e">
        <f t="shared" si="3"/>
        <v>#DIV/0!</v>
      </c>
      <c r="I161" s="203" t="e">
        <f t="shared" si="4"/>
        <v>#DIV/0!</v>
      </c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</row>
    <row r="162" spans="1:27" ht="15.75" customHeight="1">
      <c r="A162" s="202"/>
      <c r="B162" s="198"/>
      <c r="C162" s="199"/>
      <c r="D162" s="199"/>
      <c r="E162" s="199"/>
      <c r="F162" s="199"/>
      <c r="G162" s="199"/>
      <c r="H162" s="203" t="e">
        <f t="shared" si="3"/>
        <v>#DIV/0!</v>
      </c>
      <c r="I162" s="203" t="e">
        <f t="shared" si="4"/>
        <v>#DIV/0!</v>
      </c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</row>
    <row r="163" spans="1:27" ht="15.75" customHeight="1">
      <c r="A163" s="202"/>
      <c r="B163" s="198"/>
      <c r="C163" s="199"/>
      <c r="D163" s="199"/>
      <c r="E163" s="199"/>
      <c r="F163" s="199"/>
      <c r="G163" s="199"/>
      <c r="H163" s="203" t="e">
        <f t="shared" si="3"/>
        <v>#DIV/0!</v>
      </c>
      <c r="I163" s="203" t="e">
        <f t="shared" si="4"/>
        <v>#DIV/0!</v>
      </c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</row>
    <row r="164" spans="1:27" ht="15.75" customHeight="1">
      <c r="A164" s="202"/>
      <c r="B164" s="198"/>
      <c r="C164" s="199"/>
      <c r="D164" s="199"/>
      <c r="E164" s="199"/>
      <c r="F164" s="199"/>
      <c r="G164" s="199"/>
      <c r="H164" s="203" t="e">
        <f t="shared" si="3"/>
        <v>#DIV/0!</v>
      </c>
      <c r="I164" s="203" t="e">
        <f t="shared" si="4"/>
        <v>#DIV/0!</v>
      </c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</row>
    <row r="165" spans="1:27" ht="15.75" customHeight="1">
      <c r="A165" s="202"/>
      <c r="B165" s="198"/>
      <c r="C165" s="199"/>
      <c r="D165" s="199"/>
      <c r="E165" s="199"/>
      <c r="F165" s="199"/>
      <c r="G165" s="199"/>
      <c r="H165" s="203" t="e">
        <f t="shared" si="3"/>
        <v>#DIV/0!</v>
      </c>
      <c r="I165" s="203" t="e">
        <f t="shared" si="4"/>
        <v>#DIV/0!</v>
      </c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</row>
    <row r="166" spans="1:27" ht="15.75" customHeight="1">
      <c r="A166" s="202"/>
      <c r="B166" s="198"/>
      <c r="C166" s="199"/>
      <c r="D166" s="199"/>
      <c r="E166" s="199"/>
      <c r="F166" s="199"/>
      <c r="G166" s="199"/>
      <c r="H166" s="203" t="e">
        <f t="shared" si="3"/>
        <v>#DIV/0!</v>
      </c>
      <c r="I166" s="203" t="e">
        <f t="shared" si="4"/>
        <v>#DIV/0!</v>
      </c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</row>
    <row r="167" spans="1:27" ht="15.75" customHeight="1">
      <c r="A167" s="202"/>
      <c r="B167" s="198"/>
      <c r="C167" s="199"/>
      <c r="D167" s="199"/>
      <c r="E167" s="199"/>
      <c r="F167" s="199"/>
      <c r="G167" s="199"/>
      <c r="H167" s="203" t="e">
        <f t="shared" si="3"/>
        <v>#DIV/0!</v>
      </c>
      <c r="I167" s="203" t="e">
        <f t="shared" si="4"/>
        <v>#DIV/0!</v>
      </c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</row>
    <row r="168" spans="1:27" ht="15.75" customHeight="1">
      <c r="A168" s="202"/>
      <c r="B168" s="198"/>
      <c r="C168" s="199"/>
      <c r="D168" s="199"/>
      <c r="E168" s="199"/>
      <c r="F168" s="199"/>
      <c r="G168" s="199"/>
      <c r="H168" s="203" t="e">
        <f t="shared" si="3"/>
        <v>#DIV/0!</v>
      </c>
      <c r="I168" s="203" t="e">
        <f t="shared" si="4"/>
        <v>#DIV/0!</v>
      </c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</row>
    <row r="169" spans="1:27" ht="15.75" customHeight="1">
      <c r="A169" s="202"/>
      <c r="B169" s="198"/>
      <c r="C169" s="199"/>
      <c r="D169" s="199"/>
      <c r="E169" s="199"/>
      <c r="F169" s="199"/>
      <c r="G169" s="199"/>
      <c r="H169" s="203" t="e">
        <f t="shared" si="3"/>
        <v>#DIV/0!</v>
      </c>
      <c r="I169" s="203" t="e">
        <f t="shared" si="4"/>
        <v>#DIV/0!</v>
      </c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</row>
    <row r="170" spans="1:27" ht="15.75" customHeight="1">
      <c r="A170" s="202"/>
      <c r="B170" s="198"/>
      <c r="C170" s="199"/>
      <c r="D170" s="199"/>
      <c r="E170" s="199"/>
      <c r="F170" s="199"/>
      <c r="G170" s="199"/>
      <c r="H170" s="203" t="e">
        <f t="shared" si="3"/>
        <v>#DIV/0!</v>
      </c>
      <c r="I170" s="203" t="e">
        <f t="shared" si="4"/>
        <v>#DIV/0!</v>
      </c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</row>
    <row r="171" spans="1:27" ht="15.75" customHeight="1">
      <c r="A171" s="202"/>
      <c r="B171" s="198"/>
      <c r="C171" s="199"/>
      <c r="D171" s="199"/>
      <c r="E171" s="199"/>
      <c r="F171" s="199"/>
      <c r="G171" s="199"/>
      <c r="H171" s="203" t="e">
        <f t="shared" si="3"/>
        <v>#DIV/0!</v>
      </c>
      <c r="I171" s="203" t="e">
        <f t="shared" si="4"/>
        <v>#DIV/0!</v>
      </c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</row>
    <row r="172" spans="1:27" ht="15.75" customHeight="1">
      <c r="A172" s="202"/>
      <c r="B172" s="198"/>
      <c r="C172" s="199"/>
      <c r="D172" s="199"/>
      <c r="E172" s="199"/>
      <c r="F172" s="199"/>
      <c r="G172" s="199"/>
      <c r="H172" s="203" t="e">
        <f t="shared" si="3"/>
        <v>#DIV/0!</v>
      </c>
      <c r="I172" s="203" t="e">
        <f t="shared" si="4"/>
        <v>#DIV/0!</v>
      </c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</row>
    <row r="173" spans="1:27" ht="15.75" customHeight="1">
      <c r="A173" s="202"/>
      <c r="B173" s="198"/>
      <c r="C173" s="199"/>
      <c r="D173" s="199"/>
      <c r="E173" s="199"/>
      <c r="F173" s="199"/>
      <c r="G173" s="199"/>
      <c r="H173" s="203" t="e">
        <f t="shared" si="3"/>
        <v>#DIV/0!</v>
      </c>
      <c r="I173" s="203" t="e">
        <f t="shared" si="4"/>
        <v>#DIV/0!</v>
      </c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</row>
    <row r="174" spans="1:27" ht="15.75" customHeight="1">
      <c r="A174" s="202"/>
      <c r="B174" s="198"/>
      <c r="C174" s="199"/>
      <c r="D174" s="199"/>
      <c r="E174" s="199"/>
      <c r="F174" s="199"/>
      <c r="G174" s="199"/>
      <c r="H174" s="203" t="e">
        <f t="shared" si="3"/>
        <v>#DIV/0!</v>
      </c>
      <c r="I174" s="203" t="e">
        <f t="shared" si="4"/>
        <v>#DIV/0!</v>
      </c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</row>
    <row r="175" spans="1:27" ht="15.75" customHeight="1">
      <c r="A175" s="202"/>
      <c r="B175" s="198"/>
      <c r="C175" s="199"/>
      <c r="D175" s="199"/>
      <c r="E175" s="199"/>
      <c r="F175" s="199"/>
      <c r="G175" s="199"/>
      <c r="H175" s="203" t="e">
        <f t="shared" si="3"/>
        <v>#DIV/0!</v>
      </c>
      <c r="I175" s="203" t="e">
        <f t="shared" si="4"/>
        <v>#DIV/0!</v>
      </c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</row>
    <row r="176" spans="1:27" ht="15.75" customHeight="1">
      <c r="A176" s="202"/>
      <c r="B176" s="198"/>
      <c r="C176" s="199"/>
      <c r="D176" s="199"/>
      <c r="E176" s="199"/>
      <c r="F176" s="199"/>
      <c r="G176" s="199"/>
      <c r="H176" s="203" t="e">
        <f t="shared" si="3"/>
        <v>#DIV/0!</v>
      </c>
      <c r="I176" s="203" t="e">
        <f t="shared" si="4"/>
        <v>#DIV/0!</v>
      </c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</row>
    <row r="177" spans="1:27" ht="15.75" customHeight="1">
      <c r="A177" s="202"/>
      <c r="B177" s="198"/>
      <c r="C177" s="199"/>
      <c r="D177" s="199"/>
      <c r="E177" s="199"/>
      <c r="F177" s="199"/>
      <c r="G177" s="199"/>
      <c r="H177" s="203" t="e">
        <f t="shared" si="3"/>
        <v>#DIV/0!</v>
      </c>
      <c r="I177" s="203" t="e">
        <f t="shared" si="4"/>
        <v>#DIV/0!</v>
      </c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</row>
    <row r="178" spans="1:27" ht="15.75" customHeight="1">
      <c r="A178" s="202"/>
      <c r="B178" s="198"/>
      <c r="C178" s="199"/>
      <c r="D178" s="199"/>
      <c r="E178" s="199"/>
      <c r="F178" s="199"/>
      <c r="G178" s="199"/>
      <c r="H178" s="203" t="e">
        <f t="shared" si="3"/>
        <v>#DIV/0!</v>
      </c>
      <c r="I178" s="203" t="e">
        <f t="shared" si="4"/>
        <v>#DIV/0!</v>
      </c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</row>
    <row r="179" spans="1:27" ht="15.75" customHeight="1">
      <c r="A179" s="202"/>
      <c r="B179" s="198"/>
      <c r="C179" s="199"/>
      <c r="D179" s="199"/>
      <c r="E179" s="199"/>
      <c r="F179" s="199"/>
      <c r="G179" s="199"/>
      <c r="H179" s="203" t="e">
        <f t="shared" si="3"/>
        <v>#DIV/0!</v>
      </c>
      <c r="I179" s="203" t="e">
        <f t="shared" si="4"/>
        <v>#DIV/0!</v>
      </c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</row>
    <row r="180" spans="1:27" ht="15.75" customHeight="1">
      <c r="A180" s="202"/>
      <c r="B180" s="198"/>
      <c r="C180" s="199"/>
      <c r="D180" s="199"/>
      <c r="E180" s="199"/>
      <c r="F180" s="199"/>
      <c r="G180" s="199"/>
      <c r="H180" s="203" t="e">
        <f t="shared" si="3"/>
        <v>#DIV/0!</v>
      </c>
      <c r="I180" s="203" t="e">
        <f t="shared" si="4"/>
        <v>#DIV/0!</v>
      </c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</row>
    <row r="181" spans="1:27" ht="15.75" customHeight="1">
      <c r="A181" s="202"/>
      <c r="B181" s="198"/>
      <c r="C181" s="199"/>
      <c r="D181" s="199"/>
      <c r="E181" s="199"/>
      <c r="F181" s="199"/>
      <c r="G181" s="199"/>
      <c r="H181" s="203" t="e">
        <f t="shared" si="3"/>
        <v>#DIV/0!</v>
      </c>
      <c r="I181" s="203" t="e">
        <f t="shared" si="4"/>
        <v>#DIV/0!</v>
      </c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</row>
    <row r="182" spans="1:27" ht="15.75" customHeight="1">
      <c r="A182" s="202"/>
      <c r="B182" s="198"/>
      <c r="C182" s="199"/>
      <c r="D182" s="199"/>
      <c r="E182" s="199"/>
      <c r="F182" s="199"/>
      <c r="G182" s="199"/>
      <c r="H182" s="203" t="e">
        <f t="shared" si="3"/>
        <v>#DIV/0!</v>
      </c>
      <c r="I182" s="203" t="e">
        <f t="shared" si="4"/>
        <v>#DIV/0!</v>
      </c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</row>
    <row r="183" spans="1:27" ht="15.75" customHeight="1">
      <c r="A183" s="202"/>
      <c r="B183" s="198"/>
      <c r="C183" s="199"/>
      <c r="D183" s="199"/>
      <c r="E183" s="199"/>
      <c r="F183" s="199"/>
      <c r="G183" s="199"/>
      <c r="H183" s="203" t="e">
        <f t="shared" si="3"/>
        <v>#DIV/0!</v>
      </c>
      <c r="I183" s="203" t="e">
        <f t="shared" si="4"/>
        <v>#DIV/0!</v>
      </c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</row>
    <row r="184" spans="1:27" ht="15.75" customHeight="1">
      <c r="A184" s="202"/>
      <c r="B184" s="198"/>
      <c r="C184" s="199"/>
      <c r="D184" s="199"/>
      <c r="E184" s="199"/>
      <c r="F184" s="199"/>
      <c r="G184" s="199"/>
      <c r="H184" s="203" t="e">
        <f t="shared" si="3"/>
        <v>#DIV/0!</v>
      </c>
      <c r="I184" s="203" t="e">
        <f t="shared" si="4"/>
        <v>#DIV/0!</v>
      </c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</row>
    <row r="185" spans="1:27" ht="15.75" customHeight="1">
      <c r="A185" s="202"/>
      <c r="B185" s="198"/>
      <c r="C185" s="199"/>
      <c r="D185" s="199"/>
      <c r="E185" s="199"/>
      <c r="F185" s="199"/>
      <c r="G185" s="199"/>
      <c r="H185" s="203" t="e">
        <f t="shared" si="3"/>
        <v>#DIV/0!</v>
      </c>
      <c r="I185" s="203" t="e">
        <f t="shared" si="4"/>
        <v>#DIV/0!</v>
      </c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</row>
    <row r="186" spans="1:27" ht="15.75" customHeight="1">
      <c r="A186" s="202"/>
      <c r="B186" s="198"/>
      <c r="C186" s="199"/>
      <c r="D186" s="199"/>
      <c r="E186" s="199"/>
      <c r="F186" s="199"/>
      <c r="G186" s="199"/>
      <c r="H186" s="203" t="e">
        <f t="shared" si="3"/>
        <v>#DIV/0!</v>
      </c>
      <c r="I186" s="203" t="e">
        <f t="shared" si="4"/>
        <v>#DIV/0!</v>
      </c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</row>
    <row r="187" spans="1:27" ht="15.75" customHeight="1">
      <c r="A187" s="202"/>
      <c r="B187" s="198"/>
      <c r="C187" s="199"/>
      <c r="D187" s="199"/>
      <c r="E187" s="199"/>
      <c r="F187" s="199"/>
      <c r="G187" s="199"/>
      <c r="H187" s="203" t="e">
        <f t="shared" si="3"/>
        <v>#DIV/0!</v>
      </c>
      <c r="I187" s="203" t="e">
        <f t="shared" si="4"/>
        <v>#DIV/0!</v>
      </c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</row>
    <row r="188" spans="1:27" ht="15.75" customHeight="1">
      <c r="A188" s="202"/>
      <c r="B188" s="198"/>
      <c r="C188" s="199"/>
      <c r="D188" s="199"/>
      <c r="E188" s="199"/>
      <c r="F188" s="199"/>
      <c r="G188" s="199"/>
      <c r="H188" s="203" t="e">
        <f t="shared" si="3"/>
        <v>#DIV/0!</v>
      </c>
      <c r="I188" s="203" t="e">
        <f t="shared" si="4"/>
        <v>#DIV/0!</v>
      </c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</row>
    <row r="189" spans="1:27" ht="15.75" customHeight="1">
      <c r="A189" s="202"/>
      <c r="B189" s="198"/>
      <c r="C189" s="199"/>
      <c r="D189" s="199"/>
      <c r="E189" s="199"/>
      <c r="F189" s="199"/>
      <c r="G189" s="199"/>
      <c r="H189" s="203" t="e">
        <f t="shared" si="3"/>
        <v>#DIV/0!</v>
      </c>
      <c r="I189" s="203" t="e">
        <f t="shared" si="4"/>
        <v>#DIV/0!</v>
      </c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</row>
    <row r="190" spans="1:27" ht="15.75" customHeight="1">
      <c r="A190" s="202"/>
      <c r="B190" s="198"/>
      <c r="C190" s="199"/>
      <c r="D190" s="199"/>
      <c r="E190" s="199"/>
      <c r="F190" s="199"/>
      <c r="G190" s="199"/>
      <c r="H190" s="203" t="e">
        <f t="shared" si="3"/>
        <v>#DIV/0!</v>
      </c>
      <c r="I190" s="203" t="e">
        <f t="shared" si="4"/>
        <v>#DIV/0!</v>
      </c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</row>
    <row r="191" spans="1:27" ht="15.75" customHeight="1">
      <c r="A191" s="202"/>
      <c r="B191" s="198"/>
      <c r="C191" s="199"/>
      <c r="D191" s="199"/>
      <c r="E191" s="199"/>
      <c r="F191" s="199"/>
      <c r="G191" s="199"/>
      <c r="H191" s="203" t="e">
        <f t="shared" si="3"/>
        <v>#DIV/0!</v>
      </c>
      <c r="I191" s="203" t="e">
        <f t="shared" si="4"/>
        <v>#DIV/0!</v>
      </c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</row>
    <row r="192" spans="1:27" ht="15.75" customHeight="1">
      <c r="A192" s="202"/>
      <c r="B192" s="198"/>
      <c r="C192" s="199"/>
      <c r="D192" s="199"/>
      <c r="E192" s="199"/>
      <c r="F192" s="199"/>
      <c r="G192" s="199"/>
      <c r="H192" s="203" t="e">
        <f t="shared" si="3"/>
        <v>#DIV/0!</v>
      </c>
      <c r="I192" s="203" t="e">
        <f t="shared" si="4"/>
        <v>#DIV/0!</v>
      </c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</row>
    <row r="193" spans="1:27" ht="15.75" customHeight="1">
      <c r="A193" s="202"/>
      <c r="B193" s="198"/>
      <c r="C193" s="199"/>
      <c r="D193" s="199"/>
      <c r="E193" s="199"/>
      <c r="F193" s="199"/>
      <c r="G193" s="199"/>
      <c r="H193" s="203" t="e">
        <f t="shared" si="3"/>
        <v>#DIV/0!</v>
      </c>
      <c r="I193" s="203" t="e">
        <f t="shared" si="4"/>
        <v>#DIV/0!</v>
      </c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</row>
    <row r="194" spans="1:27" ht="15.75" customHeight="1">
      <c r="A194" s="202"/>
      <c r="B194" s="198"/>
      <c r="C194" s="199"/>
      <c r="D194" s="199"/>
      <c r="E194" s="199"/>
      <c r="F194" s="199"/>
      <c r="G194" s="199"/>
      <c r="H194" s="203" t="e">
        <f t="shared" si="3"/>
        <v>#DIV/0!</v>
      </c>
      <c r="I194" s="203" t="e">
        <f t="shared" si="4"/>
        <v>#DIV/0!</v>
      </c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</row>
    <row r="195" spans="1:27" ht="15.75" customHeight="1">
      <c r="A195" s="202"/>
      <c r="B195" s="198"/>
      <c r="C195" s="199"/>
      <c r="D195" s="199"/>
      <c r="E195" s="199"/>
      <c r="F195" s="199"/>
      <c r="G195" s="199"/>
      <c r="H195" s="203" t="e">
        <f t="shared" si="3"/>
        <v>#DIV/0!</v>
      </c>
      <c r="I195" s="203" t="e">
        <f t="shared" si="4"/>
        <v>#DIV/0!</v>
      </c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</row>
    <row r="196" spans="1:27" ht="15.75" customHeight="1">
      <c r="A196" s="202"/>
      <c r="B196" s="198"/>
      <c r="C196" s="199"/>
      <c r="D196" s="199"/>
      <c r="E196" s="199"/>
      <c r="F196" s="199"/>
      <c r="G196" s="199"/>
      <c r="H196" s="203" t="e">
        <f t="shared" si="3"/>
        <v>#DIV/0!</v>
      </c>
      <c r="I196" s="203" t="e">
        <f t="shared" si="4"/>
        <v>#DIV/0!</v>
      </c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</row>
    <row r="197" spans="1:27" ht="15.75" customHeight="1">
      <c r="A197" s="202"/>
      <c r="B197" s="198"/>
      <c r="C197" s="199"/>
      <c r="D197" s="199"/>
      <c r="E197" s="199"/>
      <c r="F197" s="199"/>
      <c r="G197" s="199"/>
      <c r="H197" s="203" t="e">
        <f t="shared" si="3"/>
        <v>#DIV/0!</v>
      </c>
      <c r="I197" s="203" t="e">
        <f t="shared" si="4"/>
        <v>#DIV/0!</v>
      </c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</row>
    <row r="198" spans="1:27" ht="15.75" customHeight="1">
      <c r="A198" s="202"/>
      <c r="B198" s="198"/>
      <c r="C198" s="199"/>
      <c r="D198" s="199"/>
      <c r="E198" s="199"/>
      <c r="F198" s="199"/>
      <c r="G198" s="199"/>
      <c r="H198" s="203" t="e">
        <f t="shared" si="3"/>
        <v>#DIV/0!</v>
      </c>
      <c r="I198" s="203" t="e">
        <f t="shared" si="4"/>
        <v>#DIV/0!</v>
      </c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</row>
    <row r="199" spans="1:27" ht="15.75" customHeight="1">
      <c r="A199" s="202"/>
      <c r="B199" s="198"/>
      <c r="C199" s="199"/>
      <c r="D199" s="199"/>
      <c r="E199" s="199"/>
      <c r="F199" s="199"/>
      <c r="G199" s="199"/>
      <c r="H199" s="203" t="e">
        <f t="shared" si="3"/>
        <v>#DIV/0!</v>
      </c>
      <c r="I199" s="203" t="e">
        <f t="shared" si="4"/>
        <v>#DIV/0!</v>
      </c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</row>
    <row r="200" spans="1:27" ht="15.75" customHeight="1">
      <c r="A200" s="202"/>
      <c r="B200" s="198"/>
      <c r="C200" s="199"/>
      <c r="D200" s="199"/>
      <c r="E200" s="199"/>
      <c r="F200" s="199"/>
      <c r="G200" s="199"/>
      <c r="H200" s="203" t="e">
        <f t="shared" si="3"/>
        <v>#DIV/0!</v>
      </c>
      <c r="I200" s="203" t="e">
        <f t="shared" si="4"/>
        <v>#DIV/0!</v>
      </c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</row>
    <row r="201" spans="1:27" ht="15.75" customHeight="1">
      <c r="A201" s="202"/>
      <c r="B201" s="198"/>
      <c r="C201" s="199"/>
      <c r="D201" s="199"/>
      <c r="E201" s="199"/>
      <c r="F201" s="199"/>
      <c r="G201" s="199"/>
      <c r="H201" s="203" t="e">
        <f t="shared" si="3"/>
        <v>#DIV/0!</v>
      </c>
      <c r="I201" s="203" t="e">
        <f t="shared" si="4"/>
        <v>#DIV/0!</v>
      </c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</row>
    <row r="202" spans="1:27" ht="15.75" customHeight="1">
      <c r="A202" s="202"/>
      <c r="B202" s="198"/>
      <c r="C202" s="199"/>
      <c r="D202" s="199"/>
      <c r="E202" s="199"/>
      <c r="F202" s="199"/>
      <c r="G202" s="199"/>
      <c r="H202" s="203" t="e">
        <f t="shared" si="3"/>
        <v>#DIV/0!</v>
      </c>
      <c r="I202" s="203" t="e">
        <f t="shared" si="4"/>
        <v>#DIV/0!</v>
      </c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</row>
    <row r="203" spans="1:27" ht="15.75" customHeight="1">
      <c r="A203" s="202"/>
      <c r="B203" s="198"/>
      <c r="C203" s="199"/>
      <c r="D203" s="199"/>
      <c r="E203" s="199"/>
      <c r="F203" s="199"/>
      <c r="G203" s="199"/>
      <c r="H203" s="203" t="e">
        <f t="shared" si="3"/>
        <v>#DIV/0!</v>
      </c>
      <c r="I203" s="203" t="e">
        <f t="shared" si="4"/>
        <v>#DIV/0!</v>
      </c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</row>
    <row r="204" spans="1:27" ht="15.75" customHeight="1">
      <c r="A204" s="202"/>
      <c r="B204" s="198"/>
      <c r="C204" s="199"/>
      <c r="D204" s="199"/>
      <c r="E204" s="199"/>
      <c r="F204" s="199"/>
      <c r="G204" s="199"/>
      <c r="H204" s="203" t="e">
        <f t="shared" si="3"/>
        <v>#DIV/0!</v>
      </c>
      <c r="I204" s="203" t="e">
        <f t="shared" si="4"/>
        <v>#DIV/0!</v>
      </c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</row>
    <row r="205" spans="1:27" ht="15.75" customHeight="1">
      <c r="A205" s="202"/>
      <c r="B205" s="198"/>
      <c r="C205" s="199"/>
      <c r="D205" s="199"/>
      <c r="E205" s="199"/>
      <c r="F205" s="199"/>
      <c r="G205" s="199"/>
      <c r="H205" s="203" t="e">
        <f t="shared" si="3"/>
        <v>#DIV/0!</v>
      </c>
      <c r="I205" s="203" t="e">
        <f t="shared" si="4"/>
        <v>#DIV/0!</v>
      </c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</row>
    <row r="206" spans="1:27" ht="15.75" customHeight="1">
      <c r="A206" s="202"/>
      <c r="B206" s="198"/>
      <c r="C206" s="199"/>
      <c r="D206" s="199"/>
      <c r="E206" s="199"/>
      <c r="F206" s="199"/>
      <c r="G206" s="199"/>
      <c r="H206" s="203" t="e">
        <f t="shared" si="3"/>
        <v>#DIV/0!</v>
      </c>
      <c r="I206" s="203" t="e">
        <f t="shared" si="4"/>
        <v>#DIV/0!</v>
      </c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  <c r="AA206" s="96"/>
    </row>
    <row r="207" spans="1:27" ht="15.75" customHeight="1">
      <c r="A207" s="202"/>
      <c r="B207" s="198"/>
      <c r="C207" s="199"/>
      <c r="D207" s="199"/>
      <c r="E207" s="199"/>
      <c r="F207" s="199"/>
      <c r="G207" s="199"/>
      <c r="H207" s="203" t="e">
        <f t="shared" si="3"/>
        <v>#DIV/0!</v>
      </c>
      <c r="I207" s="203" t="e">
        <f t="shared" si="4"/>
        <v>#DIV/0!</v>
      </c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</row>
    <row r="208" spans="1:27" ht="15.75" customHeight="1">
      <c r="A208" s="202"/>
      <c r="B208" s="198"/>
      <c r="C208" s="199"/>
      <c r="D208" s="199"/>
      <c r="E208" s="199"/>
      <c r="F208" s="199"/>
      <c r="G208" s="199"/>
      <c r="H208" s="203" t="e">
        <f t="shared" si="3"/>
        <v>#DIV/0!</v>
      </c>
      <c r="I208" s="203" t="e">
        <f t="shared" si="4"/>
        <v>#DIV/0!</v>
      </c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</row>
    <row r="209" spans="1:27" ht="15.75" customHeight="1">
      <c r="A209" s="202"/>
      <c r="B209" s="198"/>
      <c r="C209" s="199"/>
      <c r="D209" s="199"/>
      <c r="E209" s="199"/>
      <c r="F209" s="199"/>
      <c r="G209" s="199"/>
      <c r="H209" s="203" t="e">
        <f t="shared" si="3"/>
        <v>#DIV/0!</v>
      </c>
      <c r="I209" s="203" t="e">
        <f t="shared" si="4"/>
        <v>#DIV/0!</v>
      </c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</row>
    <row r="210" spans="1:27" ht="15.75" customHeight="1">
      <c r="A210" s="202"/>
      <c r="B210" s="198"/>
      <c r="C210" s="199"/>
      <c r="D210" s="199"/>
      <c r="E210" s="199"/>
      <c r="F210" s="199"/>
      <c r="G210" s="199"/>
      <c r="H210" s="203" t="e">
        <f t="shared" si="3"/>
        <v>#DIV/0!</v>
      </c>
      <c r="I210" s="203" t="e">
        <f t="shared" si="4"/>
        <v>#DIV/0!</v>
      </c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</row>
    <row r="211" spans="1:27" ht="15.75" customHeight="1">
      <c r="A211" s="202"/>
      <c r="B211" s="198"/>
      <c r="C211" s="199"/>
      <c r="D211" s="199"/>
      <c r="E211" s="199"/>
      <c r="F211" s="199"/>
      <c r="G211" s="199"/>
      <c r="H211" s="203" t="e">
        <f t="shared" si="3"/>
        <v>#DIV/0!</v>
      </c>
      <c r="I211" s="203" t="e">
        <f t="shared" si="4"/>
        <v>#DIV/0!</v>
      </c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</row>
    <row r="212" spans="1:27" ht="15.75" customHeight="1">
      <c r="A212" s="202"/>
      <c r="B212" s="198"/>
      <c r="C212" s="199"/>
      <c r="D212" s="199"/>
      <c r="E212" s="199"/>
      <c r="F212" s="199"/>
      <c r="G212" s="199"/>
      <c r="H212" s="203" t="e">
        <f t="shared" si="3"/>
        <v>#DIV/0!</v>
      </c>
      <c r="I212" s="203" t="e">
        <f t="shared" si="4"/>
        <v>#DIV/0!</v>
      </c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</row>
    <row r="213" spans="1:27" ht="15.75" customHeight="1">
      <c r="A213" s="202"/>
      <c r="B213" s="198"/>
      <c r="C213" s="199"/>
      <c r="D213" s="199"/>
      <c r="E213" s="199"/>
      <c r="F213" s="199"/>
      <c r="G213" s="199"/>
      <c r="H213" s="203" t="e">
        <f t="shared" si="3"/>
        <v>#DIV/0!</v>
      </c>
      <c r="I213" s="203" t="e">
        <f t="shared" si="4"/>
        <v>#DIV/0!</v>
      </c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</row>
    <row r="214" spans="1:27" ht="15.75" customHeight="1">
      <c r="A214" s="202"/>
      <c r="B214" s="198"/>
      <c r="C214" s="199"/>
      <c r="D214" s="199"/>
      <c r="E214" s="199"/>
      <c r="F214" s="199"/>
      <c r="G214" s="199"/>
      <c r="H214" s="203" t="e">
        <f t="shared" si="3"/>
        <v>#DIV/0!</v>
      </c>
      <c r="I214" s="203" t="e">
        <f t="shared" si="4"/>
        <v>#DIV/0!</v>
      </c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</row>
    <row r="215" spans="1:27" ht="15.75" customHeight="1">
      <c r="A215" s="202"/>
      <c r="B215" s="198"/>
      <c r="C215" s="199"/>
      <c r="D215" s="199"/>
      <c r="E215" s="199"/>
      <c r="F215" s="199"/>
      <c r="G215" s="199"/>
      <c r="H215" s="203" t="e">
        <f t="shared" si="3"/>
        <v>#DIV/0!</v>
      </c>
      <c r="I215" s="203" t="e">
        <f t="shared" si="4"/>
        <v>#DIV/0!</v>
      </c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</row>
    <row r="216" spans="1:27" ht="15.75" customHeight="1">
      <c r="A216" s="202"/>
      <c r="B216" s="198"/>
      <c r="C216" s="199"/>
      <c r="D216" s="199"/>
      <c r="E216" s="199"/>
      <c r="F216" s="199"/>
      <c r="G216" s="199"/>
      <c r="H216" s="203" t="e">
        <f t="shared" si="3"/>
        <v>#DIV/0!</v>
      </c>
      <c r="I216" s="203" t="e">
        <f t="shared" si="4"/>
        <v>#DIV/0!</v>
      </c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</row>
    <row r="217" spans="1:27" ht="15.75" customHeight="1">
      <c r="A217" s="202"/>
      <c r="B217" s="198"/>
      <c r="C217" s="199"/>
      <c r="D217" s="199"/>
      <c r="E217" s="199"/>
      <c r="F217" s="199"/>
      <c r="G217" s="199"/>
      <c r="H217" s="203" t="e">
        <f t="shared" si="3"/>
        <v>#DIV/0!</v>
      </c>
      <c r="I217" s="203" t="e">
        <f t="shared" si="4"/>
        <v>#DIV/0!</v>
      </c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</row>
    <row r="218" spans="1:27" ht="15.75" customHeight="1">
      <c r="A218" s="202"/>
      <c r="B218" s="198"/>
      <c r="C218" s="199"/>
      <c r="D218" s="199"/>
      <c r="E218" s="199"/>
      <c r="F218" s="199"/>
      <c r="G218" s="199"/>
      <c r="H218" s="203" t="e">
        <f t="shared" si="3"/>
        <v>#DIV/0!</v>
      </c>
      <c r="I218" s="203" t="e">
        <f t="shared" si="4"/>
        <v>#DIV/0!</v>
      </c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</row>
    <row r="219" spans="1:27" ht="15.75" customHeight="1">
      <c r="A219" s="202"/>
      <c r="B219" s="198"/>
      <c r="C219" s="199"/>
      <c r="D219" s="199"/>
      <c r="E219" s="199"/>
      <c r="F219" s="199"/>
      <c r="G219" s="199"/>
      <c r="H219" s="203" t="e">
        <f t="shared" si="3"/>
        <v>#DIV/0!</v>
      </c>
      <c r="I219" s="203" t="e">
        <f t="shared" si="4"/>
        <v>#DIV/0!</v>
      </c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</row>
    <row r="220" spans="1:27" ht="15.75" customHeight="1">
      <c r="A220" s="202"/>
      <c r="B220" s="198"/>
      <c r="C220" s="199"/>
      <c r="D220" s="199"/>
      <c r="E220" s="199"/>
      <c r="F220" s="199"/>
      <c r="G220" s="199"/>
      <c r="H220" s="203" t="e">
        <f t="shared" si="3"/>
        <v>#DIV/0!</v>
      </c>
      <c r="I220" s="203" t="e">
        <f t="shared" si="4"/>
        <v>#DIV/0!</v>
      </c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</row>
    <row r="221" spans="1:27" ht="15.75" customHeight="1">
      <c r="A221" s="202"/>
      <c r="B221" s="198"/>
      <c r="C221" s="199"/>
      <c r="D221" s="199"/>
      <c r="E221" s="199"/>
      <c r="F221" s="199"/>
      <c r="G221" s="199"/>
      <c r="H221" s="203" t="e">
        <f t="shared" si="3"/>
        <v>#DIV/0!</v>
      </c>
      <c r="I221" s="203" t="e">
        <f t="shared" si="4"/>
        <v>#DIV/0!</v>
      </c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</row>
    <row r="222" spans="1:27" ht="15.75" customHeight="1">
      <c r="A222" s="202"/>
      <c r="B222" s="198"/>
      <c r="C222" s="199"/>
      <c r="D222" s="199"/>
      <c r="E222" s="199"/>
      <c r="F222" s="199"/>
      <c r="G222" s="199"/>
      <c r="H222" s="203" t="e">
        <f t="shared" si="3"/>
        <v>#DIV/0!</v>
      </c>
      <c r="I222" s="203" t="e">
        <f t="shared" si="4"/>
        <v>#DIV/0!</v>
      </c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</row>
    <row r="223" spans="1:27" ht="15.75" customHeight="1">
      <c r="A223" s="202"/>
      <c r="B223" s="198"/>
      <c r="C223" s="199"/>
      <c r="D223" s="199"/>
      <c r="E223" s="199"/>
      <c r="F223" s="199"/>
      <c r="G223" s="199"/>
      <c r="H223" s="203" t="e">
        <f t="shared" si="3"/>
        <v>#DIV/0!</v>
      </c>
      <c r="I223" s="203" t="e">
        <f t="shared" si="4"/>
        <v>#DIV/0!</v>
      </c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</row>
    <row r="224" spans="1:27" ht="15.75" customHeight="1">
      <c r="A224" s="202"/>
      <c r="B224" s="198"/>
      <c r="C224" s="199"/>
      <c r="D224" s="199"/>
      <c r="E224" s="199"/>
      <c r="F224" s="199"/>
      <c r="G224" s="199"/>
      <c r="H224" s="203" t="e">
        <f t="shared" si="3"/>
        <v>#DIV/0!</v>
      </c>
      <c r="I224" s="203" t="e">
        <f t="shared" si="4"/>
        <v>#DIV/0!</v>
      </c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</row>
    <row r="225" spans="1:27" ht="15.75" customHeight="1">
      <c r="A225" s="202"/>
      <c r="B225" s="198"/>
      <c r="C225" s="199"/>
      <c r="D225" s="199"/>
      <c r="E225" s="199"/>
      <c r="F225" s="199"/>
      <c r="G225" s="199"/>
      <c r="H225" s="203" t="e">
        <f t="shared" si="3"/>
        <v>#DIV/0!</v>
      </c>
      <c r="I225" s="203" t="e">
        <f t="shared" si="4"/>
        <v>#DIV/0!</v>
      </c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</row>
    <row r="226" spans="1:27" ht="15.75" customHeight="1">
      <c r="A226" s="202"/>
      <c r="B226" s="198"/>
      <c r="C226" s="199"/>
      <c r="D226" s="199"/>
      <c r="E226" s="199"/>
      <c r="F226" s="199"/>
      <c r="G226" s="199"/>
      <c r="H226" s="203" t="e">
        <f t="shared" si="3"/>
        <v>#DIV/0!</v>
      </c>
      <c r="I226" s="203" t="e">
        <f t="shared" si="4"/>
        <v>#DIV/0!</v>
      </c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</row>
    <row r="227" spans="1:27" ht="15.75" customHeight="1">
      <c r="A227" s="202"/>
      <c r="B227" s="198"/>
      <c r="C227" s="199"/>
      <c r="D227" s="199"/>
      <c r="E227" s="199"/>
      <c r="F227" s="199"/>
      <c r="G227" s="199"/>
      <c r="H227" s="203" t="e">
        <f t="shared" si="3"/>
        <v>#DIV/0!</v>
      </c>
      <c r="I227" s="203" t="e">
        <f t="shared" si="4"/>
        <v>#DIV/0!</v>
      </c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</row>
    <row r="228" spans="1:27" ht="15.75" customHeight="1">
      <c r="A228" s="202"/>
      <c r="B228" s="198"/>
      <c r="C228" s="199"/>
      <c r="D228" s="199"/>
      <c r="E228" s="199"/>
      <c r="F228" s="199"/>
      <c r="G228" s="199"/>
      <c r="H228" s="203" t="e">
        <f t="shared" si="3"/>
        <v>#DIV/0!</v>
      </c>
      <c r="I228" s="203" t="e">
        <f t="shared" si="4"/>
        <v>#DIV/0!</v>
      </c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</row>
    <row r="229" spans="1:27" ht="15.75" customHeight="1">
      <c r="A229" s="202"/>
      <c r="B229" s="198"/>
      <c r="C229" s="199"/>
      <c r="D229" s="199"/>
      <c r="E229" s="199"/>
      <c r="F229" s="199"/>
      <c r="G229" s="199"/>
      <c r="H229" s="203" t="e">
        <f t="shared" si="3"/>
        <v>#DIV/0!</v>
      </c>
      <c r="I229" s="203" t="e">
        <f t="shared" si="4"/>
        <v>#DIV/0!</v>
      </c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</row>
    <row r="230" spans="1:27" ht="15.75" customHeight="1">
      <c r="A230" s="202"/>
      <c r="B230" s="198"/>
      <c r="C230" s="199"/>
      <c r="D230" s="199"/>
      <c r="E230" s="199"/>
      <c r="F230" s="199"/>
      <c r="G230" s="199"/>
      <c r="H230" s="203" t="e">
        <f t="shared" si="3"/>
        <v>#DIV/0!</v>
      </c>
      <c r="I230" s="203" t="e">
        <f t="shared" si="4"/>
        <v>#DIV/0!</v>
      </c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</row>
    <row r="231" spans="1:27" ht="15.75" customHeight="1">
      <c r="A231" s="202"/>
      <c r="B231" s="198"/>
      <c r="C231" s="199"/>
      <c r="D231" s="199"/>
      <c r="E231" s="199"/>
      <c r="F231" s="199"/>
      <c r="G231" s="199"/>
      <c r="H231" s="203" t="e">
        <f t="shared" si="3"/>
        <v>#DIV/0!</v>
      </c>
      <c r="I231" s="203" t="e">
        <f t="shared" si="4"/>
        <v>#DIV/0!</v>
      </c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</row>
    <row r="232" spans="1:27" ht="15.75" customHeight="1">
      <c r="A232" s="202"/>
      <c r="B232" s="198"/>
      <c r="C232" s="199"/>
      <c r="D232" s="199"/>
      <c r="E232" s="199"/>
      <c r="F232" s="199"/>
      <c r="G232" s="199"/>
      <c r="H232" s="203" t="e">
        <f t="shared" si="3"/>
        <v>#DIV/0!</v>
      </c>
      <c r="I232" s="203" t="e">
        <f t="shared" si="4"/>
        <v>#DIV/0!</v>
      </c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</row>
    <row r="233" spans="1:27" ht="15.75" customHeight="1">
      <c r="A233" s="202"/>
      <c r="B233" s="198"/>
      <c r="C233" s="199"/>
      <c r="D233" s="199"/>
      <c r="E233" s="199"/>
      <c r="F233" s="199"/>
      <c r="G233" s="199"/>
      <c r="H233" s="203" t="e">
        <f t="shared" si="3"/>
        <v>#DIV/0!</v>
      </c>
      <c r="I233" s="203" t="e">
        <f t="shared" si="4"/>
        <v>#DIV/0!</v>
      </c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</row>
    <row r="234" spans="1:27" ht="15.75" customHeight="1">
      <c r="A234" s="202"/>
      <c r="B234" s="198"/>
      <c r="C234" s="199"/>
      <c r="D234" s="199"/>
      <c r="E234" s="199"/>
      <c r="F234" s="199"/>
      <c r="G234" s="199"/>
      <c r="H234" s="203" t="e">
        <f t="shared" si="3"/>
        <v>#DIV/0!</v>
      </c>
      <c r="I234" s="203" t="e">
        <f t="shared" si="4"/>
        <v>#DIV/0!</v>
      </c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</row>
    <row r="235" spans="1:27" ht="15.75" customHeight="1">
      <c r="A235" s="202"/>
      <c r="B235" s="198"/>
      <c r="C235" s="199"/>
      <c r="D235" s="199"/>
      <c r="E235" s="199"/>
      <c r="F235" s="199"/>
      <c r="G235" s="199"/>
      <c r="H235" s="203" t="e">
        <f t="shared" si="3"/>
        <v>#DIV/0!</v>
      </c>
      <c r="I235" s="203" t="e">
        <f t="shared" si="4"/>
        <v>#DIV/0!</v>
      </c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</row>
    <row r="236" spans="1:27" ht="15.75" customHeight="1">
      <c r="A236" s="202"/>
      <c r="B236" s="198"/>
      <c r="C236" s="199"/>
      <c r="D236" s="199"/>
      <c r="E236" s="199"/>
      <c r="F236" s="199"/>
      <c r="G236" s="199"/>
      <c r="H236" s="203" t="e">
        <f t="shared" si="3"/>
        <v>#DIV/0!</v>
      </c>
      <c r="I236" s="203" t="e">
        <f t="shared" si="4"/>
        <v>#DIV/0!</v>
      </c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</row>
    <row r="237" spans="1:27" ht="15.75" customHeight="1">
      <c r="A237" s="202"/>
      <c r="B237" s="198"/>
      <c r="C237" s="199"/>
      <c r="D237" s="199"/>
      <c r="E237" s="199"/>
      <c r="F237" s="199"/>
      <c r="G237" s="199"/>
      <c r="H237" s="203" t="e">
        <f t="shared" si="3"/>
        <v>#DIV/0!</v>
      </c>
      <c r="I237" s="203" t="e">
        <f t="shared" si="4"/>
        <v>#DIV/0!</v>
      </c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</row>
    <row r="238" spans="1:27" ht="15.75" customHeight="1">
      <c r="A238" s="202"/>
      <c r="B238" s="198"/>
      <c r="C238" s="199"/>
      <c r="D238" s="199"/>
      <c r="E238" s="199"/>
      <c r="F238" s="199"/>
      <c r="G238" s="199"/>
      <c r="H238" s="203" t="e">
        <f t="shared" si="3"/>
        <v>#DIV/0!</v>
      </c>
      <c r="I238" s="203" t="e">
        <f t="shared" si="4"/>
        <v>#DIV/0!</v>
      </c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</row>
    <row r="239" spans="1:27" ht="15.75" customHeight="1">
      <c r="A239" s="202"/>
      <c r="B239" s="198"/>
      <c r="C239" s="199"/>
      <c r="D239" s="199"/>
      <c r="E239" s="199"/>
      <c r="F239" s="199"/>
      <c r="G239" s="199"/>
      <c r="H239" s="203" t="e">
        <f t="shared" si="3"/>
        <v>#DIV/0!</v>
      </c>
      <c r="I239" s="203" t="e">
        <f t="shared" si="4"/>
        <v>#DIV/0!</v>
      </c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</row>
    <row r="240" spans="1:27" ht="15.75" customHeight="1">
      <c r="A240" s="202"/>
      <c r="B240" s="198"/>
      <c r="C240" s="199"/>
      <c r="D240" s="199"/>
      <c r="E240" s="199"/>
      <c r="F240" s="199"/>
      <c r="G240" s="199"/>
      <c r="H240" s="203" t="e">
        <f t="shared" si="3"/>
        <v>#DIV/0!</v>
      </c>
      <c r="I240" s="203" t="e">
        <f t="shared" si="4"/>
        <v>#DIV/0!</v>
      </c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</row>
    <row r="241" spans="1:27" ht="15.75" customHeight="1">
      <c r="A241" s="202"/>
      <c r="B241" s="198"/>
      <c r="C241" s="199"/>
      <c r="D241" s="199"/>
      <c r="E241" s="199"/>
      <c r="F241" s="199"/>
      <c r="G241" s="199"/>
      <c r="H241" s="203" t="e">
        <f t="shared" si="3"/>
        <v>#DIV/0!</v>
      </c>
      <c r="I241" s="203" t="e">
        <f t="shared" si="4"/>
        <v>#DIV/0!</v>
      </c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</row>
    <row r="242" spans="1:27" ht="15.75" customHeight="1">
      <c r="A242" s="202"/>
      <c r="B242" s="198"/>
      <c r="C242" s="199"/>
      <c r="D242" s="199"/>
      <c r="E242" s="199"/>
      <c r="F242" s="199"/>
      <c r="G242" s="199"/>
      <c r="H242" s="203" t="e">
        <f t="shared" si="3"/>
        <v>#DIV/0!</v>
      </c>
      <c r="I242" s="203" t="e">
        <f t="shared" si="4"/>
        <v>#DIV/0!</v>
      </c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</row>
    <row r="243" spans="1:27" ht="15.75" customHeight="1">
      <c r="A243" s="202"/>
      <c r="B243" s="198"/>
      <c r="C243" s="199"/>
      <c r="D243" s="199"/>
      <c r="E243" s="199"/>
      <c r="F243" s="199"/>
      <c r="G243" s="199"/>
      <c r="H243" s="203" t="e">
        <f t="shared" si="3"/>
        <v>#DIV/0!</v>
      </c>
      <c r="I243" s="203" t="e">
        <f t="shared" si="4"/>
        <v>#DIV/0!</v>
      </c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</row>
    <row r="244" spans="1:27" ht="15.75" customHeight="1">
      <c r="A244" s="202"/>
      <c r="B244" s="198"/>
      <c r="C244" s="199"/>
      <c r="D244" s="199"/>
      <c r="E244" s="199"/>
      <c r="F244" s="199"/>
      <c r="G244" s="199"/>
      <c r="H244" s="203" t="e">
        <f t="shared" si="3"/>
        <v>#DIV/0!</v>
      </c>
      <c r="I244" s="203" t="e">
        <f t="shared" si="4"/>
        <v>#DIV/0!</v>
      </c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</row>
    <row r="245" spans="1:27" ht="15.75" customHeight="1">
      <c r="A245" s="202"/>
      <c r="B245" s="198"/>
      <c r="C245" s="199"/>
      <c r="D245" s="199"/>
      <c r="E245" s="199"/>
      <c r="F245" s="199"/>
      <c r="G245" s="199"/>
      <c r="H245" s="203" t="e">
        <f t="shared" si="3"/>
        <v>#DIV/0!</v>
      </c>
      <c r="I245" s="203" t="e">
        <f t="shared" si="4"/>
        <v>#DIV/0!</v>
      </c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</row>
    <row r="246" spans="1:27" ht="15.75" customHeight="1">
      <c r="A246" s="202"/>
      <c r="B246" s="198"/>
      <c r="C246" s="199"/>
      <c r="D246" s="199"/>
      <c r="E246" s="199"/>
      <c r="F246" s="199"/>
      <c r="G246" s="199"/>
      <c r="H246" s="203" t="e">
        <f t="shared" si="3"/>
        <v>#DIV/0!</v>
      </c>
      <c r="I246" s="203" t="e">
        <f t="shared" si="4"/>
        <v>#DIV/0!</v>
      </c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</row>
    <row r="247" spans="1:27" ht="15.75" customHeight="1">
      <c r="A247" s="202"/>
      <c r="B247" s="198"/>
      <c r="C247" s="199"/>
      <c r="D247" s="199"/>
      <c r="E247" s="199"/>
      <c r="F247" s="199"/>
      <c r="G247" s="199"/>
      <c r="H247" s="203" t="e">
        <f t="shared" si="3"/>
        <v>#DIV/0!</v>
      </c>
      <c r="I247" s="203" t="e">
        <f t="shared" si="4"/>
        <v>#DIV/0!</v>
      </c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</row>
    <row r="248" spans="1:27" ht="15.75" customHeight="1">
      <c r="A248" s="202"/>
      <c r="B248" s="198"/>
      <c r="C248" s="199"/>
      <c r="D248" s="199"/>
      <c r="E248" s="199"/>
      <c r="F248" s="199"/>
      <c r="G248" s="199"/>
      <c r="H248" s="203" t="e">
        <f t="shared" si="3"/>
        <v>#DIV/0!</v>
      </c>
      <c r="I248" s="203" t="e">
        <f t="shared" si="4"/>
        <v>#DIV/0!</v>
      </c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</row>
    <row r="249" spans="1:27" ht="15.75" customHeight="1">
      <c r="A249" s="202"/>
      <c r="B249" s="198"/>
      <c r="C249" s="199"/>
      <c r="D249" s="199"/>
      <c r="E249" s="199"/>
      <c r="F249" s="199"/>
      <c r="G249" s="199"/>
      <c r="H249" s="203" t="e">
        <f t="shared" si="3"/>
        <v>#DIV/0!</v>
      </c>
      <c r="I249" s="203" t="e">
        <f t="shared" si="4"/>
        <v>#DIV/0!</v>
      </c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</row>
    <row r="250" spans="1:27" ht="15.75" customHeight="1">
      <c r="A250" s="202"/>
      <c r="B250" s="198"/>
      <c r="C250" s="199"/>
      <c r="D250" s="199"/>
      <c r="E250" s="199"/>
      <c r="F250" s="199"/>
      <c r="G250" s="199"/>
      <c r="H250" s="203" t="e">
        <f t="shared" si="3"/>
        <v>#DIV/0!</v>
      </c>
      <c r="I250" s="203" t="e">
        <f t="shared" si="4"/>
        <v>#DIV/0!</v>
      </c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</row>
    <row r="251" spans="1:27" ht="15.75" customHeight="1">
      <c r="A251" s="202"/>
      <c r="B251" s="198"/>
      <c r="C251" s="199"/>
      <c r="D251" s="199"/>
      <c r="E251" s="199"/>
      <c r="F251" s="199"/>
      <c r="G251" s="199"/>
      <c r="H251" s="203" t="e">
        <f t="shared" si="3"/>
        <v>#DIV/0!</v>
      </c>
      <c r="I251" s="203" t="e">
        <f t="shared" si="4"/>
        <v>#DIV/0!</v>
      </c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</row>
    <row r="252" spans="1:27" ht="15.75" customHeight="1">
      <c r="A252" s="202"/>
      <c r="B252" s="198"/>
      <c r="C252" s="199"/>
      <c r="D252" s="199"/>
      <c r="E252" s="199"/>
      <c r="F252" s="199"/>
      <c r="G252" s="199"/>
      <c r="H252" s="203" t="e">
        <f t="shared" si="3"/>
        <v>#DIV/0!</v>
      </c>
      <c r="I252" s="203" t="e">
        <f t="shared" si="4"/>
        <v>#DIV/0!</v>
      </c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</row>
    <row r="253" spans="1:27" ht="15.75" customHeight="1">
      <c r="A253" s="202"/>
      <c r="B253" s="198"/>
      <c r="C253" s="199"/>
      <c r="D253" s="199"/>
      <c r="E253" s="199"/>
      <c r="F253" s="199"/>
      <c r="G253" s="199"/>
      <c r="H253" s="203" t="e">
        <f t="shared" si="3"/>
        <v>#DIV/0!</v>
      </c>
      <c r="I253" s="203" t="e">
        <f t="shared" si="4"/>
        <v>#DIV/0!</v>
      </c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</row>
    <row r="254" spans="1:27" ht="15.75" customHeight="1">
      <c r="A254" s="202"/>
      <c r="B254" s="198"/>
      <c r="C254" s="199"/>
      <c r="D254" s="199"/>
      <c r="E254" s="199"/>
      <c r="F254" s="199"/>
      <c r="G254" s="199"/>
      <c r="H254" s="203" t="e">
        <f t="shared" si="3"/>
        <v>#DIV/0!</v>
      </c>
      <c r="I254" s="203" t="e">
        <f t="shared" si="4"/>
        <v>#DIV/0!</v>
      </c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</row>
    <row r="255" spans="1:27" ht="15.75" customHeight="1">
      <c r="A255" s="202"/>
      <c r="B255" s="198"/>
      <c r="C255" s="199"/>
      <c r="D255" s="199"/>
      <c r="E255" s="199"/>
      <c r="F255" s="199"/>
      <c r="G255" s="199"/>
      <c r="H255" s="203" t="e">
        <f t="shared" si="3"/>
        <v>#DIV/0!</v>
      </c>
      <c r="I255" s="203" t="e">
        <f t="shared" si="4"/>
        <v>#DIV/0!</v>
      </c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</row>
    <row r="256" spans="1:27" ht="15.75" customHeight="1">
      <c r="A256" s="202"/>
      <c r="B256" s="198"/>
      <c r="C256" s="199"/>
      <c r="D256" s="199"/>
      <c r="E256" s="199"/>
      <c r="F256" s="199"/>
      <c r="G256" s="199"/>
      <c r="H256" s="203" t="e">
        <f t="shared" si="3"/>
        <v>#DIV/0!</v>
      </c>
      <c r="I256" s="203" t="e">
        <f t="shared" si="4"/>
        <v>#DIV/0!</v>
      </c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</row>
    <row r="257" spans="1:27" ht="15.75" customHeight="1">
      <c r="A257" s="202"/>
      <c r="B257" s="198"/>
      <c r="C257" s="199"/>
      <c r="D257" s="199"/>
      <c r="E257" s="199"/>
      <c r="F257" s="199"/>
      <c r="G257" s="199"/>
      <c r="H257" s="203" t="e">
        <f t="shared" si="3"/>
        <v>#DIV/0!</v>
      </c>
      <c r="I257" s="203" t="e">
        <f t="shared" si="4"/>
        <v>#DIV/0!</v>
      </c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</row>
    <row r="258" spans="1:27" ht="15.75" customHeight="1">
      <c r="A258" s="202"/>
      <c r="B258" s="198"/>
      <c r="C258" s="199"/>
      <c r="D258" s="199"/>
      <c r="E258" s="199"/>
      <c r="F258" s="199"/>
      <c r="G258" s="199"/>
      <c r="H258" s="203" t="e">
        <f t="shared" si="3"/>
        <v>#DIV/0!</v>
      </c>
      <c r="I258" s="203" t="e">
        <f t="shared" si="4"/>
        <v>#DIV/0!</v>
      </c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</row>
    <row r="259" spans="1:27" ht="15.75" customHeight="1">
      <c r="A259" s="202"/>
      <c r="B259" s="198"/>
      <c r="C259" s="199"/>
      <c r="D259" s="199"/>
      <c r="E259" s="199"/>
      <c r="F259" s="199"/>
      <c r="G259" s="199"/>
      <c r="H259" s="203" t="e">
        <f t="shared" si="3"/>
        <v>#DIV/0!</v>
      </c>
      <c r="I259" s="203" t="e">
        <f t="shared" si="4"/>
        <v>#DIV/0!</v>
      </c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</row>
    <row r="260" spans="1:27" ht="15.75" customHeight="1">
      <c r="A260" s="202"/>
      <c r="B260" s="198"/>
      <c r="C260" s="199"/>
      <c r="D260" s="199"/>
      <c r="E260" s="199"/>
      <c r="F260" s="199"/>
      <c r="G260" s="199"/>
      <c r="H260" s="203" t="e">
        <f t="shared" si="3"/>
        <v>#DIV/0!</v>
      </c>
      <c r="I260" s="203" t="e">
        <f t="shared" si="4"/>
        <v>#DIV/0!</v>
      </c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</row>
    <row r="261" spans="1:27" ht="15.75" customHeight="1">
      <c r="A261" s="202"/>
      <c r="B261" s="198"/>
      <c r="C261" s="199"/>
      <c r="D261" s="199"/>
      <c r="E261" s="199"/>
      <c r="F261" s="199"/>
      <c r="G261" s="199"/>
      <c r="H261" s="203" t="e">
        <f t="shared" si="3"/>
        <v>#DIV/0!</v>
      </c>
      <c r="I261" s="203" t="e">
        <f t="shared" si="4"/>
        <v>#DIV/0!</v>
      </c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</row>
    <row r="262" spans="1:27" ht="15.75" customHeight="1">
      <c r="A262" s="202"/>
      <c r="B262" s="198"/>
      <c r="C262" s="199"/>
      <c r="D262" s="199"/>
      <c r="E262" s="199"/>
      <c r="F262" s="199"/>
      <c r="G262" s="199"/>
      <c r="H262" s="203" t="e">
        <f t="shared" si="3"/>
        <v>#DIV/0!</v>
      </c>
      <c r="I262" s="203" t="e">
        <f t="shared" si="4"/>
        <v>#DIV/0!</v>
      </c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</row>
    <row r="263" spans="1:27" ht="15.75" customHeight="1">
      <c r="A263" s="202"/>
      <c r="B263" s="198"/>
      <c r="C263" s="199"/>
      <c r="D263" s="199"/>
      <c r="E263" s="199"/>
      <c r="F263" s="199"/>
      <c r="G263" s="199"/>
      <c r="H263" s="203" t="e">
        <f t="shared" si="3"/>
        <v>#DIV/0!</v>
      </c>
      <c r="I263" s="203" t="e">
        <f t="shared" si="4"/>
        <v>#DIV/0!</v>
      </c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  <c r="AA263" s="96"/>
    </row>
    <row r="264" spans="1:27" ht="15.75" customHeight="1">
      <c r="A264" s="202"/>
      <c r="B264" s="198"/>
      <c r="C264" s="199"/>
      <c r="D264" s="199"/>
      <c r="E264" s="199"/>
      <c r="F264" s="199"/>
      <c r="G264" s="199"/>
      <c r="H264" s="203" t="e">
        <f t="shared" si="3"/>
        <v>#DIV/0!</v>
      </c>
      <c r="I264" s="203" t="e">
        <f t="shared" si="4"/>
        <v>#DIV/0!</v>
      </c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</row>
    <row r="265" spans="1:27" ht="15.75" customHeight="1">
      <c r="A265" s="202"/>
      <c r="B265" s="198"/>
      <c r="C265" s="199"/>
      <c r="D265" s="199"/>
      <c r="E265" s="199"/>
      <c r="F265" s="199"/>
      <c r="G265" s="199"/>
      <c r="H265" s="203" t="e">
        <f t="shared" si="3"/>
        <v>#DIV/0!</v>
      </c>
      <c r="I265" s="203" t="e">
        <f t="shared" si="4"/>
        <v>#DIV/0!</v>
      </c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</row>
    <row r="266" spans="1:27" ht="15.75" customHeight="1">
      <c r="A266" s="202"/>
      <c r="B266" s="198"/>
      <c r="C266" s="199"/>
      <c r="D266" s="199"/>
      <c r="E266" s="199"/>
      <c r="F266" s="199"/>
      <c r="G266" s="199"/>
      <c r="H266" s="203" t="e">
        <f t="shared" si="3"/>
        <v>#DIV/0!</v>
      </c>
      <c r="I266" s="203" t="e">
        <f t="shared" si="4"/>
        <v>#DIV/0!</v>
      </c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</row>
    <row r="267" spans="1:27" ht="15.75" customHeight="1">
      <c r="A267" s="202"/>
      <c r="B267" s="198"/>
      <c r="C267" s="199"/>
      <c r="D267" s="199"/>
      <c r="E267" s="199"/>
      <c r="F267" s="199"/>
      <c r="G267" s="199"/>
      <c r="H267" s="203" t="e">
        <f t="shared" si="3"/>
        <v>#DIV/0!</v>
      </c>
      <c r="I267" s="203" t="e">
        <f t="shared" si="4"/>
        <v>#DIV/0!</v>
      </c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  <c r="AA267" s="96"/>
    </row>
    <row r="268" spans="1:27" ht="15.75" customHeight="1">
      <c r="A268" s="202"/>
      <c r="B268" s="198"/>
      <c r="C268" s="199"/>
      <c r="D268" s="199"/>
      <c r="E268" s="199"/>
      <c r="F268" s="199"/>
      <c r="G268" s="199"/>
      <c r="H268" s="203" t="e">
        <f t="shared" si="3"/>
        <v>#DIV/0!</v>
      </c>
      <c r="I268" s="203" t="e">
        <f t="shared" si="4"/>
        <v>#DIV/0!</v>
      </c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  <c r="AA268" s="96"/>
    </row>
    <row r="269" spans="1:27" ht="15.75" customHeight="1">
      <c r="A269" s="202"/>
      <c r="B269" s="198"/>
      <c r="C269" s="199"/>
      <c r="D269" s="199"/>
      <c r="E269" s="199"/>
      <c r="F269" s="199"/>
      <c r="G269" s="199"/>
      <c r="H269" s="203" t="e">
        <f t="shared" si="3"/>
        <v>#DIV/0!</v>
      </c>
      <c r="I269" s="203" t="e">
        <f t="shared" si="4"/>
        <v>#DIV/0!</v>
      </c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  <c r="AA269" s="96"/>
    </row>
    <row r="270" spans="1:27" ht="15.75" customHeight="1">
      <c r="A270" s="202"/>
      <c r="B270" s="198"/>
      <c r="C270" s="199"/>
      <c r="D270" s="199"/>
      <c r="E270" s="199"/>
      <c r="F270" s="199"/>
      <c r="G270" s="199"/>
      <c r="H270" s="203" t="e">
        <f t="shared" si="3"/>
        <v>#DIV/0!</v>
      </c>
      <c r="I270" s="203" t="e">
        <f t="shared" si="4"/>
        <v>#DIV/0!</v>
      </c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  <c r="AA270" s="96"/>
    </row>
    <row r="271" spans="1:27" ht="15.75" customHeight="1">
      <c r="A271" s="202"/>
      <c r="B271" s="198"/>
      <c r="C271" s="199"/>
      <c r="D271" s="199"/>
      <c r="E271" s="199"/>
      <c r="F271" s="199"/>
      <c r="G271" s="199"/>
      <c r="H271" s="203" t="e">
        <f t="shared" si="3"/>
        <v>#DIV/0!</v>
      </c>
      <c r="I271" s="203" t="e">
        <f t="shared" si="4"/>
        <v>#DIV/0!</v>
      </c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  <c r="AA271" s="96"/>
    </row>
    <row r="272" spans="1:27" ht="15.75" customHeight="1">
      <c r="A272" s="96"/>
      <c r="B272" s="96"/>
      <c r="C272" s="96"/>
      <c r="D272" s="96"/>
      <c r="E272" s="96"/>
      <c r="F272" s="96"/>
      <c r="G272" s="96"/>
      <c r="H272" s="203" t="e">
        <f t="shared" si="3"/>
        <v>#DIV/0!</v>
      </c>
      <c r="I272" s="203" t="e">
        <f t="shared" si="4"/>
        <v>#DIV/0!</v>
      </c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  <c r="AA272" s="96"/>
    </row>
    <row r="273" spans="1:27" ht="15.75" customHeight="1">
      <c r="A273" s="96"/>
      <c r="B273" s="96"/>
      <c r="C273" s="96"/>
      <c r="D273" s="96"/>
      <c r="E273" s="96"/>
      <c r="F273" s="104"/>
      <c r="G273" s="96"/>
      <c r="H273" s="203"/>
      <c r="I273" s="203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</row>
    <row r="274" spans="1:27" ht="15.75" customHeight="1">
      <c r="A274" s="96"/>
      <c r="B274" s="96"/>
      <c r="C274" s="96"/>
      <c r="D274" s="96"/>
      <c r="E274" s="96"/>
      <c r="F274" s="104">
        <f ca="1">IFERROR(__xludf.DUMMYFUNCTION("googlefinance(""nse:""&amp;A2,""price"")"),1005.05)</f>
        <v>1005.05</v>
      </c>
      <c r="G274" s="96"/>
      <c r="H274" s="203"/>
      <c r="I274" s="203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  <c r="AA274" s="96"/>
    </row>
    <row r="275" spans="1:27" ht="15.75" customHeight="1">
      <c r="A275" s="96"/>
      <c r="B275" s="96"/>
      <c r="C275" s="96"/>
      <c r="D275" s="96"/>
      <c r="E275" s="96"/>
      <c r="F275" s="104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  <c r="AA275" s="96"/>
    </row>
    <row r="276" spans="1:27" ht="15.75" customHeight="1">
      <c r="A276" s="96"/>
      <c r="B276" s="96"/>
      <c r="C276" s="96"/>
      <c r="D276" s="96"/>
      <c r="E276" s="96"/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</row>
    <row r="277" spans="1:27" ht="15.75" customHeight="1">
      <c r="A277" s="96"/>
      <c r="B277" s="96"/>
      <c r="C277" s="96"/>
      <c r="D277" s="96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</row>
    <row r="278" spans="1:27" ht="15.75" customHeight="1">
      <c r="A278" s="96"/>
      <c r="B278" s="96"/>
      <c r="C278" s="96"/>
      <c r="D278" s="96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</row>
    <row r="279" spans="1:27" ht="15.75" customHeight="1">
      <c r="A279" s="96"/>
      <c r="B279" s="96"/>
      <c r="C279" s="96"/>
      <c r="D279" s="96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</row>
    <row r="280" spans="1:27" ht="15.75" customHeight="1">
      <c r="A280" s="96"/>
      <c r="B280" s="96"/>
      <c r="C280" s="96"/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</row>
    <row r="281" spans="1:27" ht="15.75" customHeight="1">
      <c r="A281" s="96"/>
      <c r="B281" s="96"/>
      <c r="C281" s="96"/>
      <c r="D281" s="96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</row>
    <row r="282" spans="1:27" ht="15.75" customHeight="1">
      <c r="A282" s="96"/>
      <c r="B282" s="96"/>
      <c r="C282" s="96"/>
      <c r="D282" s="96"/>
      <c r="E282" s="96"/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</row>
    <row r="283" spans="1:27" ht="15.75" customHeight="1">
      <c r="A283" s="96"/>
      <c r="B283" s="96"/>
      <c r="C283" s="96"/>
      <c r="D283" s="96"/>
      <c r="E283" s="96"/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</row>
    <row r="284" spans="1:27" ht="15.75" customHeight="1">
      <c r="A284" s="96"/>
      <c r="B284" s="96"/>
      <c r="C284" s="96"/>
      <c r="D284" s="96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  <c r="AA284" s="96"/>
    </row>
    <row r="285" spans="1:27" ht="15.75" customHeight="1">
      <c r="A285" s="96"/>
      <c r="B285" s="96"/>
      <c r="C285" s="96"/>
      <c r="D285" s="96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  <c r="AA285" s="96"/>
    </row>
    <row r="286" spans="1:27" ht="15.75" customHeight="1">
      <c r="A286" s="96"/>
      <c r="B286" s="96"/>
      <c r="C286" s="96"/>
      <c r="D286" s="96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</row>
    <row r="287" spans="1:27" ht="15.75" customHeight="1">
      <c r="A287" s="96"/>
      <c r="B287" s="96"/>
      <c r="C287" s="96"/>
      <c r="D287" s="96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</row>
    <row r="288" spans="1:27" ht="15.75" customHeight="1">
      <c r="A288" s="96"/>
      <c r="B288" s="96"/>
      <c r="C288" s="96"/>
      <c r="D288" s="96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  <c r="AA288" s="96"/>
    </row>
    <row r="289" spans="1:27" ht="15.75" customHeight="1">
      <c r="A289" s="96"/>
      <c r="B289" s="96"/>
      <c r="C289" s="96"/>
      <c r="D289" s="96"/>
      <c r="E289" s="96"/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  <c r="AA289" s="96"/>
    </row>
    <row r="290" spans="1:27" ht="15.75" customHeight="1">
      <c r="A290" s="96"/>
      <c r="B290" s="96"/>
      <c r="C290" s="96"/>
      <c r="D290" s="96"/>
      <c r="E290" s="96"/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  <c r="AA290" s="96"/>
    </row>
    <row r="291" spans="1:27" ht="15.75" customHeight="1">
      <c r="A291" s="96"/>
      <c r="B291" s="96"/>
      <c r="C291" s="96"/>
      <c r="D291" s="96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  <c r="AA291" s="96"/>
    </row>
    <row r="292" spans="1:27" ht="15.75" customHeight="1">
      <c r="A292" s="96"/>
      <c r="B292" s="96"/>
      <c r="C292" s="96"/>
      <c r="D292" s="96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  <c r="AA292" s="96"/>
    </row>
    <row r="293" spans="1:27" ht="15.75" customHeight="1">
      <c r="A293" s="96"/>
      <c r="B293" s="96"/>
      <c r="C293" s="96"/>
      <c r="D293" s="96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  <c r="AA293" s="96"/>
    </row>
    <row r="294" spans="1:27" ht="15.75" customHeight="1">
      <c r="A294" s="96"/>
      <c r="B294" s="96"/>
      <c r="C294" s="96"/>
      <c r="D294" s="96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  <c r="AA294" s="96"/>
    </row>
    <row r="295" spans="1:27" ht="15.75" customHeight="1">
      <c r="A295" s="96"/>
      <c r="B295" s="96"/>
      <c r="C295" s="96"/>
      <c r="D295" s="96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  <c r="AA295" s="96"/>
    </row>
    <row r="296" spans="1:27" ht="15.75" customHeight="1">
      <c r="A296" s="96"/>
      <c r="B296" s="96"/>
      <c r="C296" s="96"/>
      <c r="D296" s="96"/>
      <c r="E296" s="96"/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  <c r="AA296" s="96"/>
    </row>
    <row r="297" spans="1:27" ht="15.75" customHeight="1">
      <c r="A297" s="96"/>
      <c r="B297" s="96"/>
      <c r="C297" s="96"/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</row>
    <row r="298" spans="1:27" ht="15.75" customHeight="1">
      <c r="A298" s="96"/>
      <c r="B298" s="96"/>
      <c r="C298" s="96"/>
      <c r="D298" s="96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</row>
    <row r="299" spans="1:27" ht="15.75" customHeight="1">
      <c r="A299" s="96"/>
      <c r="B299" s="96"/>
      <c r="C299" s="96"/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</row>
    <row r="300" spans="1:27" ht="15.75" customHeight="1">
      <c r="A300" s="96"/>
      <c r="B300" s="96"/>
      <c r="C300" s="96"/>
      <c r="D300" s="96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</row>
    <row r="301" spans="1:27" ht="15.75" customHeight="1">
      <c r="A301" s="96"/>
      <c r="B301" s="96"/>
      <c r="C301" s="96"/>
      <c r="D301" s="96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</row>
    <row r="302" spans="1:27" ht="15.75" customHeight="1">
      <c r="A302" s="96"/>
      <c r="B302" s="96"/>
      <c r="C302" s="96"/>
      <c r="D302" s="96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</row>
    <row r="303" spans="1:27" ht="15.75" customHeight="1">
      <c r="A303" s="96"/>
      <c r="B303" s="96"/>
      <c r="C303" s="96"/>
      <c r="D303" s="96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</row>
    <row r="304" spans="1:27" ht="15.75" customHeight="1">
      <c r="A304" s="96"/>
      <c r="B304" s="96"/>
      <c r="C304" s="96"/>
      <c r="D304" s="96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</row>
    <row r="305" spans="1:27" ht="15.75" customHeight="1">
      <c r="A305" s="96"/>
      <c r="B305" s="96"/>
      <c r="C305" s="96"/>
      <c r="D305" s="96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</row>
    <row r="306" spans="1:27" ht="15.75" customHeight="1">
      <c r="A306" s="96"/>
      <c r="B306" s="96"/>
      <c r="C306" s="96"/>
      <c r="D306" s="96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</row>
    <row r="307" spans="1:27" ht="15.75" customHeight="1">
      <c r="A307" s="96"/>
      <c r="B307" s="96"/>
      <c r="C307" s="96"/>
      <c r="D307" s="96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</row>
    <row r="308" spans="1:27" ht="15.75" customHeight="1">
      <c r="A308" s="96"/>
      <c r="B308" s="96"/>
      <c r="C308" s="96"/>
      <c r="D308" s="96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  <c r="AA308" s="96"/>
    </row>
    <row r="309" spans="1:27" ht="15.75" customHeight="1">
      <c r="A309" s="96"/>
      <c r="B309" s="96"/>
      <c r="C309" s="96"/>
      <c r="D309" s="96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</row>
    <row r="310" spans="1:27" ht="15.75" customHeight="1">
      <c r="A310" s="96"/>
      <c r="B310" s="96"/>
      <c r="C310" s="96"/>
      <c r="D310" s="96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  <c r="AA310" s="96"/>
    </row>
    <row r="311" spans="1:27" ht="15.75" customHeight="1">
      <c r="A311" s="96"/>
      <c r="B311" s="96"/>
      <c r="C311" s="96"/>
      <c r="D311" s="96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  <c r="AA311" s="96"/>
    </row>
    <row r="312" spans="1:27" ht="15.75" customHeight="1">
      <c r="A312" s="96"/>
      <c r="B312" s="96"/>
      <c r="C312" s="96"/>
      <c r="D312" s="96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</row>
    <row r="313" spans="1:27" ht="15.75" customHeight="1">
      <c r="A313" s="96"/>
      <c r="B313" s="96"/>
      <c r="C313" s="96"/>
      <c r="D313" s="96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  <c r="AA313" s="96"/>
    </row>
    <row r="314" spans="1:27" ht="15.75" customHeight="1">
      <c r="A314" s="96"/>
      <c r="B314" s="96"/>
      <c r="C314" s="96"/>
      <c r="D314" s="96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  <c r="AA314" s="96"/>
    </row>
    <row r="315" spans="1:27" ht="15.75" customHeight="1">
      <c r="A315" s="96"/>
      <c r="B315" s="96"/>
      <c r="C315" s="96"/>
      <c r="D315" s="96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  <c r="AA315" s="96"/>
    </row>
    <row r="316" spans="1:27" ht="15.75" customHeight="1">
      <c r="A316" s="96"/>
      <c r="B316" s="96"/>
      <c r="C316" s="96"/>
      <c r="D316" s="96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  <c r="AA316" s="96"/>
    </row>
    <row r="317" spans="1:27" ht="15.75" customHeight="1">
      <c r="A317" s="96"/>
      <c r="B317" s="96"/>
      <c r="C317" s="96"/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  <c r="AA317" s="96"/>
    </row>
    <row r="318" spans="1:27" ht="15.75" customHeight="1">
      <c r="A318" s="96"/>
      <c r="B318" s="96"/>
      <c r="C318" s="96"/>
      <c r="D318" s="96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  <c r="AA318" s="96"/>
    </row>
    <row r="319" spans="1:27" ht="15.75" customHeight="1">
      <c r="A319" s="96"/>
      <c r="B319" s="96"/>
      <c r="C319" s="96"/>
      <c r="D319" s="96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  <c r="AA319" s="96"/>
    </row>
    <row r="320" spans="1:27" ht="15.75" customHeight="1">
      <c r="A320" s="96"/>
      <c r="B320" s="96"/>
      <c r="C320" s="96"/>
      <c r="D320" s="96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</row>
    <row r="321" spans="1:27" ht="15.75" customHeight="1">
      <c r="A321" s="96"/>
      <c r="B321" s="96"/>
      <c r="C321" s="96"/>
      <c r="D321" s="96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</row>
    <row r="322" spans="1:27" ht="15.75" customHeight="1">
      <c r="A322" s="96"/>
      <c r="B322" s="96"/>
      <c r="C322" s="96"/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  <c r="AA322" s="96"/>
    </row>
    <row r="323" spans="1:27" ht="15.75" customHeight="1">
      <c r="A323" s="96"/>
      <c r="B323" s="96"/>
      <c r="C323" s="96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  <c r="AA323" s="96"/>
    </row>
    <row r="324" spans="1:27" ht="15.75" customHeight="1">
      <c r="A324" s="96"/>
      <c r="B324" s="96"/>
      <c r="C324" s="96"/>
      <c r="D324" s="96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  <c r="AA324" s="96"/>
    </row>
    <row r="325" spans="1:27" ht="15.75" customHeight="1">
      <c r="A325" s="96"/>
      <c r="B325" s="96"/>
      <c r="C325" s="96"/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  <c r="AA325" s="96"/>
    </row>
    <row r="326" spans="1:27" ht="15.75" customHeight="1">
      <c r="A326" s="96"/>
      <c r="B326" s="96"/>
      <c r="C326" s="96"/>
      <c r="D326" s="96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  <c r="AA326" s="96"/>
    </row>
    <row r="327" spans="1:27" ht="15.75" customHeight="1">
      <c r="A327" s="96"/>
      <c r="B327" s="96"/>
      <c r="C327" s="96"/>
      <c r="D327" s="96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  <c r="AA327" s="96"/>
    </row>
    <row r="328" spans="1:27" ht="15.75" customHeight="1">
      <c r="A328" s="96"/>
      <c r="B328" s="96"/>
      <c r="C328" s="96"/>
      <c r="D328" s="96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  <c r="AA328" s="96"/>
    </row>
    <row r="329" spans="1:27" ht="15.75" customHeight="1">
      <c r="A329" s="96"/>
      <c r="B329" s="96"/>
      <c r="C329" s="96"/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</row>
    <row r="330" spans="1:27" ht="15.75" customHeight="1">
      <c r="A330" s="96"/>
      <c r="B330" s="96"/>
      <c r="C330" s="96"/>
      <c r="D330" s="96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  <c r="AA330" s="96"/>
    </row>
    <row r="331" spans="1:27" ht="15.75" customHeight="1">
      <c r="A331" s="96"/>
      <c r="B331" s="96"/>
      <c r="C331" s="96"/>
      <c r="D331" s="96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</row>
    <row r="332" spans="1:27" ht="15.75" customHeight="1">
      <c r="A332" s="96"/>
      <c r="B332" s="96"/>
      <c r="C332" s="96"/>
      <c r="D332" s="96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  <c r="AA332" s="96"/>
    </row>
    <row r="333" spans="1:27" ht="15.75" customHeight="1">
      <c r="A333" s="96"/>
      <c r="B333" s="96"/>
      <c r="C333" s="96"/>
      <c r="D333" s="96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  <c r="AA333" s="96"/>
    </row>
    <row r="334" spans="1:27" ht="15.75" customHeight="1">
      <c r="A334" s="96"/>
      <c r="B334" s="96"/>
      <c r="C334" s="96"/>
      <c r="D334" s="96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  <c r="AA334" s="96"/>
    </row>
    <row r="335" spans="1:27" ht="15.75" customHeight="1">
      <c r="A335" s="96"/>
      <c r="B335" s="96"/>
      <c r="C335" s="96"/>
      <c r="D335" s="96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  <c r="AA335" s="96"/>
    </row>
    <row r="336" spans="1:27" ht="15.75" customHeight="1">
      <c r="A336" s="96"/>
      <c r="B336" s="96"/>
      <c r="C336" s="96"/>
      <c r="D336" s="96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  <c r="AA336" s="96"/>
    </row>
    <row r="337" spans="1:27" ht="15.75" customHeight="1">
      <c r="A337" s="96"/>
      <c r="B337" s="96"/>
      <c r="C337" s="96"/>
      <c r="D337" s="96"/>
      <c r="E337" s="96"/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6"/>
      <c r="AA337" s="96"/>
    </row>
    <row r="338" spans="1:27" ht="15.75" customHeight="1">
      <c r="A338" s="96"/>
      <c r="B338" s="96"/>
      <c r="C338" s="96"/>
      <c r="D338" s="96"/>
      <c r="E338" s="96"/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6"/>
      <c r="AA338" s="96"/>
    </row>
    <row r="339" spans="1:27" ht="15.75" customHeight="1">
      <c r="A339" s="96"/>
      <c r="B339" s="96"/>
      <c r="C339" s="96"/>
      <c r="D339" s="96"/>
      <c r="E339" s="96"/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6"/>
      <c r="AA339" s="96"/>
    </row>
    <row r="340" spans="1:27" ht="15.75" customHeight="1">
      <c r="A340" s="96"/>
      <c r="B340" s="96"/>
      <c r="C340" s="96"/>
      <c r="D340" s="96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  <c r="AA340" s="96"/>
    </row>
    <row r="341" spans="1:27" ht="15.75" customHeight="1">
      <c r="A341" s="96"/>
      <c r="B341" s="96"/>
      <c r="C341" s="96"/>
      <c r="D341" s="96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  <c r="AA341" s="96"/>
    </row>
    <row r="342" spans="1:27" ht="15.75" customHeight="1">
      <c r="A342" s="96"/>
      <c r="B342" s="96"/>
      <c r="C342" s="96"/>
      <c r="D342" s="96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  <c r="AA342" s="96"/>
    </row>
    <row r="343" spans="1:27" ht="15.75" customHeight="1">
      <c r="A343" s="96"/>
      <c r="B343" s="96"/>
      <c r="C343" s="96"/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  <c r="AA343" s="96"/>
    </row>
    <row r="344" spans="1:27" ht="15.75" customHeight="1">
      <c r="A344" s="96"/>
      <c r="B344" s="96"/>
      <c r="C344" s="96"/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  <c r="AA344" s="96"/>
    </row>
    <row r="345" spans="1:27" ht="15.75" customHeight="1">
      <c r="A345" s="96"/>
      <c r="B345" s="96"/>
      <c r="C345" s="96"/>
      <c r="D345" s="96"/>
      <c r="E345" s="96"/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  <c r="AA345" s="96"/>
    </row>
    <row r="346" spans="1:27" ht="15.75" customHeight="1">
      <c r="A346" s="96"/>
      <c r="B346" s="96"/>
      <c r="C346" s="96"/>
      <c r="D346" s="96"/>
      <c r="E346" s="96"/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6"/>
      <c r="AA346" s="96"/>
    </row>
    <row r="347" spans="1:27" ht="15.75" customHeight="1">
      <c r="A347" s="96"/>
      <c r="B347" s="96"/>
      <c r="C347" s="96"/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  <c r="AA347" s="96"/>
    </row>
    <row r="348" spans="1:27" ht="15.75" customHeight="1">
      <c r="A348" s="96"/>
      <c r="B348" s="96"/>
      <c r="C348" s="96"/>
      <c r="D348" s="96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  <c r="AA348" s="96"/>
    </row>
    <row r="349" spans="1:27" ht="15.75" customHeight="1">
      <c r="A349" s="96"/>
      <c r="B349" s="96"/>
      <c r="C349" s="96"/>
      <c r="D349" s="96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  <c r="AA349" s="96"/>
    </row>
    <row r="350" spans="1:27" ht="15.75" customHeight="1">
      <c r="A350" s="96"/>
      <c r="B350" s="96"/>
      <c r="C350" s="96"/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6"/>
      <c r="AA350" s="96"/>
    </row>
    <row r="351" spans="1:27" ht="15.75" customHeight="1">
      <c r="A351" s="96"/>
      <c r="B351" s="96"/>
      <c r="C351" s="96"/>
      <c r="D351" s="96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  <c r="AA351" s="96"/>
    </row>
    <row r="352" spans="1:27" ht="15.75" customHeight="1">
      <c r="A352" s="96"/>
      <c r="B352" s="96"/>
      <c r="C352" s="96"/>
      <c r="D352" s="96"/>
      <c r="E352" s="96"/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6"/>
      <c r="AA352" s="96"/>
    </row>
    <row r="353" spans="1:27" ht="15.75" customHeight="1">
      <c r="A353" s="96"/>
      <c r="B353" s="96"/>
      <c r="C353" s="96"/>
      <c r="D353" s="96"/>
      <c r="E353" s="96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  <c r="AA353" s="96"/>
    </row>
    <row r="354" spans="1:27" ht="15.75" customHeight="1">
      <c r="A354" s="96"/>
      <c r="B354" s="96"/>
      <c r="C354" s="96"/>
      <c r="D354" s="96"/>
      <c r="E354" s="96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6"/>
      <c r="AA354" s="96"/>
    </row>
    <row r="355" spans="1:27" ht="15.75" customHeight="1">
      <c r="A355" s="96"/>
      <c r="B355" s="96"/>
      <c r="C355" s="96"/>
      <c r="D355" s="96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  <c r="AA355" s="96"/>
    </row>
    <row r="356" spans="1:27" ht="15.75" customHeight="1">
      <c r="A356" s="96"/>
      <c r="B356" s="96"/>
      <c r="C356" s="96"/>
      <c r="D356" s="96"/>
      <c r="E356" s="96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6"/>
      <c r="AA356" s="96"/>
    </row>
    <row r="357" spans="1:27" ht="15.75" customHeight="1">
      <c r="A357" s="96"/>
      <c r="B357" s="96"/>
      <c r="C357" s="96"/>
      <c r="D357" s="96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  <c r="AA357" s="96"/>
    </row>
    <row r="358" spans="1:27" ht="15.75" customHeight="1">
      <c r="A358" s="96"/>
      <c r="B358" s="96"/>
      <c r="C358" s="96"/>
      <c r="D358" s="96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6"/>
      <c r="AA358" s="96"/>
    </row>
    <row r="359" spans="1:27" ht="15.75" customHeight="1">
      <c r="A359" s="96"/>
      <c r="B359" s="96"/>
      <c r="C359" s="96"/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6"/>
      <c r="AA359" s="96"/>
    </row>
    <row r="360" spans="1:27" ht="15.75" customHeight="1">
      <c r="A360" s="96"/>
      <c r="B360" s="96"/>
      <c r="C360" s="96"/>
      <c r="D360" s="96"/>
      <c r="E360" s="96"/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6"/>
      <c r="AA360" s="96"/>
    </row>
    <row r="361" spans="1:27" ht="15.75" customHeight="1">
      <c r="A361" s="96"/>
      <c r="B361" s="96"/>
      <c r="C361" s="96"/>
      <c r="D361" s="96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  <c r="AA361" s="96"/>
    </row>
    <row r="362" spans="1:27" ht="15.75" customHeight="1">
      <c r="A362" s="96"/>
      <c r="B362" s="96"/>
      <c r="C362" s="96"/>
      <c r="D362" s="96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6"/>
      <c r="AA362" s="96"/>
    </row>
    <row r="363" spans="1:27" ht="15.75" customHeight="1">
      <c r="A363" s="96"/>
      <c r="B363" s="96"/>
      <c r="C363" s="96"/>
      <c r="D363" s="96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6"/>
      <c r="AA363" s="96"/>
    </row>
    <row r="364" spans="1:27" ht="15.75" customHeight="1">
      <c r="A364" s="96"/>
      <c r="B364" s="96"/>
      <c r="C364" s="96"/>
      <c r="D364" s="96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  <c r="AA364" s="96"/>
    </row>
    <row r="365" spans="1:27" ht="15.75" customHeight="1">
      <c r="A365" s="96"/>
      <c r="B365" s="96"/>
      <c r="C365" s="96"/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  <c r="Z365" s="96"/>
      <c r="AA365" s="96"/>
    </row>
    <row r="366" spans="1:27" ht="15.75" customHeight="1">
      <c r="A366" s="96"/>
      <c r="B366" s="96"/>
      <c r="C366" s="96"/>
      <c r="D366" s="96"/>
      <c r="E366" s="96"/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96"/>
      <c r="X366" s="96"/>
      <c r="Y366" s="96"/>
      <c r="Z366" s="96"/>
      <c r="AA366" s="96"/>
    </row>
    <row r="367" spans="1:27" ht="15.75" customHeight="1">
      <c r="A367" s="96"/>
      <c r="B367" s="96"/>
      <c r="C367" s="96"/>
      <c r="D367" s="96"/>
      <c r="E367" s="96"/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  <c r="Z367" s="96"/>
      <c r="AA367" s="96"/>
    </row>
    <row r="368" spans="1:27" ht="15.75" customHeight="1">
      <c r="A368" s="96"/>
      <c r="B368" s="96"/>
      <c r="C368" s="96"/>
      <c r="D368" s="96"/>
      <c r="E368" s="96"/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  <c r="Z368" s="96"/>
      <c r="AA368" s="96"/>
    </row>
    <row r="369" spans="1:27" ht="15.75" customHeight="1">
      <c r="A369" s="96"/>
      <c r="B369" s="96"/>
      <c r="C369" s="96"/>
      <c r="D369" s="96"/>
      <c r="E369" s="96"/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96"/>
      <c r="AA369" s="96"/>
    </row>
    <row r="370" spans="1:27" ht="15.75" customHeight="1">
      <c r="A370" s="96"/>
      <c r="B370" s="96"/>
      <c r="C370" s="96"/>
      <c r="D370" s="96"/>
      <c r="E370" s="96"/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  <c r="Z370" s="96"/>
      <c r="AA370" s="96"/>
    </row>
    <row r="371" spans="1:27" ht="15.75" customHeight="1">
      <c r="A371" s="96"/>
      <c r="B371" s="96"/>
      <c r="C371" s="96"/>
      <c r="D371" s="96"/>
      <c r="E371" s="96"/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96"/>
      <c r="AA371" s="96"/>
    </row>
    <row r="372" spans="1:27" ht="15.75" customHeight="1">
      <c r="A372" s="96"/>
      <c r="B372" s="96"/>
      <c r="C372" s="96"/>
      <c r="D372" s="96"/>
      <c r="E372" s="96"/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6"/>
      <c r="X372" s="96"/>
      <c r="Y372" s="96"/>
      <c r="Z372" s="96"/>
      <c r="AA372" s="96"/>
    </row>
    <row r="373" spans="1:27" ht="15.75" customHeight="1">
      <c r="A373" s="96"/>
      <c r="B373" s="96"/>
      <c r="C373" s="96"/>
      <c r="D373" s="96"/>
      <c r="E373" s="96"/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  <c r="Z373" s="96"/>
      <c r="AA373" s="96"/>
    </row>
    <row r="374" spans="1:27" ht="15.75" customHeight="1">
      <c r="A374" s="96"/>
      <c r="B374" s="96"/>
      <c r="C374" s="96"/>
      <c r="D374" s="96"/>
      <c r="E374" s="96"/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  <c r="Z374" s="96"/>
      <c r="AA374" s="96"/>
    </row>
    <row r="375" spans="1:27" ht="15.75" customHeight="1">
      <c r="A375" s="96"/>
      <c r="B375" s="96"/>
      <c r="C375" s="96"/>
      <c r="D375" s="96"/>
      <c r="E375" s="96"/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6"/>
      <c r="AA375" s="96"/>
    </row>
    <row r="376" spans="1:27" ht="15.75" customHeight="1">
      <c r="A376" s="96"/>
      <c r="B376" s="96"/>
      <c r="C376" s="96"/>
      <c r="D376" s="96"/>
      <c r="E376" s="96"/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96"/>
      <c r="X376" s="96"/>
      <c r="Y376" s="96"/>
      <c r="Z376" s="96"/>
      <c r="AA376" s="96"/>
    </row>
    <row r="377" spans="1:27" ht="15.75" customHeight="1">
      <c r="A377" s="96"/>
      <c r="B377" s="96"/>
      <c r="C377" s="96"/>
      <c r="D377" s="96"/>
      <c r="E377" s="96"/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  <c r="Z377" s="96"/>
      <c r="AA377" s="96"/>
    </row>
    <row r="378" spans="1:27" ht="15.75" customHeight="1">
      <c r="A378" s="96"/>
      <c r="B378" s="96"/>
      <c r="C378" s="96"/>
      <c r="D378" s="96"/>
      <c r="E378" s="96"/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96"/>
      <c r="X378" s="96"/>
      <c r="Y378" s="96"/>
      <c r="Z378" s="96"/>
      <c r="AA378" s="96"/>
    </row>
    <row r="379" spans="1:27" ht="15.75" customHeight="1">
      <c r="A379" s="96"/>
      <c r="B379" s="96"/>
      <c r="C379" s="96"/>
      <c r="D379" s="96"/>
      <c r="E379" s="96"/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  <c r="Z379" s="96"/>
      <c r="AA379" s="96"/>
    </row>
    <row r="380" spans="1:27" ht="15.75" customHeight="1">
      <c r="A380" s="96"/>
      <c r="B380" s="96"/>
      <c r="C380" s="96"/>
      <c r="D380" s="96"/>
      <c r="E380" s="96"/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96"/>
      <c r="Z380" s="96"/>
      <c r="AA380" s="96"/>
    </row>
    <row r="381" spans="1:27" ht="15.75" customHeight="1">
      <c r="A381" s="96"/>
      <c r="B381" s="96"/>
      <c r="C381" s="96"/>
      <c r="D381" s="96"/>
      <c r="E381" s="96"/>
      <c r="F381" s="96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  <c r="Z381" s="96"/>
      <c r="AA381" s="96"/>
    </row>
    <row r="382" spans="1:27" ht="15.75" customHeight="1">
      <c r="A382" s="96"/>
      <c r="B382" s="96"/>
      <c r="C382" s="96"/>
      <c r="D382" s="96"/>
      <c r="E382" s="96"/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  <c r="X382" s="96"/>
      <c r="Y382" s="96"/>
      <c r="Z382" s="96"/>
      <c r="AA382" s="96"/>
    </row>
    <row r="383" spans="1:27" ht="15.75" customHeight="1">
      <c r="A383" s="96"/>
      <c r="B383" s="96"/>
      <c r="C383" s="96"/>
      <c r="D383" s="96"/>
      <c r="E383" s="96"/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96"/>
      <c r="AA383" s="96"/>
    </row>
    <row r="384" spans="1:27" ht="15.75" customHeight="1">
      <c r="A384" s="96"/>
      <c r="B384" s="96"/>
      <c r="C384" s="96"/>
      <c r="D384" s="96"/>
      <c r="E384" s="96"/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  <c r="Z384" s="96"/>
      <c r="AA384" s="96"/>
    </row>
    <row r="385" spans="1:27" ht="15.75" customHeight="1">
      <c r="A385" s="96"/>
      <c r="B385" s="96"/>
      <c r="C385" s="96"/>
      <c r="D385" s="96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  <c r="AA385" s="96"/>
    </row>
    <row r="386" spans="1:27" ht="15.75" customHeight="1">
      <c r="A386" s="96"/>
      <c r="B386" s="96"/>
      <c r="C386" s="96"/>
      <c r="D386" s="96"/>
      <c r="E386" s="96"/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6"/>
      <c r="AA386" s="96"/>
    </row>
    <row r="387" spans="1:27" ht="15.75" customHeight="1">
      <c r="A387" s="96"/>
      <c r="B387" s="96"/>
      <c r="C387" s="96"/>
      <c r="D387" s="96"/>
      <c r="E387" s="96"/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6"/>
      <c r="AA387" s="96"/>
    </row>
    <row r="388" spans="1:27" ht="15.75" customHeight="1">
      <c r="A388" s="96"/>
      <c r="B388" s="96"/>
      <c r="C388" s="96"/>
      <c r="D388" s="96"/>
      <c r="E388" s="96"/>
      <c r="F388" s="96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  <c r="X388" s="96"/>
      <c r="Y388" s="96"/>
      <c r="Z388" s="96"/>
      <c r="AA388" s="96"/>
    </row>
    <row r="389" spans="1:27" ht="15.75" customHeight="1">
      <c r="A389" s="96"/>
      <c r="B389" s="96"/>
      <c r="C389" s="96"/>
      <c r="D389" s="96"/>
      <c r="E389" s="96"/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  <c r="Z389" s="96"/>
      <c r="AA389" s="96"/>
    </row>
    <row r="390" spans="1:27" ht="15.75" customHeight="1">
      <c r="A390" s="96"/>
      <c r="B390" s="96"/>
      <c r="C390" s="96"/>
      <c r="D390" s="96"/>
      <c r="E390" s="96"/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96"/>
      <c r="Z390" s="96"/>
      <c r="AA390" s="96"/>
    </row>
    <row r="391" spans="1:27" ht="15.75" customHeight="1">
      <c r="A391" s="96"/>
      <c r="B391" s="96"/>
      <c r="C391" s="96"/>
      <c r="D391" s="96"/>
      <c r="E391" s="96"/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  <c r="Z391" s="96"/>
      <c r="AA391" s="96"/>
    </row>
    <row r="392" spans="1:27" ht="15.75" customHeight="1">
      <c r="A392" s="96"/>
      <c r="B392" s="96"/>
      <c r="C392" s="96"/>
      <c r="D392" s="96"/>
      <c r="E392" s="96"/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96"/>
      <c r="X392" s="96"/>
      <c r="Y392" s="96"/>
      <c r="Z392" s="96"/>
      <c r="AA392" s="96"/>
    </row>
    <row r="393" spans="1:27" ht="15.75" customHeight="1">
      <c r="A393" s="96"/>
      <c r="B393" s="96"/>
      <c r="C393" s="96"/>
      <c r="D393" s="96"/>
      <c r="E393" s="96"/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  <c r="X393" s="96"/>
      <c r="Y393" s="96"/>
      <c r="Z393" s="96"/>
      <c r="AA393" s="96"/>
    </row>
    <row r="394" spans="1:27" ht="15.75" customHeight="1">
      <c r="A394" s="96"/>
      <c r="B394" s="96"/>
      <c r="C394" s="96"/>
      <c r="D394" s="96"/>
      <c r="E394" s="96"/>
      <c r="F394" s="96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96"/>
      <c r="X394" s="96"/>
      <c r="Y394" s="96"/>
      <c r="Z394" s="96"/>
      <c r="AA394" s="96"/>
    </row>
    <row r="395" spans="1:27" ht="15.75" customHeight="1">
      <c r="A395" s="96"/>
      <c r="B395" s="96"/>
      <c r="C395" s="96"/>
      <c r="D395" s="96"/>
      <c r="E395" s="96"/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  <c r="X395" s="96"/>
      <c r="Y395" s="96"/>
      <c r="Z395" s="96"/>
      <c r="AA395" s="96"/>
    </row>
    <row r="396" spans="1:27" ht="15.75" customHeight="1">
      <c r="A396" s="96"/>
      <c r="B396" s="96"/>
      <c r="C396" s="96"/>
      <c r="D396" s="96"/>
      <c r="E396" s="96"/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96"/>
      <c r="X396" s="96"/>
      <c r="Y396" s="96"/>
      <c r="Z396" s="96"/>
      <c r="AA396" s="96"/>
    </row>
    <row r="397" spans="1:27" ht="15.75" customHeight="1">
      <c r="A397" s="96"/>
      <c r="B397" s="96"/>
      <c r="C397" s="96"/>
      <c r="D397" s="96"/>
      <c r="E397" s="96"/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6"/>
      <c r="AA397" s="96"/>
    </row>
    <row r="398" spans="1:27" ht="15.75" customHeight="1">
      <c r="A398" s="96"/>
      <c r="B398" s="96"/>
      <c r="C398" s="96"/>
      <c r="D398" s="96"/>
      <c r="E398" s="96"/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6"/>
      <c r="X398" s="96"/>
      <c r="Y398" s="96"/>
      <c r="Z398" s="96"/>
      <c r="AA398" s="96"/>
    </row>
    <row r="399" spans="1:27" ht="15.75" customHeight="1">
      <c r="A399" s="96"/>
      <c r="B399" s="96"/>
      <c r="C399" s="96"/>
      <c r="D399" s="96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  <c r="Z399" s="96"/>
      <c r="AA399" s="96"/>
    </row>
    <row r="400" spans="1:27" ht="15.75" customHeight="1">
      <c r="A400" s="96"/>
      <c r="B400" s="96"/>
      <c r="C400" s="96"/>
      <c r="D400" s="96"/>
      <c r="E400" s="96"/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  <c r="Z400" s="96"/>
      <c r="AA400" s="96"/>
    </row>
    <row r="401" spans="1:27" ht="15.75" customHeight="1">
      <c r="A401" s="96"/>
      <c r="B401" s="96"/>
      <c r="C401" s="96"/>
      <c r="D401" s="96"/>
      <c r="E401" s="96"/>
      <c r="F401" s="96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  <c r="Z401" s="96"/>
      <c r="AA401" s="96"/>
    </row>
    <row r="402" spans="1:27" ht="15.75" customHeight="1">
      <c r="A402" s="96"/>
      <c r="B402" s="96"/>
      <c r="C402" s="96"/>
      <c r="D402" s="96"/>
      <c r="E402" s="96"/>
      <c r="F402" s="96"/>
      <c r="G402" s="96"/>
      <c r="H402" s="96"/>
      <c r="I402" s="96"/>
      <c r="J402" s="96"/>
      <c r="K402" s="96"/>
      <c r="L402" s="96"/>
      <c r="M402" s="96"/>
      <c r="N402" s="96"/>
      <c r="O402" s="96"/>
      <c r="P402" s="96"/>
      <c r="Q402" s="96"/>
      <c r="R402" s="96"/>
      <c r="S402" s="96"/>
      <c r="T402" s="96"/>
      <c r="U402" s="96"/>
      <c r="V402" s="96"/>
      <c r="W402" s="96"/>
      <c r="X402" s="96"/>
      <c r="Y402" s="96"/>
      <c r="Z402" s="96"/>
      <c r="AA402" s="96"/>
    </row>
    <row r="403" spans="1:27" ht="15.75" customHeight="1">
      <c r="A403" s="96"/>
      <c r="B403" s="96"/>
      <c r="C403" s="96"/>
      <c r="D403" s="96"/>
      <c r="E403" s="96"/>
      <c r="F403" s="96"/>
      <c r="G403" s="96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96"/>
      <c r="T403" s="96"/>
      <c r="U403" s="96"/>
      <c r="V403" s="96"/>
      <c r="W403" s="96"/>
      <c r="X403" s="96"/>
      <c r="Y403" s="96"/>
      <c r="Z403" s="96"/>
      <c r="AA403" s="96"/>
    </row>
    <row r="404" spans="1:27" ht="15.75" customHeight="1">
      <c r="A404" s="96"/>
      <c r="B404" s="96"/>
      <c r="C404" s="96"/>
      <c r="D404" s="96"/>
      <c r="E404" s="96"/>
      <c r="F404" s="96"/>
      <c r="G404" s="96"/>
      <c r="H404" s="96"/>
      <c r="I404" s="96"/>
      <c r="J404" s="96"/>
      <c r="K404" s="96"/>
      <c r="L404" s="96"/>
      <c r="M404" s="96"/>
      <c r="N404" s="96"/>
      <c r="O404" s="96"/>
      <c r="P404" s="96"/>
      <c r="Q404" s="96"/>
      <c r="R404" s="96"/>
      <c r="S404" s="96"/>
      <c r="T404" s="96"/>
      <c r="U404" s="96"/>
      <c r="V404" s="96"/>
      <c r="W404" s="96"/>
      <c r="X404" s="96"/>
      <c r="Y404" s="96"/>
      <c r="Z404" s="96"/>
      <c r="AA404" s="96"/>
    </row>
    <row r="405" spans="1:27" ht="15.75" customHeight="1">
      <c r="A405" s="96"/>
      <c r="B405" s="96"/>
      <c r="C405" s="96"/>
      <c r="D405" s="96"/>
      <c r="E405" s="96"/>
      <c r="F405" s="96"/>
      <c r="G405" s="96"/>
      <c r="H405" s="96"/>
      <c r="I405" s="96"/>
      <c r="J405" s="96"/>
      <c r="K405" s="96"/>
      <c r="L405" s="96"/>
      <c r="M405" s="96"/>
      <c r="N405" s="96"/>
      <c r="O405" s="96"/>
      <c r="P405" s="96"/>
      <c r="Q405" s="96"/>
      <c r="R405" s="96"/>
      <c r="S405" s="96"/>
      <c r="T405" s="96"/>
      <c r="U405" s="96"/>
      <c r="V405" s="96"/>
      <c r="W405" s="96"/>
      <c r="X405" s="96"/>
      <c r="Y405" s="96"/>
      <c r="Z405" s="96"/>
      <c r="AA405" s="96"/>
    </row>
    <row r="406" spans="1:27" ht="15.75" customHeight="1">
      <c r="A406" s="96"/>
      <c r="B406" s="96"/>
      <c r="C406" s="96"/>
      <c r="D406" s="96"/>
      <c r="E406" s="96"/>
      <c r="F406" s="96"/>
      <c r="G406" s="96"/>
      <c r="H406" s="96"/>
      <c r="I406" s="96"/>
      <c r="J406" s="96"/>
      <c r="K406" s="96"/>
      <c r="L406" s="96"/>
      <c r="M406" s="96"/>
      <c r="N406" s="96"/>
      <c r="O406" s="96"/>
      <c r="P406" s="96"/>
      <c r="Q406" s="96"/>
      <c r="R406" s="96"/>
      <c r="S406" s="96"/>
      <c r="T406" s="96"/>
      <c r="U406" s="96"/>
      <c r="V406" s="96"/>
      <c r="W406" s="96"/>
      <c r="X406" s="96"/>
      <c r="Y406" s="96"/>
      <c r="Z406" s="96"/>
      <c r="AA406" s="96"/>
    </row>
    <row r="407" spans="1:27" ht="15.75" customHeight="1">
      <c r="A407" s="96"/>
      <c r="B407" s="96"/>
      <c r="C407" s="96"/>
      <c r="D407" s="96"/>
      <c r="E407" s="96"/>
      <c r="F407" s="96"/>
      <c r="G407" s="96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96"/>
      <c r="T407" s="96"/>
      <c r="U407" s="96"/>
      <c r="V407" s="96"/>
      <c r="W407" s="96"/>
      <c r="X407" s="96"/>
      <c r="Y407" s="96"/>
      <c r="Z407" s="96"/>
      <c r="AA407" s="96"/>
    </row>
    <row r="408" spans="1:27" ht="15.75" customHeight="1">
      <c r="A408" s="96"/>
      <c r="B408" s="96"/>
      <c r="C408" s="96"/>
      <c r="D408" s="96"/>
      <c r="E408" s="96"/>
      <c r="F408" s="96"/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96"/>
      <c r="X408" s="96"/>
      <c r="Y408" s="96"/>
      <c r="Z408" s="96"/>
      <c r="AA408" s="96"/>
    </row>
    <row r="409" spans="1:27" ht="15.75" customHeight="1">
      <c r="A409" s="96"/>
      <c r="B409" s="96"/>
      <c r="C409" s="96"/>
      <c r="D409" s="96"/>
      <c r="E409" s="96"/>
      <c r="F409" s="96"/>
      <c r="G409" s="96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  <c r="T409" s="96"/>
      <c r="U409" s="96"/>
      <c r="V409" s="96"/>
      <c r="W409" s="96"/>
      <c r="X409" s="96"/>
      <c r="Y409" s="96"/>
      <c r="Z409" s="96"/>
      <c r="AA409" s="96"/>
    </row>
    <row r="410" spans="1:27" ht="15.75" customHeight="1">
      <c r="A410" s="96"/>
      <c r="B410" s="96"/>
      <c r="C410" s="96"/>
      <c r="D410" s="96"/>
      <c r="E410" s="96"/>
      <c r="F410" s="96"/>
      <c r="G410" s="96"/>
      <c r="H410" s="96"/>
      <c r="I410" s="96"/>
      <c r="J410" s="96"/>
      <c r="K410" s="96"/>
      <c r="L410" s="96"/>
      <c r="M410" s="96"/>
      <c r="N410" s="96"/>
      <c r="O410" s="96"/>
      <c r="P410" s="96"/>
      <c r="Q410" s="96"/>
      <c r="R410" s="96"/>
      <c r="S410" s="96"/>
      <c r="T410" s="96"/>
      <c r="U410" s="96"/>
      <c r="V410" s="96"/>
      <c r="W410" s="96"/>
      <c r="X410" s="96"/>
      <c r="Y410" s="96"/>
      <c r="Z410" s="96"/>
      <c r="AA410" s="96"/>
    </row>
    <row r="411" spans="1:27" ht="15.75" customHeight="1">
      <c r="A411" s="96"/>
      <c r="B411" s="96"/>
      <c r="C411" s="96"/>
      <c r="D411" s="96"/>
      <c r="E411" s="96"/>
      <c r="F411" s="96"/>
      <c r="G411" s="96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96"/>
      <c r="T411" s="96"/>
      <c r="U411" s="96"/>
      <c r="V411" s="96"/>
      <c r="W411" s="96"/>
      <c r="X411" s="96"/>
      <c r="Y411" s="96"/>
      <c r="Z411" s="96"/>
      <c r="AA411" s="96"/>
    </row>
    <row r="412" spans="1:27" ht="15.75" customHeight="1">
      <c r="A412" s="96"/>
      <c r="B412" s="96"/>
      <c r="C412" s="96"/>
      <c r="D412" s="96"/>
      <c r="E412" s="96"/>
      <c r="F412" s="96"/>
      <c r="G412" s="96"/>
      <c r="H412" s="96"/>
      <c r="I412" s="96"/>
      <c r="J412" s="96"/>
      <c r="K412" s="96"/>
      <c r="L412" s="96"/>
      <c r="M412" s="96"/>
      <c r="N412" s="96"/>
      <c r="O412" s="96"/>
      <c r="P412" s="96"/>
      <c r="Q412" s="96"/>
      <c r="R412" s="96"/>
      <c r="S412" s="96"/>
      <c r="T412" s="96"/>
      <c r="U412" s="96"/>
      <c r="V412" s="96"/>
      <c r="W412" s="96"/>
      <c r="X412" s="96"/>
      <c r="Y412" s="96"/>
      <c r="Z412" s="96"/>
      <c r="AA412" s="96"/>
    </row>
    <row r="413" spans="1:27" ht="15.75" customHeight="1">
      <c r="A413" s="96"/>
      <c r="B413" s="96"/>
      <c r="C413" s="96"/>
      <c r="D413" s="96"/>
      <c r="E413" s="96"/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  <c r="X413" s="96"/>
      <c r="Y413" s="96"/>
      <c r="Z413" s="96"/>
      <c r="AA413" s="96"/>
    </row>
    <row r="414" spans="1:27" ht="15.75" customHeight="1">
      <c r="A414" s="96"/>
      <c r="B414" s="96"/>
      <c r="C414" s="96"/>
      <c r="D414" s="96"/>
      <c r="E414" s="96"/>
      <c r="F414" s="96"/>
      <c r="G414" s="96"/>
      <c r="H414" s="96"/>
      <c r="I414" s="96"/>
      <c r="J414" s="96"/>
      <c r="K414" s="96"/>
      <c r="L414" s="96"/>
      <c r="M414" s="96"/>
      <c r="N414" s="96"/>
      <c r="O414" s="96"/>
      <c r="P414" s="96"/>
      <c r="Q414" s="96"/>
      <c r="R414" s="96"/>
      <c r="S414" s="96"/>
      <c r="T414" s="96"/>
      <c r="U414" s="96"/>
      <c r="V414" s="96"/>
      <c r="W414" s="96"/>
      <c r="X414" s="96"/>
      <c r="Y414" s="96"/>
      <c r="Z414" s="96"/>
      <c r="AA414" s="96"/>
    </row>
    <row r="415" spans="1:27" ht="15.75" customHeight="1">
      <c r="A415" s="96"/>
      <c r="B415" s="96"/>
      <c r="C415" s="96"/>
      <c r="D415" s="96"/>
      <c r="E415" s="96"/>
      <c r="F415" s="96"/>
      <c r="G415" s="96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96"/>
      <c r="T415" s="96"/>
      <c r="U415" s="96"/>
      <c r="V415" s="96"/>
      <c r="W415" s="96"/>
      <c r="X415" s="96"/>
      <c r="Y415" s="96"/>
      <c r="Z415" s="96"/>
      <c r="AA415" s="96"/>
    </row>
    <row r="416" spans="1:27" ht="15.75" customHeight="1">
      <c r="A416" s="96"/>
      <c r="B416" s="96"/>
      <c r="C416" s="96"/>
      <c r="D416" s="96"/>
      <c r="E416" s="96"/>
      <c r="F416" s="96"/>
      <c r="G416" s="96"/>
      <c r="H416" s="96"/>
      <c r="I416" s="96"/>
      <c r="J416" s="96"/>
      <c r="K416" s="96"/>
      <c r="L416" s="96"/>
      <c r="M416" s="96"/>
      <c r="N416" s="96"/>
      <c r="O416" s="96"/>
      <c r="P416" s="96"/>
      <c r="Q416" s="96"/>
      <c r="R416" s="96"/>
      <c r="S416" s="96"/>
      <c r="T416" s="96"/>
      <c r="U416" s="96"/>
      <c r="V416" s="96"/>
      <c r="W416" s="96"/>
      <c r="X416" s="96"/>
      <c r="Y416" s="96"/>
      <c r="Z416" s="96"/>
      <c r="AA416" s="96"/>
    </row>
    <row r="417" spans="1:27" ht="15.75" customHeight="1">
      <c r="A417" s="96"/>
      <c r="B417" s="96"/>
      <c r="C417" s="96"/>
      <c r="D417" s="96"/>
      <c r="E417" s="96"/>
      <c r="F417" s="96"/>
      <c r="G417" s="96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96"/>
      <c r="T417" s="96"/>
      <c r="U417" s="96"/>
      <c r="V417" s="96"/>
      <c r="W417" s="96"/>
      <c r="X417" s="96"/>
      <c r="Y417" s="96"/>
      <c r="Z417" s="96"/>
      <c r="AA417" s="96"/>
    </row>
    <row r="418" spans="1:27" ht="15.75" customHeight="1">
      <c r="A418" s="96"/>
      <c r="B418" s="96"/>
      <c r="C418" s="96"/>
      <c r="D418" s="96"/>
      <c r="E418" s="96"/>
      <c r="F418" s="96"/>
      <c r="G418" s="96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96"/>
      <c r="T418" s="96"/>
      <c r="U418" s="96"/>
      <c r="V418" s="96"/>
      <c r="W418" s="96"/>
      <c r="X418" s="96"/>
      <c r="Y418" s="96"/>
      <c r="Z418" s="96"/>
      <c r="AA418" s="96"/>
    </row>
    <row r="419" spans="1:27" ht="15.75" customHeight="1">
      <c r="A419" s="96"/>
      <c r="B419" s="96"/>
      <c r="C419" s="96"/>
      <c r="D419" s="96"/>
      <c r="E419" s="96"/>
      <c r="F419" s="96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96"/>
      <c r="AA419" s="96"/>
    </row>
    <row r="420" spans="1:27" ht="15.75" customHeight="1">
      <c r="A420" s="96"/>
      <c r="B420" s="96"/>
      <c r="C420" s="96"/>
      <c r="D420" s="96"/>
      <c r="E420" s="96"/>
      <c r="F420" s="96"/>
      <c r="G420" s="96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96"/>
      <c r="T420" s="96"/>
      <c r="U420" s="96"/>
      <c r="V420" s="96"/>
      <c r="W420" s="96"/>
      <c r="X420" s="96"/>
      <c r="Y420" s="96"/>
      <c r="Z420" s="96"/>
      <c r="AA420" s="96"/>
    </row>
    <row r="421" spans="1:27" ht="15.75" customHeight="1">
      <c r="A421" s="96"/>
      <c r="B421" s="96"/>
      <c r="C421" s="96"/>
      <c r="D421" s="96"/>
      <c r="E421" s="96"/>
      <c r="F421" s="96"/>
      <c r="G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96"/>
      <c r="X421" s="96"/>
      <c r="Y421" s="96"/>
      <c r="Z421" s="96"/>
      <c r="AA421" s="96"/>
    </row>
    <row r="422" spans="1:27" ht="15.75" customHeight="1">
      <c r="A422" s="96"/>
      <c r="B422" s="96"/>
      <c r="C422" s="96"/>
      <c r="D422" s="96"/>
      <c r="E422" s="96"/>
      <c r="F422" s="96"/>
      <c r="G422" s="96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96"/>
      <c r="T422" s="96"/>
      <c r="U422" s="96"/>
      <c r="V422" s="96"/>
      <c r="W422" s="96"/>
      <c r="X422" s="96"/>
      <c r="Y422" s="96"/>
      <c r="Z422" s="96"/>
      <c r="AA422" s="96"/>
    </row>
    <row r="423" spans="1:27" ht="15.75" customHeight="1">
      <c r="A423" s="96"/>
      <c r="B423" s="96"/>
      <c r="C423" s="96"/>
      <c r="D423" s="96"/>
      <c r="E423" s="96"/>
      <c r="F423" s="96"/>
      <c r="G423" s="96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  <c r="T423" s="96"/>
      <c r="U423" s="96"/>
      <c r="V423" s="96"/>
      <c r="W423" s="96"/>
      <c r="X423" s="96"/>
      <c r="Y423" s="96"/>
      <c r="Z423" s="96"/>
      <c r="AA423" s="96"/>
    </row>
    <row r="424" spans="1:27" ht="15.75" customHeight="1">
      <c r="A424" s="96"/>
      <c r="B424" s="96"/>
      <c r="C424" s="96"/>
      <c r="D424" s="96"/>
      <c r="E424" s="96"/>
      <c r="F424" s="96"/>
      <c r="G424" s="96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  <c r="T424" s="96"/>
      <c r="U424" s="96"/>
      <c r="V424" s="96"/>
      <c r="W424" s="96"/>
      <c r="X424" s="96"/>
      <c r="Y424" s="96"/>
      <c r="Z424" s="96"/>
      <c r="AA424" s="96"/>
    </row>
    <row r="425" spans="1:27" ht="15.75" customHeight="1">
      <c r="A425" s="96"/>
      <c r="B425" s="96"/>
      <c r="C425" s="96"/>
      <c r="D425" s="96"/>
      <c r="E425" s="96"/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96"/>
      <c r="X425" s="96"/>
      <c r="Y425" s="96"/>
      <c r="Z425" s="96"/>
      <c r="AA425" s="96"/>
    </row>
    <row r="426" spans="1:27" ht="15.75" customHeight="1">
      <c r="A426" s="96"/>
      <c r="B426" s="96"/>
      <c r="C426" s="96"/>
      <c r="D426" s="96"/>
      <c r="E426" s="96"/>
      <c r="F426" s="96"/>
      <c r="G426" s="96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  <c r="T426" s="96"/>
      <c r="U426" s="96"/>
      <c r="V426" s="96"/>
      <c r="W426" s="96"/>
      <c r="X426" s="96"/>
      <c r="Y426" s="96"/>
      <c r="Z426" s="96"/>
      <c r="AA426" s="96"/>
    </row>
    <row r="427" spans="1:27" ht="15.75" customHeight="1">
      <c r="A427" s="96"/>
      <c r="B427" s="96"/>
      <c r="C427" s="96"/>
      <c r="D427" s="96"/>
      <c r="E427" s="96"/>
      <c r="F427" s="96"/>
      <c r="G427" s="96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96"/>
      <c r="X427" s="96"/>
      <c r="Y427" s="96"/>
      <c r="Z427" s="96"/>
      <c r="AA427" s="96"/>
    </row>
    <row r="428" spans="1:27" ht="15.75" customHeight="1">
      <c r="A428" s="96"/>
      <c r="B428" s="96"/>
      <c r="C428" s="96"/>
      <c r="D428" s="96"/>
      <c r="E428" s="96"/>
      <c r="F428" s="96"/>
      <c r="G428" s="96"/>
      <c r="H428" s="96"/>
      <c r="I428" s="96"/>
      <c r="J428" s="96"/>
      <c r="K428" s="96"/>
      <c r="L428" s="96"/>
      <c r="M428" s="96"/>
      <c r="N428" s="96"/>
      <c r="O428" s="96"/>
      <c r="P428" s="96"/>
      <c r="Q428" s="96"/>
      <c r="R428" s="96"/>
      <c r="S428" s="96"/>
      <c r="T428" s="96"/>
      <c r="U428" s="96"/>
      <c r="V428" s="96"/>
      <c r="W428" s="96"/>
      <c r="X428" s="96"/>
      <c r="Y428" s="96"/>
      <c r="Z428" s="96"/>
      <c r="AA428" s="96"/>
    </row>
    <row r="429" spans="1:27" ht="15.75" customHeight="1">
      <c r="A429" s="96"/>
      <c r="B429" s="96"/>
      <c r="C429" s="96"/>
      <c r="D429" s="96"/>
      <c r="E429" s="96"/>
      <c r="F429" s="96"/>
      <c r="G429" s="96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  <c r="T429" s="96"/>
      <c r="U429" s="96"/>
      <c r="V429" s="96"/>
      <c r="W429" s="96"/>
      <c r="X429" s="96"/>
      <c r="Y429" s="96"/>
      <c r="Z429" s="96"/>
      <c r="AA429" s="96"/>
    </row>
    <row r="430" spans="1:27" ht="15.75" customHeight="1">
      <c r="A430" s="96"/>
      <c r="B430" s="96"/>
      <c r="C430" s="96"/>
      <c r="D430" s="96"/>
      <c r="E430" s="96"/>
      <c r="F430" s="96"/>
      <c r="G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  <c r="Z430" s="96"/>
      <c r="AA430" s="96"/>
    </row>
    <row r="431" spans="1:27" ht="15.75" customHeight="1">
      <c r="A431" s="96"/>
      <c r="B431" s="96"/>
      <c r="C431" s="96"/>
      <c r="D431" s="96"/>
      <c r="E431" s="96"/>
      <c r="F431" s="96"/>
      <c r="G431" s="96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6"/>
      <c r="X431" s="96"/>
      <c r="Y431" s="96"/>
      <c r="Z431" s="96"/>
      <c r="AA431" s="96"/>
    </row>
    <row r="432" spans="1:27" ht="15.75" customHeight="1">
      <c r="A432" s="96"/>
      <c r="B432" s="96"/>
      <c r="C432" s="96"/>
      <c r="D432" s="96"/>
      <c r="E432" s="96"/>
      <c r="F432" s="96"/>
      <c r="G432" s="96"/>
      <c r="H432" s="96"/>
      <c r="I432" s="96"/>
      <c r="J432" s="96"/>
      <c r="K432" s="96"/>
      <c r="L432" s="96"/>
      <c r="M432" s="96"/>
      <c r="N432" s="96"/>
      <c r="O432" s="96"/>
      <c r="P432" s="96"/>
      <c r="Q432" s="96"/>
      <c r="R432" s="96"/>
      <c r="S432" s="96"/>
      <c r="T432" s="96"/>
      <c r="U432" s="96"/>
      <c r="V432" s="96"/>
      <c r="W432" s="96"/>
      <c r="X432" s="96"/>
      <c r="Y432" s="96"/>
      <c r="Z432" s="96"/>
      <c r="AA432" s="96"/>
    </row>
    <row r="433" spans="1:27" ht="15.75" customHeight="1">
      <c r="A433" s="96"/>
      <c r="B433" s="96"/>
      <c r="C433" s="96"/>
      <c r="D433" s="96"/>
      <c r="E433" s="96"/>
      <c r="F433" s="96"/>
      <c r="G433" s="96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96"/>
      <c r="X433" s="96"/>
      <c r="Y433" s="96"/>
      <c r="Z433" s="96"/>
      <c r="AA433" s="96"/>
    </row>
    <row r="434" spans="1:27" ht="15.75" customHeight="1">
      <c r="A434" s="96"/>
      <c r="B434" s="96"/>
      <c r="C434" s="96"/>
      <c r="D434" s="96"/>
      <c r="E434" s="96"/>
      <c r="F434" s="96"/>
      <c r="G434" s="96"/>
      <c r="H434" s="96"/>
      <c r="I434" s="96"/>
      <c r="J434" s="96"/>
      <c r="K434" s="96"/>
      <c r="L434" s="96"/>
      <c r="M434" s="96"/>
      <c r="N434" s="96"/>
      <c r="O434" s="96"/>
      <c r="P434" s="96"/>
      <c r="Q434" s="96"/>
      <c r="R434" s="96"/>
      <c r="S434" s="96"/>
      <c r="T434" s="96"/>
      <c r="U434" s="96"/>
      <c r="V434" s="96"/>
      <c r="W434" s="96"/>
      <c r="X434" s="96"/>
      <c r="Y434" s="96"/>
      <c r="Z434" s="96"/>
      <c r="AA434" s="96"/>
    </row>
    <row r="435" spans="1:27" ht="15.75" customHeight="1">
      <c r="A435" s="96"/>
      <c r="B435" s="96"/>
      <c r="C435" s="96"/>
      <c r="D435" s="96"/>
      <c r="E435" s="96"/>
      <c r="F435" s="96"/>
      <c r="G435" s="96"/>
      <c r="H435" s="96"/>
      <c r="I435" s="96"/>
      <c r="J435" s="96"/>
      <c r="K435" s="96"/>
      <c r="L435" s="96"/>
      <c r="M435" s="96"/>
      <c r="N435" s="96"/>
      <c r="O435" s="96"/>
      <c r="P435" s="96"/>
      <c r="Q435" s="96"/>
      <c r="R435" s="96"/>
      <c r="S435" s="96"/>
      <c r="T435" s="96"/>
      <c r="U435" s="96"/>
      <c r="V435" s="96"/>
      <c r="W435" s="96"/>
      <c r="X435" s="96"/>
      <c r="Y435" s="96"/>
      <c r="Z435" s="96"/>
      <c r="AA435" s="96"/>
    </row>
    <row r="436" spans="1:27" ht="15.75" customHeight="1">
      <c r="A436" s="96"/>
      <c r="B436" s="96"/>
      <c r="C436" s="96"/>
      <c r="D436" s="96"/>
      <c r="E436" s="96"/>
      <c r="F436" s="96"/>
      <c r="G436" s="96"/>
      <c r="H436" s="96"/>
      <c r="I436" s="96"/>
      <c r="J436" s="96"/>
      <c r="K436" s="96"/>
      <c r="L436" s="96"/>
      <c r="M436" s="96"/>
      <c r="N436" s="96"/>
      <c r="O436" s="96"/>
      <c r="P436" s="96"/>
      <c r="Q436" s="96"/>
      <c r="R436" s="96"/>
      <c r="S436" s="96"/>
      <c r="T436" s="96"/>
      <c r="U436" s="96"/>
      <c r="V436" s="96"/>
      <c r="W436" s="96"/>
      <c r="X436" s="96"/>
      <c r="Y436" s="96"/>
      <c r="Z436" s="96"/>
      <c r="AA436" s="96"/>
    </row>
    <row r="437" spans="1:27" ht="15.75" customHeight="1">
      <c r="A437" s="96"/>
      <c r="B437" s="96"/>
      <c r="C437" s="96"/>
      <c r="D437" s="96"/>
      <c r="E437" s="96"/>
      <c r="F437" s="96"/>
      <c r="G437" s="96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96"/>
      <c r="X437" s="96"/>
      <c r="Y437" s="96"/>
      <c r="Z437" s="96"/>
      <c r="AA437" s="96"/>
    </row>
    <row r="438" spans="1:27" ht="15.75" customHeight="1">
      <c r="A438" s="96"/>
      <c r="B438" s="96"/>
      <c r="C438" s="96"/>
      <c r="D438" s="96"/>
      <c r="E438" s="96"/>
      <c r="F438" s="96"/>
      <c r="G438" s="96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  <c r="V438" s="96"/>
      <c r="W438" s="96"/>
      <c r="X438" s="96"/>
      <c r="Y438" s="96"/>
      <c r="Z438" s="96"/>
      <c r="AA438" s="96"/>
    </row>
    <row r="439" spans="1:27" ht="15.75" customHeight="1">
      <c r="A439" s="96"/>
      <c r="B439" s="96"/>
      <c r="C439" s="96"/>
      <c r="D439" s="96"/>
      <c r="E439" s="96"/>
      <c r="F439" s="96"/>
      <c r="G439" s="96"/>
      <c r="H439" s="96"/>
      <c r="I439" s="96"/>
      <c r="J439" s="96"/>
      <c r="K439" s="96"/>
      <c r="L439" s="96"/>
      <c r="M439" s="96"/>
      <c r="N439" s="96"/>
      <c r="O439" s="96"/>
      <c r="P439" s="96"/>
      <c r="Q439" s="96"/>
      <c r="R439" s="96"/>
      <c r="S439" s="96"/>
      <c r="T439" s="96"/>
      <c r="U439" s="96"/>
      <c r="V439" s="96"/>
      <c r="W439" s="96"/>
      <c r="X439" s="96"/>
      <c r="Y439" s="96"/>
      <c r="Z439" s="96"/>
      <c r="AA439" s="96"/>
    </row>
    <row r="440" spans="1:27" ht="15.75" customHeight="1">
      <c r="A440" s="96"/>
      <c r="B440" s="96"/>
      <c r="C440" s="96"/>
      <c r="D440" s="96"/>
      <c r="E440" s="96"/>
      <c r="F440" s="96"/>
      <c r="G440" s="96"/>
      <c r="H440" s="96"/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  <c r="T440" s="96"/>
      <c r="U440" s="96"/>
      <c r="V440" s="96"/>
      <c r="W440" s="96"/>
      <c r="X440" s="96"/>
      <c r="Y440" s="96"/>
      <c r="Z440" s="96"/>
      <c r="AA440" s="96"/>
    </row>
    <row r="441" spans="1:27" ht="15.75" customHeight="1">
      <c r="A441" s="96"/>
      <c r="B441" s="96"/>
      <c r="C441" s="96"/>
      <c r="D441" s="96"/>
      <c r="E441" s="96"/>
      <c r="F441" s="96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  <c r="AA441" s="96"/>
    </row>
    <row r="442" spans="1:27" ht="15.75" customHeight="1">
      <c r="A442" s="96"/>
      <c r="B442" s="96"/>
      <c r="C442" s="96"/>
      <c r="D442" s="96"/>
      <c r="E442" s="96"/>
      <c r="F442" s="96"/>
      <c r="G442" s="96"/>
      <c r="H442" s="96"/>
      <c r="I442" s="96"/>
      <c r="J442" s="96"/>
      <c r="K442" s="96"/>
      <c r="L442" s="96"/>
      <c r="M442" s="96"/>
      <c r="N442" s="96"/>
      <c r="O442" s="96"/>
      <c r="P442" s="96"/>
      <c r="Q442" s="96"/>
      <c r="R442" s="96"/>
      <c r="S442" s="96"/>
      <c r="T442" s="96"/>
      <c r="U442" s="96"/>
      <c r="V442" s="96"/>
      <c r="W442" s="96"/>
      <c r="X442" s="96"/>
      <c r="Y442" s="96"/>
      <c r="Z442" s="96"/>
      <c r="AA442" s="96"/>
    </row>
    <row r="443" spans="1:27" ht="15.75" customHeight="1">
      <c r="A443" s="96"/>
      <c r="B443" s="96"/>
      <c r="C443" s="96"/>
      <c r="D443" s="96"/>
      <c r="E443" s="96"/>
      <c r="F443" s="96"/>
      <c r="G443" s="96"/>
      <c r="H443" s="96"/>
      <c r="I443" s="96"/>
      <c r="J443" s="96"/>
      <c r="K443" s="96"/>
      <c r="L443" s="96"/>
      <c r="M443" s="96"/>
      <c r="N443" s="96"/>
      <c r="O443" s="96"/>
      <c r="P443" s="96"/>
      <c r="Q443" s="96"/>
      <c r="R443" s="96"/>
      <c r="S443" s="96"/>
      <c r="T443" s="96"/>
      <c r="U443" s="96"/>
      <c r="V443" s="96"/>
      <c r="W443" s="96"/>
      <c r="X443" s="96"/>
      <c r="Y443" s="96"/>
      <c r="Z443" s="96"/>
      <c r="AA443" s="96"/>
    </row>
    <row r="444" spans="1:27" ht="15.75" customHeight="1">
      <c r="A444" s="96"/>
      <c r="B444" s="96"/>
      <c r="C444" s="96"/>
      <c r="D444" s="96"/>
      <c r="E444" s="96"/>
      <c r="F444" s="96"/>
      <c r="G444" s="96"/>
      <c r="H444" s="96"/>
      <c r="I444" s="96"/>
      <c r="J444" s="96"/>
      <c r="K444" s="96"/>
      <c r="L444" s="96"/>
      <c r="M444" s="96"/>
      <c r="N444" s="96"/>
      <c r="O444" s="96"/>
      <c r="P444" s="96"/>
      <c r="Q444" s="96"/>
      <c r="R444" s="96"/>
      <c r="S444" s="96"/>
      <c r="T444" s="96"/>
      <c r="U444" s="96"/>
      <c r="V444" s="96"/>
      <c r="W444" s="96"/>
      <c r="X444" s="96"/>
      <c r="Y444" s="96"/>
      <c r="Z444" s="96"/>
      <c r="AA444" s="96"/>
    </row>
    <row r="445" spans="1:27" ht="15.75" customHeight="1">
      <c r="A445" s="96"/>
      <c r="B445" s="96"/>
      <c r="C445" s="96"/>
      <c r="D445" s="96"/>
      <c r="E445" s="96"/>
      <c r="F445" s="96"/>
      <c r="G445" s="96"/>
      <c r="H445" s="96"/>
      <c r="I445" s="96"/>
      <c r="J445" s="96"/>
      <c r="K445" s="96"/>
      <c r="L445" s="96"/>
      <c r="M445" s="96"/>
      <c r="N445" s="96"/>
      <c r="O445" s="96"/>
      <c r="P445" s="96"/>
      <c r="Q445" s="96"/>
      <c r="R445" s="96"/>
      <c r="S445" s="96"/>
      <c r="T445" s="96"/>
      <c r="U445" s="96"/>
      <c r="V445" s="96"/>
      <c r="W445" s="96"/>
      <c r="X445" s="96"/>
      <c r="Y445" s="96"/>
      <c r="Z445" s="96"/>
      <c r="AA445" s="96"/>
    </row>
    <row r="446" spans="1:27" ht="15.75" customHeight="1">
      <c r="A446" s="96"/>
      <c r="B446" s="96"/>
      <c r="C446" s="96"/>
      <c r="D446" s="96"/>
      <c r="E446" s="96"/>
      <c r="F446" s="96"/>
      <c r="G446" s="96"/>
      <c r="H446" s="96"/>
      <c r="I446" s="96"/>
      <c r="J446" s="96"/>
      <c r="K446" s="96"/>
      <c r="L446" s="96"/>
      <c r="M446" s="96"/>
      <c r="N446" s="96"/>
      <c r="O446" s="96"/>
      <c r="P446" s="96"/>
      <c r="Q446" s="96"/>
      <c r="R446" s="96"/>
      <c r="S446" s="96"/>
      <c r="T446" s="96"/>
      <c r="U446" s="96"/>
      <c r="V446" s="96"/>
      <c r="W446" s="96"/>
      <c r="X446" s="96"/>
      <c r="Y446" s="96"/>
      <c r="Z446" s="96"/>
      <c r="AA446" s="96"/>
    </row>
    <row r="447" spans="1:27" ht="15.75" customHeight="1">
      <c r="A447" s="96"/>
      <c r="B447" s="96"/>
      <c r="C447" s="96"/>
      <c r="D447" s="96"/>
      <c r="E447" s="96"/>
      <c r="F447" s="96"/>
      <c r="G447" s="96"/>
      <c r="H447" s="96"/>
      <c r="I447" s="96"/>
      <c r="J447" s="96"/>
      <c r="K447" s="96"/>
      <c r="L447" s="96"/>
      <c r="M447" s="96"/>
      <c r="N447" s="96"/>
      <c r="O447" s="96"/>
      <c r="P447" s="96"/>
      <c r="Q447" s="96"/>
      <c r="R447" s="96"/>
      <c r="S447" s="96"/>
      <c r="T447" s="96"/>
      <c r="U447" s="96"/>
      <c r="V447" s="96"/>
      <c r="W447" s="96"/>
      <c r="X447" s="96"/>
      <c r="Y447" s="96"/>
      <c r="Z447" s="96"/>
      <c r="AA447" s="96"/>
    </row>
    <row r="448" spans="1:27" ht="15.75" customHeight="1">
      <c r="A448" s="96"/>
      <c r="B448" s="96"/>
      <c r="C448" s="96"/>
      <c r="D448" s="96"/>
      <c r="E448" s="96"/>
      <c r="F448" s="96"/>
      <c r="G448" s="96"/>
      <c r="H448" s="96"/>
      <c r="I448" s="96"/>
      <c r="J448" s="96"/>
      <c r="K448" s="96"/>
      <c r="L448" s="96"/>
      <c r="M448" s="96"/>
      <c r="N448" s="96"/>
      <c r="O448" s="96"/>
      <c r="P448" s="96"/>
      <c r="Q448" s="96"/>
      <c r="R448" s="96"/>
      <c r="S448" s="96"/>
      <c r="T448" s="96"/>
      <c r="U448" s="96"/>
      <c r="V448" s="96"/>
      <c r="W448" s="96"/>
      <c r="X448" s="96"/>
      <c r="Y448" s="96"/>
      <c r="Z448" s="96"/>
      <c r="AA448" s="96"/>
    </row>
    <row r="449" spans="1:27" ht="15.75" customHeight="1">
      <c r="A449" s="96"/>
      <c r="B449" s="96"/>
      <c r="C449" s="96"/>
      <c r="D449" s="96"/>
      <c r="E449" s="96"/>
      <c r="F449" s="96"/>
      <c r="G449" s="96"/>
      <c r="H449" s="96"/>
      <c r="I449" s="96"/>
      <c r="J449" s="96"/>
      <c r="K449" s="96"/>
      <c r="L449" s="96"/>
      <c r="M449" s="96"/>
      <c r="N449" s="96"/>
      <c r="O449" s="96"/>
      <c r="P449" s="96"/>
      <c r="Q449" s="96"/>
      <c r="R449" s="96"/>
      <c r="S449" s="96"/>
      <c r="T449" s="96"/>
      <c r="U449" s="96"/>
      <c r="V449" s="96"/>
      <c r="W449" s="96"/>
      <c r="X449" s="96"/>
      <c r="Y449" s="96"/>
      <c r="Z449" s="96"/>
      <c r="AA449" s="96"/>
    </row>
    <row r="450" spans="1:27" ht="15.75" customHeight="1">
      <c r="A450" s="96"/>
      <c r="B450" s="96"/>
      <c r="C450" s="96"/>
      <c r="D450" s="96"/>
      <c r="E450" s="96"/>
      <c r="F450" s="96"/>
      <c r="G450" s="96"/>
      <c r="H450" s="96"/>
      <c r="I450" s="96"/>
      <c r="J450" s="96"/>
      <c r="K450" s="96"/>
      <c r="L450" s="96"/>
      <c r="M450" s="96"/>
      <c r="N450" s="96"/>
      <c r="O450" s="96"/>
      <c r="P450" s="96"/>
      <c r="Q450" s="96"/>
      <c r="R450" s="96"/>
      <c r="S450" s="96"/>
      <c r="T450" s="96"/>
      <c r="U450" s="96"/>
      <c r="V450" s="96"/>
      <c r="W450" s="96"/>
      <c r="X450" s="96"/>
      <c r="Y450" s="96"/>
      <c r="Z450" s="96"/>
      <c r="AA450" s="96"/>
    </row>
    <row r="451" spans="1:27" ht="15.75" customHeight="1">
      <c r="A451" s="96"/>
      <c r="B451" s="96"/>
      <c r="C451" s="96"/>
      <c r="D451" s="96"/>
      <c r="E451" s="96"/>
      <c r="F451" s="96"/>
      <c r="G451" s="96"/>
      <c r="H451" s="96"/>
      <c r="I451" s="96"/>
      <c r="J451" s="96"/>
      <c r="K451" s="96"/>
      <c r="L451" s="96"/>
      <c r="M451" s="96"/>
      <c r="N451" s="96"/>
      <c r="O451" s="96"/>
      <c r="P451" s="96"/>
      <c r="Q451" s="96"/>
      <c r="R451" s="96"/>
      <c r="S451" s="96"/>
      <c r="T451" s="96"/>
      <c r="U451" s="96"/>
      <c r="V451" s="96"/>
      <c r="W451" s="96"/>
      <c r="X451" s="96"/>
      <c r="Y451" s="96"/>
      <c r="Z451" s="96"/>
      <c r="AA451" s="96"/>
    </row>
    <row r="452" spans="1:27" ht="15.75" customHeight="1">
      <c r="A452" s="96"/>
      <c r="B452" s="96"/>
      <c r="C452" s="96"/>
      <c r="D452" s="96"/>
      <c r="E452" s="96"/>
      <c r="F452" s="96"/>
      <c r="G452" s="96"/>
      <c r="H452" s="96"/>
      <c r="I452" s="96"/>
      <c r="J452" s="96"/>
      <c r="K452" s="96"/>
      <c r="L452" s="96"/>
      <c r="M452" s="96"/>
      <c r="N452" s="96"/>
      <c r="O452" s="96"/>
      <c r="P452" s="96"/>
      <c r="Q452" s="96"/>
      <c r="R452" s="96"/>
      <c r="S452" s="96"/>
      <c r="T452" s="96"/>
      <c r="U452" s="96"/>
      <c r="V452" s="96"/>
      <c r="W452" s="96"/>
      <c r="X452" s="96"/>
      <c r="Y452" s="96"/>
      <c r="Z452" s="96"/>
      <c r="AA452" s="96"/>
    </row>
    <row r="453" spans="1:27" ht="15.75" customHeight="1">
      <c r="A453" s="96"/>
      <c r="B453" s="96"/>
      <c r="C453" s="96"/>
      <c r="D453" s="96"/>
      <c r="E453" s="96"/>
      <c r="F453" s="96"/>
      <c r="G453" s="96"/>
      <c r="H453" s="96"/>
      <c r="I453" s="96"/>
      <c r="J453" s="96"/>
      <c r="K453" s="96"/>
      <c r="L453" s="96"/>
      <c r="M453" s="96"/>
      <c r="N453" s="96"/>
      <c r="O453" s="96"/>
      <c r="P453" s="96"/>
      <c r="Q453" s="96"/>
      <c r="R453" s="96"/>
      <c r="S453" s="96"/>
      <c r="T453" s="96"/>
      <c r="U453" s="96"/>
      <c r="V453" s="96"/>
      <c r="W453" s="96"/>
      <c r="X453" s="96"/>
      <c r="Y453" s="96"/>
      <c r="Z453" s="96"/>
      <c r="AA453" s="96"/>
    </row>
    <row r="454" spans="1:27" ht="15.75" customHeight="1">
      <c r="A454" s="96"/>
      <c r="B454" s="96"/>
      <c r="C454" s="96"/>
      <c r="D454" s="96"/>
      <c r="E454" s="96"/>
      <c r="F454" s="96"/>
      <c r="G454" s="96"/>
      <c r="H454" s="96"/>
      <c r="I454" s="96"/>
      <c r="J454" s="96"/>
      <c r="K454" s="96"/>
      <c r="L454" s="96"/>
      <c r="M454" s="96"/>
      <c r="N454" s="96"/>
      <c r="O454" s="96"/>
      <c r="P454" s="96"/>
      <c r="Q454" s="96"/>
      <c r="R454" s="96"/>
      <c r="S454" s="96"/>
      <c r="T454" s="96"/>
      <c r="U454" s="96"/>
      <c r="V454" s="96"/>
      <c r="W454" s="96"/>
      <c r="X454" s="96"/>
      <c r="Y454" s="96"/>
      <c r="Z454" s="96"/>
      <c r="AA454" s="96"/>
    </row>
    <row r="455" spans="1:27" ht="15.75" customHeight="1">
      <c r="A455" s="96"/>
      <c r="B455" s="96"/>
      <c r="C455" s="96"/>
      <c r="D455" s="96"/>
      <c r="E455" s="96"/>
      <c r="F455" s="96"/>
      <c r="G455" s="96"/>
      <c r="H455" s="96"/>
      <c r="I455" s="96"/>
      <c r="J455" s="96"/>
      <c r="K455" s="96"/>
      <c r="L455" s="96"/>
      <c r="M455" s="96"/>
      <c r="N455" s="96"/>
      <c r="O455" s="96"/>
      <c r="P455" s="96"/>
      <c r="Q455" s="96"/>
      <c r="R455" s="96"/>
      <c r="S455" s="96"/>
      <c r="T455" s="96"/>
      <c r="U455" s="96"/>
      <c r="V455" s="96"/>
      <c r="W455" s="96"/>
      <c r="X455" s="96"/>
      <c r="Y455" s="96"/>
      <c r="Z455" s="96"/>
      <c r="AA455" s="96"/>
    </row>
    <row r="456" spans="1:27" ht="15.75" customHeight="1">
      <c r="A456" s="96"/>
      <c r="B456" s="96"/>
      <c r="C456" s="96"/>
      <c r="D456" s="96"/>
      <c r="E456" s="96"/>
      <c r="F456" s="96"/>
      <c r="G456" s="96"/>
      <c r="H456" s="96"/>
      <c r="I456" s="96"/>
      <c r="J456" s="96"/>
      <c r="K456" s="96"/>
      <c r="L456" s="96"/>
      <c r="M456" s="96"/>
      <c r="N456" s="96"/>
      <c r="O456" s="96"/>
      <c r="P456" s="96"/>
      <c r="Q456" s="96"/>
      <c r="R456" s="96"/>
      <c r="S456" s="96"/>
      <c r="T456" s="96"/>
      <c r="U456" s="96"/>
      <c r="V456" s="96"/>
      <c r="W456" s="96"/>
      <c r="X456" s="96"/>
      <c r="Y456" s="96"/>
      <c r="Z456" s="96"/>
      <c r="AA456" s="96"/>
    </row>
    <row r="457" spans="1:27" ht="15.75" customHeight="1">
      <c r="A457" s="96"/>
      <c r="B457" s="96"/>
      <c r="C457" s="96"/>
      <c r="D457" s="96"/>
      <c r="E457" s="96"/>
      <c r="F457" s="96"/>
      <c r="G457" s="96"/>
      <c r="H457" s="96"/>
      <c r="I457" s="96"/>
      <c r="J457" s="96"/>
      <c r="K457" s="96"/>
      <c r="L457" s="96"/>
      <c r="M457" s="96"/>
      <c r="N457" s="96"/>
      <c r="O457" s="96"/>
      <c r="P457" s="96"/>
      <c r="Q457" s="96"/>
      <c r="R457" s="96"/>
      <c r="S457" s="96"/>
      <c r="T457" s="96"/>
      <c r="U457" s="96"/>
      <c r="V457" s="96"/>
      <c r="W457" s="96"/>
      <c r="X457" s="96"/>
      <c r="Y457" s="96"/>
      <c r="Z457" s="96"/>
      <c r="AA457" s="96"/>
    </row>
    <row r="458" spans="1:27" ht="15.75" customHeight="1">
      <c r="A458" s="96"/>
      <c r="B458" s="96"/>
      <c r="C458" s="96"/>
      <c r="D458" s="96"/>
      <c r="E458" s="96"/>
      <c r="F458" s="96"/>
      <c r="G458" s="96"/>
      <c r="H458" s="96"/>
      <c r="I458" s="96"/>
      <c r="J458" s="96"/>
      <c r="K458" s="96"/>
      <c r="L458" s="96"/>
      <c r="M458" s="96"/>
      <c r="N458" s="96"/>
      <c r="O458" s="96"/>
      <c r="P458" s="96"/>
      <c r="Q458" s="96"/>
      <c r="R458" s="96"/>
      <c r="S458" s="96"/>
      <c r="T458" s="96"/>
      <c r="U458" s="96"/>
      <c r="V458" s="96"/>
      <c r="W458" s="96"/>
      <c r="X458" s="96"/>
      <c r="Y458" s="96"/>
      <c r="Z458" s="96"/>
      <c r="AA458" s="96"/>
    </row>
    <row r="459" spans="1:27" ht="15.75" customHeight="1">
      <c r="A459" s="96"/>
      <c r="B459" s="96"/>
      <c r="C459" s="96"/>
      <c r="D459" s="96"/>
      <c r="E459" s="96"/>
      <c r="F459" s="96"/>
      <c r="G459" s="96"/>
      <c r="H459" s="96"/>
      <c r="I459" s="96"/>
      <c r="J459" s="96"/>
      <c r="K459" s="96"/>
      <c r="L459" s="96"/>
      <c r="M459" s="96"/>
      <c r="N459" s="96"/>
      <c r="O459" s="96"/>
      <c r="P459" s="96"/>
      <c r="Q459" s="96"/>
      <c r="R459" s="96"/>
      <c r="S459" s="96"/>
      <c r="T459" s="96"/>
      <c r="U459" s="96"/>
      <c r="V459" s="96"/>
      <c r="W459" s="96"/>
      <c r="X459" s="96"/>
      <c r="Y459" s="96"/>
      <c r="Z459" s="96"/>
      <c r="AA459" s="96"/>
    </row>
    <row r="460" spans="1:27" ht="15.75" customHeight="1">
      <c r="A460" s="96"/>
      <c r="B460" s="96"/>
      <c r="C460" s="96"/>
      <c r="D460" s="96"/>
      <c r="E460" s="96"/>
      <c r="F460" s="96"/>
      <c r="G460" s="96"/>
      <c r="H460" s="96"/>
      <c r="I460" s="96"/>
      <c r="J460" s="96"/>
      <c r="K460" s="96"/>
      <c r="L460" s="96"/>
      <c r="M460" s="96"/>
      <c r="N460" s="96"/>
      <c r="O460" s="96"/>
      <c r="P460" s="96"/>
      <c r="Q460" s="96"/>
      <c r="R460" s="96"/>
      <c r="S460" s="96"/>
      <c r="T460" s="96"/>
      <c r="U460" s="96"/>
      <c r="V460" s="96"/>
      <c r="W460" s="96"/>
      <c r="X460" s="96"/>
      <c r="Y460" s="96"/>
      <c r="Z460" s="96"/>
      <c r="AA460" s="96"/>
    </row>
    <row r="461" spans="1:27" ht="15.75" customHeight="1">
      <c r="A461" s="96"/>
      <c r="B461" s="96"/>
      <c r="C461" s="96"/>
      <c r="D461" s="96"/>
      <c r="E461" s="96"/>
      <c r="F461" s="96"/>
      <c r="G461" s="96"/>
      <c r="H461" s="96"/>
      <c r="I461" s="96"/>
      <c r="J461" s="96"/>
      <c r="K461" s="96"/>
      <c r="L461" s="96"/>
      <c r="M461" s="96"/>
      <c r="N461" s="96"/>
      <c r="O461" s="96"/>
      <c r="P461" s="96"/>
      <c r="Q461" s="96"/>
      <c r="R461" s="96"/>
      <c r="S461" s="96"/>
      <c r="T461" s="96"/>
      <c r="U461" s="96"/>
      <c r="V461" s="96"/>
      <c r="W461" s="96"/>
      <c r="X461" s="96"/>
      <c r="Y461" s="96"/>
      <c r="Z461" s="96"/>
      <c r="AA461" s="96"/>
    </row>
    <row r="462" spans="1:27" ht="15.75" customHeight="1">
      <c r="A462" s="96"/>
      <c r="B462" s="96"/>
      <c r="C462" s="96"/>
      <c r="D462" s="96"/>
      <c r="E462" s="96"/>
      <c r="F462" s="96"/>
      <c r="G462" s="96"/>
      <c r="H462" s="96"/>
      <c r="I462" s="96"/>
      <c r="J462" s="96"/>
      <c r="K462" s="96"/>
      <c r="L462" s="96"/>
      <c r="M462" s="96"/>
      <c r="N462" s="96"/>
      <c r="O462" s="96"/>
      <c r="P462" s="96"/>
      <c r="Q462" s="96"/>
      <c r="R462" s="96"/>
      <c r="S462" s="96"/>
      <c r="T462" s="96"/>
      <c r="U462" s="96"/>
      <c r="V462" s="96"/>
      <c r="W462" s="96"/>
      <c r="X462" s="96"/>
      <c r="Y462" s="96"/>
      <c r="Z462" s="96"/>
      <c r="AA462" s="96"/>
    </row>
    <row r="463" spans="1:27" ht="15.75" customHeight="1">
      <c r="A463" s="96"/>
      <c r="B463" s="96"/>
      <c r="C463" s="96"/>
      <c r="D463" s="96"/>
      <c r="E463" s="96"/>
      <c r="F463" s="96"/>
      <c r="G463" s="96"/>
      <c r="H463" s="96"/>
      <c r="I463" s="96"/>
      <c r="J463" s="96"/>
      <c r="K463" s="96"/>
      <c r="L463" s="96"/>
      <c r="M463" s="96"/>
      <c r="N463" s="96"/>
      <c r="O463" s="96"/>
      <c r="P463" s="96"/>
      <c r="Q463" s="96"/>
      <c r="R463" s="96"/>
      <c r="S463" s="96"/>
      <c r="T463" s="96"/>
      <c r="U463" s="96"/>
      <c r="V463" s="96"/>
      <c r="W463" s="96"/>
      <c r="X463" s="96"/>
      <c r="Y463" s="96"/>
      <c r="Z463" s="96"/>
      <c r="AA463" s="96"/>
    </row>
    <row r="464" spans="1:27" ht="15.75" customHeight="1">
      <c r="A464" s="96"/>
      <c r="B464" s="96"/>
      <c r="C464" s="96"/>
      <c r="D464" s="96"/>
      <c r="E464" s="96"/>
      <c r="F464" s="96"/>
      <c r="G464" s="96"/>
      <c r="H464" s="96"/>
      <c r="I464" s="96"/>
      <c r="J464" s="96"/>
      <c r="K464" s="96"/>
      <c r="L464" s="96"/>
      <c r="M464" s="96"/>
      <c r="N464" s="96"/>
      <c r="O464" s="96"/>
      <c r="P464" s="96"/>
      <c r="Q464" s="96"/>
      <c r="R464" s="96"/>
      <c r="S464" s="96"/>
      <c r="T464" s="96"/>
      <c r="U464" s="96"/>
      <c r="V464" s="96"/>
      <c r="W464" s="96"/>
      <c r="X464" s="96"/>
      <c r="Y464" s="96"/>
      <c r="Z464" s="96"/>
      <c r="AA464" s="96"/>
    </row>
    <row r="465" spans="1:27" ht="15.75" customHeight="1">
      <c r="A465" s="96"/>
      <c r="B465" s="96"/>
      <c r="C465" s="96"/>
      <c r="D465" s="96"/>
      <c r="E465" s="96"/>
      <c r="F465" s="96"/>
      <c r="G465" s="96"/>
      <c r="H465" s="96"/>
      <c r="I465" s="96"/>
      <c r="J465" s="96"/>
      <c r="K465" s="96"/>
      <c r="L465" s="96"/>
      <c r="M465" s="96"/>
      <c r="N465" s="96"/>
      <c r="O465" s="96"/>
      <c r="P465" s="96"/>
      <c r="Q465" s="96"/>
      <c r="R465" s="96"/>
      <c r="S465" s="96"/>
      <c r="T465" s="96"/>
      <c r="U465" s="96"/>
      <c r="V465" s="96"/>
      <c r="W465" s="96"/>
      <c r="X465" s="96"/>
      <c r="Y465" s="96"/>
      <c r="Z465" s="96"/>
      <c r="AA465" s="96"/>
    </row>
    <row r="466" spans="1:27" ht="15.75" customHeight="1">
      <c r="A466" s="96"/>
      <c r="B466" s="96"/>
      <c r="C466" s="96"/>
      <c r="D466" s="96"/>
      <c r="E466" s="96"/>
      <c r="F466" s="96"/>
      <c r="G466" s="96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  <c r="T466" s="96"/>
      <c r="U466" s="96"/>
      <c r="V466" s="96"/>
      <c r="W466" s="96"/>
      <c r="X466" s="96"/>
      <c r="Y466" s="96"/>
      <c r="Z466" s="96"/>
      <c r="AA466" s="96"/>
    </row>
    <row r="467" spans="1:27" ht="15.75" customHeight="1">
      <c r="A467" s="96"/>
      <c r="B467" s="96"/>
      <c r="C467" s="96"/>
      <c r="D467" s="96"/>
      <c r="E467" s="96"/>
      <c r="F467" s="96"/>
      <c r="G467" s="96"/>
      <c r="H467" s="96"/>
      <c r="I467" s="96"/>
      <c r="J467" s="96"/>
      <c r="K467" s="96"/>
      <c r="L467" s="96"/>
      <c r="M467" s="96"/>
      <c r="N467" s="96"/>
      <c r="O467" s="96"/>
      <c r="P467" s="96"/>
      <c r="Q467" s="96"/>
      <c r="R467" s="96"/>
      <c r="S467" s="96"/>
      <c r="T467" s="96"/>
      <c r="U467" s="96"/>
      <c r="V467" s="96"/>
      <c r="W467" s="96"/>
      <c r="X467" s="96"/>
      <c r="Y467" s="96"/>
      <c r="Z467" s="96"/>
      <c r="AA467" s="96"/>
    </row>
    <row r="468" spans="1:27" ht="15.75" customHeight="1">
      <c r="A468" s="96"/>
      <c r="B468" s="96"/>
      <c r="C468" s="96"/>
      <c r="D468" s="96"/>
      <c r="E468" s="96"/>
      <c r="F468" s="96"/>
      <c r="G468" s="96"/>
      <c r="H468" s="96"/>
      <c r="I468" s="96"/>
      <c r="J468" s="96"/>
      <c r="K468" s="96"/>
      <c r="L468" s="96"/>
      <c r="M468" s="96"/>
      <c r="N468" s="96"/>
      <c r="O468" s="96"/>
      <c r="P468" s="96"/>
      <c r="Q468" s="96"/>
      <c r="R468" s="96"/>
      <c r="S468" s="96"/>
      <c r="T468" s="96"/>
      <c r="U468" s="96"/>
      <c r="V468" s="96"/>
      <c r="W468" s="96"/>
      <c r="X468" s="96"/>
      <c r="Y468" s="96"/>
      <c r="Z468" s="96"/>
      <c r="AA468" s="96"/>
    </row>
    <row r="469" spans="1:27" ht="15.75" customHeight="1">
      <c r="A469" s="96"/>
      <c r="B469" s="96"/>
      <c r="C469" s="96"/>
      <c r="D469" s="96"/>
      <c r="E469" s="96"/>
      <c r="F469" s="96"/>
      <c r="G469" s="96"/>
      <c r="H469" s="96"/>
      <c r="I469" s="96"/>
      <c r="J469" s="96"/>
      <c r="K469" s="96"/>
      <c r="L469" s="96"/>
      <c r="M469" s="96"/>
      <c r="N469" s="96"/>
      <c r="O469" s="96"/>
      <c r="P469" s="96"/>
      <c r="Q469" s="96"/>
      <c r="R469" s="96"/>
      <c r="S469" s="96"/>
      <c r="T469" s="96"/>
      <c r="U469" s="96"/>
      <c r="V469" s="96"/>
      <c r="W469" s="96"/>
      <c r="X469" s="96"/>
      <c r="Y469" s="96"/>
      <c r="Z469" s="96"/>
      <c r="AA469" s="96"/>
    </row>
    <row r="470" spans="1:27" ht="15.75" customHeight="1">
      <c r="A470" s="96"/>
      <c r="B470" s="96"/>
      <c r="C470" s="96"/>
      <c r="D470" s="96"/>
      <c r="E470" s="96"/>
      <c r="F470" s="96"/>
      <c r="G470" s="96"/>
      <c r="H470" s="96"/>
      <c r="I470" s="96"/>
      <c r="J470" s="96"/>
      <c r="K470" s="96"/>
      <c r="L470" s="96"/>
      <c r="M470" s="96"/>
      <c r="N470" s="96"/>
      <c r="O470" s="96"/>
      <c r="P470" s="96"/>
      <c r="Q470" s="96"/>
      <c r="R470" s="96"/>
      <c r="S470" s="96"/>
      <c r="T470" s="96"/>
      <c r="U470" s="96"/>
      <c r="V470" s="96"/>
      <c r="W470" s="96"/>
      <c r="X470" s="96"/>
      <c r="Y470" s="96"/>
      <c r="Z470" s="96"/>
      <c r="AA470" s="96"/>
    </row>
    <row r="471" spans="1:27" ht="15.75" customHeight="1">
      <c r="A471" s="96"/>
      <c r="B471" s="96"/>
      <c r="C471" s="96"/>
      <c r="D471" s="96"/>
      <c r="E471" s="96"/>
      <c r="F471" s="96"/>
      <c r="G471" s="96"/>
      <c r="H471" s="96"/>
      <c r="I471" s="96"/>
      <c r="J471" s="96"/>
      <c r="K471" s="96"/>
      <c r="L471" s="96"/>
      <c r="M471" s="96"/>
      <c r="N471" s="96"/>
      <c r="O471" s="96"/>
      <c r="P471" s="96"/>
      <c r="Q471" s="96"/>
      <c r="R471" s="96"/>
      <c r="S471" s="96"/>
      <c r="T471" s="96"/>
      <c r="U471" s="96"/>
      <c r="V471" s="96"/>
      <c r="W471" s="96"/>
      <c r="X471" s="96"/>
      <c r="Y471" s="96"/>
      <c r="Z471" s="96"/>
      <c r="AA471" s="96"/>
    </row>
    <row r="472" spans="1:27" ht="15.75" customHeight="1">
      <c r="A472" s="96"/>
      <c r="B472" s="96"/>
      <c r="C472" s="96"/>
      <c r="D472" s="96"/>
      <c r="E472" s="96"/>
      <c r="F472" s="96"/>
      <c r="G472" s="96"/>
      <c r="H472" s="96"/>
      <c r="I472" s="96"/>
      <c r="J472" s="96"/>
      <c r="K472" s="96"/>
      <c r="L472" s="96"/>
      <c r="M472" s="96"/>
      <c r="N472" s="96"/>
      <c r="O472" s="96"/>
      <c r="P472" s="96"/>
      <c r="Q472" s="96"/>
      <c r="R472" s="96"/>
      <c r="S472" s="96"/>
      <c r="T472" s="96"/>
      <c r="U472" s="96"/>
      <c r="V472" s="96"/>
      <c r="W472" s="96"/>
      <c r="X472" s="96"/>
      <c r="Y472" s="96"/>
      <c r="Z472" s="96"/>
      <c r="AA472" s="96"/>
    </row>
    <row r="473" spans="1:27" ht="15.75" customHeight="1">
      <c r="A473" s="96"/>
      <c r="B473" s="96"/>
      <c r="C473" s="96"/>
      <c r="D473" s="96"/>
      <c r="E473" s="96"/>
      <c r="F473" s="96"/>
      <c r="G473" s="96"/>
      <c r="H473" s="96"/>
      <c r="I473" s="96"/>
      <c r="J473" s="96"/>
      <c r="K473" s="96"/>
      <c r="L473" s="96"/>
      <c r="M473" s="96"/>
      <c r="N473" s="96"/>
      <c r="O473" s="96"/>
      <c r="P473" s="96"/>
      <c r="Q473" s="96"/>
      <c r="R473" s="96"/>
      <c r="S473" s="96"/>
      <c r="T473" s="96"/>
      <c r="U473" s="96"/>
      <c r="V473" s="96"/>
      <c r="W473" s="96"/>
      <c r="X473" s="96"/>
      <c r="Y473" s="96"/>
      <c r="Z473" s="96"/>
      <c r="AA473" s="96"/>
    </row>
    <row r="474" spans="1:27" ht="15.75" customHeight="1">
      <c r="A474" s="96"/>
      <c r="B474" s="96"/>
      <c r="C474" s="96"/>
      <c r="D474" s="96"/>
      <c r="E474" s="96"/>
      <c r="F474" s="96"/>
      <c r="G474" s="96"/>
      <c r="H474" s="96"/>
      <c r="I474" s="96"/>
      <c r="J474" s="96"/>
      <c r="K474" s="96"/>
      <c r="L474" s="96"/>
      <c r="M474" s="96"/>
      <c r="N474" s="96"/>
      <c r="O474" s="96"/>
      <c r="P474" s="96"/>
      <c r="Q474" s="96"/>
      <c r="R474" s="96"/>
      <c r="S474" s="96"/>
      <c r="T474" s="96"/>
      <c r="U474" s="96"/>
      <c r="V474" s="96"/>
      <c r="W474" s="96"/>
      <c r="X474" s="96"/>
      <c r="Y474" s="96"/>
      <c r="Z474" s="96"/>
      <c r="AA474" s="96"/>
    </row>
    <row r="475" spans="1:27" ht="15.75" customHeight="1">
      <c r="A475" s="96"/>
      <c r="B475" s="96"/>
      <c r="C475" s="96"/>
      <c r="D475" s="96"/>
      <c r="E475" s="96"/>
      <c r="F475" s="96"/>
      <c r="G475" s="96"/>
      <c r="H475" s="96"/>
      <c r="I475" s="96"/>
      <c r="J475" s="96"/>
      <c r="K475" s="96"/>
      <c r="L475" s="96"/>
      <c r="M475" s="96"/>
      <c r="N475" s="96"/>
      <c r="O475" s="96"/>
      <c r="P475" s="96"/>
      <c r="Q475" s="96"/>
      <c r="R475" s="96"/>
      <c r="S475" s="96"/>
      <c r="T475" s="96"/>
      <c r="U475" s="96"/>
      <c r="V475" s="96"/>
      <c r="W475" s="96"/>
      <c r="X475" s="96"/>
      <c r="Y475" s="96"/>
      <c r="Z475" s="96"/>
      <c r="AA475" s="96"/>
    </row>
    <row r="476" spans="1:27" ht="15.75" customHeight="1">
      <c r="A476" s="96"/>
      <c r="B476" s="96"/>
      <c r="C476" s="96"/>
      <c r="D476" s="96"/>
      <c r="E476" s="96"/>
      <c r="F476" s="96"/>
      <c r="G476" s="96"/>
      <c r="H476" s="96"/>
      <c r="I476" s="96"/>
      <c r="J476" s="96"/>
      <c r="K476" s="96"/>
      <c r="L476" s="96"/>
      <c r="M476" s="96"/>
      <c r="N476" s="96"/>
      <c r="O476" s="96"/>
      <c r="P476" s="96"/>
      <c r="Q476" s="96"/>
      <c r="R476" s="96"/>
      <c r="S476" s="96"/>
      <c r="T476" s="96"/>
      <c r="U476" s="96"/>
      <c r="V476" s="96"/>
      <c r="W476" s="96"/>
      <c r="X476" s="96"/>
      <c r="Y476" s="96"/>
      <c r="Z476" s="96"/>
      <c r="AA476" s="96"/>
    </row>
    <row r="477" spans="1:27" ht="15.75" customHeight="1">
      <c r="A477" s="96"/>
      <c r="B477" s="96"/>
      <c r="C477" s="96"/>
      <c r="D477" s="96"/>
      <c r="E477" s="96"/>
      <c r="F477" s="96"/>
      <c r="G477" s="96"/>
      <c r="H477" s="96"/>
      <c r="I477" s="96"/>
      <c r="J477" s="96"/>
      <c r="K477" s="96"/>
      <c r="L477" s="96"/>
      <c r="M477" s="96"/>
      <c r="N477" s="96"/>
      <c r="O477" s="96"/>
      <c r="P477" s="96"/>
      <c r="Q477" s="96"/>
      <c r="R477" s="96"/>
      <c r="S477" s="96"/>
      <c r="T477" s="96"/>
      <c r="U477" s="96"/>
      <c r="V477" s="96"/>
      <c r="W477" s="96"/>
      <c r="X477" s="96"/>
      <c r="Y477" s="96"/>
      <c r="Z477" s="96"/>
      <c r="AA477" s="96"/>
    </row>
    <row r="478" spans="1:27" ht="15.75" customHeight="1">
      <c r="A478" s="96"/>
      <c r="B478" s="96"/>
      <c r="C478" s="96"/>
      <c r="D478" s="96"/>
      <c r="E478" s="96"/>
      <c r="F478" s="96"/>
      <c r="G478" s="96"/>
      <c r="H478" s="96"/>
      <c r="I478" s="96"/>
      <c r="J478" s="96"/>
      <c r="K478" s="96"/>
      <c r="L478" s="96"/>
      <c r="M478" s="96"/>
      <c r="N478" s="96"/>
      <c r="O478" s="96"/>
      <c r="P478" s="96"/>
      <c r="Q478" s="96"/>
      <c r="R478" s="96"/>
      <c r="S478" s="96"/>
      <c r="T478" s="96"/>
      <c r="U478" s="96"/>
      <c r="V478" s="96"/>
      <c r="W478" s="96"/>
      <c r="X478" s="96"/>
      <c r="Y478" s="96"/>
      <c r="Z478" s="96"/>
      <c r="AA478" s="96"/>
    </row>
    <row r="479" spans="1:27" ht="15.75" customHeight="1">
      <c r="A479" s="96"/>
      <c r="B479" s="96"/>
      <c r="C479" s="96"/>
      <c r="D479" s="96"/>
      <c r="E479" s="96"/>
      <c r="F479" s="96"/>
      <c r="G479" s="96"/>
      <c r="H479" s="96"/>
      <c r="I479" s="96"/>
      <c r="J479" s="96"/>
      <c r="K479" s="96"/>
      <c r="L479" s="96"/>
      <c r="M479" s="96"/>
      <c r="N479" s="96"/>
      <c r="O479" s="96"/>
      <c r="P479" s="96"/>
      <c r="Q479" s="96"/>
      <c r="R479" s="96"/>
      <c r="S479" s="96"/>
      <c r="T479" s="96"/>
      <c r="U479" s="96"/>
      <c r="V479" s="96"/>
      <c r="W479" s="96"/>
      <c r="X479" s="96"/>
      <c r="Y479" s="96"/>
      <c r="Z479" s="96"/>
      <c r="AA479" s="96"/>
    </row>
    <row r="480" spans="1:27" ht="15.75" customHeight="1">
      <c r="A480" s="96"/>
      <c r="B480" s="96"/>
      <c r="C480" s="96"/>
      <c r="D480" s="96"/>
      <c r="E480" s="96"/>
      <c r="F480" s="96"/>
      <c r="G480" s="96"/>
      <c r="H480" s="96"/>
      <c r="I480" s="96"/>
      <c r="J480" s="96"/>
      <c r="K480" s="96"/>
      <c r="L480" s="96"/>
      <c r="M480" s="96"/>
      <c r="N480" s="96"/>
      <c r="O480" s="96"/>
      <c r="P480" s="96"/>
      <c r="Q480" s="96"/>
      <c r="R480" s="96"/>
      <c r="S480" s="96"/>
      <c r="T480" s="96"/>
      <c r="U480" s="96"/>
      <c r="V480" s="96"/>
      <c r="W480" s="96"/>
      <c r="X480" s="96"/>
      <c r="Y480" s="96"/>
      <c r="Z480" s="96"/>
      <c r="AA480" s="96"/>
    </row>
    <row r="481" spans="1:27" ht="15.75" customHeight="1">
      <c r="A481" s="96"/>
      <c r="B481" s="96"/>
      <c r="C481" s="96"/>
      <c r="D481" s="96"/>
      <c r="E481" s="96"/>
      <c r="F481" s="96"/>
      <c r="G481" s="96"/>
      <c r="H481" s="96"/>
      <c r="I481" s="96"/>
      <c r="J481" s="96"/>
      <c r="K481" s="96"/>
      <c r="L481" s="96"/>
      <c r="M481" s="96"/>
      <c r="N481" s="96"/>
      <c r="O481" s="96"/>
      <c r="P481" s="96"/>
      <c r="Q481" s="96"/>
      <c r="R481" s="96"/>
      <c r="S481" s="96"/>
      <c r="T481" s="96"/>
      <c r="U481" s="96"/>
      <c r="V481" s="96"/>
      <c r="W481" s="96"/>
      <c r="X481" s="96"/>
      <c r="Y481" s="96"/>
      <c r="Z481" s="96"/>
      <c r="AA481" s="96"/>
    </row>
    <row r="482" spans="1:27" ht="15.75" customHeight="1">
      <c r="A482" s="96"/>
      <c r="B482" s="96"/>
      <c r="C482" s="96"/>
      <c r="D482" s="96"/>
      <c r="E482" s="96"/>
      <c r="F482" s="96"/>
      <c r="G482" s="96"/>
      <c r="H482" s="96"/>
      <c r="I482" s="96"/>
      <c r="J482" s="96"/>
      <c r="K482" s="96"/>
      <c r="L482" s="96"/>
      <c r="M482" s="96"/>
      <c r="N482" s="96"/>
      <c r="O482" s="96"/>
      <c r="P482" s="96"/>
      <c r="Q482" s="96"/>
      <c r="R482" s="96"/>
      <c r="S482" s="96"/>
      <c r="T482" s="96"/>
      <c r="U482" s="96"/>
      <c r="V482" s="96"/>
      <c r="W482" s="96"/>
      <c r="X482" s="96"/>
      <c r="Y482" s="96"/>
      <c r="Z482" s="96"/>
      <c r="AA482" s="96"/>
    </row>
    <row r="483" spans="1:27" ht="15.75" customHeight="1">
      <c r="A483" s="96"/>
      <c r="B483" s="96"/>
      <c r="C483" s="96"/>
      <c r="D483" s="96"/>
      <c r="E483" s="96"/>
      <c r="F483" s="96"/>
      <c r="G483" s="96"/>
      <c r="H483" s="96"/>
      <c r="I483" s="96"/>
      <c r="J483" s="96"/>
      <c r="K483" s="96"/>
      <c r="L483" s="96"/>
      <c r="M483" s="96"/>
      <c r="N483" s="96"/>
      <c r="O483" s="96"/>
      <c r="P483" s="96"/>
      <c r="Q483" s="96"/>
      <c r="R483" s="96"/>
      <c r="S483" s="96"/>
      <c r="T483" s="96"/>
      <c r="U483" s="96"/>
      <c r="V483" s="96"/>
      <c r="W483" s="96"/>
      <c r="X483" s="96"/>
      <c r="Y483" s="96"/>
      <c r="Z483" s="96"/>
      <c r="AA483" s="96"/>
    </row>
    <row r="484" spans="1:27" ht="15.75" customHeight="1">
      <c r="A484" s="96"/>
      <c r="B484" s="96"/>
      <c r="C484" s="96"/>
      <c r="D484" s="96"/>
      <c r="E484" s="96"/>
      <c r="F484" s="96"/>
      <c r="G484" s="96"/>
      <c r="H484" s="96"/>
      <c r="I484" s="96"/>
      <c r="J484" s="96"/>
      <c r="K484" s="96"/>
      <c r="L484" s="96"/>
      <c r="M484" s="96"/>
      <c r="N484" s="96"/>
      <c r="O484" s="96"/>
      <c r="P484" s="96"/>
      <c r="Q484" s="96"/>
      <c r="R484" s="96"/>
      <c r="S484" s="96"/>
      <c r="T484" s="96"/>
      <c r="U484" s="96"/>
      <c r="V484" s="96"/>
      <c r="W484" s="96"/>
      <c r="X484" s="96"/>
      <c r="Y484" s="96"/>
      <c r="Z484" s="96"/>
      <c r="AA484" s="96"/>
    </row>
    <row r="485" spans="1:27" ht="15.75" customHeight="1">
      <c r="A485" s="96"/>
      <c r="B485" s="96"/>
      <c r="C485" s="96"/>
      <c r="D485" s="96"/>
      <c r="E485" s="96"/>
      <c r="F485" s="96"/>
      <c r="G485" s="96"/>
      <c r="H485" s="96"/>
      <c r="I485" s="96"/>
      <c r="J485" s="96"/>
      <c r="K485" s="96"/>
      <c r="L485" s="96"/>
      <c r="M485" s="96"/>
      <c r="N485" s="96"/>
      <c r="O485" s="96"/>
      <c r="P485" s="96"/>
      <c r="Q485" s="96"/>
      <c r="R485" s="96"/>
      <c r="S485" s="96"/>
      <c r="T485" s="96"/>
      <c r="U485" s="96"/>
      <c r="V485" s="96"/>
      <c r="W485" s="96"/>
      <c r="X485" s="96"/>
      <c r="Y485" s="96"/>
      <c r="Z485" s="96"/>
      <c r="AA485" s="96"/>
    </row>
    <row r="486" spans="1:27" ht="15.75" customHeight="1">
      <c r="A486" s="96"/>
      <c r="B486" s="96"/>
      <c r="C486" s="96"/>
      <c r="D486" s="96"/>
      <c r="E486" s="96"/>
      <c r="F486" s="96"/>
      <c r="G486" s="96"/>
      <c r="H486" s="96"/>
      <c r="I486" s="96"/>
      <c r="J486" s="96"/>
      <c r="K486" s="96"/>
      <c r="L486" s="96"/>
      <c r="M486" s="96"/>
      <c r="N486" s="96"/>
      <c r="O486" s="96"/>
      <c r="P486" s="96"/>
      <c r="Q486" s="96"/>
      <c r="R486" s="96"/>
      <c r="S486" s="96"/>
      <c r="T486" s="96"/>
      <c r="U486" s="96"/>
      <c r="V486" s="96"/>
      <c r="W486" s="96"/>
      <c r="X486" s="96"/>
      <c r="Y486" s="96"/>
      <c r="Z486" s="96"/>
      <c r="AA486" s="96"/>
    </row>
    <row r="487" spans="1:27" ht="15.75" customHeight="1">
      <c r="A487" s="96"/>
      <c r="B487" s="96"/>
      <c r="C487" s="96"/>
      <c r="D487" s="96"/>
      <c r="E487" s="96"/>
      <c r="F487" s="96"/>
      <c r="G487" s="96"/>
      <c r="H487" s="96"/>
      <c r="I487" s="96"/>
      <c r="J487" s="96"/>
      <c r="K487" s="96"/>
      <c r="L487" s="96"/>
      <c r="M487" s="96"/>
      <c r="N487" s="96"/>
      <c r="O487" s="96"/>
      <c r="P487" s="96"/>
      <c r="Q487" s="96"/>
      <c r="R487" s="96"/>
      <c r="S487" s="96"/>
      <c r="T487" s="96"/>
      <c r="U487" s="96"/>
      <c r="V487" s="96"/>
      <c r="W487" s="96"/>
      <c r="X487" s="96"/>
      <c r="Y487" s="96"/>
      <c r="Z487" s="96"/>
      <c r="AA487" s="96"/>
    </row>
    <row r="488" spans="1:27" ht="15.75" customHeight="1">
      <c r="A488" s="96"/>
      <c r="B488" s="96"/>
      <c r="C488" s="96"/>
      <c r="D488" s="96"/>
      <c r="E488" s="96"/>
      <c r="F488" s="96"/>
      <c r="G488" s="96"/>
      <c r="H488" s="96"/>
      <c r="I488" s="96"/>
      <c r="J488" s="96"/>
      <c r="K488" s="96"/>
      <c r="L488" s="96"/>
      <c r="M488" s="96"/>
      <c r="N488" s="96"/>
      <c r="O488" s="96"/>
      <c r="P488" s="96"/>
      <c r="Q488" s="96"/>
      <c r="R488" s="96"/>
      <c r="S488" s="96"/>
      <c r="T488" s="96"/>
      <c r="U488" s="96"/>
      <c r="V488" s="96"/>
      <c r="W488" s="96"/>
      <c r="X488" s="96"/>
      <c r="Y488" s="96"/>
      <c r="Z488" s="96"/>
      <c r="AA488" s="96"/>
    </row>
    <row r="489" spans="1:27" ht="15.75" customHeight="1">
      <c r="A489" s="96"/>
      <c r="B489" s="96"/>
      <c r="C489" s="96"/>
      <c r="D489" s="96"/>
      <c r="E489" s="96"/>
      <c r="F489" s="96"/>
      <c r="G489" s="96"/>
      <c r="H489" s="96"/>
      <c r="I489" s="96"/>
      <c r="J489" s="96"/>
      <c r="K489" s="96"/>
      <c r="L489" s="96"/>
      <c r="M489" s="96"/>
      <c r="N489" s="96"/>
      <c r="O489" s="96"/>
      <c r="P489" s="96"/>
      <c r="Q489" s="96"/>
      <c r="R489" s="96"/>
      <c r="S489" s="96"/>
      <c r="T489" s="96"/>
      <c r="U489" s="96"/>
      <c r="V489" s="96"/>
      <c r="W489" s="96"/>
      <c r="X489" s="96"/>
      <c r="Y489" s="96"/>
      <c r="Z489" s="96"/>
      <c r="AA489" s="96"/>
    </row>
    <row r="490" spans="1:27" ht="15.75" customHeight="1">
      <c r="A490" s="96"/>
      <c r="B490" s="96"/>
      <c r="C490" s="96"/>
      <c r="D490" s="96"/>
      <c r="E490" s="96"/>
      <c r="F490" s="96"/>
      <c r="G490" s="96"/>
      <c r="H490" s="96"/>
      <c r="I490" s="96"/>
      <c r="J490" s="96"/>
      <c r="K490" s="96"/>
      <c r="L490" s="96"/>
      <c r="M490" s="96"/>
      <c r="N490" s="96"/>
      <c r="O490" s="96"/>
      <c r="P490" s="96"/>
      <c r="Q490" s="96"/>
      <c r="R490" s="96"/>
      <c r="S490" s="96"/>
      <c r="T490" s="96"/>
      <c r="U490" s="96"/>
      <c r="V490" s="96"/>
      <c r="W490" s="96"/>
      <c r="X490" s="96"/>
      <c r="Y490" s="96"/>
      <c r="Z490" s="96"/>
      <c r="AA490" s="96"/>
    </row>
    <row r="491" spans="1:27" ht="15.75" customHeight="1">
      <c r="A491" s="96"/>
      <c r="B491" s="96"/>
      <c r="C491" s="96"/>
      <c r="D491" s="96"/>
      <c r="E491" s="96"/>
      <c r="F491" s="96"/>
      <c r="G491" s="96"/>
      <c r="H491" s="96"/>
      <c r="I491" s="96"/>
      <c r="J491" s="96"/>
      <c r="K491" s="96"/>
      <c r="L491" s="96"/>
      <c r="M491" s="96"/>
      <c r="N491" s="96"/>
      <c r="O491" s="96"/>
      <c r="P491" s="96"/>
      <c r="Q491" s="96"/>
      <c r="R491" s="96"/>
      <c r="S491" s="96"/>
      <c r="T491" s="96"/>
      <c r="U491" s="96"/>
      <c r="V491" s="96"/>
      <c r="W491" s="96"/>
      <c r="X491" s="96"/>
      <c r="Y491" s="96"/>
      <c r="Z491" s="96"/>
      <c r="AA491" s="96"/>
    </row>
    <row r="492" spans="1:27" ht="15.75" customHeight="1">
      <c r="A492" s="96"/>
      <c r="B492" s="96"/>
      <c r="C492" s="96"/>
      <c r="D492" s="96"/>
      <c r="E492" s="96"/>
      <c r="F492" s="96"/>
      <c r="G492" s="96"/>
      <c r="H492" s="96"/>
      <c r="I492" s="96"/>
      <c r="J492" s="96"/>
      <c r="K492" s="96"/>
      <c r="L492" s="96"/>
      <c r="M492" s="96"/>
      <c r="N492" s="96"/>
      <c r="O492" s="96"/>
      <c r="P492" s="96"/>
      <c r="Q492" s="96"/>
      <c r="R492" s="96"/>
      <c r="S492" s="96"/>
      <c r="T492" s="96"/>
      <c r="U492" s="96"/>
      <c r="V492" s="96"/>
      <c r="W492" s="96"/>
      <c r="X492" s="96"/>
      <c r="Y492" s="96"/>
      <c r="Z492" s="96"/>
      <c r="AA492" s="96"/>
    </row>
    <row r="493" spans="1:27" ht="15.75" customHeight="1">
      <c r="A493" s="96"/>
      <c r="B493" s="96"/>
      <c r="C493" s="96"/>
      <c r="D493" s="96"/>
      <c r="E493" s="96"/>
      <c r="F493" s="96"/>
      <c r="G493" s="96"/>
      <c r="H493" s="96"/>
      <c r="I493" s="96"/>
      <c r="J493" s="96"/>
      <c r="K493" s="96"/>
      <c r="L493" s="96"/>
      <c r="M493" s="96"/>
      <c r="N493" s="96"/>
      <c r="O493" s="96"/>
      <c r="P493" s="96"/>
      <c r="Q493" s="96"/>
      <c r="R493" s="96"/>
      <c r="S493" s="96"/>
      <c r="T493" s="96"/>
      <c r="U493" s="96"/>
      <c r="V493" s="96"/>
      <c r="W493" s="96"/>
      <c r="X493" s="96"/>
      <c r="Y493" s="96"/>
      <c r="Z493" s="96"/>
      <c r="AA493" s="96"/>
    </row>
    <row r="494" spans="1:27" ht="15.75" customHeight="1">
      <c r="A494" s="96"/>
      <c r="B494" s="96"/>
      <c r="C494" s="96"/>
      <c r="D494" s="96"/>
      <c r="E494" s="96"/>
      <c r="F494" s="96"/>
      <c r="G494" s="96"/>
      <c r="H494" s="96"/>
      <c r="I494" s="96"/>
      <c r="J494" s="96"/>
      <c r="K494" s="96"/>
      <c r="L494" s="96"/>
      <c r="M494" s="96"/>
      <c r="N494" s="96"/>
      <c r="O494" s="96"/>
      <c r="P494" s="96"/>
      <c r="Q494" s="96"/>
      <c r="R494" s="96"/>
      <c r="S494" s="96"/>
      <c r="T494" s="96"/>
      <c r="U494" s="96"/>
      <c r="V494" s="96"/>
      <c r="W494" s="96"/>
      <c r="X494" s="96"/>
      <c r="Y494" s="96"/>
      <c r="Z494" s="96"/>
      <c r="AA494" s="96"/>
    </row>
    <row r="495" spans="1:27" ht="15.75" customHeight="1">
      <c r="A495" s="96"/>
      <c r="B495" s="96"/>
      <c r="C495" s="96"/>
      <c r="D495" s="96"/>
      <c r="E495" s="96"/>
      <c r="F495" s="96"/>
      <c r="G495" s="96"/>
      <c r="H495" s="96"/>
      <c r="I495" s="96"/>
      <c r="J495" s="96"/>
      <c r="K495" s="96"/>
      <c r="L495" s="96"/>
      <c r="M495" s="96"/>
      <c r="N495" s="96"/>
      <c r="O495" s="96"/>
      <c r="P495" s="96"/>
      <c r="Q495" s="96"/>
      <c r="R495" s="96"/>
      <c r="S495" s="96"/>
      <c r="T495" s="96"/>
      <c r="U495" s="96"/>
      <c r="V495" s="96"/>
      <c r="W495" s="96"/>
      <c r="X495" s="96"/>
      <c r="Y495" s="96"/>
      <c r="Z495" s="96"/>
      <c r="AA495" s="96"/>
    </row>
    <row r="496" spans="1:27" ht="15.75" customHeight="1">
      <c r="A496" s="96"/>
      <c r="B496" s="96"/>
      <c r="C496" s="96"/>
      <c r="D496" s="96"/>
      <c r="E496" s="96"/>
      <c r="F496" s="96"/>
      <c r="G496" s="96"/>
      <c r="H496" s="96"/>
      <c r="I496" s="96"/>
      <c r="J496" s="96"/>
      <c r="K496" s="96"/>
      <c r="L496" s="96"/>
      <c r="M496" s="96"/>
      <c r="N496" s="96"/>
      <c r="O496" s="96"/>
      <c r="P496" s="96"/>
      <c r="Q496" s="96"/>
      <c r="R496" s="96"/>
      <c r="S496" s="96"/>
      <c r="T496" s="96"/>
      <c r="U496" s="96"/>
      <c r="V496" s="96"/>
      <c r="W496" s="96"/>
      <c r="X496" s="96"/>
      <c r="Y496" s="96"/>
      <c r="Z496" s="96"/>
      <c r="AA496" s="96"/>
    </row>
    <row r="497" spans="1:27" ht="15.75" customHeight="1">
      <c r="A497" s="96"/>
      <c r="B497" s="96"/>
      <c r="C497" s="96"/>
      <c r="D497" s="96"/>
      <c r="E497" s="96"/>
      <c r="F497" s="96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6"/>
      <c r="AA497" s="96"/>
    </row>
    <row r="498" spans="1:27" ht="15.75" customHeight="1">
      <c r="A498" s="96"/>
      <c r="B498" s="96"/>
      <c r="C498" s="96"/>
      <c r="D498" s="96"/>
      <c r="E498" s="96"/>
      <c r="F498" s="96"/>
      <c r="G498" s="96"/>
      <c r="H498" s="96"/>
      <c r="I498" s="96"/>
      <c r="J498" s="96"/>
      <c r="K498" s="96"/>
      <c r="L498" s="96"/>
      <c r="M498" s="96"/>
      <c r="N498" s="96"/>
      <c r="O498" s="96"/>
      <c r="P498" s="96"/>
      <c r="Q498" s="96"/>
      <c r="R498" s="96"/>
      <c r="S498" s="96"/>
      <c r="T498" s="96"/>
      <c r="U498" s="96"/>
      <c r="V498" s="96"/>
      <c r="W498" s="96"/>
      <c r="X498" s="96"/>
      <c r="Y498" s="96"/>
      <c r="Z498" s="96"/>
      <c r="AA498" s="96"/>
    </row>
    <row r="499" spans="1:27" ht="15.75" customHeight="1">
      <c r="A499" s="96"/>
      <c r="B499" s="96"/>
      <c r="C499" s="96"/>
      <c r="D499" s="96"/>
      <c r="E499" s="96"/>
      <c r="F499" s="96"/>
      <c r="G499" s="96"/>
      <c r="H499" s="96"/>
      <c r="I499" s="96"/>
      <c r="J499" s="96"/>
      <c r="K499" s="96"/>
      <c r="L499" s="96"/>
      <c r="M499" s="96"/>
      <c r="N499" s="96"/>
      <c r="O499" s="96"/>
      <c r="P499" s="96"/>
      <c r="Q499" s="96"/>
      <c r="R499" s="96"/>
      <c r="S499" s="96"/>
      <c r="T499" s="96"/>
      <c r="U499" s="96"/>
      <c r="V499" s="96"/>
      <c r="W499" s="96"/>
      <c r="X499" s="96"/>
      <c r="Y499" s="96"/>
      <c r="Z499" s="96"/>
      <c r="AA499" s="96"/>
    </row>
    <row r="500" spans="1:27" ht="15.75" customHeight="1">
      <c r="A500" s="96"/>
      <c r="B500" s="96"/>
      <c r="C500" s="96"/>
      <c r="D500" s="96"/>
      <c r="E500" s="96"/>
      <c r="F500" s="96"/>
      <c r="G500" s="96"/>
      <c r="H500" s="96"/>
      <c r="I500" s="96"/>
      <c r="J500" s="96"/>
      <c r="K500" s="96"/>
      <c r="L500" s="96"/>
      <c r="M500" s="96"/>
      <c r="N500" s="96"/>
      <c r="O500" s="96"/>
      <c r="P500" s="96"/>
      <c r="Q500" s="96"/>
      <c r="R500" s="96"/>
      <c r="S500" s="96"/>
      <c r="T500" s="96"/>
      <c r="U500" s="96"/>
      <c r="V500" s="96"/>
      <c r="W500" s="96"/>
      <c r="X500" s="96"/>
      <c r="Y500" s="96"/>
      <c r="Z500" s="96"/>
      <c r="AA500" s="96"/>
    </row>
    <row r="501" spans="1:27" ht="15.75" customHeight="1">
      <c r="A501" s="96"/>
      <c r="B501" s="96"/>
      <c r="C501" s="96"/>
      <c r="D501" s="96"/>
      <c r="E501" s="96"/>
      <c r="F501" s="96"/>
      <c r="G501" s="96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96"/>
      <c r="S501" s="96"/>
      <c r="T501" s="96"/>
      <c r="U501" s="96"/>
      <c r="V501" s="96"/>
      <c r="W501" s="96"/>
      <c r="X501" s="96"/>
      <c r="Y501" s="96"/>
      <c r="Z501" s="96"/>
      <c r="AA501" s="96"/>
    </row>
    <row r="502" spans="1:27" ht="15.75" customHeight="1">
      <c r="A502" s="96"/>
      <c r="B502" s="96"/>
      <c r="C502" s="96"/>
      <c r="D502" s="96"/>
      <c r="E502" s="96"/>
      <c r="F502" s="96"/>
      <c r="G502" s="96"/>
      <c r="H502" s="96"/>
      <c r="I502" s="96"/>
      <c r="J502" s="96"/>
      <c r="K502" s="96"/>
      <c r="L502" s="96"/>
      <c r="M502" s="96"/>
      <c r="N502" s="96"/>
      <c r="O502" s="96"/>
      <c r="P502" s="96"/>
      <c r="Q502" s="96"/>
      <c r="R502" s="96"/>
      <c r="S502" s="96"/>
      <c r="T502" s="96"/>
      <c r="U502" s="96"/>
      <c r="V502" s="96"/>
      <c r="W502" s="96"/>
      <c r="X502" s="96"/>
      <c r="Y502" s="96"/>
      <c r="Z502" s="96"/>
      <c r="AA502" s="96"/>
    </row>
    <row r="503" spans="1:27" ht="15.75" customHeight="1">
      <c r="A503" s="96"/>
      <c r="B503" s="96"/>
      <c r="C503" s="96"/>
      <c r="D503" s="96"/>
      <c r="E503" s="96"/>
      <c r="F503" s="96"/>
      <c r="G503" s="96"/>
      <c r="H503" s="96"/>
      <c r="I503" s="96"/>
      <c r="J503" s="96"/>
      <c r="K503" s="96"/>
      <c r="L503" s="96"/>
      <c r="M503" s="96"/>
      <c r="N503" s="96"/>
      <c r="O503" s="96"/>
      <c r="P503" s="96"/>
      <c r="Q503" s="96"/>
      <c r="R503" s="96"/>
      <c r="S503" s="96"/>
      <c r="T503" s="96"/>
      <c r="U503" s="96"/>
      <c r="V503" s="96"/>
      <c r="W503" s="96"/>
      <c r="X503" s="96"/>
      <c r="Y503" s="96"/>
      <c r="Z503" s="96"/>
      <c r="AA503" s="96"/>
    </row>
    <row r="504" spans="1:27" ht="15.75" customHeight="1">
      <c r="A504" s="96"/>
      <c r="B504" s="96"/>
      <c r="C504" s="96"/>
      <c r="D504" s="96"/>
      <c r="E504" s="96"/>
      <c r="F504" s="96"/>
      <c r="G504" s="96"/>
      <c r="H504" s="96"/>
      <c r="I504" s="96"/>
      <c r="J504" s="96"/>
      <c r="K504" s="96"/>
      <c r="L504" s="96"/>
      <c r="M504" s="96"/>
      <c r="N504" s="96"/>
      <c r="O504" s="96"/>
      <c r="P504" s="96"/>
      <c r="Q504" s="96"/>
      <c r="R504" s="96"/>
      <c r="S504" s="96"/>
      <c r="T504" s="96"/>
      <c r="U504" s="96"/>
      <c r="V504" s="96"/>
      <c r="W504" s="96"/>
      <c r="X504" s="96"/>
      <c r="Y504" s="96"/>
      <c r="Z504" s="96"/>
      <c r="AA504" s="96"/>
    </row>
    <row r="505" spans="1:27" ht="15.75" customHeight="1">
      <c r="A505" s="96"/>
      <c r="B505" s="96"/>
      <c r="C505" s="96"/>
      <c r="D505" s="96"/>
      <c r="E505" s="96"/>
      <c r="F505" s="96"/>
      <c r="G505" s="96"/>
      <c r="H505" s="96"/>
      <c r="I505" s="96"/>
      <c r="J505" s="96"/>
      <c r="K505" s="96"/>
      <c r="L505" s="96"/>
      <c r="M505" s="96"/>
      <c r="N505" s="96"/>
      <c r="O505" s="96"/>
      <c r="P505" s="96"/>
      <c r="Q505" s="96"/>
      <c r="R505" s="96"/>
      <c r="S505" s="96"/>
      <c r="T505" s="96"/>
      <c r="U505" s="96"/>
      <c r="V505" s="96"/>
      <c r="W505" s="96"/>
      <c r="X505" s="96"/>
      <c r="Y505" s="96"/>
      <c r="Z505" s="96"/>
      <c r="AA505" s="96"/>
    </row>
    <row r="506" spans="1:27" ht="15.75" customHeight="1">
      <c r="A506" s="96"/>
      <c r="B506" s="96"/>
      <c r="C506" s="96"/>
      <c r="D506" s="96"/>
      <c r="E506" s="96"/>
      <c r="F506" s="96"/>
      <c r="G506" s="96"/>
      <c r="H506" s="96"/>
      <c r="I506" s="96"/>
      <c r="J506" s="96"/>
      <c r="K506" s="96"/>
      <c r="L506" s="96"/>
      <c r="M506" s="96"/>
      <c r="N506" s="96"/>
      <c r="O506" s="96"/>
      <c r="P506" s="96"/>
      <c r="Q506" s="96"/>
      <c r="R506" s="96"/>
      <c r="S506" s="96"/>
      <c r="T506" s="96"/>
      <c r="U506" s="96"/>
      <c r="V506" s="96"/>
      <c r="W506" s="96"/>
      <c r="X506" s="96"/>
      <c r="Y506" s="96"/>
      <c r="Z506" s="96"/>
      <c r="AA506" s="96"/>
    </row>
    <row r="507" spans="1:27" ht="15.75" customHeight="1">
      <c r="A507" s="96"/>
      <c r="B507" s="96"/>
      <c r="C507" s="96"/>
      <c r="D507" s="96"/>
      <c r="E507" s="96"/>
      <c r="F507" s="96"/>
      <c r="G507" s="96"/>
      <c r="H507" s="96"/>
      <c r="I507" s="96"/>
      <c r="J507" s="96"/>
      <c r="K507" s="96"/>
      <c r="L507" s="96"/>
      <c r="M507" s="96"/>
      <c r="N507" s="96"/>
      <c r="O507" s="96"/>
      <c r="P507" s="96"/>
      <c r="Q507" s="96"/>
      <c r="R507" s="96"/>
      <c r="S507" s="96"/>
      <c r="T507" s="96"/>
      <c r="U507" s="96"/>
      <c r="V507" s="96"/>
      <c r="W507" s="96"/>
      <c r="X507" s="96"/>
      <c r="Y507" s="96"/>
      <c r="Z507" s="96"/>
      <c r="AA507" s="96"/>
    </row>
    <row r="508" spans="1:27" ht="15.75" customHeight="1">
      <c r="A508" s="96"/>
      <c r="B508" s="96"/>
      <c r="C508" s="96"/>
      <c r="D508" s="96"/>
      <c r="E508" s="96"/>
      <c r="F508" s="96"/>
      <c r="G508" s="96"/>
      <c r="H508" s="96"/>
      <c r="I508" s="96"/>
      <c r="J508" s="96"/>
      <c r="K508" s="96"/>
      <c r="L508" s="96"/>
      <c r="M508" s="96"/>
      <c r="N508" s="96"/>
      <c r="O508" s="96"/>
      <c r="P508" s="96"/>
      <c r="Q508" s="96"/>
      <c r="R508" s="96"/>
      <c r="S508" s="96"/>
      <c r="T508" s="96"/>
      <c r="U508" s="96"/>
      <c r="V508" s="96"/>
      <c r="W508" s="96"/>
      <c r="X508" s="96"/>
      <c r="Y508" s="96"/>
      <c r="Z508" s="96"/>
      <c r="AA508" s="96"/>
    </row>
    <row r="509" spans="1:27" ht="15.75" customHeight="1">
      <c r="A509" s="96"/>
      <c r="B509" s="96"/>
      <c r="C509" s="96"/>
      <c r="D509" s="96"/>
      <c r="E509" s="96"/>
      <c r="F509" s="96"/>
      <c r="G509" s="96"/>
      <c r="H509" s="96"/>
      <c r="I509" s="96"/>
      <c r="J509" s="96"/>
      <c r="K509" s="96"/>
      <c r="L509" s="96"/>
      <c r="M509" s="96"/>
      <c r="N509" s="96"/>
      <c r="O509" s="96"/>
      <c r="P509" s="96"/>
      <c r="Q509" s="96"/>
      <c r="R509" s="96"/>
      <c r="S509" s="96"/>
      <c r="T509" s="96"/>
      <c r="U509" s="96"/>
      <c r="V509" s="96"/>
      <c r="W509" s="96"/>
      <c r="X509" s="96"/>
      <c r="Y509" s="96"/>
      <c r="Z509" s="96"/>
      <c r="AA509" s="96"/>
    </row>
    <row r="510" spans="1:27" ht="15.75" customHeight="1">
      <c r="A510" s="96"/>
      <c r="B510" s="96"/>
      <c r="C510" s="96"/>
      <c r="D510" s="96"/>
      <c r="E510" s="96"/>
      <c r="F510" s="96"/>
      <c r="G510" s="96"/>
      <c r="H510" s="96"/>
      <c r="I510" s="96"/>
      <c r="J510" s="96"/>
      <c r="K510" s="96"/>
      <c r="L510" s="96"/>
      <c r="M510" s="96"/>
      <c r="N510" s="96"/>
      <c r="O510" s="96"/>
      <c r="P510" s="96"/>
      <c r="Q510" s="96"/>
      <c r="R510" s="96"/>
      <c r="S510" s="96"/>
      <c r="T510" s="96"/>
      <c r="U510" s="96"/>
      <c r="V510" s="96"/>
      <c r="W510" s="96"/>
      <c r="X510" s="96"/>
      <c r="Y510" s="96"/>
      <c r="Z510" s="96"/>
      <c r="AA510" s="96"/>
    </row>
    <row r="511" spans="1:27" ht="15.75" customHeight="1">
      <c r="A511" s="96"/>
      <c r="B511" s="96"/>
      <c r="C511" s="96"/>
      <c r="D511" s="96"/>
      <c r="E511" s="96"/>
      <c r="F511" s="96"/>
      <c r="G511" s="96"/>
      <c r="H511" s="96"/>
      <c r="I511" s="96"/>
      <c r="J511" s="96"/>
      <c r="K511" s="96"/>
      <c r="L511" s="96"/>
      <c r="M511" s="96"/>
      <c r="N511" s="96"/>
      <c r="O511" s="96"/>
      <c r="P511" s="96"/>
      <c r="Q511" s="96"/>
      <c r="R511" s="96"/>
      <c r="S511" s="96"/>
      <c r="T511" s="96"/>
      <c r="U511" s="96"/>
      <c r="V511" s="96"/>
      <c r="W511" s="96"/>
      <c r="X511" s="96"/>
      <c r="Y511" s="96"/>
      <c r="Z511" s="96"/>
      <c r="AA511" s="96"/>
    </row>
    <row r="512" spans="1:27" ht="15.75" customHeight="1">
      <c r="A512" s="96"/>
      <c r="B512" s="96"/>
      <c r="C512" s="96"/>
      <c r="D512" s="96"/>
      <c r="E512" s="96"/>
      <c r="F512" s="96"/>
      <c r="G512" s="96"/>
      <c r="H512" s="96"/>
      <c r="I512" s="96"/>
      <c r="J512" s="96"/>
      <c r="K512" s="96"/>
      <c r="L512" s="96"/>
      <c r="M512" s="96"/>
      <c r="N512" s="96"/>
      <c r="O512" s="96"/>
      <c r="P512" s="96"/>
      <c r="Q512" s="96"/>
      <c r="R512" s="96"/>
      <c r="S512" s="96"/>
      <c r="T512" s="96"/>
      <c r="U512" s="96"/>
      <c r="V512" s="96"/>
      <c r="W512" s="96"/>
      <c r="X512" s="96"/>
      <c r="Y512" s="96"/>
      <c r="Z512" s="96"/>
      <c r="AA512" s="96"/>
    </row>
    <row r="513" spans="1:27" ht="15.75" customHeight="1">
      <c r="A513" s="96"/>
      <c r="B513" s="96"/>
      <c r="C513" s="96"/>
      <c r="D513" s="96"/>
      <c r="E513" s="96"/>
      <c r="F513" s="96"/>
      <c r="G513" s="96"/>
      <c r="H513" s="96"/>
      <c r="I513" s="96"/>
      <c r="J513" s="96"/>
      <c r="K513" s="96"/>
      <c r="L513" s="96"/>
      <c r="M513" s="96"/>
      <c r="N513" s="96"/>
      <c r="O513" s="96"/>
      <c r="P513" s="96"/>
      <c r="Q513" s="96"/>
      <c r="R513" s="96"/>
      <c r="S513" s="96"/>
      <c r="T513" s="96"/>
      <c r="U513" s="96"/>
      <c r="V513" s="96"/>
      <c r="W513" s="96"/>
      <c r="X513" s="96"/>
      <c r="Y513" s="96"/>
      <c r="Z513" s="96"/>
      <c r="AA513" s="96"/>
    </row>
    <row r="514" spans="1:27" ht="15.75" customHeight="1">
      <c r="A514" s="96"/>
      <c r="B514" s="96"/>
      <c r="C514" s="96"/>
      <c r="D514" s="96"/>
      <c r="E514" s="96"/>
      <c r="F514" s="96"/>
      <c r="G514" s="96"/>
      <c r="H514" s="96"/>
      <c r="I514" s="96"/>
      <c r="J514" s="96"/>
      <c r="K514" s="96"/>
      <c r="L514" s="96"/>
      <c r="M514" s="96"/>
      <c r="N514" s="96"/>
      <c r="O514" s="96"/>
      <c r="P514" s="96"/>
      <c r="Q514" s="96"/>
      <c r="R514" s="96"/>
      <c r="S514" s="96"/>
      <c r="T514" s="96"/>
      <c r="U514" s="96"/>
      <c r="V514" s="96"/>
      <c r="W514" s="96"/>
      <c r="X514" s="96"/>
      <c r="Y514" s="96"/>
      <c r="Z514" s="96"/>
      <c r="AA514" s="96"/>
    </row>
    <row r="515" spans="1:27" ht="15.75" customHeight="1">
      <c r="A515" s="96"/>
      <c r="B515" s="96"/>
      <c r="C515" s="96"/>
      <c r="D515" s="96"/>
      <c r="E515" s="96"/>
      <c r="F515" s="96"/>
      <c r="G515" s="96"/>
      <c r="H515" s="96"/>
      <c r="I515" s="96"/>
      <c r="J515" s="96"/>
      <c r="K515" s="96"/>
      <c r="L515" s="96"/>
      <c r="M515" s="96"/>
      <c r="N515" s="96"/>
      <c r="O515" s="96"/>
      <c r="P515" s="96"/>
      <c r="Q515" s="96"/>
      <c r="R515" s="96"/>
      <c r="S515" s="96"/>
      <c r="T515" s="96"/>
      <c r="U515" s="96"/>
      <c r="V515" s="96"/>
      <c r="W515" s="96"/>
      <c r="X515" s="96"/>
      <c r="Y515" s="96"/>
      <c r="Z515" s="96"/>
      <c r="AA515" s="96"/>
    </row>
    <row r="516" spans="1:27" ht="15.75" customHeight="1">
      <c r="A516" s="96"/>
      <c r="B516" s="96"/>
      <c r="C516" s="96"/>
      <c r="D516" s="96"/>
      <c r="E516" s="96"/>
      <c r="F516" s="96"/>
      <c r="G516" s="96"/>
      <c r="H516" s="96"/>
      <c r="I516" s="96"/>
      <c r="J516" s="96"/>
      <c r="K516" s="96"/>
      <c r="L516" s="96"/>
      <c r="M516" s="96"/>
      <c r="N516" s="96"/>
      <c r="O516" s="96"/>
      <c r="P516" s="96"/>
      <c r="Q516" s="96"/>
      <c r="R516" s="96"/>
      <c r="S516" s="96"/>
      <c r="T516" s="96"/>
      <c r="U516" s="96"/>
      <c r="V516" s="96"/>
      <c r="W516" s="96"/>
      <c r="X516" s="96"/>
      <c r="Y516" s="96"/>
      <c r="Z516" s="96"/>
      <c r="AA516" s="96"/>
    </row>
    <row r="517" spans="1:27" ht="15.75" customHeight="1">
      <c r="A517" s="96"/>
      <c r="B517" s="96"/>
      <c r="C517" s="96"/>
      <c r="D517" s="96"/>
      <c r="E517" s="96"/>
      <c r="F517" s="96"/>
      <c r="G517" s="96"/>
      <c r="H517" s="96"/>
      <c r="I517" s="96"/>
      <c r="J517" s="96"/>
      <c r="K517" s="96"/>
      <c r="L517" s="96"/>
      <c r="M517" s="96"/>
      <c r="N517" s="96"/>
      <c r="O517" s="96"/>
      <c r="P517" s="96"/>
      <c r="Q517" s="96"/>
      <c r="R517" s="96"/>
      <c r="S517" s="96"/>
      <c r="T517" s="96"/>
      <c r="U517" s="96"/>
      <c r="V517" s="96"/>
      <c r="W517" s="96"/>
      <c r="X517" s="96"/>
      <c r="Y517" s="96"/>
      <c r="Z517" s="96"/>
      <c r="AA517" s="96"/>
    </row>
    <row r="518" spans="1:27" ht="15.75" customHeight="1">
      <c r="A518" s="96"/>
      <c r="B518" s="96"/>
      <c r="C518" s="96"/>
      <c r="D518" s="96"/>
      <c r="E518" s="96"/>
      <c r="F518" s="96"/>
      <c r="G518" s="96"/>
      <c r="H518" s="96"/>
      <c r="I518" s="96"/>
      <c r="J518" s="96"/>
      <c r="K518" s="96"/>
      <c r="L518" s="96"/>
      <c r="M518" s="96"/>
      <c r="N518" s="96"/>
      <c r="O518" s="96"/>
      <c r="P518" s="96"/>
      <c r="Q518" s="96"/>
      <c r="R518" s="96"/>
      <c r="S518" s="96"/>
      <c r="T518" s="96"/>
      <c r="U518" s="96"/>
      <c r="V518" s="96"/>
      <c r="W518" s="96"/>
      <c r="X518" s="96"/>
      <c r="Y518" s="96"/>
      <c r="Z518" s="96"/>
      <c r="AA518" s="96"/>
    </row>
    <row r="519" spans="1:27" ht="15.75" customHeight="1">
      <c r="A519" s="96"/>
      <c r="B519" s="96"/>
      <c r="C519" s="96"/>
      <c r="D519" s="96"/>
      <c r="E519" s="96"/>
      <c r="F519" s="96"/>
      <c r="G519" s="96"/>
      <c r="H519" s="96"/>
      <c r="I519" s="96"/>
      <c r="J519" s="96"/>
      <c r="K519" s="96"/>
      <c r="L519" s="96"/>
      <c r="M519" s="96"/>
      <c r="N519" s="96"/>
      <c r="O519" s="96"/>
      <c r="P519" s="96"/>
      <c r="Q519" s="96"/>
      <c r="R519" s="96"/>
      <c r="S519" s="96"/>
      <c r="T519" s="96"/>
      <c r="U519" s="96"/>
      <c r="V519" s="96"/>
      <c r="W519" s="96"/>
      <c r="X519" s="96"/>
      <c r="Y519" s="96"/>
      <c r="Z519" s="96"/>
      <c r="AA519" s="96"/>
    </row>
    <row r="520" spans="1:27" ht="15.75" customHeight="1">
      <c r="A520" s="96"/>
      <c r="B520" s="96"/>
      <c r="C520" s="96"/>
      <c r="D520" s="96"/>
      <c r="E520" s="96"/>
      <c r="F520" s="96"/>
      <c r="G520" s="96"/>
      <c r="H520" s="96"/>
      <c r="I520" s="96"/>
      <c r="J520" s="96"/>
      <c r="K520" s="96"/>
      <c r="L520" s="96"/>
      <c r="M520" s="96"/>
      <c r="N520" s="96"/>
      <c r="O520" s="96"/>
      <c r="P520" s="96"/>
      <c r="Q520" s="96"/>
      <c r="R520" s="96"/>
      <c r="S520" s="96"/>
      <c r="T520" s="96"/>
      <c r="U520" s="96"/>
      <c r="V520" s="96"/>
      <c r="W520" s="96"/>
      <c r="X520" s="96"/>
      <c r="Y520" s="96"/>
      <c r="Z520" s="96"/>
      <c r="AA520" s="96"/>
    </row>
    <row r="521" spans="1:27" ht="15.75" customHeight="1">
      <c r="A521" s="96"/>
      <c r="B521" s="96"/>
      <c r="C521" s="96"/>
      <c r="D521" s="96"/>
      <c r="E521" s="96"/>
      <c r="F521" s="96"/>
      <c r="G521" s="96"/>
      <c r="H521" s="96"/>
      <c r="I521" s="96"/>
      <c r="J521" s="96"/>
      <c r="K521" s="96"/>
      <c r="L521" s="96"/>
      <c r="M521" s="96"/>
      <c r="N521" s="96"/>
      <c r="O521" s="96"/>
      <c r="P521" s="96"/>
      <c r="Q521" s="96"/>
      <c r="R521" s="96"/>
      <c r="S521" s="96"/>
      <c r="T521" s="96"/>
      <c r="U521" s="96"/>
      <c r="V521" s="96"/>
      <c r="W521" s="96"/>
      <c r="X521" s="96"/>
      <c r="Y521" s="96"/>
      <c r="Z521" s="96"/>
      <c r="AA521" s="96"/>
    </row>
    <row r="522" spans="1:27" ht="15.75" customHeight="1">
      <c r="A522" s="96"/>
      <c r="B522" s="96"/>
      <c r="C522" s="96"/>
      <c r="D522" s="96"/>
      <c r="E522" s="96"/>
      <c r="F522" s="96"/>
      <c r="G522" s="96"/>
      <c r="H522" s="96"/>
      <c r="I522" s="96"/>
      <c r="J522" s="96"/>
      <c r="K522" s="96"/>
      <c r="L522" s="96"/>
      <c r="M522" s="96"/>
      <c r="N522" s="96"/>
      <c r="O522" s="96"/>
      <c r="P522" s="96"/>
      <c r="Q522" s="96"/>
      <c r="R522" s="96"/>
      <c r="S522" s="96"/>
      <c r="T522" s="96"/>
      <c r="U522" s="96"/>
      <c r="V522" s="96"/>
      <c r="W522" s="96"/>
      <c r="X522" s="96"/>
      <c r="Y522" s="96"/>
      <c r="Z522" s="96"/>
      <c r="AA522" s="96"/>
    </row>
    <row r="523" spans="1:27" ht="15.75" customHeight="1">
      <c r="A523" s="96"/>
      <c r="B523" s="96"/>
      <c r="C523" s="96"/>
      <c r="D523" s="96"/>
      <c r="E523" s="96"/>
      <c r="F523" s="96"/>
      <c r="G523" s="96"/>
      <c r="H523" s="96"/>
      <c r="I523" s="96"/>
      <c r="J523" s="96"/>
      <c r="K523" s="96"/>
      <c r="L523" s="96"/>
      <c r="M523" s="96"/>
      <c r="N523" s="96"/>
      <c r="O523" s="96"/>
      <c r="P523" s="96"/>
      <c r="Q523" s="96"/>
      <c r="R523" s="96"/>
      <c r="S523" s="96"/>
      <c r="T523" s="96"/>
      <c r="U523" s="96"/>
      <c r="V523" s="96"/>
      <c r="W523" s="96"/>
      <c r="X523" s="96"/>
      <c r="Y523" s="96"/>
      <c r="Z523" s="96"/>
      <c r="AA523" s="96"/>
    </row>
    <row r="524" spans="1:27" ht="15.75" customHeight="1">
      <c r="A524" s="96"/>
      <c r="B524" s="96"/>
      <c r="C524" s="96"/>
      <c r="D524" s="96"/>
      <c r="E524" s="96"/>
      <c r="F524" s="96"/>
      <c r="G524" s="96"/>
      <c r="H524" s="96"/>
      <c r="I524" s="96"/>
      <c r="J524" s="96"/>
      <c r="K524" s="96"/>
      <c r="L524" s="96"/>
      <c r="M524" s="96"/>
      <c r="N524" s="96"/>
      <c r="O524" s="96"/>
      <c r="P524" s="96"/>
      <c r="Q524" s="96"/>
      <c r="R524" s="96"/>
      <c r="S524" s="96"/>
      <c r="T524" s="96"/>
      <c r="U524" s="96"/>
      <c r="V524" s="96"/>
      <c r="W524" s="96"/>
      <c r="X524" s="96"/>
      <c r="Y524" s="96"/>
      <c r="Z524" s="96"/>
      <c r="AA524" s="96"/>
    </row>
    <row r="525" spans="1:27" ht="15.75" customHeight="1">
      <c r="A525" s="96"/>
      <c r="B525" s="96"/>
      <c r="C525" s="96"/>
      <c r="D525" s="96"/>
      <c r="E525" s="96"/>
      <c r="F525" s="96"/>
      <c r="G525" s="96"/>
      <c r="H525" s="96"/>
      <c r="I525" s="96"/>
      <c r="J525" s="96"/>
      <c r="K525" s="96"/>
      <c r="L525" s="96"/>
      <c r="M525" s="96"/>
      <c r="N525" s="96"/>
      <c r="O525" s="96"/>
      <c r="P525" s="96"/>
      <c r="Q525" s="96"/>
      <c r="R525" s="96"/>
      <c r="S525" s="96"/>
      <c r="T525" s="96"/>
      <c r="U525" s="96"/>
      <c r="V525" s="96"/>
      <c r="W525" s="96"/>
      <c r="X525" s="96"/>
      <c r="Y525" s="96"/>
      <c r="Z525" s="96"/>
      <c r="AA525" s="96"/>
    </row>
    <row r="526" spans="1:27" ht="15.75" customHeight="1">
      <c r="A526" s="96"/>
      <c r="B526" s="96"/>
      <c r="C526" s="96"/>
      <c r="D526" s="96"/>
      <c r="E526" s="96"/>
      <c r="F526" s="96"/>
      <c r="G526" s="96"/>
      <c r="H526" s="96"/>
      <c r="I526" s="96"/>
      <c r="J526" s="96"/>
      <c r="K526" s="96"/>
      <c r="L526" s="96"/>
      <c r="M526" s="96"/>
      <c r="N526" s="96"/>
      <c r="O526" s="96"/>
      <c r="P526" s="96"/>
      <c r="Q526" s="96"/>
      <c r="R526" s="96"/>
      <c r="S526" s="96"/>
      <c r="T526" s="96"/>
      <c r="U526" s="96"/>
      <c r="V526" s="96"/>
      <c r="W526" s="96"/>
      <c r="X526" s="96"/>
      <c r="Y526" s="96"/>
      <c r="Z526" s="96"/>
      <c r="AA526" s="96"/>
    </row>
    <row r="527" spans="1:27" ht="15.75" customHeight="1">
      <c r="A527" s="96"/>
      <c r="B527" s="96"/>
      <c r="C527" s="96"/>
      <c r="D527" s="96"/>
      <c r="E527" s="96"/>
      <c r="F527" s="96"/>
      <c r="G527" s="96"/>
      <c r="H527" s="96"/>
      <c r="I527" s="96"/>
      <c r="J527" s="96"/>
      <c r="K527" s="96"/>
      <c r="L527" s="96"/>
      <c r="M527" s="96"/>
      <c r="N527" s="96"/>
      <c r="O527" s="96"/>
      <c r="P527" s="96"/>
      <c r="Q527" s="96"/>
      <c r="R527" s="96"/>
      <c r="S527" s="96"/>
      <c r="T527" s="96"/>
      <c r="U527" s="96"/>
      <c r="V527" s="96"/>
      <c r="W527" s="96"/>
      <c r="X527" s="96"/>
      <c r="Y527" s="96"/>
      <c r="Z527" s="96"/>
      <c r="AA527" s="96"/>
    </row>
    <row r="528" spans="1:27" ht="15.75" customHeight="1">
      <c r="A528" s="96"/>
      <c r="B528" s="96"/>
      <c r="C528" s="96"/>
      <c r="D528" s="96"/>
      <c r="E528" s="96"/>
      <c r="F528" s="96"/>
      <c r="G528" s="96"/>
      <c r="H528" s="96"/>
      <c r="I528" s="96"/>
      <c r="J528" s="96"/>
      <c r="K528" s="96"/>
      <c r="L528" s="96"/>
      <c r="M528" s="96"/>
      <c r="N528" s="96"/>
      <c r="O528" s="96"/>
      <c r="P528" s="96"/>
      <c r="Q528" s="96"/>
      <c r="R528" s="96"/>
      <c r="S528" s="96"/>
      <c r="T528" s="96"/>
      <c r="U528" s="96"/>
      <c r="V528" s="96"/>
      <c r="W528" s="96"/>
      <c r="X528" s="96"/>
      <c r="Y528" s="96"/>
      <c r="Z528" s="96"/>
      <c r="AA528" s="96"/>
    </row>
    <row r="529" spans="1:27" ht="15.75" customHeight="1">
      <c r="A529" s="96"/>
      <c r="B529" s="96"/>
      <c r="C529" s="96"/>
      <c r="D529" s="96"/>
      <c r="E529" s="96"/>
      <c r="F529" s="96"/>
      <c r="G529" s="96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96"/>
      <c r="S529" s="96"/>
      <c r="T529" s="96"/>
      <c r="U529" s="96"/>
      <c r="V529" s="96"/>
      <c r="W529" s="96"/>
      <c r="X529" s="96"/>
      <c r="Y529" s="96"/>
      <c r="Z529" s="96"/>
      <c r="AA529" s="96"/>
    </row>
    <row r="530" spans="1:27" ht="15.75" customHeight="1">
      <c r="A530" s="96"/>
      <c r="B530" s="96"/>
      <c r="C530" s="96"/>
      <c r="D530" s="96"/>
      <c r="E530" s="96"/>
      <c r="F530" s="96"/>
      <c r="G530" s="96"/>
      <c r="H530" s="96"/>
      <c r="I530" s="96"/>
      <c r="J530" s="96"/>
      <c r="K530" s="96"/>
      <c r="L530" s="96"/>
      <c r="M530" s="96"/>
      <c r="N530" s="96"/>
      <c r="O530" s="96"/>
      <c r="P530" s="96"/>
      <c r="Q530" s="96"/>
      <c r="R530" s="96"/>
      <c r="S530" s="96"/>
      <c r="T530" s="96"/>
      <c r="U530" s="96"/>
      <c r="V530" s="96"/>
      <c r="W530" s="96"/>
      <c r="X530" s="96"/>
      <c r="Y530" s="96"/>
      <c r="Z530" s="96"/>
      <c r="AA530" s="96"/>
    </row>
    <row r="531" spans="1:27" ht="15.75" customHeight="1">
      <c r="A531" s="96"/>
      <c r="B531" s="96"/>
      <c r="C531" s="96"/>
      <c r="D531" s="96"/>
      <c r="E531" s="96"/>
      <c r="F531" s="96"/>
      <c r="G531" s="96"/>
      <c r="H531" s="96"/>
      <c r="I531" s="96"/>
      <c r="J531" s="96"/>
      <c r="K531" s="96"/>
      <c r="L531" s="96"/>
      <c r="M531" s="96"/>
      <c r="N531" s="96"/>
      <c r="O531" s="96"/>
      <c r="P531" s="96"/>
      <c r="Q531" s="96"/>
      <c r="R531" s="96"/>
      <c r="S531" s="96"/>
      <c r="T531" s="96"/>
      <c r="U531" s="96"/>
      <c r="V531" s="96"/>
      <c r="W531" s="96"/>
      <c r="X531" s="96"/>
      <c r="Y531" s="96"/>
      <c r="Z531" s="96"/>
      <c r="AA531" s="96"/>
    </row>
    <row r="532" spans="1:27" ht="15.75" customHeight="1">
      <c r="A532" s="96"/>
      <c r="B532" s="96"/>
      <c r="C532" s="96"/>
      <c r="D532" s="96"/>
      <c r="E532" s="96"/>
      <c r="F532" s="96"/>
      <c r="G532" s="96"/>
      <c r="H532" s="96"/>
      <c r="I532" s="96"/>
      <c r="J532" s="96"/>
      <c r="K532" s="96"/>
      <c r="L532" s="96"/>
      <c r="M532" s="96"/>
      <c r="N532" s="96"/>
      <c r="O532" s="96"/>
      <c r="P532" s="96"/>
      <c r="Q532" s="96"/>
      <c r="R532" s="96"/>
      <c r="S532" s="96"/>
      <c r="T532" s="96"/>
      <c r="U532" s="96"/>
      <c r="V532" s="96"/>
      <c r="W532" s="96"/>
      <c r="X532" s="96"/>
      <c r="Y532" s="96"/>
      <c r="Z532" s="96"/>
      <c r="AA532" s="96"/>
    </row>
    <row r="533" spans="1:27" ht="15.75" customHeight="1">
      <c r="A533" s="96"/>
      <c r="B533" s="96"/>
      <c r="C533" s="96"/>
      <c r="D533" s="96"/>
      <c r="E533" s="96"/>
      <c r="F533" s="96"/>
      <c r="G533" s="96"/>
      <c r="H533" s="96"/>
      <c r="I533" s="96"/>
      <c r="J533" s="96"/>
      <c r="K533" s="96"/>
      <c r="L533" s="96"/>
      <c r="M533" s="96"/>
      <c r="N533" s="96"/>
      <c r="O533" s="96"/>
      <c r="P533" s="96"/>
      <c r="Q533" s="96"/>
      <c r="R533" s="96"/>
      <c r="S533" s="96"/>
      <c r="T533" s="96"/>
      <c r="U533" s="96"/>
      <c r="V533" s="96"/>
      <c r="W533" s="96"/>
      <c r="X533" s="96"/>
      <c r="Y533" s="96"/>
      <c r="Z533" s="96"/>
      <c r="AA533" s="96"/>
    </row>
    <row r="534" spans="1:27" ht="15.75" customHeight="1">
      <c r="A534" s="96"/>
      <c r="B534" s="96"/>
      <c r="C534" s="96"/>
      <c r="D534" s="96"/>
      <c r="E534" s="96"/>
      <c r="F534" s="96"/>
      <c r="G534" s="96"/>
      <c r="H534" s="96"/>
      <c r="I534" s="96"/>
      <c r="J534" s="96"/>
      <c r="K534" s="96"/>
      <c r="L534" s="96"/>
      <c r="M534" s="96"/>
      <c r="N534" s="96"/>
      <c r="O534" s="96"/>
      <c r="P534" s="96"/>
      <c r="Q534" s="96"/>
      <c r="R534" s="96"/>
      <c r="S534" s="96"/>
      <c r="T534" s="96"/>
      <c r="U534" s="96"/>
      <c r="V534" s="96"/>
      <c r="W534" s="96"/>
      <c r="X534" s="96"/>
      <c r="Y534" s="96"/>
      <c r="Z534" s="96"/>
      <c r="AA534" s="96"/>
    </row>
    <row r="535" spans="1:27" ht="15.75" customHeight="1">
      <c r="A535" s="96"/>
      <c r="B535" s="96"/>
      <c r="C535" s="96"/>
      <c r="D535" s="96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96"/>
      <c r="P535" s="96"/>
      <c r="Q535" s="96"/>
      <c r="R535" s="96"/>
      <c r="S535" s="96"/>
      <c r="T535" s="96"/>
      <c r="U535" s="96"/>
      <c r="V535" s="96"/>
      <c r="W535" s="96"/>
      <c r="X535" s="96"/>
      <c r="Y535" s="96"/>
      <c r="Z535" s="96"/>
      <c r="AA535" s="96"/>
    </row>
    <row r="536" spans="1:27" ht="15.75" customHeight="1">
      <c r="A536" s="96"/>
      <c r="B536" s="96"/>
      <c r="C536" s="96"/>
      <c r="D536" s="96"/>
      <c r="E536" s="96"/>
      <c r="F536" s="96"/>
      <c r="G536" s="96"/>
      <c r="H536" s="96"/>
      <c r="I536" s="96"/>
      <c r="J536" s="96"/>
      <c r="K536" s="96"/>
      <c r="L536" s="96"/>
      <c r="M536" s="96"/>
      <c r="N536" s="96"/>
      <c r="O536" s="96"/>
      <c r="P536" s="96"/>
      <c r="Q536" s="96"/>
      <c r="R536" s="96"/>
      <c r="S536" s="96"/>
      <c r="T536" s="96"/>
      <c r="U536" s="96"/>
      <c r="V536" s="96"/>
      <c r="W536" s="96"/>
      <c r="X536" s="96"/>
      <c r="Y536" s="96"/>
      <c r="Z536" s="96"/>
      <c r="AA536" s="96"/>
    </row>
    <row r="537" spans="1:27" ht="15.75" customHeight="1">
      <c r="A537" s="96"/>
      <c r="B537" s="96"/>
      <c r="C537" s="96"/>
      <c r="D537" s="96"/>
      <c r="E537" s="96"/>
      <c r="F537" s="96"/>
      <c r="G537" s="96"/>
      <c r="H537" s="96"/>
      <c r="I537" s="96"/>
      <c r="J537" s="96"/>
      <c r="K537" s="96"/>
      <c r="L537" s="96"/>
      <c r="M537" s="96"/>
      <c r="N537" s="96"/>
      <c r="O537" s="96"/>
      <c r="P537" s="96"/>
      <c r="Q537" s="96"/>
      <c r="R537" s="96"/>
      <c r="S537" s="96"/>
      <c r="T537" s="96"/>
      <c r="U537" s="96"/>
      <c r="V537" s="96"/>
      <c r="W537" s="96"/>
      <c r="X537" s="96"/>
      <c r="Y537" s="96"/>
      <c r="Z537" s="96"/>
      <c r="AA537" s="96"/>
    </row>
    <row r="538" spans="1:27" ht="15.75" customHeight="1">
      <c r="A538" s="96"/>
      <c r="B538" s="96"/>
      <c r="C538" s="96"/>
      <c r="D538" s="96"/>
      <c r="E538" s="96"/>
      <c r="F538" s="96"/>
      <c r="G538" s="96"/>
      <c r="H538" s="96"/>
      <c r="I538" s="96"/>
      <c r="J538" s="96"/>
      <c r="K538" s="96"/>
      <c r="L538" s="96"/>
      <c r="M538" s="96"/>
      <c r="N538" s="96"/>
      <c r="O538" s="96"/>
      <c r="P538" s="96"/>
      <c r="Q538" s="96"/>
      <c r="R538" s="96"/>
      <c r="S538" s="96"/>
      <c r="T538" s="96"/>
      <c r="U538" s="96"/>
      <c r="V538" s="96"/>
      <c r="W538" s="96"/>
      <c r="X538" s="96"/>
      <c r="Y538" s="96"/>
      <c r="Z538" s="96"/>
      <c r="AA538" s="96"/>
    </row>
    <row r="539" spans="1:27" ht="15.75" customHeight="1">
      <c r="A539" s="96"/>
      <c r="B539" s="96"/>
      <c r="C539" s="96"/>
      <c r="D539" s="96"/>
      <c r="E539" s="96"/>
      <c r="F539" s="96"/>
      <c r="G539" s="96"/>
      <c r="H539" s="96"/>
      <c r="I539" s="96"/>
      <c r="J539" s="96"/>
      <c r="K539" s="96"/>
      <c r="L539" s="96"/>
      <c r="M539" s="96"/>
      <c r="N539" s="96"/>
      <c r="O539" s="96"/>
      <c r="P539" s="96"/>
      <c r="Q539" s="96"/>
      <c r="R539" s="96"/>
      <c r="S539" s="96"/>
      <c r="T539" s="96"/>
      <c r="U539" s="96"/>
      <c r="V539" s="96"/>
      <c r="W539" s="96"/>
      <c r="X539" s="96"/>
      <c r="Y539" s="96"/>
      <c r="Z539" s="96"/>
      <c r="AA539" s="96"/>
    </row>
    <row r="540" spans="1:27" ht="15.75" customHeight="1">
      <c r="A540" s="96"/>
      <c r="B540" s="96"/>
      <c r="C540" s="96"/>
      <c r="D540" s="96"/>
      <c r="E540" s="96"/>
      <c r="F540" s="96"/>
      <c r="G540" s="96"/>
      <c r="H540" s="96"/>
      <c r="I540" s="96"/>
      <c r="J540" s="96"/>
      <c r="K540" s="96"/>
      <c r="L540" s="96"/>
      <c r="M540" s="96"/>
      <c r="N540" s="96"/>
      <c r="O540" s="96"/>
      <c r="P540" s="96"/>
      <c r="Q540" s="96"/>
      <c r="R540" s="96"/>
      <c r="S540" s="96"/>
      <c r="T540" s="96"/>
      <c r="U540" s="96"/>
      <c r="V540" s="96"/>
      <c r="W540" s="96"/>
      <c r="X540" s="96"/>
      <c r="Y540" s="96"/>
      <c r="Z540" s="96"/>
      <c r="AA540" s="96"/>
    </row>
    <row r="541" spans="1:27" ht="15.75" customHeight="1">
      <c r="A541" s="96"/>
      <c r="B541" s="96"/>
      <c r="C541" s="96"/>
      <c r="D541" s="96"/>
      <c r="E541" s="96"/>
      <c r="F541" s="96"/>
      <c r="G541" s="96"/>
      <c r="H541" s="96"/>
      <c r="I541" s="96"/>
      <c r="J541" s="96"/>
      <c r="K541" s="96"/>
      <c r="L541" s="96"/>
      <c r="M541" s="96"/>
      <c r="N541" s="96"/>
      <c r="O541" s="96"/>
      <c r="P541" s="96"/>
      <c r="Q541" s="96"/>
      <c r="R541" s="96"/>
      <c r="S541" s="96"/>
      <c r="T541" s="96"/>
      <c r="U541" s="96"/>
      <c r="V541" s="96"/>
      <c r="W541" s="96"/>
      <c r="X541" s="96"/>
      <c r="Y541" s="96"/>
      <c r="Z541" s="96"/>
      <c r="AA541" s="96"/>
    </row>
    <row r="542" spans="1:27" ht="15.75" customHeight="1">
      <c r="A542" s="96"/>
      <c r="B542" s="96"/>
      <c r="C542" s="96"/>
      <c r="D542" s="96"/>
      <c r="E542" s="96"/>
      <c r="F542" s="96"/>
      <c r="G542" s="96"/>
      <c r="H542" s="96"/>
      <c r="I542" s="96"/>
      <c r="J542" s="96"/>
      <c r="K542" s="96"/>
      <c r="L542" s="96"/>
      <c r="M542" s="96"/>
      <c r="N542" s="96"/>
      <c r="O542" s="96"/>
      <c r="P542" s="96"/>
      <c r="Q542" s="96"/>
      <c r="R542" s="96"/>
      <c r="S542" s="96"/>
      <c r="T542" s="96"/>
      <c r="U542" s="96"/>
      <c r="V542" s="96"/>
      <c r="W542" s="96"/>
      <c r="X542" s="96"/>
      <c r="Y542" s="96"/>
      <c r="Z542" s="96"/>
      <c r="AA542" s="96"/>
    </row>
    <row r="543" spans="1:27" ht="15.75" customHeight="1">
      <c r="A543" s="96"/>
      <c r="B543" s="96"/>
      <c r="C543" s="96"/>
      <c r="D543" s="96"/>
      <c r="E543" s="96"/>
      <c r="F543" s="96"/>
      <c r="G543" s="96"/>
      <c r="H543" s="96"/>
      <c r="I543" s="96"/>
      <c r="J543" s="96"/>
      <c r="K543" s="96"/>
      <c r="L543" s="96"/>
      <c r="M543" s="96"/>
      <c r="N543" s="96"/>
      <c r="O543" s="96"/>
      <c r="P543" s="96"/>
      <c r="Q543" s="96"/>
      <c r="R543" s="96"/>
      <c r="S543" s="96"/>
      <c r="T543" s="96"/>
      <c r="U543" s="96"/>
      <c r="V543" s="96"/>
      <c r="W543" s="96"/>
      <c r="X543" s="96"/>
      <c r="Y543" s="96"/>
      <c r="Z543" s="96"/>
      <c r="AA543" s="96"/>
    </row>
    <row r="544" spans="1:27" ht="15.75" customHeight="1">
      <c r="A544" s="96"/>
      <c r="B544" s="96"/>
      <c r="C544" s="96"/>
      <c r="D544" s="96"/>
      <c r="E544" s="96"/>
      <c r="F544" s="96"/>
      <c r="G544" s="96"/>
      <c r="H544" s="96"/>
      <c r="I544" s="96"/>
      <c r="J544" s="96"/>
      <c r="K544" s="96"/>
      <c r="L544" s="96"/>
      <c r="M544" s="96"/>
      <c r="N544" s="96"/>
      <c r="O544" s="96"/>
      <c r="P544" s="96"/>
      <c r="Q544" s="96"/>
      <c r="R544" s="96"/>
      <c r="S544" s="96"/>
      <c r="T544" s="96"/>
      <c r="U544" s="96"/>
      <c r="V544" s="96"/>
      <c r="W544" s="96"/>
      <c r="X544" s="96"/>
      <c r="Y544" s="96"/>
      <c r="Z544" s="96"/>
      <c r="AA544" s="96"/>
    </row>
    <row r="545" spans="1:27" ht="15.75" customHeight="1">
      <c r="A545" s="96"/>
      <c r="B545" s="96"/>
      <c r="C545" s="96"/>
      <c r="D545" s="96"/>
      <c r="E545" s="96"/>
      <c r="F545" s="96"/>
      <c r="G545" s="96"/>
      <c r="H545" s="96"/>
      <c r="I545" s="96"/>
      <c r="J545" s="96"/>
      <c r="K545" s="96"/>
      <c r="L545" s="96"/>
      <c r="M545" s="96"/>
      <c r="N545" s="96"/>
      <c r="O545" s="96"/>
      <c r="P545" s="96"/>
      <c r="Q545" s="96"/>
      <c r="R545" s="96"/>
      <c r="S545" s="96"/>
      <c r="T545" s="96"/>
      <c r="U545" s="96"/>
      <c r="V545" s="96"/>
      <c r="W545" s="96"/>
      <c r="X545" s="96"/>
      <c r="Y545" s="96"/>
      <c r="Z545" s="96"/>
      <c r="AA545" s="96"/>
    </row>
    <row r="546" spans="1:27" ht="15.75" customHeight="1">
      <c r="A546" s="96"/>
      <c r="B546" s="96"/>
      <c r="C546" s="96"/>
      <c r="D546" s="96"/>
      <c r="E546" s="96"/>
      <c r="F546" s="96"/>
      <c r="G546" s="96"/>
      <c r="H546" s="96"/>
      <c r="I546" s="96"/>
      <c r="J546" s="96"/>
      <c r="K546" s="96"/>
      <c r="L546" s="96"/>
      <c r="M546" s="96"/>
      <c r="N546" s="96"/>
      <c r="O546" s="96"/>
      <c r="P546" s="96"/>
      <c r="Q546" s="96"/>
      <c r="R546" s="96"/>
      <c r="S546" s="96"/>
      <c r="T546" s="96"/>
      <c r="U546" s="96"/>
      <c r="V546" s="96"/>
      <c r="W546" s="96"/>
      <c r="X546" s="96"/>
      <c r="Y546" s="96"/>
      <c r="Z546" s="96"/>
      <c r="AA546" s="96"/>
    </row>
    <row r="547" spans="1:27" ht="15.75" customHeight="1">
      <c r="A547" s="96"/>
      <c r="B547" s="96"/>
      <c r="C547" s="96"/>
      <c r="D547" s="96"/>
      <c r="E547" s="96"/>
      <c r="F547" s="96"/>
      <c r="G547" s="96"/>
      <c r="H547" s="96"/>
      <c r="I547" s="96"/>
      <c r="J547" s="96"/>
      <c r="K547" s="96"/>
      <c r="L547" s="96"/>
      <c r="M547" s="96"/>
      <c r="N547" s="96"/>
      <c r="O547" s="96"/>
      <c r="P547" s="96"/>
      <c r="Q547" s="96"/>
      <c r="R547" s="96"/>
      <c r="S547" s="96"/>
      <c r="T547" s="96"/>
      <c r="U547" s="96"/>
      <c r="V547" s="96"/>
      <c r="W547" s="96"/>
      <c r="X547" s="96"/>
      <c r="Y547" s="96"/>
      <c r="Z547" s="96"/>
      <c r="AA547" s="96"/>
    </row>
    <row r="548" spans="1:27" ht="15.75" customHeight="1">
      <c r="A548" s="96"/>
      <c r="B548" s="96"/>
      <c r="C548" s="96"/>
      <c r="D548" s="96"/>
      <c r="E548" s="96"/>
      <c r="F548" s="96"/>
      <c r="G548" s="96"/>
      <c r="H548" s="96"/>
      <c r="I548" s="96"/>
      <c r="J548" s="96"/>
      <c r="K548" s="96"/>
      <c r="L548" s="96"/>
      <c r="M548" s="96"/>
      <c r="N548" s="96"/>
      <c r="O548" s="96"/>
      <c r="P548" s="96"/>
      <c r="Q548" s="96"/>
      <c r="R548" s="96"/>
      <c r="S548" s="96"/>
      <c r="T548" s="96"/>
      <c r="U548" s="96"/>
      <c r="V548" s="96"/>
      <c r="W548" s="96"/>
      <c r="X548" s="96"/>
      <c r="Y548" s="96"/>
      <c r="Z548" s="96"/>
      <c r="AA548" s="96"/>
    </row>
    <row r="549" spans="1:27" ht="15.75" customHeight="1">
      <c r="A549" s="96"/>
      <c r="B549" s="96"/>
      <c r="C549" s="96"/>
      <c r="D549" s="96"/>
      <c r="E549" s="96"/>
      <c r="F549" s="96"/>
      <c r="G549" s="96"/>
      <c r="H549" s="96"/>
      <c r="I549" s="96"/>
      <c r="J549" s="96"/>
      <c r="K549" s="96"/>
      <c r="L549" s="96"/>
      <c r="M549" s="96"/>
      <c r="N549" s="96"/>
      <c r="O549" s="96"/>
      <c r="P549" s="96"/>
      <c r="Q549" s="96"/>
      <c r="R549" s="96"/>
      <c r="S549" s="96"/>
      <c r="T549" s="96"/>
      <c r="U549" s="96"/>
      <c r="V549" s="96"/>
      <c r="W549" s="96"/>
      <c r="X549" s="96"/>
      <c r="Y549" s="96"/>
      <c r="Z549" s="96"/>
      <c r="AA549" s="96"/>
    </row>
    <row r="550" spans="1:27" ht="15.75" customHeight="1">
      <c r="A550" s="96"/>
      <c r="B550" s="96"/>
      <c r="C550" s="96"/>
      <c r="D550" s="96"/>
      <c r="E550" s="96"/>
      <c r="F550" s="96"/>
      <c r="G550" s="96"/>
      <c r="H550" s="96"/>
      <c r="I550" s="96"/>
      <c r="J550" s="96"/>
      <c r="K550" s="96"/>
      <c r="L550" s="96"/>
      <c r="M550" s="96"/>
      <c r="N550" s="96"/>
      <c r="O550" s="96"/>
      <c r="P550" s="96"/>
      <c r="Q550" s="96"/>
      <c r="R550" s="96"/>
      <c r="S550" s="96"/>
      <c r="T550" s="96"/>
      <c r="U550" s="96"/>
      <c r="V550" s="96"/>
      <c r="W550" s="96"/>
      <c r="X550" s="96"/>
      <c r="Y550" s="96"/>
      <c r="Z550" s="96"/>
      <c r="AA550" s="96"/>
    </row>
    <row r="551" spans="1:27" ht="15.75" customHeight="1">
      <c r="A551" s="96"/>
      <c r="B551" s="96"/>
      <c r="C551" s="96"/>
      <c r="D551" s="96"/>
      <c r="E551" s="96"/>
      <c r="F551" s="96"/>
      <c r="G551" s="96"/>
      <c r="H551" s="96"/>
      <c r="I551" s="96"/>
      <c r="J551" s="96"/>
      <c r="K551" s="96"/>
      <c r="L551" s="96"/>
      <c r="M551" s="96"/>
      <c r="N551" s="96"/>
      <c r="O551" s="96"/>
      <c r="P551" s="96"/>
      <c r="Q551" s="96"/>
      <c r="R551" s="96"/>
      <c r="S551" s="96"/>
      <c r="T551" s="96"/>
      <c r="U551" s="96"/>
      <c r="V551" s="96"/>
      <c r="W551" s="96"/>
      <c r="X551" s="96"/>
      <c r="Y551" s="96"/>
      <c r="Z551" s="96"/>
      <c r="AA551" s="96"/>
    </row>
    <row r="552" spans="1:27" ht="15.75" customHeight="1">
      <c r="A552" s="96"/>
      <c r="B552" s="96"/>
      <c r="C552" s="96"/>
      <c r="D552" s="96"/>
      <c r="E552" s="96"/>
      <c r="F552" s="96"/>
      <c r="G552" s="96"/>
      <c r="H552" s="96"/>
      <c r="I552" s="96"/>
      <c r="J552" s="96"/>
      <c r="K552" s="96"/>
      <c r="L552" s="96"/>
      <c r="M552" s="96"/>
      <c r="N552" s="96"/>
      <c r="O552" s="96"/>
      <c r="P552" s="96"/>
      <c r="Q552" s="96"/>
      <c r="R552" s="96"/>
      <c r="S552" s="96"/>
      <c r="T552" s="96"/>
      <c r="U552" s="96"/>
      <c r="V552" s="96"/>
      <c r="W552" s="96"/>
      <c r="X552" s="96"/>
      <c r="Y552" s="96"/>
      <c r="Z552" s="96"/>
      <c r="AA552" s="96"/>
    </row>
    <row r="553" spans="1:27" ht="15.75" customHeight="1">
      <c r="A553" s="96"/>
      <c r="B553" s="96"/>
      <c r="C553" s="96"/>
      <c r="D553" s="96"/>
      <c r="E553" s="96"/>
      <c r="F553" s="96"/>
      <c r="G553" s="96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  <c r="Z553" s="96"/>
      <c r="AA553" s="96"/>
    </row>
    <row r="554" spans="1:27" ht="15.75" customHeight="1">
      <c r="A554" s="96"/>
      <c r="B554" s="96"/>
      <c r="C554" s="96"/>
      <c r="D554" s="96"/>
      <c r="E554" s="96"/>
      <c r="F554" s="96"/>
      <c r="G554" s="96"/>
      <c r="H554" s="96"/>
      <c r="I554" s="96"/>
      <c r="J554" s="96"/>
      <c r="K554" s="96"/>
      <c r="L554" s="96"/>
      <c r="M554" s="96"/>
      <c r="N554" s="96"/>
      <c r="O554" s="96"/>
      <c r="P554" s="96"/>
      <c r="Q554" s="96"/>
      <c r="R554" s="96"/>
      <c r="S554" s="96"/>
      <c r="T554" s="96"/>
      <c r="U554" s="96"/>
      <c r="V554" s="96"/>
      <c r="W554" s="96"/>
      <c r="X554" s="96"/>
      <c r="Y554" s="96"/>
      <c r="Z554" s="96"/>
      <c r="AA554" s="96"/>
    </row>
    <row r="555" spans="1:27" ht="15.75" customHeight="1">
      <c r="A555" s="96"/>
      <c r="B555" s="96"/>
      <c r="C555" s="96"/>
      <c r="D555" s="96"/>
      <c r="E555" s="96"/>
      <c r="F555" s="96"/>
      <c r="G555" s="96"/>
      <c r="H555" s="96"/>
      <c r="I555" s="96"/>
      <c r="J555" s="96"/>
      <c r="K555" s="96"/>
      <c r="L555" s="96"/>
      <c r="M555" s="96"/>
      <c r="N555" s="96"/>
      <c r="O555" s="96"/>
      <c r="P555" s="96"/>
      <c r="Q555" s="96"/>
      <c r="R555" s="96"/>
      <c r="S555" s="96"/>
      <c r="T555" s="96"/>
      <c r="U555" s="96"/>
      <c r="V555" s="96"/>
      <c r="W555" s="96"/>
      <c r="X555" s="96"/>
      <c r="Y555" s="96"/>
      <c r="Z555" s="96"/>
      <c r="AA555" s="96"/>
    </row>
    <row r="556" spans="1:27" ht="15.75" customHeight="1">
      <c r="A556" s="96"/>
      <c r="B556" s="96"/>
      <c r="C556" s="96"/>
      <c r="D556" s="96"/>
      <c r="E556" s="96"/>
      <c r="F556" s="96"/>
      <c r="G556" s="96"/>
      <c r="H556" s="96"/>
      <c r="I556" s="96"/>
      <c r="J556" s="96"/>
      <c r="K556" s="96"/>
      <c r="L556" s="96"/>
      <c r="M556" s="96"/>
      <c r="N556" s="96"/>
      <c r="O556" s="96"/>
      <c r="P556" s="96"/>
      <c r="Q556" s="96"/>
      <c r="R556" s="96"/>
      <c r="S556" s="96"/>
      <c r="T556" s="96"/>
      <c r="U556" s="96"/>
      <c r="V556" s="96"/>
      <c r="W556" s="96"/>
      <c r="X556" s="96"/>
      <c r="Y556" s="96"/>
      <c r="Z556" s="96"/>
      <c r="AA556" s="96"/>
    </row>
    <row r="557" spans="1:27" ht="15.75" customHeight="1">
      <c r="A557" s="96"/>
      <c r="B557" s="96"/>
      <c r="C557" s="96"/>
      <c r="D557" s="96"/>
      <c r="E557" s="96"/>
      <c r="F557" s="96"/>
      <c r="G557" s="96"/>
      <c r="H557" s="96"/>
      <c r="I557" s="96"/>
      <c r="J557" s="96"/>
      <c r="K557" s="96"/>
      <c r="L557" s="96"/>
      <c r="M557" s="96"/>
      <c r="N557" s="96"/>
      <c r="O557" s="96"/>
      <c r="P557" s="96"/>
      <c r="Q557" s="96"/>
      <c r="R557" s="96"/>
      <c r="S557" s="96"/>
      <c r="T557" s="96"/>
      <c r="U557" s="96"/>
      <c r="V557" s="96"/>
      <c r="W557" s="96"/>
      <c r="X557" s="96"/>
      <c r="Y557" s="96"/>
      <c r="Z557" s="96"/>
      <c r="AA557" s="96"/>
    </row>
    <row r="558" spans="1:27" ht="15.75" customHeight="1">
      <c r="A558" s="96"/>
      <c r="B558" s="96"/>
      <c r="C558" s="96"/>
      <c r="D558" s="96"/>
      <c r="E558" s="96"/>
      <c r="F558" s="96"/>
      <c r="G558" s="96"/>
      <c r="H558" s="96"/>
      <c r="I558" s="96"/>
      <c r="J558" s="96"/>
      <c r="K558" s="96"/>
      <c r="L558" s="96"/>
      <c r="M558" s="96"/>
      <c r="N558" s="96"/>
      <c r="O558" s="96"/>
      <c r="P558" s="96"/>
      <c r="Q558" s="96"/>
      <c r="R558" s="96"/>
      <c r="S558" s="96"/>
      <c r="T558" s="96"/>
      <c r="U558" s="96"/>
      <c r="V558" s="96"/>
      <c r="W558" s="96"/>
      <c r="X558" s="96"/>
      <c r="Y558" s="96"/>
      <c r="Z558" s="96"/>
      <c r="AA558" s="96"/>
    </row>
    <row r="559" spans="1:27" ht="15.75" customHeight="1">
      <c r="A559" s="96"/>
      <c r="B559" s="96"/>
      <c r="C559" s="96"/>
      <c r="D559" s="96"/>
      <c r="E559" s="96"/>
      <c r="F559" s="96"/>
      <c r="G559" s="96"/>
      <c r="H559" s="96"/>
      <c r="I559" s="96"/>
      <c r="J559" s="96"/>
      <c r="K559" s="96"/>
      <c r="L559" s="96"/>
      <c r="M559" s="96"/>
      <c r="N559" s="96"/>
      <c r="O559" s="96"/>
      <c r="P559" s="96"/>
      <c r="Q559" s="96"/>
      <c r="R559" s="96"/>
      <c r="S559" s="96"/>
      <c r="T559" s="96"/>
      <c r="U559" s="96"/>
      <c r="V559" s="96"/>
      <c r="W559" s="96"/>
      <c r="X559" s="96"/>
      <c r="Y559" s="96"/>
      <c r="Z559" s="96"/>
      <c r="AA559" s="96"/>
    </row>
    <row r="560" spans="1:27" ht="15.75" customHeight="1">
      <c r="A560" s="96"/>
      <c r="B560" s="96"/>
      <c r="C560" s="96"/>
      <c r="D560" s="96"/>
      <c r="E560" s="96"/>
      <c r="F560" s="96"/>
      <c r="G560" s="96"/>
      <c r="H560" s="96"/>
      <c r="I560" s="96"/>
      <c r="J560" s="96"/>
      <c r="K560" s="96"/>
      <c r="L560" s="96"/>
      <c r="M560" s="96"/>
      <c r="N560" s="96"/>
      <c r="O560" s="96"/>
      <c r="P560" s="96"/>
      <c r="Q560" s="96"/>
      <c r="R560" s="96"/>
      <c r="S560" s="96"/>
      <c r="T560" s="96"/>
      <c r="U560" s="96"/>
      <c r="V560" s="96"/>
      <c r="W560" s="96"/>
      <c r="X560" s="96"/>
      <c r="Y560" s="96"/>
      <c r="Z560" s="96"/>
      <c r="AA560" s="96"/>
    </row>
    <row r="561" spans="1:27" ht="15.75" customHeight="1">
      <c r="A561" s="96"/>
      <c r="B561" s="96"/>
      <c r="C561" s="96"/>
      <c r="D561" s="96"/>
      <c r="E561" s="96"/>
      <c r="F561" s="96"/>
      <c r="G561" s="96"/>
      <c r="H561" s="96"/>
      <c r="I561" s="96"/>
      <c r="J561" s="96"/>
      <c r="K561" s="96"/>
      <c r="L561" s="96"/>
      <c r="M561" s="96"/>
      <c r="N561" s="96"/>
      <c r="O561" s="96"/>
      <c r="P561" s="96"/>
      <c r="Q561" s="96"/>
      <c r="R561" s="96"/>
      <c r="S561" s="96"/>
      <c r="T561" s="96"/>
      <c r="U561" s="96"/>
      <c r="V561" s="96"/>
      <c r="W561" s="96"/>
      <c r="X561" s="96"/>
      <c r="Y561" s="96"/>
      <c r="Z561" s="96"/>
      <c r="AA561" s="96"/>
    </row>
    <row r="562" spans="1:27" ht="15.75" customHeight="1">
      <c r="A562" s="96"/>
      <c r="B562" s="96"/>
      <c r="C562" s="96"/>
      <c r="D562" s="96"/>
      <c r="E562" s="96"/>
      <c r="F562" s="96"/>
      <c r="G562" s="96"/>
      <c r="H562" s="96"/>
      <c r="I562" s="96"/>
      <c r="J562" s="96"/>
      <c r="K562" s="96"/>
      <c r="L562" s="96"/>
      <c r="M562" s="96"/>
      <c r="N562" s="96"/>
      <c r="O562" s="96"/>
      <c r="P562" s="96"/>
      <c r="Q562" s="96"/>
      <c r="R562" s="96"/>
      <c r="S562" s="96"/>
      <c r="T562" s="96"/>
      <c r="U562" s="96"/>
      <c r="V562" s="96"/>
      <c r="W562" s="96"/>
      <c r="X562" s="96"/>
      <c r="Y562" s="96"/>
      <c r="Z562" s="96"/>
      <c r="AA562" s="96"/>
    </row>
    <row r="563" spans="1:27" ht="15.75" customHeight="1">
      <c r="A563" s="96"/>
      <c r="B563" s="96"/>
      <c r="C563" s="96"/>
      <c r="D563" s="96"/>
      <c r="E563" s="96"/>
      <c r="F563" s="96"/>
      <c r="G563" s="96"/>
      <c r="H563" s="96"/>
      <c r="I563" s="96"/>
      <c r="J563" s="96"/>
      <c r="K563" s="96"/>
      <c r="L563" s="96"/>
      <c r="M563" s="96"/>
      <c r="N563" s="96"/>
      <c r="O563" s="96"/>
      <c r="P563" s="96"/>
      <c r="Q563" s="96"/>
      <c r="R563" s="96"/>
      <c r="S563" s="96"/>
      <c r="T563" s="96"/>
      <c r="U563" s="96"/>
      <c r="V563" s="96"/>
      <c r="W563" s="96"/>
      <c r="X563" s="96"/>
      <c r="Y563" s="96"/>
      <c r="Z563" s="96"/>
      <c r="AA563" s="96"/>
    </row>
    <row r="564" spans="1:27" ht="15.75" customHeight="1">
      <c r="A564" s="96"/>
      <c r="B564" s="96"/>
      <c r="C564" s="96"/>
      <c r="D564" s="96"/>
      <c r="E564" s="96"/>
      <c r="F564" s="96"/>
      <c r="G564" s="96"/>
      <c r="H564" s="96"/>
      <c r="I564" s="96"/>
      <c r="J564" s="96"/>
      <c r="K564" s="96"/>
      <c r="L564" s="96"/>
      <c r="M564" s="96"/>
      <c r="N564" s="96"/>
      <c r="O564" s="96"/>
      <c r="P564" s="96"/>
      <c r="Q564" s="96"/>
      <c r="R564" s="96"/>
      <c r="S564" s="96"/>
      <c r="T564" s="96"/>
      <c r="U564" s="96"/>
      <c r="V564" s="96"/>
      <c r="W564" s="96"/>
      <c r="X564" s="96"/>
      <c r="Y564" s="96"/>
      <c r="Z564" s="96"/>
      <c r="AA564" s="96"/>
    </row>
    <row r="565" spans="1:27" ht="15.75" customHeight="1">
      <c r="A565" s="96"/>
      <c r="B565" s="96"/>
      <c r="C565" s="96"/>
      <c r="D565" s="96"/>
      <c r="E565" s="96"/>
      <c r="F565" s="96"/>
      <c r="G565" s="96"/>
      <c r="H565" s="96"/>
      <c r="I565" s="96"/>
      <c r="J565" s="96"/>
      <c r="K565" s="96"/>
      <c r="L565" s="96"/>
      <c r="M565" s="96"/>
      <c r="N565" s="96"/>
      <c r="O565" s="96"/>
      <c r="P565" s="96"/>
      <c r="Q565" s="96"/>
      <c r="R565" s="96"/>
      <c r="S565" s="96"/>
      <c r="T565" s="96"/>
      <c r="U565" s="96"/>
      <c r="V565" s="96"/>
      <c r="W565" s="96"/>
      <c r="X565" s="96"/>
      <c r="Y565" s="96"/>
      <c r="Z565" s="96"/>
      <c r="AA565" s="96"/>
    </row>
    <row r="566" spans="1:27" ht="15.75" customHeight="1">
      <c r="A566" s="96"/>
      <c r="B566" s="96"/>
      <c r="C566" s="96"/>
      <c r="D566" s="96"/>
      <c r="E566" s="96"/>
      <c r="F566" s="96"/>
      <c r="G566" s="96"/>
      <c r="H566" s="96"/>
      <c r="I566" s="96"/>
      <c r="J566" s="96"/>
      <c r="K566" s="96"/>
      <c r="L566" s="96"/>
      <c r="M566" s="96"/>
      <c r="N566" s="96"/>
      <c r="O566" s="96"/>
      <c r="P566" s="96"/>
      <c r="Q566" s="96"/>
      <c r="R566" s="96"/>
      <c r="S566" s="96"/>
      <c r="T566" s="96"/>
      <c r="U566" s="96"/>
      <c r="V566" s="96"/>
      <c r="W566" s="96"/>
      <c r="X566" s="96"/>
      <c r="Y566" s="96"/>
      <c r="Z566" s="96"/>
      <c r="AA566" s="96"/>
    </row>
    <row r="567" spans="1:27" ht="15.75" customHeight="1">
      <c r="A567" s="96"/>
      <c r="B567" s="96"/>
      <c r="C567" s="96"/>
      <c r="D567" s="96"/>
      <c r="E567" s="96"/>
      <c r="F567" s="96"/>
      <c r="G567" s="96"/>
      <c r="H567" s="96"/>
      <c r="I567" s="96"/>
      <c r="J567" s="96"/>
      <c r="K567" s="96"/>
      <c r="L567" s="96"/>
      <c r="M567" s="96"/>
      <c r="N567" s="96"/>
      <c r="O567" s="96"/>
      <c r="P567" s="96"/>
      <c r="Q567" s="96"/>
      <c r="R567" s="96"/>
      <c r="S567" s="96"/>
      <c r="T567" s="96"/>
      <c r="U567" s="96"/>
      <c r="V567" s="96"/>
      <c r="W567" s="96"/>
      <c r="X567" s="96"/>
      <c r="Y567" s="96"/>
      <c r="Z567" s="96"/>
      <c r="AA567" s="96"/>
    </row>
    <row r="568" spans="1:27" ht="15.75" customHeight="1">
      <c r="A568" s="96"/>
      <c r="B568" s="96"/>
      <c r="C568" s="96"/>
      <c r="D568" s="96"/>
      <c r="E568" s="96"/>
      <c r="F568" s="96"/>
      <c r="G568" s="96"/>
      <c r="H568" s="96"/>
      <c r="I568" s="96"/>
      <c r="J568" s="96"/>
      <c r="K568" s="96"/>
      <c r="L568" s="96"/>
      <c r="M568" s="96"/>
      <c r="N568" s="96"/>
      <c r="O568" s="96"/>
      <c r="P568" s="96"/>
      <c r="Q568" s="96"/>
      <c r="R568" s="96"/>
      <c r="S568" s="96"/>
      <c r="T568" s="96"/>
      <c r="U568" s="96"/>
      <c r="V568" s="96"/>
      <c r="W568" s="96"/>
      <c r="X568" s="96"/>
      <c r="Y568" s="96"/>
      <c r="Z568" s="96"/>
      <c r="AA568" s="96"/>
    </row>
    <row r="569" spans="1:27" ht="15.75" customHeight="1">
      <c r="A569" s="96"/>
      <c r="B569" s="96"/>
      <c r="C569" s="96"/>
      <c r="D569" s="96"/>
      <c r="E569" s="96"/>
      <c r="F569" s="96"/>
      <c r="G569" s="96"/>
      <c r="H569" s="96"/>
      <c r="I569" s="96"/>
      <c r="J569" s="96"/>
      <c r="K569" s="96"/>
      <c r="L569" s="96"/>
      <c r="M569" s="96"/>
      <c r="N569" s="96"/>
      <c r="O569" s="96"/>
      <c r="P569" s="96"/>
      <c r="Q569" s="96"/>
      <c r="R569" s="96"/>
      <c r="S569" s="96"/>
      <c r="T569" s="96"/>
      <c r="U569" s="96"/>
      <c r="V569" s="96"/>
      <c r="W569" s="96"/>
      <c r="X569" s="96"/>
      <c r="Y569" s="96"/>
      <c r="Z569" s="96"/>
      <c r="AA569" s="96"/>
    </row>
    <row r="570" spans="1:27" ht="15.75" customHeight="1">
      <c r="A570" s="96"/>
      <c r="B570" s="96"/>
      <c r="C570" s="96"/>
      <c r="D570" s="96"/>
      <c r="E570" s="96"/>
      <c r="F570" s="96"/>
      <c r="G570" s="96"/>
      <c r="H570" s="96"/>
      <c r="I570" s="96"/>
      <c r="J570" s="96"/>
      <c r="K570" s="96"/>
      <c r="L570" s="96"/>
      <c r="M570" s="96"/>
      <c r="N570" s="96"/>
      <c r="O570" s="96"/>
      <c r="P570" s="96"/>
      <c r="Q570" s="96"/>
      <c r="R570" s="96"/>
      <c r="S570" s="96"/>
      <c r="T570" s="96"/>
      <c r="U570" s="96"/>
      <c r="V570" s="96"/>
      <c r="W570" s="96"/>
      <c r="X570" s="96"/>
      <c r="Y570" s="96"/>
      <c r="Z570" s="96"/>
      <c r="AA570" s="96"/>
    </row>
    <row r="571" spans="1:27" ht="15.75" customHeight="1">
      <c r="A571" s="96"/>
      <c r="B571" s="96"/>
      <c r="C571" s="96"/>
      <c r="D571" s="96"/>
      <c r="E571" s="96"/>
      <c r="F571" s="96"/>
      <c r="G571" s="96"/>
      <c r="H571" s="96"/>
      <c r="I571" s="96"/>
      <c r="J571" s="96"/>
      <c r="K571" s="96"/>
      <c r="L571" s="96"/>
      <c r="M571" s="96"/>
      <c r="N571" s="96"/>
      <c r="O571" s="96"/>
      <c r="P571" s="96"/>
      <c r="Q571" s="96"/>
      <c r="R571" s="96"/>
      <c r="S571" s="96"/>
      <c r="T571" s="96"/>
      <c r="U571" s="96"/>
      <c r="V571" s="96"/>
      <c r="W571" s="96"/>
      <c r="X571" s="96"/>
      <c r="Y571" s="96"/>
      <c r="Z571" s="96"/>
      <c r="AA571" s="96"/>
    </row>
    <row r="572" spans="1:27" ht="15.75" customHeight="1">
      <c r="A572" s="96"/>
      <c r="B572" s="96"/>
      <c r="C572" s="96"/>
      <c r="D572" s="96"/>
      <c r="E572" s="96"/>
      <c r="F572" s="96"/>
      <c r="G572" s="96"/>
      <c r="H572" s="96"/>
      <c r="I572" s="96"/>
      <c r="J572" s="96"/>
      <c r="K572" s="96"/>
      <c r="L572" s="96"/>
      <c r="M572" s="96"/>
      <c r="N572" s="96"/>
      <c r="O572" s="96"/>
      <c r="P572" s="96"/>
      <c r="Q572" s="96"/>
      <c r="R572" s="96"/>
      <c r="S572" s="96"/>
      <c r="T572" s="96"/>
      <c r="U572" s="96"/>
      <c r="V572" s="96"/>
      <c r="W572" s="96"/>
      <c r="X572" s="96"/>
      <c r="Y572" s="96"/>
      <c r="Z572" s="96"/>
      <c r="AA572" s="96"/>
    </row>
    <row r="573" spans="1:27" ht="15.75" customHeight="1">
      <c r="A573" s="96"/>
      <c r="B573" s="96"/>
      <c r="C573" s="96"/>
      <c r="D573" s="96"/>
      <c r="E573" s="96"/>
      <c r="F573" s="96"/>
      <c r="G573" s="96"/>
      <c r="H573" s="96"/>
      <c r="I573" s="96"/>
      <c r="J573" s="96"/>
      <c r="K573" s="96"/>
      <c r="L573" s="96"/>
      <c r="M573" s="96"/>
      <c r="N573" s="96"/>
      <c r="O573" s="96"/>
      <c r="P573" s="96"/>
      <c r="Q573" s="96"/>
      <c r="R573" s="96"/>
      <c r="S573" s="96"/>
      <c r="T573" s="96"/>
      <c r="U573" s="96"/>
      <c r="V573" s="96"/>
      <c r="W573" s="96"/>
      <c r="X573" s="96"/>
      <c r="Y573" s="96"/>
      <c r="Z573" s="96"/>
      <c r="AA573" s="96"/>
    </row>
    <row r="574" spans="1:27" ht="15.75" customHeight="1">
      <c r="A574" s="96"/>
      <c r="B574" s="96"/>
      <c r="C574" s="96"/>
      <c r="D574" s="96"/>
      <c r="E574" s="96"/>
      <c r="F574" s="96"/>
      <c r="G574" s="96"/>
      <c r="H574" s="96"/>
      <c r="I574" s="96"/>
      <c r="J574" s="96"/>
      <c r="K574" s="96"/>
      <c r="L574" s="96"/>
      <c r="M574" s="96"/>
      <c r="N574" s="96"/>
      <c r="O574" s="96"/>
      <c r="P574" s="96"/>
      <c r="Q574" s="96"/>
      <c r="R574" s="96"/>
      <c r="S574" s="96"/>
      <c r="T574" s="96"/>
      <c r="U574" s="96"/>
      <c r="V574" s="96"/>
      <c r="W574" s="96"/>
      <c r="X574" s="96"/>
      <c r="Y574" s="96"/>
      <c r="Z574" s="96"/>
      <c r="AA574" s="96"/>
    </row>
    <row r="575" spans="1:27" ht="15.75" customHeight="1">
      <c r="A575" s="96"/>
      <c r="B575" s="96"/>
      <c r="C575" s="96"/>
      <c r="D575" s="96"/>
      <c r="E575" s="96"/>
      <c r="F575" s="96"/>
      <c r="G575" s="96"/>
      <c r="H575" s="96"/>
      <c r="I575" s="96"/>
      <c r="J575" s="96"/>
      <c r="K575" s="96"/>
      <c r="L575" s="96"/>
      <c r="M575" s="96"/>
      <c r="N575" s="96"/>
      <c r="O575" s="96"/>
      <c r="P575" s="96"/>
      <c r="Q575" s="96"/>
      <c r="R575" s="96"/>
      <c r="S575" s="96"/>
      <c r="T575" s="96"/>
      <c r="U575" s="96"/>
      <c r="V575" s="96"/>
      <c r="W575" s="96"/>
      <c r="X575" s="96"/>
      <c r="Y575" s="96"/>
      <c r="Z575" s="96"/>
      <c r="AA575" s="96"/>
    </row>
    <row r="576" spans="1:27" ht="15.75" customHeight="1">
      <c r="A576" s="96"/>
      <c r="B576" s="96"/>
      <c r="C576" s="96"/>
      <c r="D576" s="96"/>
      <c r="E576" s="96"/>
      <c r="F576" s="96"/>
      <c r="G576" s="96"/>
      <c r="H576" s="96"/>
      <c r="I576" s="96"/>
      <c r="J576" s="96"/>
      <c r="K576" s="96"/>
      <c r="L576" s="96"/>
      <c r="M576" s="96"/>
      <c r="N576" s="96"/>
      <c r="O576" s="96"/>
      <c r="P576" s="96"/>
      <c r="Q576" s="96"/>
      <c r="R576" s="96"/>
      <c r="S576" s="96"/>
      <c r="T576" s="96"/>
      <c r="U576" s="96"/>
      <c r="V576" s="96"/>
      <c r="W576" s="96"/>
      <c r="X576" s="96"/>
      <c r="Y576" s="96"/>
      <c r="Z576" s="96"/>
      <c r="AA576" s="96"/>
    </row>
    <row r="577" spans="1:27" ht="15.75" customHeight="1">
      <c r="A577" s="96"/>
      <c r="B577" s="96"/>
      <c r="C577" s="96"/>
      <c r="D577" s="96"/>
      <c r="E577" s="96"/>
      <c r="F577" s="96"/>
      <c r="G577" s="96"/>
      <c r="H577" s="96"/>
      <c r="I577" s="96"/>
      <c r="J577" s="96"/>
      <c r="K577" s="96"/>
      <c r="L577" s="96"/>
      <c r="M577" s="96"/>
      <c r="N577" s="96"/>
      <c r="O577" s="96"/>
      <c r="P577" s="96"/>
      <c r="Q577" s="96"/>
      <c r="R577" s="96"/>
      <c r="S577" s="96"/>
      <c r="T577" s="96"/>
      <c r="U577" s="96"/>
      <c r="V577" s="96"/>
      <c r="W577" s="96"/>
      <c r="X577" s="96"/>
      <c r="Y577" s="96"/>
      <c r="Z577" s="96"/>
      <c r="AA577" s="96"/>
    </row>
    <row r="578" spans="1:27" ht="15.75" customHeight="1">
      <c r="A578" s="96"/>
      <c r="B578" s="96"/>
      <c r="C578" s="96"/>
      <c r="D578" s="96"/>
      <c r="E578" s="96"/>
      <c r="F578" s="96"/>
      <c r="G578" s="96"/>
      <c r="H578" s="96"/>
      <c r="I578" s="96"/>
      <c r="J578" s="96"/>
      <c r="K578" s="96"/>
      <c r="L578" s="96"/>
      <c r="M578" s="96"/>
      <c r="N578" s="96"/>
      <c r="O578" s="96"/>
      <c r="P578" s="96"/>
      <c r="Q578" s="96"/>
      <c r="R578" s="96"/>
      <c r="S578" s="96"/>
      <c r="T578" s="96"/>
      <c r="U578" s="96"/>
      <c r="V578" s="96"/>
      <c r="W578" s="96"/>
      <c r="X578" s="96"/>
      <c r="Y578" s="96"/>
      <c r="Z578" s="96"/>
      <c r="AA578" s="96"/>
    </row>
    <row r="579" spans="1:27" ht="15.75" customHeight="1">
      <c r="A579" s="96"/>
      <c r="B579" s="96"/>
      <c r="C579" s="96"/>
      <c r="D579" s="96"/>
      <c r="E579" s="96"/>
      <c r="F579" s="96"/>
      <c r="G579" s="96"/>
      <c r="H579" s="96"/>
      <c r="I579" s="96"/>
      <c r="J579" s="96"/>
      <c r="K579" s="96"/>
      <c r="L579" s="96"/>
      <c r="M579" s="96"/>
      <c r="N579" s="96"/>
      <c r="O579" s="96"/>
      <c r="P579" s="96"/>
      <c r="Q579" s="96"/>
      <c r="R579" s="96"/>
      <c r="S579" s="96"/>
      <c r="T579" s="96"/>
      <c r="U579" s="96"/>
      <c r="V579" s="96"/>
      <c r="W579" s="96"/>
      <c r="X579" s="96"/>
      <c r="Y579" s="96"/>
      <c r="Z579" s="96"/>
      <c r="AA579" s="96"/>
    </row>
    <row r="580" spans="1:27" ht="15.75" customHeight="1">
      <c r="A580" s="96"/>
      <c r="B580" s="96"/>
      <c r="C580" s="96"/>
      <c r="D580" s="96"/>
      <c r="E580" s="96"/>
      <c r="F580" s="96"/>
      <c r="G580" s="96"/>
      <c r="H580" s="96"/>
      <c r="I580" s="96"/>
      <c r="J580" s="96"/>
      <c r="K580" s="96"/>
      <c r="L580" s="96"/>
      <c r="M580" s="96"/>
      <c r="N580" s="96"/>
      <c r="O580" s="96"/>
      <c r="P580" s="96"/>
      <c r="Q580" s="96"/>
      <c r="R580" s="96"/>
      <c r="S580" s="96"/>
      <c r="T580" s="96"/>
      <c r="U580" s="96"/>
      <c r="V580" s="96"/>
      <c r="W580" s="96"/>
      <c r="X580" s="96"/>
      <c r="Y580" s="96"/>
      <c r="Z580" s="96"/>
      <c r="AA580" s="96"/>
    </row>
    <row r="581" spans="1:27" ht="15.75" customHeight="1">
      <c r="A581" s="96"/>
      <c r="B581" s="96"/>
      <c r="C581" s="96"/>
      <c r="D581" s="96"/>
      <c r="E581" s="96"/>
      <c r="F581" s="96"/>
      <c r="G581" s="96"/>
      <c r="H581" s="96"/>
      <c r="I581" s="96"/>
      <c r="J581" s="96"/>
      <c r="K581" s="96"/>
      <c r="L581" s="96"/>
      <c r="M581" s="96"/>
      <c r="N581" s="96"/>
      <c r="O581" s="96"/>
      <c r="P581" s="96"/>
      <c r="Q581" s="96"/>
      <c r="R581" s="96"/>
      <c r="S581" s="96"/>
      <c r="T581" s="96"/>
      <c r="U581" s="96"/>
      <c r="V581" s="96"/>
      <c r="W581" s="96"/>
      <c r="X581" s="96"/>
      <c r="Y581" s="96"/>
      <c r="Z581" s="96"/>
      <c r="AA581" s="96"/>
    </row>
    <row r="582" spans="1:27" ht="15.75" customHeight="1">
      <c r="A582" s="96"/>
      <c r="B582" s="96"/>
      <c r="C582" s="96"/>
      <c r="D582" s="96"/>
      <c r="E582" s="96"/>
      <c r="F582" s="96"/>
      <c r="G582" s="96"/>
      <c r="H582" s="96"/>
      <c r="I582" s="96"/>
      <c r="J582" s="96"/>
      <c r="K582" s="96"/>
      <c r="L582" s="96"/>
      <c r="M582" s="96"/>
      <c r="N582" s="96"/>
      <c r="O582" s="96"/>
      <c r="P582" s="96"/>
      <c r="Q582" s="96"/>
      <c r="R582" s="96"/>
      <c r="S582" s="96"/>
      <c r="T582" s="96"/>
      <c r="U582" s="96"/>
      <c r="V582" s="96"/>
      <c r="W582" s="96"/>
      <c r="X582" s="96"/>
      <c r="Y582" s="96"/>
      <c r="Z582" s="96"/>
      <c r="AA582" s="96"/>
    </row>
    <row r="583" spans="1:27" ht="15.75" customHeight="1">
      <c r="A583" s="96"/>
      <c r="B583" s="96"/>
      <c r="C583" s="96"/>
      <c r="D583" s="96"/>
      <c r="E583" s="96"/>
      <c r="F583" s="96"/>
      <c r="G583" s="96"/>
      <c r="H583" s="96"/>
      <c r="I583" s="96"/>
      <c r="J583" s="96"/>
      <c r="K583" s="96"/>
      <c r="L583" s="96"/>
      <c r="M583" s="96"/>
      <c r="N583" s="96"/>
      <c r="O583" s="96"/>
      <c r="P583" s="96"/>
      <c r="Q583" s="96"/>
      <c r="R583" s="96"/>
      <c r="S583" s="96"/>
      <c r="T583" s="96"/>
      <c r="U583" s="96"/>
      <c r="V583" s="96"/>
      <c r="W583" s="96"/>
      <c r="X583" s="96"/>
      <c r="Y583" s="96"/>
      <c r="Z583" s="96"/>
      <c r="AA583" s="96"/>
    </row>
    <row r="584" spans="1:27" ht="15.75" customHeight="1">
      <c r="A584" s="96"/>
      <c r="B584" s="96"/>
      <c r="C584" s="96"/>
      <c r="D584" s="96"/>
      <c r="E584" s="96"/>
      <c r="F584" s="96"/>
      <c r="G584" s="96"/>
      <c r="H584" s="96"/>
      <c r="I584" s="96"/>
      <c r="J584" s="96"/>
      <c r="K584" s="96"/>
      <c r="L584" s="96"/>
      <c r="M584" s="96"/>
      <c r="N584" s="96"/>
      <c r="O584" s="96"/>
      <c r="P584" s="96"/>
      <c r="Q584" s="96"/>
      <c r="R584" s="96"/>
      <c r="S584" s="96"/>
      <c r="T584" s="96"/>
      <c r="U584" s="96"/>
      <c r="V584" s="96"/>
      <c r="W584" s="96"/>
      <c r="X584" s="96"/>
      <c r="Y584" s="96"/>
      <c r="Z584" s="96"/>
      <c r="AA584" s="96"/>
    </row>
    <row r="585" spans="1:27" ht="15.75" customHeight="1">
      <c r="A585" s="96"/>
      <c r="B585" s="96"/>
      <c r="C585" s="96"/>
      <c r="D585" s="96"/>
      <c r="E585" s="96"/>
      <c r="F585" s="96"/>
      <c r="G585" s="96"/>
      <c r="H585" s="96"/>
      <c r="I585" s="96"/>
      <c r="J585" s="96"/>
      <c r="K585" s="96"/>
      <c r="L585" s="96"/>
      <c r="M585" s="96"/>
      <c r="N585" s="96"/>
      <c r="O585" s="96"/>
      <c r="P585" s="96"/>
      <c r="Q585" s="96"/>
      <c r="R585" s="96"/>
      <c r="S585" s="96"/>
      <c r="T585" s="96"/>
      <c r="U585" s="96"/>
      <c r="V585" s="96"/>
      <c r="W585" s="96"/>
      <c r="X585" s="96"/>
      <c r="Y585" s="96"/>
      <c r="Z585" s="96"/>
      <c r="AA585" s="96"/>
    </row>
    <row r="586" spans="1:27" ht="15.75" customHeight="1">
      <c r="A586" s="96"/>
      <c r="B586" s="96"/>
      <c r="C586" s="96"/>
      <c r="D586" s="96"/>
      <c r="E586" s="96"/>
      <c r="F586" s="96"/>
      <c r="G586" s="96"/>
      <c r="H586" s="96"/>
      <c r="I586" s="96"/>
      <c r="J586" s="96"/>
      <c r="K586" s="96"/>
      <c r="L586" s="96"/>
      <c r="M586" s="96"/>
      <c r="N586" s="96"/>
      <c r="O586" s="96"/>
      <c r="P586" s="96"/>
      <c r="Q586" s="96"/>
      <c r="R586" s="96"/>
      <c r="S586" s="96"/>
      <c r="T586" s="96"/>
      <c r="U586" s="96"/>
      <c r="V586" s="96"/>
      <c r="W586" s="96"/>
      <c r="X586" s="96"/>
      <c r="Y586" s="96"/>
      <c r="Z586" s="96"/>
      <c r="AA586" s="96"/>
    </row>
    <row r="587" spans="1:27" ht="15.75" customHeight="1">
      <c r="A587" s="96"/>
      <c r="B587" s="96"/>
      <c r="C587" s="96"/>
      <c r="D587" s="96"/>
      <c r="E587" s="96"/>
      <c r="F587" s="96"/>
      <c r="G587" s="96"/>
      <c r="H587" s="96"/>
      <c r="I587" s="96"/>
      <c r="J587" s="96"/>
      <c r="K587" s="96"/>
      <c r="L587" s="96"/>
      <c r="M587" s="96"/>
      <c r="N587" s="96"/>
      <c r="O587" s="96"/>
      <c r="P587" s="96"/>
      <c r="Q587" s="96"/>
      <c r="R587" s="96"/>
      <c r="S587" s="96"/>
      <c r="T587" s="96"/>
      <c r="U587" s="96"/>
      <c r="V587" s="96"/>
      <c r="W587" s="96"/>
      <c r="X587" s="96"/>
      <c r="Y587" s="96"/>
      <c r="Z587" s="96"/>
      <c r="AA587" s="96"/>
    </row>
    <row r="588" spans="1:27" ht="15.75" customHeight="1">
      <c r="A588" s="96"/>
      <c r="B588" s="96"/>
      <c r="C588" s="96"/>
      <c r="D588" s="96"/>
      <c r="E588" s="96"/>
      <c r="F588" s="96"/>
      <c r="G588" s="96"/>
      <c r="H588" s="96"/>
      <c r="I588" s="96"/>
      <c r="J588" s="96"/>
      <c r="K588" s="96"/>
      <c r="L588" s="96"/>
      <c r="M588" s="96"/>
      <c r="N588" s="96"/>
      <c r="O588" s="96"/>
      <c r="P588" s="96"/>
      <c r="Q588" s="96"/>
      <c r="R588" s="96"/>
      <c r="S588" s="96"/>
      <c r="T588" s="96"/>
      <c r="U588" s="96"/>
      <c r="V588" s="96"/>
      <c r="W588" s="96"/>
      <c r="X588" s="96"/>
      <c r="Y588" s="96"/>
      <c r="Z588" s="96"/>
      <c r="AA588" s="96"/>
    </row>
    <row r="589" spans="1:27" ht="15.75" customHeight="1">
      <c r="A589" s="96"/>
      <c r="B589" s="96"/>
      <c r="C589" s="96"/>
      <c r="D589" s="96"/>
      <c r="E589" s="96"/>
      <c r="F589" s="96"/>
      <c r="G589" s="96"/>
      <c r="H589" s="96"/>
      <c r="I589" s="96"/>
      <c r="J589" s="96"/>
      <c r="K589" s="96"/>
      <c r="L589" s="96"/>
      <c r="M589" s="96"/>
      <c r="N589" s="96"/>
      <c r="O589" s="96"/>
      <c r="P589" s="96"/>
      <c r="Q589" s="96"/>
      <c r="R589" s="96"/>
      <c r="S589" s="96"/>
      <c r="T589" s="96"/>
      <c r="U589" s="96"/>
      <c r="V589" s="96"/>
      <c r="W589" s="96"/>
      <c r="X589" s="96"/>
      <c r="Y589" s="96"/>
      <c r="Z589" s="96"/>
      <c r="AA589" s="96"/>
    </row>
    <row r="590" spans="1:27" ht="15.75" customHeight="1">
      <c r="A590" s="96"/>
      <c r="B590" s="96"/>
      <c r="C590" s="96"/>
      <c r="D590" s="96"/>
      <c r="E590" s="96"/>
      <c r="F590" s="96"/>
      <c r="G590" s="96"/>
      <c r="H590" s="96"/>
      <c r="I590" s="96"/>
      <c r="J590" s="96"/>
      <c r="K590" s="96"/>
      <c r="L590" s="96"/>
      <c r="M590" s="96"/>
      <c r="N590" s="96"/>
      <c r="O590" s="96"/>
      <c r="P590" s="96"/>
      <c r="Q590" s="96"/>
      <c r="R590" s="96"/>
      <c r="S590" s="96"/>
      <c r="T590" s="96"/>
      <c r="U590" s="96"/>
      <c r="V590" s="96"/>
      <c r="W590" s="96"/>
      <c r="X590" s="96"/>
      <c r="Y590" s="96"/>
      <c r="Z590" s="96"/>
      <c r="AA590" s="96"/>
    </row>
    <row r="591" spans="1:27" ht="15.75" customHeight="1">
      <c r="A591" s="96"/>
      <c r="B591" s="96"/>
      <c r="C591" s="96"/>
      <c r="D591" s="96"/>
      <c r="E591" s="96"/>
      <c r="F591" s="96"/>
      <c r="G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  <c r="Z591" s="96"/>
      <c r="AA591" s="96"/>
    </row>
    <row r="592" spans="1:27" ht="15.75" customHeight="1">
      <c r="A592" s="96"/>
      <c r="B592" s="96"/>
      <c r="C592" s="96"/>
      <c r="D592" s="96"/>
      <c r="E592" s="96"/>
      <c r="F592" s="96"/>
      <c r="G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  <c r="X592" s="96"/>
      <c r="Y592" s="96"/>
      <c r="Z592" s="96"/>
      <c r="AA592" s="96"/>
    </row>
    <row r="593" spans="1:27" ht="15.75" customHeight="1">
      <c r="A593" s="96"/>
      <c r="B593" s="96"/>
      <c r="C593" s="96"/>
      <c r="D593" s="96"/>
      <c r="E593" s="96"/>
      <c r="F593" s="96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96"/>
      <c r="Y593" s="96"/>
      <c r="Z593" s="96"/>
      <c r="AA593" s="96"/>
    </row>
    <row r="594" spans="1:27" ht="15.75" customHeight="1">
      <c r="A594" s="96"/>
      <c r="B594" s="96"/>
      <c r="C594" s="96"/>
      <c r="D594" s="96"/>
      <c r="E594" s="96"/>
      <c r="F594" s="96"/>
      <c r="G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  <c r="Z594" s="96"/>
      <c r="AA594" s="96"/>
    </row>
    <row r="595" spans="1:27" ht="15.75" customHeight="1">
      <c r="A595" s="96"/>
      <c r="B595" s="96"/>
      <c r="C595" s="96"/>
      <c r="D595" s="96"/>
      <c r="E595" s="96"/>
      <c r="F595" s="96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96"/>
      <c r="Y595" s="96"/>
      <c r="Z595" s="96"/>
      <c r="AA595" s="96"/>
    </row>
    <row r="596" spans="1:27" ht="15.75" customHeight="1">
      <c r="A596" s="96"/>
      <c r="B596" s="96"/>
      <c r="C596" s="96"/>
      <c r="D596" s="96"/>
      <c r="E596" s="96"/>
      <c r="F596" s="96"/>
      <c r="G596" s="96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  <c r="V596" s="96"/>
      <c r="W596" s="96"/>
      <c r="X596" s="96"/>
      <c r="Y596" s="96"/>
      <c r="Z596" s="96"/>
      <c r="AA596" s="96"/>
    </row>
    <row r="597" spans="1:27" ht="15.75" customHeight="1">
      <c r="A597" s="96"/>
      <c r="B597" s="96"/>
      <c r="C597" s="96"/>
      <c r="D597" s="96"/>
      <c r="E597" s="96"/>
      <c r="F597" s="96"/>
      <c r="G597" s="96"/>
      <c r="H597" s="96"/>
      <c r="I597" s="96"/>
      <c r="J597" s="96"/>
      <c r="K597" s="96"/>
      <c r="L597" s="96"/>
      <c r="M597" s="96"/>
      <c r="N597" s="96"/>
      <c r="O597" s="96"/>
      <c r="P597" s="96"/>
      <c r="Q597" s="96"/>
      <c r="R597" s="96"/>
      <c r="S597" s="96"/>
      <c r="T597" s="96"/>
      <c r="U597" s="96"/>
      <c r="V597" s="96"/>
      <c r="W597" s="96"/>
      <c r="X597" s="96"/>
      <c r="Y597" s="96"/>
      <c r="Z597" s="96"/>
      <c r="AA597" s="96"/>
    </row>
    <row r="598" spans="1:27" ht="15.75" customHeight="1">
      <c r="A598" s="96"/>
      <c r="B598" s="96"/>
      <c r="C598" s="96"/>
      <c r="D598" s="96"/>
      <c r="E598" s="96"/>
      <c r="F598" s="96"/>
      <c r="G598" s="96"/>
      <c r="H598" s="96"/>
      <c r="I598" s="96"/>
      <c r="J598" s="96"/>
      <c r="K598" s="96"/>
      <c r="L598" s="96"/>
      <c r="M598" s="96"/>
      <c r="N598" s="96"/>
      <c r="O598" s="96"/>
      <c r="P598" s="96"/>
      <c r="Q598" s="96"/>
      <c r="R598" s="96"/>
      <c r="S598" s="96"/>
      <c r="T598" s="96"/>
      <c r="U598" s="96"/>
      <c r="V598" s="96"/>
      <c r="W598" s="96"/>
      <c r="X598" s="96"/>
      <c r="Y598" s="96"/>
      <c r="Z598" s="96"/>
      <c r="AA598" s="96"/>
    </row>
    <row r="599" spans="1:27" ht="15.75" customHeight="1">
      <c r="A599" s="96"/>
      <c r="B599" s="96"/>
      <c r="C599" s="96"/>
      <c r="D599" s="96"/>
      <c r="E599" s="96"/>
      <c r="F599" s="96"/>
      <c r="G599" s="96"/>
      <c r="H599" s="96"/>
      <c r="I599" s="96"/>
      <c r="J599" s="96"/>
      <c r="K599" s="96"/>
      <c r="L599" s="96"/>
      <c r="M599" s="96"/>
      <c r="N599" s="96"/>
      <c r="O599" s="96"/>
      <c r="P599" s="96"/>
      <c r="Q599" s="96"/>
      <c r="R599" s="96"/>
      <c r="S599" s="96"/>
      <c r="T599" s="96"/>
      <c r="U599" s="96"/>
      <c r="V599" s="96"/>
      <c r="W599" s="96"/>
      <c r="X599" s="96"/>
      <c r="Y599" s="96"/>
      <c r="Z599" s="96"/>
      <c r="AA599" s="96"/>
    </row>
    <row r="600" spans="1:27" ht="15.75" customHeight="1">
      <c r="A600" s="96"/>
      <c r="B600" s="96"/>
      <c r="C600" s="96"/>
      <c r="D600" s="96"/>
      <c r="E600" s="96"/>
      <c r="F600" s="96"/>
      <c r="G600" s="96"/>
      <c r="H600" s="96"/>
      <c r="I600" s="96"/>
      <c r="J600" s="96"/>
      <c r="K600" s="96"/>
      <c r="L600" s="96"/>
      <c r="M600" s="96"/>
      <c r="N600" s="96"/>
      <c r="O600" s="96"/>
      <c r="P600" s="96"/>
      <c r="Q600" s="96"/>
      <c r="R600" s="96"/>
      <c r="S600" s="96"/>
      <c r="T600" s="96"/>
      <c r="U600" s="96"/>
      <c r="V600" s="96"/>
      <c r="W600" s="96"/>
      <c r="X600" s="96"/>
      <c r="Y600" s="96"/>
      <c r="Z600" s="96"/>
      <c r="AA600" s="96"/>
    </row>
    <row r="601" spans="1:27" ht="15.75" customHeight="1">
      <c r="A601" s="96"/>
      <c r="B601" s="96"/>
      <c r="C601" s="96"/>
      <c r="D601" s="96"/>
      <c r="E601" s="96"/>
      <c r="F601" s="96"/>
      <c r="G601" s="96"/>
      <c r="H601" s="96"/>
      <c r="I601" s="96"/>
      <c r="J601" s="96"/>
      <c r="K601" s="96"/>
      <c r="L601" s="96"/>
      <c r="M601" s="96"/>
      <c r="N601" s="96"/>
      <c r="O601" s="96"/>
      <c r="P601" s="96"/>
      <c r="Q601" s="96"/>
      <c r="R601" s="96"/>
      <c r="S601" s="96"/>
      <c r="T601" s="96"/>
      <c r="U601" s="96"/>
      <c r="V601" s="96"/>
      <c r="W601" s="96"/>
      <c r="X601" s="96"/>
      <c r="Y601" s="96"/>
      <c r="Z601" s="96"/>
      <c r="AA601" s="96"/>
    </row>
    <row r="602" spans="1:27" ht="15.75" customHeight="1">
      <c r="A602" s="96"/>
      <c r="B602" s="96"/>
      <c r="C602" s="96"/>
      <c r="D602" s="96"/>
      <c r="E602" s="96"/>
      <c r="F602" s="96"/>
      <c r="G602" s="96"/>
      <c r="H602" s="96"/>
      <c r="I602" s="96"/>
      <c r="J602" s="96"/>
      <c r="K602" s="96"/>
      <c r="L602" s="96"/>
      <c r="M602" s="96"/>
      <c r="N602" s="96"/>
      <c r="O602" s="96"/>
      <c r="P602" s="96"/>
      <c r="Q602" s="96"/>
      <c r="R602" s="96"/>
      <c r="S602" s="96"/>
      <c r="T602" s="96"/>
      <c r="U602" s="96"/>
      <c r="V602" s="96"/>
      <c r="W602" s="96"/>
      <c r="X602" s="96"/>
      <c r="Y602" s="96"/>
      <c r="Z602" s="96"/>
      <c r="AA602" s="96"/>
    </row>
    <row r="603" spans="1:27" ht="15.75" customHeight="1">
      <c r="A603" s="96"/>
      <c r="B603" s="96"/>
      <c r="C603" s="96"/>
      <c r="D603" s="96"/>
      <c r="E603" s="96"/>
      <c r="F603" s="96"/>
      <c r="G603" s="96"/>
      <c r="H603" s="96"/>
      <c r="I603" s="96"/>
      <c r="J603" s="96"/>
      <c r="K603" s="96"/>
      <c r="L603" s="96"/>
      <c r="M603" s="96"/>
      <c r="N603" s="96"/>
      <c r="O603" s="96"/>
      <c r="P603" s="96"/>
      <c r="Q603" s="96"/>
      <c r="R603" s="96"/>
      <c r="S603" s="96"/>
      <c r="T603" s="96"/>
      <c r="U603" s="96"/>
      <c r="V603" s="96"/>
      <c r="W603" s="96"/>
      <c r="X603" s="96"/>
      <c r="Y603" s="96"/>
      <c r="Z603" s="96"/>
      <c r="AA603" s="96"/>
    </row>
    <row r="604" spans="1:27" ht="15.75" customHeight="1">
      <c r="A604" s="96"/>
      <c r="B604" s="96"/>
      <c r="C604" s="96"/>
      <c r="D604" s="96"/>
      <c r="E604" s="96"/>
      <c r="F604" s="96"/>
      <c r="G604" s="96"/>
      <c r="H604" s="96"/>
      <c r="I604" s="96"/>
      <c r="J604" s="96"/>
      <c r="K604" s="96"/>
      <c r="L604" s="96"/>
      <c r="M604" s="96"/>
      <c r="N604" s="96"/>
      <c r="O604" s="96"/>
      <c r="P604" s="96"/>
      <c r="Q604" s="96"/>
      <c r="R604" s="96"/>
      <c r="S604" s="96"/>
      <c r="T604" s="96"/>
      <c r="U604" s="96"/>
      <c r="V604" s="96"/>
      <c r="W604" s="96"/>
      <c r="X604" s="96"/>
      <c r="Y604" s="96"/>
      <c r="Z604" s="96"/>
      <c r="AA604" s="96"/>
    </row>
    <row r="605" spans="1:27" ht="15.75" customHeight="1">
      <c r="A605" s="96"/>
      <c r="B605" s="96"/>
      <c r="C605" s="96"/>
      <c r="D605" s="96"/>
      <c r="E605" s="96"/>
      <c r="F605" s="96"/>
      <c r="G605" s="96"/>
      <c r="H605" s="96"/>
      <c r="I605" s="96"/>
      <c r="J605" s="96"/>
      <c r="K605" s="96"/>
      <c r="L605" s="96"/>
      <c r="M605" s="96"/>
      <c r="N605" s="96"/>
      <c r="O605" s="96"/>
      <c r="P605" s="96"/>
      <c r="Q605" s="96"/>
      <c r="R605" s="96"/>
      <c r="S605" s="96"/>
      <c r="T605" s="96"/>
      <c r="U605" s="96"/>
      <c r="V605" s="96"/>
      <c r="W605" s="96"/>
      <c r="X605" s="96"/>
      <c r="Y605" s="96"/>
      <c r="Z605" s="96"/>
      <c r="AA605" s="96"/>
    </row>
    <row r="606" spans="1:27" ht="15.75" customHeight="1">
      <c r="A606" s="96"/>
      <c r="B606" s="96"/>
      <c r="C606" s="96"/>
      <c r="D606" s="96"/>
      <c r="E606" s="96"/>
      <c r="F606" s="96"/>
      <c r="G606" s="96"/>
      <c r="H606" s="96"/>
      <c r="I606" s="96"/>
      <c r="J606" s="96"/>
      <c r="K606" s="96"/>
      <c r="L606" s="96"/>
      <c r="M606" s="96"/>
      <c r="N606" s="96"/>
      <c r="O606" s="96"/>
      <c r="P606" s="96"/>
      <c r="Q606" s="96"/>
      <c r="R606" s="96"/>
      <c r="S606" s="96"/>
      <c r="T606" s="96"/>
      <c r="U606" s="96"/>
      <c r="V606" s="96"/>
      <c r="W606" s="96"/>
      <c r="X606" s="96"/>
      <c r="Y606" s="96"/>
      <c r="Z606" s="96"/>
      <c r="AA606" s="96"/>
    </row>
    <row r="607" spans="1:27" ht="15.75" customHeight="1">
      <c r="A607" s="96"/>
      <c r="B607" s="96"/>
      <c r="C607" s="96"/>
      <c r="D607" s="96"/>
      <c r="E607" s="96"/>
      <c r="F607" s="96"/>
      <c r="G607" s="96"/>
      <c r="H607" s="96"/>
      <c r="I607" s="96"/>
      <c r="J607" s="96"/>
      <c r="K607" s="96"/>
      <c r="L607" s="96"/>
      <c r="M607" s="96"/>
      <c r="N607" s="96"/>
      <c r="O607" s="96"/>
      <c r="P607" s="96"/>
      <c r="Q607" s="96"/>
      <c r="R607" s="96"/>
      <c r="S607" s="96"/>
      <c r="T607" s="96"/>
      <c r="U607" s="96"/>
      <c r="V607" s="96"/>
      <c r="W607" s="96"/>
      <c r="X607" s="96"/>
      <c r="Y607" s="96"/>
      <c r="Z607" s="96"/>
      <c r="AA607" s="96"/>
    </row>
    <row r="608" spans="1:27" ht="15.75" customHeight="1">
      <c r="A608" s="96"/>
      <c r="B608" s="96"/>
      <c r="C608" s="96"/>
      <c r="D608" s="96"/>
      <c r="E608" s="96"/>
      <c r="F608" s="96"/>
      <c r="G608" s="96"/>
      <c r="H608" s="96"/>
      <c r="I608" s="96"/>
      <c r="J608" s="96"/>
      <c r="K608" s="96"/>
      <c r="L608" s="96"/>
      <c r="M608" s="96"/>
      <c r="N608" s="96"/>
      <c r="O608" s="96"/>
      <c r="P608" s="96"/>
      <c r="Q608" s="96"/>
      <c r="R608" s="96"/>
      <c r="S608" s="96"/>
      <c r="T608" s="96"/>
      <c r="U608" s="96"/>
      <c r="V608" s="96"/>
      <c r="W608" s="96"/>
      <c r="X608" s="96"/>
      <c r="Y608" s="96"/>
      <c r="Z608" s="96"/>
      <c r="AA608" s="96"/>
    </row>
    <row r="609" spans="1:27" ht="15.75" customHeight="1">
      <c r="A609" s="96"/>
      <c r="B609" s="96"/>
      <c r="C609" s="96"/>
      <c r="D609" s="96"/>
      <c r="E609" s="96"/>
      <c r="F609" s="96"/>
      <c r="G609" s="96"/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  <c r="Z609" s="96"/>
      <c r="AA609" s="96"/>
    </row>
    <row r="610" spans="1:27" ht="15.75" customHeight="1">
      <c r="A610" s="96"/>
      <c r="B610" s="96"/>
      <c r="C610" s="96"/>
      <c r="D610" s="96"/>
      <c r="E610" s="96"/>
      <c r="F610" s="96"/>
      <c r="G610" s="96"/>
      <c r="H610" s="96"/>
      <c r="I610" s="96"/>
      <c r="J610" s="96"/>
      <c r="K610" s="96"/>
      <c r="L610" s="96"/>
      <c r="M610" s="96"/>
      <c r="N610" s="96"/>
      <c r="O610" s="96"/>
      <c r="P610" s="96"/>
      <c r="Q610" s="96"/>
      <c r="R610" s="96"/>
      <c r="S610" s="96"/>
      <c r="T610" s="96"/>
      <c r="U610" s="96"/>
      <c r="V610" s="96"/>
      <c r="W610" s="96"/>
      <c r="X610" s="96"/>
      <c r="Y610" s="96"/>
      <c r="Z610" s="96"/>
      <c r="AA610" s="96"/>
    </row>
    <row r="611" spans="1:27" ht="15.75" customHeight="1">
      <c r="A611" s="96"/>
      <c r="B611" s="96"/>
      <c r="C611" s="96"/>
      <c r="D611" s="96"/>
      <c r="E611" s="96"/>
      <c r="F611" s="96"/>
      <c r="G611" s="96"/>
      <c r="H611" s="96"/>
      <c r="I611" s="96"/>
      <c r="J611" s="96"/>
      <c r="K611" s="96"/>
      <c r="L611" s="96"/>
      <c r="M611" s="96"/>
      <c r="N611" s="96"/>
      <c r="O611" s="96"/>
      <c r="P611" s="96"/>
      <c r="Q611" s="96"/>
      <c r="R611" s="96"/>
      <c r="S611" s="96"/>
      <c r="T611" s="96"/>
      <c r="U611" s="96"/>
      <c r="V611" s="96"/>
      <c r="W611" s="96"/>
      <c r="X611" s="96"/>
      <c r="Y611" s="96"/>
      <c r="Z611" s="96"/>
      <c r="AA611" s="96"/>
    </row>
    <row r="612" spans="1:27" ht="15.75" customHeight="1">
      <c r="A612" s="96"/>
      <c r="B612" s="96"/>
      <c r="C612" s="96"/>
      <c r="D612" s="96"/>
      <c r="E612" s="96"/>
      <c r="F612" s="96"/>
      <c r="G612" s="96"/>
      <c r="H612" s="96"/>
      <c r="I612" s="96"/>
      <c r="J612" s="96"/>
      <c r="K612" s="96"/>
      <c r="L612" s="96"/>
      <c r="M612" s="96"/>
      <c r="N612" s="96"/>
      <c r="O612" s="96"/>
      <c r="P612" s="96"/>
      <c r="Q612" s="96"/>
      <c r="R612" s="96"/>
      <c r="S612" s="96"/>
      <c r="T612" s="96"/>
      <c r="U612" s="96"/>
      <c r="V612" s="96"/>
      <c r="W612" s="96"/>
      <c r="X612" s="96"/>
      <c r="Y612" s="96"/>
      <c r="Z612" s="96"/>
      <c r="AA612" s="96"/>
    </row>
    <row r="613" spans="1:27" ht="15.75" customHeight="1">
      <c r="A613" s="96"/>
      <c r="B613" s="96"/>
      <c r="C613" s="96"/>
      <c r="D613" s="96"/>
      <c r="E613" s="96"/>
      <c r="F613" s="96"/>
      <c r="G613" s="96"/>
      <c r="H613" s="96"/>
      <c r="I613" s="96"/>
      <c r="J613" s="96"/>
      <c r="K613" s="96"/>
      <c r="L613" s="96"/>
      <c r="M613" s="96"/>
      <c r="N613" s="96"/>
      <c r="O613" s="96"/>
      <c r="P613" s="96"/>
      <c r="Q613" s="96"/>
      <c r="R613" s="96"/>
      <c r="S613" s="96"/>
      <c r="T613" s="96"/>
      <c r="U613" s="96"/>
      <c r="V613" s="96"/>
      <c r="W613" s="96"/>
      <c r="X613" s="96"/>
      <c r="Y613" s="96"/>
      <c r="Z613" s="96"/>
      <c r="AA613" s="96"/>
    </row>
    <row r="614" spans="1:27" ht="15.75" customHeight="1">
      <c r="A614" s="96"/>
      <c r="B614" s="96"/>
      <c r="C614" s="96"/>
      <c r="D614" s="96"/>
      <c r="E614" s="96"/>
      <c r="F614" s="96"/>
      <c r="G614" s="96"/>
      <c r="H614" s="96"/>
      <c r="I614" s="96"/>
      <c r="J614" s="96"/>
      <c r="K614" s="96"/>
      <c r="L614" s="96"/>
      <c r="M614" s="96"/>
      <c r="N614" s="96"/>
      <c r="O614" s="96"/>
      <c r="P614" s="96"/>
      <c r="Q614" s="96"/>
      <c r="R614" s="96"/>
      <c r="S614" s="96"/>
      <c r="T614" s="96"/>
      <c r="U614" s="96"/>
      <c r="V614" s="96"/>
      <c r="W614" s="96"/>
      <c r="X614" s="96"/>
      <c r="Y614" s="96"/>
      <c r="Z614" s="96"/>
      <c r="AA614" s="96"/>
    </row>
    <row r="615" spans="1:27" ht="15.75" customHeight="1">
      <c r="A615" s="96"/>
      <c r="B615" s="96"/>
      <c r="C615" s="96"/>
      <c r="D615" s="96"/>
      <c r="E615" s="96"/>
      <c r="F615" s="96"/>
      <c r="G615" s="96"/>
      <c r="H615" s="96"/>
      <c r="I615" s="96"/>
      <c r="J615" s="96"/>
      <c r="K615" s="96"/>
      <c r="L615" s="96"/>
      <c r="M615" s="96"/>
      <c r="N615" s="96"/>
      <c r="O615" s="96"/>
      <c r="P615" s="96"/>
      <c r="Q615" s="96"/>
      <c r="R615" s="96"/>
      <c r="S615" s="96"/>
      <c r="T615" s="96"/>
      <c r="U615" s="96"/>
      <c r="V615" s="96"/>
      <c r="W615" s="96"/>
      <c r="X615" s="96"/>
      <c r="Y615" s="96"/>
      <c r="Z615" s="96"/>
      <c r="AA615" s="96"/>
    </row>
    <row r="616" spans="1:27" ht="15.75" customHeight="1">
      <c r="A616" s="96"/>
      <c r="B616" s="96"/>
      <c r="C616" s="96"/>
      <c r="D616" s="96"/>
      <c r="E616" s="96"/>
      <c r="F616" s="96"/>
      <c r="G616" s="96"/>
      <c r="H616" s="96"/>
      <c r="I616" s="96"/>
      <c r="J616" s="96"/>
      <c r="K616" s="96"/>
      <c r="L616" s="96"/>
      <c r="M616" s="96"/>
      <c r="N616" s="96"/>
      <c r="O616" s="96"/>
      <c r="P616" s="96"/>
      <c r="Q616" s="96"/>
      <c r="R616" s="96"/>
      <c r="S616" s="96"/>
      <c r="T616" s="96"/>
      <c r="U616" s="96"/>
      <c r="V616" s="96"/>
      <c r="W616" s="96"/>
      <c r="X616" s="96"/>
      <c r="Y616" s="96"/>
      <c r="Z616" s="96"/>
      <c r="AA616" s="96"/>
    </row>
    <row r="617" spans="1:27" ht="15.75" customHeight="1">
      <c r="A617" s="96"/>
      <c r="B617" s="96"/>
      <c r="C617" s="96"/>
      <c r="D617" s="96"/>
      <c r="E617" s="96"/>
      <c r="F617" s="96"/>
      <c r="G617" s="96"/>
      <c r="H617" s="96"/>
      <c r="I617" s="96"/>
      <c r="J617" s="96"/>
      <c r="K617" s="96"/>
      <c r="L617" s="96"/>
      <c r="M617" s="96"/>
      <c r="N617" s="96"/>
      <c r="O617" s="96"/>
      <c r="P617" s="96"/>
      <c r="Q617" s="96"/>
      <c r="R617" s="96"/>
      <c r="S617" s="96"/>
      <c r="T617" s="96"/>
      <c r="U617" s="96"/>
      <c r="V617" s="96"/>
      <c r="W617" s="96"/>
      <c r="X617" s="96"/>
      <c r="Y617" s="96"/>
      <c r="Z617" s="96"/>
      <c r="AA617" s="96"/>
    </row>
    <row r="618" spans="1:27" ht="15.75" customHeight="1">
      <c r="A618" s="96"/>
      <c r="B618" s="96"/>
      <c r="C618" s="96"/>
      <c r="D618" s="96"/>
      <c r="E618" s="96"/>
      <c r="F618" s="96"/>
      <c r="G618" s="96"/>
      <c r="H618" s="96"/>
      <c r="I618" s="96"/>
      <c r="J618" s="96"/>
      <c r="K618" s="96"/>
      <c r="L618" s="96"/>
      <c r="M618" s="96"/>
      <c r="N618" s="96"/>
      <c r="O618" s="96"/>
      <c r="P618" s="96"/>
      <c r="Q618" s="96"/>
      <c r="R618" s="96"/>
      <c r="S618" s="96"/>
      <c r="T618" s="96"/>
      <c r="U618" s="96"/>
      <c r="V618" s="96"/>
      <c r="W618" s="96"/>
      <c r="X618" s="96"/>
      <c r="Y618" s="96"/>
      <c r="Z618" s="96"/>
      <c r="AA618" s="96"/>
    </row>
    <row r="619" spans="1:27" ht="15.75" customHeight="1">
      <c r="A619" s="96"/>
      <c r="B619" s="96"/>
      <c r="C619" s="96"/>
      <c r="D619" s="96"/>
      <c r="E619" s="96"/>
      <c r="F619" s="96"/>
      <c r="G619" s="96"/>
      <c r="H619" s="96"/>
      <c r="I619" s="96"/>
      <c r="J619" s="96"/>
      <c r="K619" s="96"/>
      <c r="L619" s="96"/>
      <c r="M619" s="96"/>
      <c r="N619" s="96"/>
      <c r="O619" s="96"/>
      <c r="P619" s="96"/>
      <c r="Q619" s="96"/>
      <c r="R619" s="96"/>
      <c r="S619" s="96"/>
      <c r="T619" s="96"/>
      <c r="U619" s="96"/>
      <c r="V619" s="96"/>
      <c r="W619" s="96"/>
      <c r="X619" s="96"/>
      <c r="Y619" s="96"/>
      <c r="Z619" s="96"/>
      <c r="AA619" s="96"/>
    </row>
    <row r="620" spans="1:27" ht="15.75" customHeight="1">
      <c r="A620" s="96"/>
      <c r="B620" s="96"/>
      <c r="C620" s="96"/>
      <c r="D620" s="96"/>
      <c r="E620" s="96"/>
      <c r="F620" s="96"/>
      <c r="G620" s="96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96"/>
      <c r="S620" s="96"/>
      <c r="T620" s="96"/>
      <c r="U620" s="96"/>
      <c r="V620" s="96"/>
      <c r="W620" s="96"/>
      <c r="X620" s="96"/>
      <c r="Y620" s="96"/>
      <c r="Z620" s="96"/>
      <c r="AA620" s="96"/>
    </row>
    <row r="621" spans="1:27" ht="15.75" customHeight="1">
      <c r="A621" s="96"/>
      <c r="B621" s="96"/>
      <c r="C621" s="96"/>
      <c r="D621" s="96"/>
      <c r="E621" s="96"/>
      <c r="F621" s="96"/>
      <c r="G621" s="96"/>
      <c r="H621" s="96"/>
      <c r="I621" s="96"/>
      <c r="J621" s="96"/>
      <c r="K621" s="96"/>
      <c r="L621" s="96"/>
      <c r="M621" s="96"/>
      <c r="N621" s="96"/>
      <c r="O621" s="96"/>
      <c r="P621" s="96"/>
      <c r="Q621" s="96"/>
      <c r="R621" s="96"/>
      <c r="S621" s="96"/>
      <c r="T621" s="96"/>
      <c r="U621" s="96"/>
      <c r="V621" s="96"/>
      <c r="W621" s="96"/>
      <c r="X621" s="96"/>
      <c r="Y621" s="96"/>
      <c r="Z621" s="96"/>
      <c r="AA621" s="96"/>
    </row>
    <row r="622" spans="1:27" ht="15.75" customHeight="1">
      <c r="A622" s="96"/>
      <c r="B622" s="96"/>
      <c r="C622" s="96"/>
      <c r="D622" s="96"/>
      <c r="E622" s="96"/>
      <c r="F622" s="96"/>
      <c r="G622" s="96"/>
      <c r="H622" s="96"/>
      <c r="I622" s="96"/>
      <c r="J622" s="96"/>
      <c r="K622" s="96"/>
      <c r="L622" s="96"/>
      <c r="M622" s="96"/>
      <c r="N622" s="96"/>
      <c r="O622" s="96"/>
      <c r="P622" s="96"/>
      <c r="Q622" s="96"/>
      <c r="R622" s="96"/>
      <c r="S622" s="96"/>
      <c r="T622" s="96"/>
      <c r="U622" s="96"/>
      <c r="V622" s="96"/>
      <c r="W622" s="96"/>
      <c r="X622" s="96"/>
      <c r="Y622" s="96"/>
      <c r="Z622" s="96"/>
      <c r="AA622" s="96"/>
    </row>
    <row r="623" spans="1:27" ht="15.75" customHeight="1">
      <c r="A623" s="96"/>
      <c r="B623" s="96"/>
      <c r="C623" s="96"/>
      <c r="D623" s="96"/>
      <c r="E623" s="96"/>
      <c r="F623" s="96"/>
      <c r="G623" s="96"/>
      <c r="H623" s="96"/>
      <c r="I623" s="96"/>
      <c r="J623" s="96"/>
      <c r="K623" s="96"/>
      <c r="L623" s="96"/>
      <c r="M623" s="96"/>
      <c r="N623" s="96"/>
      <c r="O623" s="96"/>
      <c r="P623" s="96"/>
      <c r="Q623" s="96"/>
      <c r="R623" s="96"/>
      <c r="S623" s="96"/>
      <c r="T623" s="96"/>
      <c r="U623" s="96"/>
      <c r="V623" s="96"/>
      <c r="W623" s="96"/>
      <c r="X623" s="96"/>
      <c r="Y623" s="96"/>
      <c r="Z623" s="96"/>
      <c r="AA623" s="96"/>
    </row>
    <row r="624" spans="1:27" ht="15.75" customHeight="1">
      <c r="A624" s="96"/>
      <c r="B624" s="96"/>
      <c r="C624" s="96"/>
      <c r="D624" s="96"/>
      <c r="E624" s="96"/>
      <c r="F624" s="96"/>
      <c r="G624" s="96"/>
      <c r="H624" s="96"/>
      <c r="I624" s="96"/>
      <c r="J624" s="96"/>
      <c r="K624" s="96"/>
      <c r="L624" s="96"/>
      <c r="M624" s="96"/>
      <c r="N624" s="96"/>
      <c r="O624" s="96"/>
      <c r="P624" s="96"/>
      <c r="Q624" s="96"/>
      <c r="R624" s="96"/>
      <c r="S624" s="96"/>
      <c r="T624" s="96"/>
      <c r="U624" s="96"/>
      <c r="V624" s="96"/>
      <c r="W624" s="96"/>
      <c r="X624" s="96"/>
      <c r="Y624" s="96"/>
      <c r="Z624" s="96"/>
      <c r="AA624" s="96"/>
    </row>
    <row r="625" spans="1:27" ht="15.75" customHeight="1">
      <c r="A625" s="96"/>
      <c r="B625" s="96"/>
      <c r="C625" s="96"/>
      <c r="D625" s="96"/>
      <c r="E625" s="96"/>
      <c r="F625" s="96"/>
      <c r="G625" s="96"/>
      <c r="H625" s="96"/>
      <c r="I625" s="96"/>
      <c r="J625" s="96"/>
      <c r="K625" s="96"/>
      <c r="L625" s="96"/>
      <c r="M625" s="96"/>
      <c r="N625" s="96"/>
      <c r="O625" s="96"/>
      <c r="P625" s="96"/>
      <c r="Q625" s="96"/>
      <c r="R625" s="96"/>
      <c r="S625" s="96"/>
      <c r="T625" s="96"/>
      <c r="U625" s="96"/>
      <c r="V625" s="96"/>
      <c r="W625" s="96"/>
      <c r="X625" s="96"/>
      <c r="Y625" s="96"/>
      <c r="Z625" s="96"/>
      <c r="AA625" s="96"/>
    </row>
    <row r="626" spans="1:27" ht="15.75" customHeight="1">
      <c r="A626" s="96"/>
      <c r="B626" s="96"/>
      <c r="C626" s="96"/>
      <c r="D626" s="96"/>
      <c r="E626" s="96"/>
      <c r="F626" s="96"/>
      <c r="G626" s="96"/>
      <c r="H626" s="96"/>
      <c r="I626" s="96"/>
      <c r="J626" s="96"/>
      <c r="K626" s="96"/>
      <c r="L626" s="96"/>
      <c r="M626" s="96"/>
      <c r="N626" s="96"/>
      <c r="O626" s="96"/>
      <c r="P626" s="96"/>
      <c r="Q626" s="96"/>
      <c r="R626" s="96"/>
      <c r="S626" s="96"/>
      <c r="T626" s="96"/>
      <c r="U626" s="96"/>
      <c r="V626" s="96"/>
      <c r="W626" s="96"/>
      <c r="X626" s="96"/>
      <c r="Y626" s="96"/>
      <c r="Z626" s="96"/>
      <c r="AA626" s="96"/>
    </row>
    <row r="627" spans="1:27" ht="15.75" customHeight="1">
      <c r="A627" s="96"/>
      <c r="B627" s="96"/>
      <c r="C627" s="96"/>
      <c r="D627" s="96"/>
      <c r="E627" s="96"/>
      <c r="F627" s="96"/>
      <c r="G627" s="96"/>
      <c r="H627" s="96"/>
      <c r="I627" s="96"/>
      <c r="J627" s="96"/>
      <c r="K627" s="96"/>
      <c r="L627" s="96"/>
      <c r="M627" s="96"/>
      <c r="N627" s="96"/>
      <c r="O627" s="96"/>
      <c r="P627" s="96"/>
      <c r="Q627" s="96"/>
      <c r="R627" s="96"/>
      <c r="S627" s="96"/>
      <c r="T627" s="96"/>
      <c r="U627" s="96"/>
      <c r="V627" s="96"/>
      <c r="W627" s="96"/>
      <c r="X627" s="96"/>
      <c r="Y627" s="96"/>
      <c r="Z627" s="96"/>
      <c r="AA627" s="96"/>
    </row>
    <row r="628" spans="1:27" ht="15.75" customHeight="1">
      <c r="A628" s="96"/>
      <c r="B628" s="96"/>
      <c r="C628" s="96"/>
      <c r="D628" s="96"/>
      <c r="E628" s="96"/>
      <c r="F628" s="96"/>
      <c r="G628" s="96"/>
      <c r="H628" s="96"/>
      <c r="I628" s="96"/>
      <c r="J628" s="96"/>
      <c r="K628" s="96"/>
      <c r="L628" s="96"/>
      <c r="M628" s="96"/>
      <c r="N628" s="96"/>
      <c r="O628" s="96"/>
      <c r="P628" s="96"/>
      <c r="Q628" s="96"/>
      <c r="R628" s="96"/>
      <c r="S628" s="96"/>
      <c r="T628" s="96"/>
      <c r="U628" s="96"/>
      <c r="V628" s="96"/>
      <c r="W628" s="96"/>
      <c r="X628" s="96"/>
      <c r="Y628" s="96"/>
      <c r="Z628" s="96"/>
      <c r="AA628" s="96"/>
    </row>
    <row r="629" spans="1:27" ht="15.75" customHeight="1">
      <c r="A629" s="96"/>
      <c r="B629" s="96"/>
      <c r="C629" s="96"/>
      <c r="D629" s="96"/>
      <c r="E629" s="96"/>
      <c r="F629" s="96"/>
      <c r="G629" s="96"/>
      <c r="H629" s="96"/>
      <c r="I629" s="96"/>
      <c r="J629" s="96"/>
      <c r="K629" s="96"/>
      <c r="L629" s="96"/>
      <c r="M629" s="96"/>
      <c r="N629" s="96"/>
      <c r="O629" s="96"/>
      <c r="P629" s="96"/>
      <c r="Q629" s="96"/>
      <c r="R629" s="96"/>
      <c r="S629" s="96"/>
      <c r="T629" s="96"/>
      <c r="U629" s="96"/>
      <c r="V629" s="96"/>
      <c r="W629" s="96"/>
      <c r="X629" s="96"/>
      <c r="Y629" s="96"/>
      <c r="Z629" s="96"/>
      <c r="AA629" s="96"/>
    </row>
    <row r="630" spans="1:27" ht="15.75" customHeight="1">
      <c r="A630" s="96"/>
      <c r="B630" s="96"/>
      <c r="C630" s="96"/>
      <c r="D630" s="96"/>
      <c r="E630" s="96"/>
      <c r="F630" s="96"/>
      <c r="G630" s="96"/>
      <c r="H630" s="96"/>
      <c r="I630" s="96"/>
      <c r="J630" s="96"/>
      <c r="K630" s="96"/>
      <c r="L630" s="96"/>
      <c r="M630" s="96"/>
      <c r="N630" s="96"/>
      <c r="O630" s="96"/>
      <c r="P630" s="96"/>
      <c r="Q630" s="96"/>
      <c r="R630" s="96"/>
      <c r="S630" s="96"/>
      <c r="T630" s="96"/>
      <c r="U630" s="96"/>
      <c r="V630" s="96"/>
      <c r="W630" s="96"/>
      <c r="X630" s="96"/>
      <c r="Y630" s="96"/>
      <c r="Z630" s="96"/>
      <c r="AA630" s="96"/>
    </row>
    <row r="631" spans="1:27" ht="15.75" customHeight="1">
      <c r="A631" s="96"/>
      <c r="B631" s="96"/>
      <c r="C631" s="96"/>
      <c r="D631" s="96"/>
      <c r="E631" s="96"/>
      <c r="F631" s="96"/>
      <c r="G631" s="96"/>
      <c r="H631" s="96"/>
      <c r="I631" s="96"/>
      <c r="J631" s="96"/>
      <c r="K631" s="96"/>
      <c r="L631" s="96"/>
      <c r="M631" s="96"/>
      <c r="N631" s="96"/>
      <c r="O631" s="96"/>
      <c r="P631" s="96"/>
      <c r="Q631" s="96"/>
      <c r="R631" s="96"/>
      <c r="S631" s="96"/>
      <c r="T631" s="96"/>
      <c r="U631" s="96"/>
      <c r="V631" s="96"/>
      <c r="W631" s="96"/>
      <c r="X631" s="96"/>
      <c r="Y631" s="96"/>
      <c r="Z631" s="96"/>
      <c r="AA631" s="96"/>
    </row>
    <row r="632" spans="1:27" ht="15.75" customHeight="1">
      <c r="A632" s="96"/>
      <c r="B632" s="96"/>
      <c r="C632" s="96"/>
      <c r="D632" s="96"/>
      <c r="E632" s="96"/>
      <c r="F632" s="96"/>
      <c r="G632" s="96"/>
      <c r="H632" s="96"/>
      <c r="I632" s="96"/>
      <c r="J632" s="96"/>
      <c r="K632" s="96"/>
      <c r="L632" s="96"/>
      <c r="M632" s="96"/>
      <c r="N632" s="96"/>
      <c r="O632" s="96"/>
      <c r="P632" s="96"/>
      <c r="Q632" s="96"/>
      <c r="R632" s="96"/>
      <c r="S632" s="96"/>
      <c r="T632" s="96"/>
      <c r="U632" s="96"/>
      <c r="V632" s="96"/>
      <c r="W632" s="96"/>
      <c r="X632" s="96"/>
      <c r="Y632" s="96"/>
      <c r="Z632" s="96"/>
      <c r="AA632" s="96"/>
    </row>
    <row r="633" spans="1:27" ht="15.75" customHeight="1">
      <c r="A633" s="96"/>
      <c r="B633" s="96"/>
      <c r="C633" s="96"/>
      <c r="D633" s="96"/>
      <c r="E633" s="96"/>
      <c r="F633" s="96"/>
      <c r="G633" s="96"/>
      <c r="H633" s="96"/>
      <c r="I633" s="96"/>
      <c r="J633" s="96"/>
      <c r="K633" s="96"/>
      <c r="L633" s="96"/>
      <c r="M633" s="96"/>
      <c r="N633" s="96"/>
      <c r="O633" s="96"/>
      <c r="P633" s="96"/>
      <c r="Q633" s="96"/>
      <c r="R633" s="96"/>
      <c r="S633" s="96"/>
      <c r="T633" s="96"/>
      <c r="U633" s="96"/>
      <c r="V633" s="96"/>
      <c r="W633" s="96"/>
      <c r="X633" s="96"/>
      <c r="Y633" s="96"/>
      <c r="Z633" s="96"/>
      <c r="AA633" s="96"/>
    </row>
    <row r="634" spans="1:27" ht="15.75" customHeight="1">
      <c r="A634" s="96"/>
      <c r="B634" s="96"/>
      <c r="C634" s="96"/>
      <c r="D634" s="96"/>
      <c r="E634" s="96"/>
      <c r="F634" s="96"/>
      <c r="G634" s="96"/>
      <c r="H634" s="96"/>
      <c r="I634" s="96"/>
      <c r="J634" s="96"/>
      <c r="K634" s="96"/>
      <c r="L634" s="96"/>
      <c r="M634" s="96"/>
      <c r="N634" s="96"/>
      <c r="O634" s="96"/>
      <c r="P634" s="96"/>
      <c r="Q634" s="96"/>
      <c r="R634" s="96"/>
      <c r="S634" s="96"/>
      <c r="T634" s="96"/>
      <c r="U634" s="96"/>
      <c r="V634" s="96"/>
      <c r="W634" s="96"/>
      <c r="X634" s="96"/>
      <c r="Y634" s="96"/>
      <c r="Z634" s="96"/>
      <c r="AA634" s="96"/>
    </row>
    <row r="635" spans="1:27" ht="15.75" customHeight="1">
      <c r="A635" s="96"/>
      <c r="B635" s="96"/>
      <c r="C635" s="96"/>
      <c r="D635" s="96"/>
      <c r="E635" s="96"/>
      <c r="F635" s="96"/>
      <c r="G635" s="96"/>
      <c r="H635" s="96"/>
      <c r="I635" s="96"/>
      <c r="J635" s="96"/>
      <c r="K635" s="96"/>
      <c r="L635" s="96"/>
      <c r="M635" s="96"/>
      <c r="N635" s="96"/>
      <c r="O635" s="96"/>
      <c r="P635" s="96"/>
      <c r="Q635" s="96"/>
      <c r="R635" s="96"/>
      <c r="S635" s="96"/>
      <c r="T635" s="96"/>
      <c r="U635" s="96"/>
      <c r="V635" s="96"/>
      <c r="W635" s="96"/>
      <c r="X635" s="96"/>
      <c r="Y635" s="96"/>
      <c r="Z635" s="96"/>
      <c r="AA635" s="96"/>
    </row>
    <row r="636" spans="1:27" ht="15.75" customHeight="1">
      <c r="A636" s="96"/>
      <c r="B636" s="96"/>
      <c r="C636" s="96"/>
      <c r="D636" s="96"/>
      <c r="E636" s="96"/>
      <c r="F636" s="96"/>
      <c r="G636" s="96"/>
      <c r="H636" s="96"/>
      <c r="I636" s="96"/>
      <c r="J636" s="96"/>
      <c r="K636" s="96"/>
      <c r="L636" s="96"/>
      <c r="M636" s="96"/>
      <c r="N636" s="96"/>
      <c r="O636" s="96"/>
      <c r="P636" s="96"/>
      <c r="Q636" s="96"/>
      <c r="R636" s="96"/>
      <c r="S636" s="96"/>
      <c r="T636" s="96"/>
      <c r="U636" s="96"/>
      <c r="V636" s="96"/>
      <c r="W636" s="96"/>
      <c r="X636" s="96"/>
      <c r="Y636" s="96"/>
      <c r="Z636" s="96"/>
      <c r="AA636" s="96"/>
    </row>
    <row r="637" spans="1:27" ht="15.75" customHeight="1">
      <c r="A637" s="96"/>
      <c r="B637" s="96"/>
      <c r="C637" s="96"/>
      <c r="D637" s="96"/>
      <c r="E637" s="96"/>
      <c r="F637" s="96"/>
      <c r="G637" s="96"/>
      <c r="H637" s="96"/>
      <c r="I637" s="96"/>
      <c r="J637" s="96"/>
      <c r="K637" s="96"/>
      <c r="L637" s="96"/>
      <c r="M637" s="96"/>
      <c r="N637" s="96"/>
      <c r="O637" s="96"/>
      <c r="P637" s="96"/>
      <c r="Q637" s="96"/>
      <c r="R637" s="96"/>
      <c r="S637" s="96"/>
      <c r="T637" s="96"/>
      <c r="U637" s="96"/>
      <c r="V637" s="96"/>
      <c r="W637" s="96"/>
      <c r="X637" s="96"/>
      <c r="Y637" s="96"/>
      <c r="Z637" s="96"/>
      <c r="AA637" s="96"/>
    </row>
    <row r="638" spans="1:27" ht="15.75" customHeight="1">
      <c r="A638" s="96"/>
      <c r="B638" s="96"/>
      <c r="C638" s="96"/>
      <c r="D638" s="96"/>
      <c r="E638" s="96"/>
      <c r="F638" s="96"/>
      <c r="G638" s="96"/>
      <c r="H638" s="96"/>
      <c r="I638" s="96"/>
      <c r="J638" s="96"/>
      <c r="K638" s="96"/>
      <c r="L638" s="96"/>
      <c r="M638" s="96"/>
      <c r="N638" s="96"/>
      <c r="O638" s="96"/>
      <c r="P638" s="96"/>
      <c r="Q638" s="96"/>
      <c r="R638" s="96"/>
      <c r="S638" s="96"/>
      <c r="T638" s="96"/>
      <c r="U638" s="96"/>
      <c r="V638" s="96"/>
      <c r="W638" s="96"/>
      <c r="X638" s="96"/>
      <c r="Y638" s="96"/>
      <c r="Z638" s="96"/>
      <c r="AA638" s="96"/>
    </row>
    <row r="639" spans="1:27" ht="15.75" customHeight="1">
      <c r="A639" s="96"/>
      <c r="B639" s="96"/>
      <c r="C639" s="96"/>
      <c r="D639" s="96"/>
      <c r="E639" s="96"/>
      <c r="F639" s="96"/>
      <c r="G639" s="96"/>
      <c r="H639" s="96"/>
      <c r="I639" s="96"/>
      <c r="J639" s="96"/>
      <c r="K639" s="96"/>
      <c r="L639" s="96"/>
      <c r="M639" s="96"/>
      <c r="N639" s="96"/>
      <c r="O639" s="96"/>
      <c r="P639" s="96"/>
      <c r="Q639" s="96"/>
      <c r="R639" s="96"/>
      <c r="S639" s="96"/>
      <c r="T639" s="96"/>
      <c r="U639" s="96"/>
      <c r="V639" s="96"/>
      <c r="W639" s="96"/>
      <c r="X639" s="96"/>
      <c r="Y639" s="96"/>
      <c r="Z639" s="96"/>
      <c r="AA639" s="96"/>
    </row>
    <row r="640" spans="1:27" ht="15.75" customHeight="1">
      <c r="A640" s="96"/>
      <c r="B640" s="96"/>
      <c r="C640" s="96"/>
      <c r="D640" s="96"/>
      <c r="E640" s="96"/>
      <c r="F640" s="96"/>
      <c r="G640" s="96"/>
      <c r="H640" s="96"/>
      <c r="I640" s="96"/>
      <c r="J640" s="96"/>
      <c r="K640" s="96"/>
      <c r="L640" s="96"/>
      <c r="M640" s="96"/>
      <c r="N640" s="96"/>
      <c r="O640" s="96"/>
      <c r="P640" s="96"/>
      <c r="Q640" s="96"/>
      <c r="R640" s="96"/>
      <c r="S640" s="96"/>
      <c r="T640" s="96"/>
      <c r="U640" s="96"/>
      <c r="V640" s="96"/>
      <c r="W640" s="96"/>
      <c r="X640" s="96"/>
      <c r="Y640" s="96"/>
      <c r="Z640" s="96"/>
      <c r="AA640" s="96"/>
    </row>
    <row r="641" spans="1:27" ht="15.75" customHeight="1">
      <c r="A641" s="96"/>
      <c r="B641" s="96"/>
      <c r="C641" s="96"/>
      <c r="D641" s="96"/>
      <c r="E641" s="96"/>
      <c r="F641" s="96"/>
      <c r="G641" s="96"/>
      <c r="H641" s="96"/>
      <c r="I641" s="96"/>
      <c r="J641" s="96"/>
      <c r="K641" s="96"/>
      <c r="L641" s="96"/>
      <c r="M641" s="96"/>
      <c r="N641" s="96"/>
      <c r="O641" s="96"/>
      <c r="P641" s="96"/>
      <c r="Q641" s="96"/>
      <c r="R641" s="96"/>
      <c r="S641" s="96"/>
      <c r="T641" s="96"/>
      <c r="U641" s="96"/>
      <c r="V641" s="96"/>
      <c r="W641" s="96"/>
      <c r="X641" s="96"/>
      <c r="Y641" s="96"/>
      <c r="Z641" s="96"/>
      <c r="AA641" s="96"/>
    </row>
    <row r="642" spans="1:27" ht="15.75" customHeight="1">
      <c r="A642" s="96"/>
      <c r="B642" s="96"/>
      <c r="C642" s="96"/>
      <c r="D642" s="96"/>
      <c r="E642" s="96"/>
      <c r="F642" s="96"/>
      <c r="G642" s="96"/>
      <c r="H642" s="96"/>
      <c r="I642" s="96"/>
      <c r="J642" s="96"/>
      <c r="K642" s="96"/>
      <c r="L642" s="96"/>
      <c r="M642" s="96"/>
      <c r="N642" s="96"/>
      <c r="O642" s="96"/>
      <c r="P642" s="96"/>
      <c r="Q642" s="96"/>
      <c r="R642" s="96"/>
      <c r="S642" s="96"/>
      <c r="T642" s="96"/>
      <c r="U642" s="96"/>
      <c r="V642" s="96"/>
      <c r="W642" s="96"/>
      <c r="X642" s="96"/>
      <c r="Y642" s="96"/>
      <c r="Z642" s="96"/>
      <c r="AA642" s="96"/>
    </row>
    <row r="643" spans="1:27" ht="15.75" customHeight="1">
      <c r="A643" s="96"/>
      <c r="B643" s="96"/>
      <c r="C643" s="96"/>
      <c r="D643" s="96"/>
      <c r="E643" s="96"/>
      <c r="F643" s="96"/>
      <c r="G643" s="96"/>
      <c r="H643" s="96"/>
      <c r="I643" s="96"/>
      <c r="J643" s="96"/>
      <c r="K643" s="96"/>
      <c r="L643" s="96"/>
      <c r="M643" s="96"/>
      <c r="N643" s="96"/>
      <c r="O643" s="96"/>
      <c r="P643" s="96"/>
      <c r="Q643" s="96"/>
      <c r="R643" s="96"/>
      <c r="S643" s="96"/>
      <c r="T643" s="96"/>
      <c r="U643" s="96"/>
      <c r="V643" s="96"/>
      <c r="W643" s="96"/>
      <c r="X643" s="96"/>
      <c r="Y643" s="96"/>
      <c r="Z643" s="96"/>
      <c r="AA643" s="96"/>
    </row>
    <row r="644" spans="1:27" ht="15.75" customHeight="1">
      <c r="A644" s="96"/>
      <c r="B644" s="96"/>
      <c r="C644" s="96"/>
      <c r="D644" s="96"/>
      <c r="E644" s="96"/>
      <c r="F644" s="96"/>
      <c r="G644" s="96"/>
      <c r="H644" s="96"/>
      <c r="I644" s="96"/>
      <c r="J644" s="96"/>
      <c r="K644" s="96"/>
      <c r="L644" s="96"/>
      <c r="M644" s="96"/>
      <c r="N644" s="96"/>
      <c r="O644" s="96"/>
      <c r="P644" s="96"/>
      <c r="Q644" s="96"/>
      <c r="R644" s="96"/>
      <c r="S644" s="96"/>
      <c r="T644" s="96"/>
      <c r="U644" s="96"/>
      <c r="V644" s="96"/>
      <c r="W644" s="96"/>
      <c r="X644" s="96"/>
      <c r="Y644" s="96"/>
      <c r="Z644" s="96"/>
      <c r="AA644" s="96"/>
    </row>
    <row r="645" spans="1:27" ht="15.75" customHeight="1">
      <c r="A645" s="96"/>
      <c r="B645" s="96"/>
      <c r="C645" s="96"/>
      <c r="D645" s="96"/>
      <c r="E645" s="96"/>
      <c r="F645" s="96"/>
      <c r="G645" s="96"/>
      <c r="H645" s="96"/>
      <c r="I645" s="96"/>
      <c r="J645" s="96"/>
      <c r="K645" s="96"/>
      <c r="L645" s="96"/>
      <c r="M645" s="96"/>
      <c r="N645" s="96"/>
      <c r="O645" s="96"/>
      <c r="P645" s="96"/>
      <c r="Q645" s="96"/>
      <c r="R645" s="96"/>
      <c r="S645" s="96"/>
      <c r="T645" s="96"/>
      <c r="U645" s="96"/>
      <c r="V645" s="96"/>
      <c r="W645" s="96"/>
      <c r="X645" s="96"/>
      <c r="Y645" s="96"/>
      <c r="Z645" s="96"/>
      <c r="AA645" s="96"/>
    </row>
    <row r="646" spans="1:27" ht="15.75" customHeight="1">
      <c r="A646" s="96"/>
      <c r="B646" s="96"/>
      <c r="C646" s="96"/>
      <c r="D646" s="96"/>
      <c r="E646" s="96"/>
      <c r="F646" s="96"/>
      <c r="G646" s="96"/>
      <c r="H646" s="96"/>
      <c r="I646" s="96"/>
      <c r="J646" s="96"/>
      <c r="K646" s="96"/>
      <c r="L646" s="96"/>
      <c r="M646" s="96"/>
      <c r="N646" s="96"/>
      <c r="O646" s="96"/>
      <c r="P646" s="96"/>
      <c r="Q646" s="96"/>
      <c r="R646" s="96"/>
      <c r="S646" s="96"/>
      <c r="T646" s="96"/>
      <c r="U646" s="96"/>
      <c r="V646" s="96"/>
      <c r="W646" s="96"/>
      <c r="X646" s="96"/>
      <c r="Y646" s="96"/>
      <c r="Z646" s="96"/>
      <c r="AA646" s="96"/>
    </row>
    <row r="647" spans="1:27" ht="15.75" customHeight="1">
      <c r="A647" s="96"/>
      <c r="B647" s="96"/>
      <c r="C647" s="96"/>
      <c r="D647" s="96"/>
      <c r="E647" s="96"/>
      <c r="F647" s="96"/>
      <c r="G647" s="96"/>
      <c r="H647" s="96"/>
      <c r="I647" s="96"/>
      <c r="J647" s="96"/>
      <c r="K647" s="96"/>
      <c r="L647" s="96"/>
      <c r="M647" s="96"/>
      <c r="N647" s="96"/>
      <c r="O647" s="96"/>
      <c r="P647" s="96"/>
      <c r="Q647" s="96"/>
      <c r="R647" s="96"/>
      <c r="S647" s="96"/>
      <c r="T647" s="96"/>
      <c r="U647" s="96"/>
      <c r="V647" s="96"/>
      <c r="W647" s="96"/>
      <c r="X647" s="96"/>
      <c r="Y647" s="96"/>
      <c r="Z647" s="96"/>
      <c r="AA647" s="96"/>
    </row>
    <row r="648" spans="1:27" ht="15.75" customHeight="1">
      <c r="A648" s="96"/>
      <c r="B648" s="96"/>
      <c r="C648" s="96"/>
      <c r="D648" s="96"/>
      <c r="E648" s="96"/>
      <c r="F648" s="96"/>
      <c r="G648" s="96"/>
      <c r="H648" s="96"/>
      <c r="I648" s="96"/>
      <c r="J648" s="96"/>
      <c r="K648" s="96"/>
      <c r="L648" s="96"/>
      <c r="M648" s="96"/>
      <c r="N648" s="96"/>
      <c r="O648" s="96"/>
      <c r="P648" s="96"/>
      <c r="Q648" s="96"/>
      <c r="R648" s="96"/>
      <c r="S648" s="96"/>
      <c r="T648" s="96"/>
      <c r="U648" s="96"/>
      <c r="V648" s="96"/>
      <c r="W648" s="96"/>
      <c r="X648" s="96"/>
      <c r="Y648" s="96"/>
      <c r="Z648" s="96"/>
      <c r="AA648" s="96"/>
    </row>
    <row r="649" spans="1:27" ht="15.75" customHeight="1">
      <c r="A649" s="96"/>
      <c r="B649" s="96"/>
      <c r="C649" s="96"/>
      <c r="D649" s="96"/>
      <c r="E649" s="96"/>
      <c r="F649" s="96"/>
      <c r="G649" s="96"/>
      <c r="H649" s="96"/>
      <c r="I649" s="96"/>
      <c r="J649" s="96"/>
      <c r="K649" s="96"/>
      <c r="L649" s="96"/>
      <c r="M649" s="96"/>
      <c r="N649" s="96"/>
      <c r="O649" s="96"/>
      <c r="P649" s="96"/>
      <c r="Q649" s="96"/>
      <c r="R649" s="96"/>
      <c r="S649" s="96"/>
      <c r="T649" s="96"/>
      <c r="U649" s="96"/>
      <c r="V649" s="96"/>
      <c r="W649" s="96"/>
      <c r="X649" s="96"/>
      <c r="Y649" s="96"/>
      <c r="Z649" s="96"/>
      <c r="AA649" s="96"/>
    </row>
    <row r="650" spans="1:27" ht="15.75" customHeight="1">
      <c r="A650" s="96"/>
      <c r="B650" s="96"/>
      <c r="C650" s="96"/>
      <c r="D650" s="96"/>
      <c r="E650" s="96"/>
      <c r="F650" s="96"/>
      <c r="G650" s="96"/>
      <c r="H650" s="96"/>
      <c r="I650" s="96"/>
      <c r="J650" s="96"/>
      <c r="K650" s="96"/>
      <c r="L650" s="96"/>
      <c r="M650" s="96"/>
      <c r="N650" s="96"/>
      <c r="O650" s="96"/>
      <c r="P650" s="96"/>
      <c r="Q650" s="96"/>
      <c r="R650" s="96"/>
      <c r="S650" s="96"/>
      <c r="T650" s="96"/>
      <c r="U650" s="96"/>
      <c r="V650" s="96"/>
      <c r="W650" s="96"/>
      <c r="X650" s="96"/>
      <c r="Y650" s="96"/>
      <c r="Z650" s="96"/>
      <c r="AA650" s="96"/>
    </row>
    <row r="651" spans="1:27" ht="15.75" customHeight="1">
      <c r="A651" s="96"/>
      <c r="B651" s="96"/>
      <c r="C651" s="96"/>
      <c r="D651" s="96"/>
      <c r="E651" s="96"/>
      <c r="F651" s="96"/>
      <c r="G651" s="96"/>
      <c r="H651" s="96"/>
      <c r="I651" s="96"/>
      <c r="J651" s="96"/>
      <c r="K651" s="96"/>
      <c r="L651" s="96"/>
      <c r="M651" s="96"/>
      <c r="N651" s="96"/>
      <c r="O651" s="96"/>
      <c r="P651" s="96"/>
      <c r="Q651" s="96"/>
      <c r="R651" s="96"/>
      <c r="S651" s="96"/>
      <c r="T651" s="96"/>
      <c r="U651" s="96"/>
      <c r="V651" s="96"/>
      <c r="W651" s="96"/>
      <c r="X651" s="96"/>
      <c r="Y651" s="96"/>
      <c r="Z651" s="96"/>
      <c r="AA651" s="96"/>
    </row>
    <row r="652" spans="1:27" ht="15.75" customHeight="1">
      <c r="A652" s="96"/>
      <c r="B652" s="96"/>
      <c r="C652" s="96"/>
      <c r="D652" s="96"/>
      <c r="E652" s="96"/>
      <c r="F652" s="96"/>
      <c r="G652" s="96"/>
      <c r="H652" s="96"/>
      <c r="I652" s="96"/>
      <c r="J652" s="96"/>
      <c r="K652" s="96"/>
      <c r="L652" s="96"/>
      <c r="M652" s="96"/>
      <c r="N652" s="96"/>
      <c r="O652" s="96"/>
      <c r="P652" s="96"/>
      <c r="Q652" s="96"/>
      <c r="R652" s="96"/>
      <c r="S652" s="96"/>
      <c r="T652" s="96"/>
      <c r="U652" s="96"/>
      <c r="V652" s="96"/>
      <c r="W652" s="96"/>
      <c r="X652" s="96"/>
      <c r="Y652" s="96"/>
      <c r="Z652" s="96"/>
      <c r="AA652" s="96"/>
    </row>
    <row r="653" spans="1:27" ht="15.75" customHeight="1">
      <c r="A653" s="96"/>
      <c r="B653" s="96"/>
      <c r="C653" s="96"/>
      <c r="D653" s="96"/>
      <c r="E653" s="96"/>
      <c r="F653" s="96"/>
      <c r="G653" s="96"/>
      <c r="H653" s="96"/>
      <c r="I653" s="96"/>
      <c r="J653" s="96"/>
      <c r="K653" s="96"/>
      <c r="L653" s="96"/>
      <c r="M653" s="96"/>
      <c r="N653" s="96"/>
      <c r="O653" s="96"/>
      <c r="P653" s="96"/>
      <c r="Q653" s="96"/>
      <c r="R653" s="96"/>
      <c r="S653" s="96"/>
      <c r="T653" s="96"/>
      <c r="U653" s="96"/>
      <c r="V653" s="96"/>
      <c r="W653" s="96"/>
      <c r="X653" s="96"/>
      <c r="Y653" s="96"/>
      <c r="Z653" s="96"/>
      <c r="AA653" s="96"/>
    </row>
    <row r="654" spans="1:27" ht="15.75" customHeight="1">
      <c r="A654" s="96"/>
      <c r="B654" s="96"/>
      <c r="C654" s="96"/>
      <c r="D654" s="96"/>
      <c r="E654" s="96"/>
      <c r="F654" s="96"/>
      <c r="G654" s="96"/>
      <c r="H654" s="96"/>
      <c r="I654" s="96"/>
      <c r="J654" s="96"/>
      <c r="K654" s="96"/>
      <c r="L654" s="96"/>
      <c r="M654" s="96"/>
      <c r="N654" s="96"/>
      <c r="O654" s="96"/>
      <c r="P654" s="96"/>
      <c r="Q654" s="96"/>
      <c r="R654" s="96"/>
      <c r="S654" s="96"/>
      <c r="T654" s="96"/>
      <c r="U654" s="96"/>
      <c r="V654" s="96"/>
      <c r="W654" s="96"/>
      <c r="X654" s="96"/>
      <c r="Y654" s="96"/>
      <c r="Z654" s="96"/>
      <c r="AA654" s="96"/>
    </row>
    <row r="655" spans="1:27" ht="15.75" customHeight="1">
      <c r="A655" s="96"/>
      <c r="B655" s="96"/>
      <c r="C655" s="96"/>
      <c r="D655" s="96"/>
      <c r="E655" s="96"/>
      <c r="F655" s="96"/>
      <c r="G655" s="96"/>
      <c r="H655" s="96"/>
      <c r="I655" s="96"/>
      <c r="J655" s="96"/>
      <c r="K655" s="96"/>
      <c r="L655" s="96"/>
      <c r="M655" s="96"/>
      <c r="N655" s="96"/>
      <c r="O655" s="96"/>
      <c r="P655" s="96"/>
      <c r="Q655" s="96"/>
      <c r="R655" s="96"/>
      <c r="S655" s="96"/>
      <c r="T655" s="96"/>
      <c r="U655" s="96"/>
      <c r="V655" s="96"/>
      <c r="W655" s="96"/>
      <c r="X655" s="96"/>
      <c r="Y655" s="96"/>
      <c r="Z655" s="96"/>
      <c r="AA655" s="96"/>
    </row>
    <row r="656" spans="1:27" ht="15.75" customHeight="1">
      <c r="A656" s="96"/>
      <c r="B656" s="96"/>
      <c r="C656" s="96"/>
      <c r="D656" s="96"/>
      <c r="E656" s="96"/>
      <c r="F656" s="96"/>
      <c r="G656" s="96"/>
      <c r="H656" s="96"/>
      <c r="I656" s="96"/>
      <c r="J656" s="96"/>
      <c r="K656" s="96"/>
      <c r="L656" s="96"/>
      <c r="M656" s="96"/>
      <c r="N656" s="96"/>
      <c r="O656" s="96"/>
      <c r="P656" s="96"/>
      <c r="Q656" s="96"/>
      <c r="R656" s="96"/>
      <c r="S656" s="96"/>
      <c r="T656" s="96"/>
      <c r="U656" s="96"/>
      <c r="V656" s="96"/>
      <c r="W656" s="96"/>
      <c r="X656" s="96"/>
      <c r="Y656" s="96"/>
      <c r="Z656" s="96"/>
      <c r="AA656" s="96"/>
    </row>
    <row r="657" spans="1:27" ht="15.75" customHeight="1">
      <c r="A657" s="96"/>
      <c r="B657" s="96"/>
      <c r="C657" s="96"/>
      <c r="D657" s="96"/>
      <c r="E657" s="96"/>
      <c r="F657" s="96"/>
      <c r="G657" s="96"/>
      <c r="H657" s="96"/>
      <c r="I657" s="96"/>
      <c r="J657" s="96"/>
      <c r="K657" s="96"/>
      <c r="L657" s="96"/>
      <c r="M657" s="96"/>
      <c r="N657" s="96"/>
      <c r="O657" s="96"/>
      <c r="P657" s="96"/>
      <c r="Q657" s="96"/>
      <c r="R657" s="96"/>
      <c r="S657" s="96"/>
      <c r="T657" s="96"/>
      <c r="U657" s="96"/>
      <c r="V657" s="96"/>
      <c r="W657" s="96"/>
      <c r="X657" s="96"/>
      <c r="Y657" s="96"/>
      <c r="Z657" s="96"/>
      <c r="AA657" s="96"/>
    </row>
    <row r="658" spans="1:27" ht="15.75" customHeight="1">
      <c r="A658" s="96"/>
      <c r="B658" s="96"/>
      <c r="C658" s="96"/>
      <c r="D658" s="96"/>
      <c r="E658" s="96"/>
      <c r="F658" s="96"/>
      <c r="G658" s="96"/>
      <c r="H658" s="96"/>
      <c r="I658" s="96"/>
      <c r="J658" s="96"/>
      <c r="K658" s="96"/>
      <c r="L658" s="96"/>
      <c r="M658" s="96"/>
      <c r="N658" s="96"/>
      <c r="O658" s="96"/>
      <c r="P658" s="96"/>
      <c r="Q658" s="96"/>
      <c r="R658" s="96"/>
      <c r="S658" s="96"/>
      <c r="T658" s="96"/>
      <c r="U658" s="96"/>
      <c r="V658" s="96"/>
      <c r="W658" s="96"/>
      <c r="X658" s="96"/>
      <c r="Y658" s="96"/>
      <c r="Z658" s="96"/>
      <c r="AA658" s="96"/>
    </row>
    <row r="659" spans="1:27" ht="15.75" customHeight="1">
      <c r="A659" s="96"/>
      <c r="B659" s="96"/>
      <c r="C659" s="96"/>
      <c r="D659" s="96"/>
      <c r="E659" s="96"/>
      <c r="F659" s="96"/>
      <c r="G659" s="96"/>
      <c r="H659" s="96"/>
      <c r="I659" s="96"/>
      <c r="J659" s="96"/>
      <c r="K659" s="96"/>
      <c r="L659" s="96"/>
      <c r="M659" s="96"/>
      <c r="N659" s="96"/>
      <c r="O659" s="96"/>
      <c r="P659" s="96"/>
      <c r="Q659" s="96"/>
      <c r="R659" s="96"/>
      <c r="S659" s="96"/>
      <c r="T659" s="96"/>
      <c r="U659" s="96"/>
      <c r="V659" s="96"/>
      <c r="W659" s="96"/>
      <c r="X659" s="96"/>
      <c r="Y659" s="96"/>
      <c r="Z659" s="96"/>
      <c r="AA659" s="96"/>
    </row>
    <row r="660" spans="1:27" ht="15.75" customHeight="1">
      <c r="A660" s="96"/>
      <c r="B660" s="96"/>
      <c r="C660" s="96"/>
      <c r="D660" s="96"/>
      <c r="E660" s="96"/>
      <c r="F660" s="96"/>
      <c r="G660" s="96"/>
      <c r="H660" s="96"/>
      <c r="I660" s="96"/>
      <c r="J660" s="96"/>
      <c r="K660" s="96"/>
      <c r="L660" s="96"/>
      <c r="M660" s="96"/>
      <c r="N660" s="96"/>
      <c r="O660" s="96"/>
      <c r="P660" s="96"/>
      <c r="Q660" s="96"/>
      <c r="R660" s="96"/>
      <c r="S660" s="96"/>
      <c r="T660" s="96"/>
      <c r="U660" s="96"/>
      <c r="V660" s="96"/>
      <c r="W660" s="96"/>
      <c r="X660" s="96"/>
      <c r="Y660" s="96"/>
      <c r="Z660" s="96"/>
      <c r="AA660" s="96"/>
    </row>
    <row r="661" spans="1:27" ht="15.75" customHeight="1">
      <c r="A661" s="96"/>
      <c r="B661" s="96"/>
      <c r="C661" s="96"/>
      <c r="D661" s="96"/>
      <c r="E661" s="96"/>
      <c r="F661" s="96"/>
      <c r="G661" s="96"/>
      <c r="H661" s="96"/>
      <c r="I661" s="96"/>
      <c r="J661" s="96"/>
      <c r="K661" s="96"/>
      <c r="L661" s="96"/>
      <c r="M661" s="96"/>
      <c r="N661" s="96"/>
      <c r="O661" s="96"/>
      <c r="P661" s="96"/>
      <c r="Q661" s="96"/>
      <c r="R661" s="96"/>
      <c r="S661" s="96"/>
      <c r="T661" s="96"/>
      <c r="U661" s="96"/>
      <c r="V661" s="96"/>
      <c r="W661" s="96"/>
      <c r="X661" s="96"/>
      <c r="Y661" s="96"/>
      <c r="Z661" s="96"/>
      <c r="AA661" s="96"/>
    </row>
    <row r="662" spans="1:27" ht="15.75" customHeight="1">
      <c r="A662" s="96"/>
      <c r="B662" s="96"/>
      <c r="C662" s="96"/>
      <c r="D662" s="96"/>
      <c r="E662" s="96"/>
      <c r="F662" s="96"/>
      <c r="G662" s="96"/>
      <c r="H662" s="96"/>
      <c r="I662" s="96"/>
      <c r="J662" s="96"/>
      <c r="K662" s="96"/>
      <c r="L662" s="96"/>
      <c r="M662" s="96"/>
      <c r="N662" s="96"/>
      <c r="O662" s="96"/>
      <c r="P662" s="96"/>
      <c r="Q662" s="96"/>
      <c r="R662" s="96"/>
      <c r="S662" s="96"/>
      <c r="T662" s="96"/>
      <c r="U662" s="96"/>
      <c r="V662" s="96"/>
      <c r="W662" s="96"/>
      <c r="X662" s="96"/>
      <c r="Y662" s="96"/>
      <c r="Z662" s="96"/>
      <c r="AA662" s="96"/>
    </row>
    <row r="663" spans="1:27" ht="15.75" customHeight="1">
      <c r="A663" s="96"/>
      <c r="B663" s="96"/>
      <c r="C663" s="96"/>
      <c r="D663" s="96"/>
      <c r="E663" s="96"/>
      <c r="F663" s="96"/>
      <c r="G663" s="96"/>
      <c r="H663" s="96"/>
      <c r="I663" s="96"/>
      <c r="J663" s="96"/>
      <c r="K663" s="96"/>
      <c r="L663" s="96"/>
      <c r="M663" s="96"/>
      <c r="N663" s="96"/>
      <c r="O663" s="96"/>
      <c r="P663" s="96"/>
      <c r="Q663" s="96"/>
      <c r="R663" s="96"/>
      <c r="S663" s="96"/>
      <c r="T663" s="96"/>
      <c r="U663" s="96"/>
      <c r="V663" s="96"/>
      <c r="W663" s="96"/>
      <c r="X663" s="96"/>
      <c r="Y663" s="96"/>
      <c r="Z663" s="96"/>
      <c r="AA663" s="96"/>
    </row>
    <row r="664" spans="1:27" ht="15.75" customHeight="1">
      <c r="A664" s="96"/>
      <c r="B664" s="96"/>
      <c r="C664" s="96"/>
      <c r="D664" s="96"/>
      <c r="E664" s="96"/>
      <c r="F664" s="96"/>
      <c r="G664" s="96"/>
      <c r="H664" s="96"/>
      <c r="I664" s="96"/>
      <c r="J664" s="96"/>
      <c r="K664" s="96"/>
      <c r="L664" s="96"/>
      <c r="M664" s="96"/>
      <c r="N664" s="96"/>
      <c r="O664" s="96"/>
      <c r="P664" s="96"/>
      <c r="Q664" s="96"/>
      <c r="R664" s="96"/>
      <c r="S664" s="96"/>
      <c r="T664" s="96"/>
      <c r="U664" s="96"/>
      <c r="V664" s="96"/>
      <c r="W664" s="96"/>
      <c r="X664" s="96"/>
      <c r="Y664" s="96"/>
      <c r="Z664" s="96"/>
      <c r="AA664" s="96"/>
    </row>
    <row r="665" spans="1:27" ht="15.75" customHeight="1">
      <c r="A665" s="96"/>
      <c r="B665" s="96"/>
      <c r="C665" s="96"/>
      <c r="D665" s="96"/>
      <c r="E665" s="96"/>
      <c r="F665" s="96"/>
      <c r="G665" s="96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  <c r="AA665" s="96"/>
    </row>
    <row r="666" spans="1:27" ht="15.75" customHeight="1">
      <c r="A666" s="96"/>
      <c r="B666" s="96"/>
      <c r="C666" s="96"/>
      <c r="D666" s="96"/>
      <c r="E666" s="96"/>
      <c r="F666" s="96"/>
      <c r="G666" s="96"/>
      <c r="H666" s="96"/>
      <c r="I666" s="96"/>
      <c r="J666" s="96"/>
      <c r="K666" s="96"/>
      <c r="L666" s="96"/>
      <c r="M666" s="96"/>
      <c r="N666" s="96"/>
      <c r="O666" s="96"/>
      <c r="P666" s="96"/>
      <c r="Q666" s="96"/>
      <c r="R666" s="96"/>
      <c r="S666" s="96"/>
      <c r="T666" s="96"/>
      <c r="U666" s="96"/>
      <c r="V666" s="96"/>
      <c r="W666" s="96"/>
      <c r="X666" s="96"/>
      <c r="Y666" s="96"/>
      <c r="Z666" s="96"/>
      <c r="AA666" s="96"/>
    </row>
    <row r="667" spans="1:27" ht="15.75" customHeight="1">
      <c r="A667" s="96"/>
      <c r="B667" s="96"/>
      <c r="C667" s="96"/>
      <c r="D667" s="96"/>
      <c r="E667" s="96"/>
      <c r="F667" s="96"/>
      <c r="G667" s="96"/>
      <c r="H667" s="96"/>
      <c r="I667" s="96"/>
      <c r="J667" s="96"/>
      <c r="K667" s="96"/>
      <c r="L667" s="96"/>
      <c r="M667" s="96"/>
      <c r="N667" s="96"/>
      <c r="O667" s="96"/>
      <c r="P667" s="96"/>
      <c r="Q667" s="96"/>
      <c r="R667" s="96"/>
      <c r="S667" s="96"/>
      <c r="T667" s="96"/>
      <c r="U667" s="96"/>
      <c r="V667" s="96"/>
      <c r="W667" s="96"/>
      <c r="X667" s="96"/>
      <c r="Y667" s="96"/>
      <c r="Z667" s="96"/>
      <c r="AA667" s="96"/>
    </row>
    <row r="668" spans="1:27" ht="15.75" customHeight="1">
      <c r="A668" s="96"/>
      <c r="B668" s="96"/>
      <c r="C668" s="96"/>
      <c r="D668" s="96"/>
      <c r="E668" s="96"/>
      <c r="F668" s="96"/>
      <c r="G668" s="96"/>
      <c r="H668" s="96"/>
      <c r="I668" s="96"/>
      <c r="J668" s="96"/>
      <c r="K668" s="96"/>
      <c r="L668" s="96"/>
      <c r="M668" s="96"/>
      <c r="N668" s="96"/>
      <c r="O668" s="96"/>
      <c r="P668" s="96"/>
      <c r="Q668" s="96"/>
      <c r="R668" s="96"/>
      <c r="S668" s="96"/>
      <c r="T668" s="96"/>
      <c r="U668" s="96"/>
      <c r="V668" s="96"/>
      <c r="W668" s="96"/>
      <c r="X668" s="96"/>
      <c r="Y668" s="96"/>
      <c r="Z668" s="96"/>
      <c r="AA668" s="96"/>
    </row>
    <row r="669" spans="1:27" ht="15.75" customHeight="1">
      <c r="A669" s="96"/>
      <c r="B669" s="96"/>
      <c r="C669" s="96"/>
      <c r="D669" s="96"/>
      <c r="E669" s="96"/>
      <c r="F669" s="96"/>
      <c r="G669" s="96"/>
      <c r="H669" s="96"/>
      <c r="I669" s="96"/>
      <c r="J669" s="96"/>
      <c r="K669" s="96"/>
      <c r="L669" s="96"/>
      <c r="M669" s="96"/>
      <c r="N669" s="96"/>
      <c r="O669" s="96"/>
      <c r="P669" s="96"/>
      <c r="Q669" s="96"/>
      <c r="R669" s="96"/>
      <c r="S669" s="96"/>
      <c r="T669" s="96"/>
      <c r="U669" s="96"/>
      <c r="V669" s="96"/>
      <c r="W669" s="96"/>
      <c r="X669" s="96"/>
      <c r="Y669" s="96"/>
      <c r="Z669" s="96"/>
      <c r="AA669" s="96"/>
    </row>
    <row r="670" spans="1:27" ht="15.75" customHeight="1">
      <c r="A670" s="96"/>
      <c r="B670" s="96"/>
      <c r="C670" s="96"/>
      <c r="D670" s="96"/>
      <c r="E670" s="96"/>
      <c r="F670" s="96"/>
      <c r="G670" s="96"/>
      <c r="H670" s="96"/>
      <c r="I670" s="96"/>
      <c r="J670" s="96"/>
      <c r="K670" s="96"/>
      <c r="L670" s="96"/>
      <c r="M670" s="96"/>
      <c r="N670" s="96"/>
      <c r="O670" s="96"/>
      <c r="P670" s="96"/>
      <c r="Q670" s="96"/>
      <c r="R670" s="96"/>
      <c r="S670" s="96"/>
      <c r="T670" s="96"/>
      <c r="U670" s="96"/>
      <c r="V670" s="96"/>
      <c r="W670" s="96"/>
      <c r="X670" s="96"/>
      <c r="Y670" s="96"/>
      <c r="Z670" s="96"/>
      <c r="AA670" s="96"/>
    </row>
    <row r="671" spans="1:27" ht="15.75" customHeight="1">
      <c r="A671" s="96"/>
      <c r="B671" s="96"/>
      <c r="C671" s="96"/>
      <c r="D671" s="96"/>
      <c r="E671" s="96"/>
      <c r="F671" s="96"/>
      <c r="G671" s="96"/>
      <c r="H671" s="96"/>
      <c r="I671" s="96"/>
      <c r="J671" s="96"/>
      <c r="K671" s="96"/>
      <c r="L671" s="96"/>
      <c r="M671" s="96"/>
      <c r="N671" s="96"/>
      <c r="O671" s="96"/>
      <c r="P671" s="96"/>
      <c r="Q671" s="96"/>
      <c r="R671" s="96"/>
      <c r="S671" s="96"/>
      <c r="T671" s="96"/>
      <c r="U671" s="96"/>
      <c r="V671" s="96"/>
      <c r="W671" s="96"/>
      <c r="X671" s="96"/>
      <c r="Y671" s="96"/>
      <c r="Z671" s="96"/>
      <c r="AA671" s="96"/>
    </row>
    <row r="672" spans="1:27" ht="15.75" customHeight="1">
      <c r="A672" s="96"/>
      <c r="B672" s="96"/>
      <c r="C672" s="96"/>
      <c r="D672" s="96"/>
      <c r="E672" s="96"/>
      <c r="F672" s="96"/>
      <c r="G672" s="96"/>
      <c r="H672" s="96"/>
      <c r="I672" s="96"/>
      <c r="J672" s="96"/>
      <c r="K672" s="96"/>
      <c r="L672" s="96"/>
      <c r="M672" s="96"/>
      <c r="N672" s="96"/>
      <c r="O672" s="96"/>
      <c r="P672" s="96"/>
      <c r="Q672" s="96"/>
      <c r="R672" s="96"/>
      <c r="S672" s="96"/>
      <c r="T672" s="96"/>
      <c r="U672" s="96"/>
      <c r="V672" s="96"/>
      <c r="W672" s="96"/>
      <c r="X672" s="96"/>
      <c r="Y672" s="96"/>
      <c r="Z672" s="96"/>
      <c r="AA672" s="96"/>
    </row>
    <row r="673" spans="1:27" ht="15.75" customHeight="1">
      <c r="A673" s="96"/>
      <c r="B673" s="96"/>
      <c r="C673" s="96"/>
      <c r="D673" s="96"/>
      <c r="E673" s="96"/>
      <c r="F673" s="96"/>
      <c r="G673" s="96"/>
      <c r="H673" s="96"/>
      <c r="I673" s="96"/>
      <c r="J673" s="96"/>
      <c r="K673" s="96"/>
      <c r="L673" s="96"/>
      <c r="M673" s="96"/>
      <c r="N673" s="96"/>
      <c r="O673" s="96"/>
      <c r="P673" s="96"/>
      <c r="Q673" s="96"/>
      <c r="R673" s="96"/>
      <c r="S673" s="96"/>
      <c r="T673" s="96"/>
      <c r="U673" s="96"/>
      <c r="V673" s="96"/>
      <c r="W673" s="96"/>
      <c r="X673" s="96"/>
      <c r="Y673" s="96"/>
      <c r="Z673" s="96"/>
      <c r="AA673" s="96"/>
    </row>
    <row r="674" spans="1:27" ht="15.75" customHeight="1">
      <c r="A674" s="96"/>
      <c r="B674" s="96"/>
      <c r="C674" s="96"/>
      <c r="D674" s="96"/>
      <c r="E674" s="96"/>
      <c r="F674" s="96"/>
      <c r="G674" s="96"/>
      <c r="H674" s="96"/>
      <c r="I674" s="96"/>
      <c r="J674" s="96"/>
      <c r="K674" s="96"/>
      <c r="L674" s="96"/>
      <c r="M674" s="96"/>
      <c r="N674" s="96"/>
      <c r="O674" s="96"/>
      <c r="P674" s="96"/>
      <c r="Q674" s="96"/>
      <c r="R674" s="96"/>
      <c r="S674" s="96"/>
      <c r="T674" s="96"/>
      <c r="U674" s="96"/>
      <c r="V674" s="96"/>
      <c r="W674" s="96"/>
      <c r="X674" s="96"/>
      <c r="Y674" s="96"/>
      <c r="Z674" s="96"/>
      <c r="AA674" s="96"/>
    </row>
    <row r="675" spans="1:27" ht="15.75" customHeight="1">
      <c r="A675" s="96"/>
      <c r="B675" s="96"/>
      <c r="C675" s="96"/>
      <c r="D675" s="96"/>
      <c r="E675" s="96"/>
      <c r="F675" s="96"/>
      <c r="G675" s="96"/>
      <c r="H675" s="96"/>
      <c r="I675" s="96"/>
      <c r="J675" s="96"/>
      <c r="K675" s="96"/>
      <c r="L675" s="96"/>
      <c r="M675" s="96"/>
      <c r="N675" s="96"/>
      <c r="O675" s="96"/>
      <c r="P675" s="96"/>
      <c r="Q675" s="96"/>
      <c r="R675" s="96"/>
      <c r="S675" s="96"/>
      <c r="T675" s="96"/>
      <c r="U675" s="96"/>
      <c r="V675" s="96"/>
      <c r="W675" s="96"/>
      <c r="X675" s="96"/>
      <c r="Y675" s="96"/>
      <c r="Z675" s="96"/>
      <c r="AA675" s="96"/>
    </row>
    <row r="676" spans="1:27" ht="15.75" customHeight="1">
      <c r="A676" s="96"/>
      <c r="B676" s="96"/>
      <c r="C676" s="96"/>
      <c r="D676" s="96"/>
      <c r="E676" s="96"/>
      <c r="F676" s="96"/>
      <c r="G676" s="96"/>
      <c r="H676" s="96"/>
      <c r="I676" s="96"/>
      <c r="J676" s="96"/>
      <c r="K676" s="96"/>
      <c r="L676" s="96"/>
      <c r="M676" s="96"/>
      <c r="N676" s="96"/>
      <c r="O676" s="96"/>
      <c r="P676" s="96"/>
      <c r="Q676" s="96"/>
      <c r="R676" s="96"/>
      <c r="S676" s="96"/>
      <c r="T676" s="96"/>
      <c r="U676" s="96"/>
      <c r="V676" s="96"/>
      <c r="W676" s="96"/>
      <c r="X676" s="96"/>
      <c r="Y676" s="96"/>
      <c r="Z676" s="96"/>
      <c r="AA676" s="96"/>
    </row>
    <row r="677" spans="1:27" ht="15.75" customHeight="1">
      <c r="A677" s="96"/>
      <c r="B677" s="96"/>
      <c r="C677" s="96"/>
      <c r="D677" s="96"/>
      <c r="E677" s="96"/>
      <c r="F677" s="96"/>
      <c r="G677" s="96"/>
      <c r="H677" s="96"/>
      <c r="I677" s="96"/>
      <c r="J677" s="96"/>
      <c r="K677" s="96"/>
      <c r="L677" s="96"/>
      <c r="M677" s="96"/>
      <c r="N677" s="96"/>
      <c r="O677" s="96"/>
      <c r="P677" s="96"/>
      <c r="Q677" s="96"/>
      <c r="R677" s="96"/>
      <c r="S677" s="96"/>
      <c r="T677" s="96"/>
      <c r="U677" s="96"/>
      <c r="V677" s="96"/>
      <c r="W677" s="96"/>
      <c r="X677" s="96"/>
      <c r="Y677" s="96"/>
      <c r="Z677" s="96"/>
      <c r="AA677" s="96"/>
    </row>
    <row r="678" spans="1:27" ht="15.75" customHeight="1">
      <c r="A678" s="96"/>
      <c r="B678" s="96"/>
      <c r="C678" s="96"/>
      <c r="D678" s="96"/>
      <c r="E678" s="96"/>
      <c r="F678" s="96"/>
      <c r="G678" s="96"/>
      <c r="H678" s="96"/>
      <c r="I678" s="96"/>
      <c r="J678" s="96"/>
      <c r="K678" s="96"/>
      <c r="L678" s="96"/>
      <c r="M678" s="96"/>
      <c r="N678" s="96"/>
      <c r="O678" s="96"/>
      <c r="P678" s="96"/>
      <c r="Q678" s="96"/>
      <c r="R678" s="96"/>
      <c r="S678" s="96"/>
      <c r="T678" s="96"/>
      <c r="U678" s="96"/>
      <c r="V678" s="96"/>
      <c r="W678" s="96"/>
      <c r="X678" s="96"/>
      <c r="Y678" s="96"/>
      <c r="Z678" s="96"/>
      <c r="AA678" s="96"/>
    </row>
    <row r="679" spans="1:27" ht="15.75" customHeight="1">
      <c r="A679" s="96"/>
      <c r="B679" s="96"/>
      <c r="C679" s="96"/>
      <c r="D679" s="96"/>
      <c r="E679" s="96"/>
      <c r="F679" s="96"/>
      <c r="G679" s="96"/>
      <c r="H679" s="96"/>
      <c r="I679" s="96"/>
      <c r="J679" s="96"/>
      <c r="K679" s="96"/>
      <c r="L679" s="96"/>
      <c r="M679" s="96"/>
      <c r="N679" s="96"/>
      <c r="O679" s="96"/>
      <c r="P679" s="96"/>
      <c r="Q679" s="96"/>
      <c r="R679" s="96"/>
      <c r="S679" s="96"/>
      <c r="T679" s="96"/>
      <c r="U679" s="96"/>
      <c r="V679" s="96"/>
      <c r="W679" s="96"/>
      <c r="X679" s="96"/>
      <c r="Y679" s="96"/>
      <c r="Z679" s="96"/>
      <c r="AA679" s="96"/>
    </row>
    <row r="680" spans="1:27" ht="15.75" customHeight="1">
      <c r="A680" s="96"/>
      <c r="B680" s="96"/>
      <c r="C680" s="96"/>
      <c r="D680" s="96"/>
      <c r="E680" s="96"/>
      <c r="F680" s="96"/>
      <c r="G680" s="96"/>
      <c r="H680" s="96"/>
      <c r="I680" s="96"/>
      <c r="J680" s="96"/>
      <c r="K680" s="96"/>
      <c r="L680" s="96"/>
      <c r="M680" s="96"/>
      <c r="N680" s="96"/>
      <c r="O680" s="96"/>
      <c r="P680" s="96"/>
      <c r="Q680" s="96"/>
      <c r="R680" s="96"/>
      <c r="S680" s="96"/>
      <c r="T680" s="96"/>
      <c r="U680" s="96"/>
      <c r="V680" s="96"/>
      <c r="W680" s="96"/>
      <c r="X680" s="96"/>
      <c r="Y680" s="96"/>
      <c r="Z680" s="96"/>
      <c r="AA680" s="96"/>
    </row>
    <row r="681" spans="1:27" ht="15.75" customHeight="1">
      <c r="A681" s="96"/>
      <c r="B681" s="96"/>
      <c r="C681" s="96"/>
      <c r="D681" s="96"/>
      <c r="E681" s="96"/>
      <c r="F681" s="96"/>
      <c r="G681" s="96"/>
      <c r="H681" s="96"/>
      <c r="I681" s="96"/>
      <c r="J681" s="96"/>
      <c r="K681" s="96"/>
      <c r="L681" s="96"/>
      <c r="M681" s="96"/>
      <c r="N681" s="96"/>
      <c r="O681" s="96"/>
      <c r="P681" s="96"/>
      <c r="Q681" s="96"/>
      <c r="R681" s="96"/>
      <c r="S681" s="96"/>
      <c r="T681" s="96"/>
      <c r="U681" s="96"/>
      <c r="V681" s="96"/>
      <c r="W681" s="96"/>
      <c r="X681" s="96"/>
      <c r="Y681" s="96"/>
      <c r="Z681" s="96"/>
      <c r="AA681" s="96"/>
    </row>
    <row r="682" spans="1:27" ht="15.75" customHeight="1">
      <c r="A682" s="96"/>
      <c r="B682" s="96"/>
      <c r="C682" s="96"/>
      <c r="D682" s="96"/>
      <c r="E682" s="96"/>
      <c r="F682" s="96"/>
      <c r="G682" s="96"/>
      <c r="H682" s="96"/>
      <c r="I682" s="96"/>
      <c r="J682" s="96"/>
      <c r="K682" s="96"/>
      <c r="L682" s="96"/>
      <c r="M682" s="96"/>
      <c r="N682" s="96"/>
      <c r="O682" s="96"/>
      <c r="P682" s="96"/>
      <c r="Q682" s="96"/>
      <c r="R682" s="96"/>
      <c r="S682" s="96"/>
      <c r="T682" s="96"/>
      <c r="U682" s="96"/>
      <c r="V682" s="96"/>
      <c r="W682" s="96"/>
      <c r="X682" s="96"/>
      <c r="Y682" s="96"/>
      <c r="Z682" s="96"/>
      <c r="AA682" s="96"/>
    </row>
    <row r="683" spans="1:27" ht="15.75" customHeight="1">
      <c r="A683" s="96"/>
      <c r="B683" s="96"/>
      <c r="C683" s="96"/>
      <c r="D683" s="96"/>
      <c r="E683" s="96"/>
      <c r="F683" s="96"/>
      <c r="G683" s="96"/>
      <c r="H683" s="96"/>
      <c r="I683" s="96"/>
      <c r="J683" s="96"/>
      <c r="K683" s="96"/>
      <c r="L683" s="96"/>
      <c r="M683" s="96"/>
      <c r="N683" s="96"/>
      <c r="O683" s="96"/>
      <c r="P683" s="96"/>
      <c r="Q683" s="96"/>
      <c r="R683" s="96"/>
      <c r="S683" s="96"/>
      <c r="T683" s="96"/>
      <c r="U683" s="96"/>
      <c r="V683" s="96"/>
      <c r="W683" s="96"/>
      <c r="X683" s="96"/>
      <c r="Y683" s="96"/>
      <c r="Z683" s="96"/>
      <c r="AA683" s="96"/>
    </row>
    <row r="684" spans="1:27" ht="15.75" customHeight="1">
      <c r="A684" s="96"/>
      <c r="B684" s="96"/>
      <c r="C684" s="96"/>
      <c r="D684" s="96"/>
      <c r="E684" s="96"/>
      <c r="F684" s="96"/>
      <c r="G684" s="96"/>
      <c r="H684" s="96"/>
      <c r="I684" s="96"/>
      <c r="J684" s="96"/>
      <c r="K684" s="96"/>
      <c r="L684" s="96"/>
      <c r="M684" s="96"/>
      <c r="N684" s="96"/>
      <c r="O684" s="96"/>
      <c r="P684" s="96"/>
      <c r="Q684" s="96"/>
      <c r="R684" s="96"/>
      <c r="S684" s="96"/>
      <c r="T684" s="96"/>
      <c r="U684" s="96"/>
      <c r="V684" s="96"/>
      <c r="W684" s="96"/>
      <c r="X684" s="96"/>
      <c r="Y684" s="96"/>
      <c r="Z684" s="96"/>
      <c r="AA684" s="96"/>
    </row>
    <row r="685" spans="1:27" ht="15.75" customHeight="1">
      <c r="A685" s="96"/>
      <c r="B685" s="96"/>
      <c r="C685" s="96"/>
      <c r="D685" s="96"/>
      <c r="E685" s="96"/>
      <c r="F685" s="96"/>
      <c r="G685" s="96"/>
      <c r="H685" s="96"/>
      <c r="I685" s="96"/>
      <c r="J685" s="96"/>
      <c r="K685" s="96"/>
      <c r="L685" s="96"/>
      <c r="M685" s="96"/>
      <c r="N685" s="96"/>
      <c r="O685" s="96"/>
      <c r="P685" s="96"/>
      <c r="Q685" s="96"/>
      <c r="R685" s="96"/>
      <c r="S685" s="96"/>
      <c r="T685" s="96"/>
      <c r="U685" s="96"/>
      <c r="V685" s="96"/>
      <c r="W685" s="96"/>
      <c r="X685" s="96"/>
      <c r="Y685" s="96"/>
      <c r="Z685" s="96"/>
      <c r="AA685" s="96"/>
    </row>
    <row r="686" spans="1:27" ht="15.75" customHeight="1">
      <c r="A686" s="96"/>
      <c r="B686" s="96"/>
      <c r="C686" s="96"/>
      <c r="D686" s="96"/>
      <c r="E686" s="96"/>
      <c r="F686" s="96"/>
      <c r="G686" s="96"/>
      <c r="H686" s="96"/>
      <c r="I686" s="96"/>
      <c r="J686" s="96"/>
      <c r="K686" s="96"/>
      <c r="L686" s="96"/>
      <c r="M686" s="96"/>
      <c r="N686" s="96"/>
      <c r="O686" s="96"/>
      <c r="P686" s="96"/>
      <c r="Q686" s="96"/>
      <c r="R686" s="96"/>
      <c r="S686" s="96"/>
      <c r="T686" s="96"/>
      <c r="U686" s="96"/>
      <c r="V686" s="96"/>
      <c r="W686" s="96"/>
      <c r="X686" s="96"/>
      <c r="Y686" s="96"/>
      <c r="Z686" s="96"/>
      <c r="AA686" s="96"/>
    </row>
    <row r="687" spans="1:27" ht="15.75" customHeight="1">
      <c r="A687" s="96"/>
      <c r="B687" s="96"/>
      <c r="C687" s="96"/>
      <c r="D687" s="96"/>
      <c r="E687" s="96"/>
      <c r="F687" s="96"/>
      <c r="G687" s="96"/>
      <c r="H687" s="96"/>
      <c r="I687" s="96"/>
      <c r="J687" s="96"/>
      <c r="K687" s="96"/>
      <c r="L687" s="96"/>
      <c r="M687" s="96"/>
      <c r="N687" s="96"/>
      <c r="O687" s="96"/>
      <c r="P687" s="96"/>
      <c r="Q687" s="96"/>
      <c r="R687" s="96"/>
      <c r="S687" s="96"/>
      <c r="T687" s="96"/>
      <c r="U687" s="96"/>
      <c r="V687" s="96"/>
      <c r="W687" s="96"/>
      <c r="X687" s="96"/>
      <c r="Y687" s="96"/>
      <c r="Z687" s="96"/>
      <c r="AA687" s="96"/>
    </row>
    <row r="688" spans="1:27" ht="15.75" customHeight="1">
      <c r="A688" s="96"/>
      <c r="B688" s="96"/>
      <c r="C688" s="96"/>
      <c r="D688" s="96"/>
      <c r="E688" s="96"/>
      <c r="F688" s="96"/>
      <c r="G688" s="96"/>
      <c r="H688" s="96"/>
      <c r="I688" s="96"/>
      <c r="J688" s="96"/>
      <c r="K688" s="96"/>
      <c r="L688" s="96"/>
      <c r="M688" s="96"/>
      <c r="N688" s="96"/>
      <c r="O688" s="96"/>
      <c r="P688" s="96"/>
      <c r="Q688" s="96"/>
      <c r="R688" s="96"/>
      <c r="S688" s="96"/>
      <c r="T688" s="96"/>
      <c r="U688" s="96"/>
      <c r="V688" s="96"/>
      <c r="W688" s="96"/>
      <c r="X688" s="96"/>
      <c r="Y688" s="96"/>
      <c r="Z688" s="96"/>
      <c r="AA688" s="96"/>
    </row>
    <row r="689" spans="1:27" ht="15.75" customHeight="1">
      <c r="A689" s="96"/>
      <c r="B689" s="96"/>
      <c r="C689" s="96"/>
      <c r="D689" s="96"/>
      <c r="E689" s="96"/>
      <c r="F689" s="96"/>
      <c r="G689" s="96"/>
      <c r="H689" s="96"/>
      <c r="I689" s="96"/>
      <c r="J689" s="96"/>
      <c r="K689" s="96"/>
      <c r="L689" s="96"/>
      <c r="M689" s="96"/>
      <c r="N689" s="96"/>
      <c r="O689" s="96"/>
      <c r="P689" s="96"/>
      <c r="Q689" s="96"/>
      <c r="R689" s="96"/>
      <c r="S689" s="96"/>
      <c r="T689" s="96"/>
      <c r="U689" s="96"/>
      <c r="V689" s="96"/>
      <c r="W689" s="96"/>
      <c r="X689" s="96"/>
      <c r="Y689" s="96"/>
      <c r="Z689" s="96"/>
      <c r="AA689" s="96"/>
    </row>
    <row r="690" spans="1:27" ht="15.75" customHeight="1">
      <c r="A690" s="96"/>
      <c r="B690" s="96"/>
      <c r="C690" s="96"/>
      <c r="D690" s="96"/>
      <c r="E690" s="96"/>
      <c r="F690" s="96"/>
      <c r="G690" s="96"/>
      <c r="H690" s="96"/>
      <c r="I690" s="96"/>
      <c r="J690" s="96"/>
      <c r="K690" s="96"/>
      <c r="L690" s="96"/>
      <c r="M690" s="96"/>
      <c r="N690" s="96"/>
      <c r="O690" s="96"/>
      <c r="P690" s="96"/>
      <c r="Q690" s="96"/>
      <c r="R690" s="96"/>
      <c r="S690" s="96"/>
      <c r="T690" s="96"/>
      <c r="U690" s="96"/>
      <c r="V690" s="96"/>
      <c r="W690" s="96"/>
      <c r="X690" s="96"/>
      <c r="Y690" s="96"/>
      <c r="Z690" s="96"/>
      <c r="AA690" s="96"/>
    </row>
    <row r="691" spans="1:27" ht="15.75" customHeight="1">
      <c r="A691" s="96"/>
      <c r="B691" s="96"/>
      <c r="C691" s="96"/>
      <c r="D691" s="96"/>
      <c r="E691" s="96"/>
      <c r="F691" s="96"/>
      <c r="G691" s="96"/>
      <c r="H691" s="96"/>
      <c r="I691" s="96"/>
      <c r="J691" s="96"/>
      <c r="K691" s="96"/>
      <c r="L691" s="96"/>
      <c r="M691" s="96"/>
      <c r="N691" s="96"/>
      <c r="O691" s="96"/>
      <c r="P691" s="96"/>
      <c r="Q691" s="96"/>
      <c r="R691" s="96"/>
      <c r="S691" s="96"/>
      <c r="T691" s="96"/>
      <c r="U691" s="96"/>
      <c r="V691" s="96"/>
      <c r="W691" s="96"/>
      <c r="X691" s="96"/>
      <c r="Y691" s="96"/>
      <c r="Z691" s="96"/>
      <c r="AA691" s="96"/>
    </row>
    <row r="692" spans="1:27" ht="15.75" customHeight="1">
      <c r="A692" s="96"/>
      <c r="B692" s="96"/>
      <c r="C692" s="96"/>
      <c r="D692" s="96"/>
      <c r="E692" s="96"/>
      <c r="F692" s="96"/>
      <c r="G692" s="96"/>
      <c r="H692" s="96"/>
      <c r="I692" s="96"/>
      <c r="J692" s="96"/>
      <c r="K692" s="96"/>
      <c r="L692" s="96"/>
      <c r="M692" s="96"/>
      <c r="N692" s="96"/>
      <c r="O692" s="96"/>
      <c r="P692" s="96"/>
      <c r="Q692" s="96"/>
      <c r="R692" s="96"/>
      <c r="S692" s="96"/>
      <c r="T692" s="96"/>
      <c r="U692" s="96"/>
      <c r="V692" s="96"/>
      <c r="W692" s="96"/>
      <c r="X692" s="96"/>
      <c r="Y692" s="96"/>
      <c r="Z692" s="96"/>
      <c r="AA692" s="96"/>
    </row>
    <row r="693" spans="1:27" ht="15.75" customHeight="1">
      <c r="A693" s="96"/>
      <c r="B693" s="96"/>
      <c r="C693" s="96"/>
      <c r="D693" s="96"/>
      <c r="E693" s="96"/>
      <c r="F693" s="96"/>
      <c r="G693" s="96"/>
      <c r="H693" s="96"/>
      <c r="I693" s="96"/>
      <c r="J693" s="96"/>
      <c r="K693" s="96"/>
      <c r="L693" s="96"/>
      <c r="M693" s="96"/>
      <c r="N693" s="96"/>
      <c r="O693" s="96"/>
      <c r="P693" s="96"/>
      <c r="Q693" s="96"/>
      <c r="R693" s="96"/>
      <c r="S693" s="96"/>
      <c r="T693" s="96"/>
      <c r="U693" s="96"/>
      <c r="V693" s="96"/>
      <c r="W693" s="96"/>
      <c r="X693" s="96"/>
      <c r="Y693" s="96"/>
      <c r="Z693" s="96"/>
      <c r="AA693" s="96"/>
    </row>
    <row r="694" spans="1:27" ht="15.75" customHeight="1">
      <c r="A694" s="96"/>
      <c r="B694" s="96"/>
      <c r="C694" s="96"/>
      <c r="D694" s="96"/>
      <c r="E694" s="96"/>
      <c r="F694" s="96"/>
      <c r="G694" s="96"/>
      <c r="H694" s="96"/>
      <c r="I694" s="96"/>
      <c r="J694" s="96"/>
      <c r="K694" s="96"/>
      <c r="L694" s="96"/>
      <c r="M694" s="96"/>
      <c r="N694" s="96"/>
      <c r="O694" s="96"/>
      <c r="P694" s="96"/>
      <c r="Q694" s="96"/>
      <c r="R694" s="96"/>
      <c r="S694" s="96"/>
      <c r="T694" s="96"/>
      <c r="U694" s="96"/>
      <c r="V694" s="96"/>
      <c r="W694" s="96"/>
      <c r="X694" s="96"/>
      <c r="Y694" s="96"/>
      <c r="Z694" s="96"/>
      <c r="AA694" s="96"/>
    </row>
    <row r="695" spans="1:27" ht="15.75" customHeight="1">
      <c r="A695" s="96"/>
      <c r="B695" s="96"/>
      <c r="C695" s="96"/>
      <c r="D695" s="96"/>
      <c r="E695" s="96"/>
      <c r="F695" s="96"/>
      <c r="G695" s="96"/>
      <c r="H695" s="96"/>
      <c r="I695" s="96"/>
      <c r="J695" s="96"/>
      <c r="K695" s="96"/>
      <c r="L695" s="96"/>
      <c r="M695" s="96"/>
      <c r="N695" s="96"/>
      <c r="O695" s="96"/>
      <c r="P695" s="96"/>
      <c r="Q695" s="96"/>
      <c r="R695" s="96"/>
      <c r="S695" s="96"/>
      <c r="T695" s="96"/>
      <c r="U695" s="96"/>
      <c r="V695" s="96"/>
      <c r="W695" s="96"/>
      <c r="X695" s="96"/>
      <c r="Y695" s="96"/>
      <c r="Z695" s="96"/>
      <c r="AA695" s="96"/>
    </row>
    <row r="696" spans="1:27" ht="15.75" customHeight="1">
      <c r="A696" s="96"/>
      <c r="B696" s="96"/>
      <c r="C696" s="96"/>
      <c r="D696" s="96"/>
      <c r="E696" s="96"/>
      <c r="F696" s="96"/>
      <c r="G696" s="96"/>
      <c r="H696" s="96"/>
      <c r="I696" s="96"/>
      <c r="J696" s="96"/>
      <c r="K696" s="96"/>
      <c r="L696" s="96"/>
      <c r="M696" s="96"/>
      <c r="N696" s="96"/>
      <c r="O696" s="96"/>
      <c r="P696" s="96"/>
      <c r="Q696" s="96"/>
      <c r="R696" s="96"/>
      <c r="S696" s="96"/>
      <c r="T696" s="96"/>
      <c r="U696" s="96"/>
      <c r="V696" s="96"/>
      <c r="W696" s="96"/>
      <c r="X696" s="96"/>
      <c r="Y696" s="96"/>
      <c r="Z696" s="96"/>
      <c r="AA696" s="96"/>
    </row>
    <row r="697" spans="1:27" ht="15.75" customHeight="1">
      <c r="A697" s="96"/>
      <c r="B697" s="96"/>
      <c r="C697" s="96"/>
      <c r="D697" s="96"/>
      <c r="E697" s="96"/>
      <c r="F697" s="96"/>
      <c r="G697" s="96"/>
      <c r="H697" s="96"/>
      <c r="I697" s="96"/>
      <c r="J697" s="96"/>
      <c r="K697" s="96"/>
      <c r="L697" s="96"/>
      <c r="M697" s="96"/>
      <c r="N697" s="96"/>
      <c r="O697" s="96"/>
      <c r="P697" s="96"/>
      <c r="Q697" s="96"/>
      <c r="R697" s="96"/>
      <c r="S697" s="96"/>
      <c r="T697" s="96"/>
      <c r="U697" s="96"/>
      <c r="V697" s="96"/>
      <c r="W697" s="96"/>
      <c r="X697" s="96"/>
      <c r="Y697" s="96"/>
      <c r="Z697" s="96"/>
      <c r="AA697" s="96"/>
    </row>
    <row r="698" spans="1:27" ht="15.75" customHeight="1">
      <c r="A698" s="96"/>
      <c r="B698" s="96"/>
      <c r="C698" s="96"/>
      <c r="D698" s="96"/>
      <c r="E698" s="96"/>
      <c r="F698" s="96"/>
      <c r="G698" s="96"/>
      <c r="H698" s="96"/>
      <c r="I698" s="96"/>
      <c r="J698" s="96"/>
      <c r="K698" s="96"/>
      <c r="L698" s="96"/>
      <c r="M698" s="96"/>
      <c r="N698" s="96"/>
      <c r="O698" s="96"/>
      <c r="P698" s="96"/>
      <c r="Q698" s="96"/>
      <c r="R698" s="96"/>
      <c r="S698" s="96"/>
      <c r="T698" s="96"/>
      <c r="U698" s="96"/>
      <c r="V698" s="96"/>
      <c r="W698" s="96"/>
      <c r="X698" s="96"/>
      <c r="Y698" s="96"/>
      <c r="Z698" s="96"/>
      <c r="AA698" s="96"/>
    </row>
    <row r="699" spans="1:27" ht="15.75" customHeight="1">
      <c r="A699" s="96"/>
      <c r="B699" s="96"/>
      <c r="C699" s="96"/>
      <c r="D699" s="96"/>
      <c r="E699" s="96"/>
      <c r="F699" s="96"/>
      <c r="G699" s="96"/>
      <c r="H699" s="96"/>
      <c r="I699" s="96"/>
      <c r="J699" s="96"/>
      <c r="K699" s="96"/>
      <c r="L699" s="96"/>
      <c r="M699" s="96"/>
      <c r="N699" s="96"/>
      <c r="O699" s="96"/>
      <c r="P699" s="96"/>
      <c r="Q699" s="96"/>
      <c r="R699" s="96"/>
      <c r="S699" s="96"/>
      <c r="T699" s="96"/>
      <c r="U699" s="96"/>
      <c r="V699" s="96"/>
      <c r="W699" s="96"/>
      <c r="X699" s="96"/>
      <c r="Y699" s="96"/>
      <c r="Z699" s="96"/>
      <c r="AA699" s="96"/>
    </row>
    <row r="700" spans="1:27" ht="15.75" customHeight="1">
      <c r="A700" s="96"/>
      <c r="B700" s="96"/>
      <c r="C700" s="96"/>
      <c r="D700" s="96"/>
      <c r="E700" s="96"/>
      <c r="F700" s="96"/>
      <c r="G700" s="96"/>
      <c r="H700" s="96"/>
      <c r="I700" s="96"/>
      <c r="J700" s="96"/>
      <c r="K700" s="96"/>
      <c r="L700" s="96"/>
      <c r="M700" s="96"/>
      <c r="N700" s="96"/>
      <c r="O700" s="96"/>
      <c r="P700" s="96"/>
      <c r="Q700" s="96"/>
      <c r="R700" s="96"/>
      <c r="S700" s="96"/>
      <c r="T700" s="96"/>
      <c r="U700" s="96"/>
      <c r="V700" s="96"/>
      <c r="W700" s="96"/>
      <c r="X700" s="96"/>
      <c r="Y700" s="96"/>
      <c r="Z700" s="96"/>
      <c r="AA700" s="96"/>
    </row>
    <row r="701" spans="1:27" ht="15.75" customHeight="1">
      <c r="A701" s="96"/>
      <c r="B701" s="96"/>
      <c r="C701" s="96"/>
      <c r="D701" s="96"/>
      <c r="E701" s="96"/>
      <c r="F701" s="96"/>
      <c r="G701" s="96"/>
      <c r="H701" s="96"/>
      <c r="I701" s="96"/>
      <c r="J701" s="96"/>
      <c r="K701" s="96"/>
      <c r="L701" s="96"/>
      <c r="M701" s="96"/>
      <c r="N701" s="96"/>
      <c r="O701" s="96"/>
      <c r="P701" s="96"/>
      <c r="Q701" s="96"/>
      <c r="R701" s="96"/>
      <c r="S701" s="96"/>
      <c r="T701" s="96"/>
      <c r="U701" s="96"/>
      <c r="V701" s="96"/>
      <c r="W701" s="96"/>
      <c r="X701" s="96"/>
      <c r="Y701" s="96"/>
      <c r="Z701" s="96"/>
      <c r="AA701" s="96"/>
    </row>
    <row r="702" spans="1:27" ht="15.75" customHeight="1">
      <c r="A702" s="96"/>
      <c r="B702" s="96"/>
      <c r="C702" s="96"/>
      <c r="D702" s="96"/>
      <c r="E702" s="96"/>
      <c r="F702" s="96"/>
      <c r="G702" s="96"/>
      <c r="H702" s="96"/>
      <c r="I702" s="96"/>
      <c r="J702" s="96"/>
      <c r="K702" s="96"/>
      <c r="L702" s="96"/>
      <c r="M702" s="96"/>
      <c r="N702" s="96"/>
      <c r="O702" s="96"/>
      <c r="P702" s="96"/>
      <c r="Q702" s="96"/>
      <c r="R702" s="96"/>
      <c r="S702" s="96"/>
      <c r="T702" s="96"/>
      <c r="U702" s="96"/>
      <c r="V702" s="96"/>
      <c r="W702" s="96"/>
      <c r="X702" s="96"/>
      <c r="Y702" s="96"/>
      <c r="Z702" s="96"/>
      <c r="AA702" s="96"/>
    </row>
    <row r="703" spans="1:27" ht="15.75" customHeight="1">
      <c r="A703" s="96"/>
      <c r="B703" s="96"/>
      <c r="C703" s="96"/>
      <c r="D703" s="96"/>
      <c r="E703" s="96"/>
      <c r="F703" s="96"/>
      <c r="G703" s="96"/>
      <c r="H703" s="96"/>
      <c r="I703" s="96"/>
      <c r="J703" s="96"/>
      <c r="K703" s="96"/>
      <c r="L703" s="96"/>
      <c r="M703" s="96"/>
      <c r="N703" s="96"/>
      <c r="O703" s="96"/>
      <c r="P703" s="96"/>
      <c r="Q703" s="96"/>
      <c r="R703" s="96"/>
      <c r="S703" s="96"/>
      <c r="T703" s="96"/>
      <c r="U703" s="96"/>
      <c r="V703" s="96"/>
      <c r="W703" s="96"/>
      <c r="X703" s="96"/>
      <c r="Y703" s="96"/>
      <c r="Z703" s="96"/>
      <c r="AA703" s="96"/>
    </row>
    <row r="704" spans="1:27" ht="15.75" customHeight="1">
      <c r="A704" s="96"/>
      <c r="B704" s="96"/>
      <c r="C704" s="96"/>
      <c r="D704" s="96"/>
      <c r="E704" s="96"/>
      <c r="F704" s="96"/>
      <c r="G704" s="96"/>
      <c r="H704" s="96"/>
      <c r="I704" s="96"/>
      <c r="J704" s="96"/>
      <c r="K704" s="96"/>
      <c r="L704" s="96"/>
      <c r="M704" s="96"/>
      <c r="N704" s="96"/>
      <c r="O704" s="96"/>
      <c r="P704" s="96"/>
      <c r="Q704" s="96"/>
      <c r="R704" s="96"/>
      <c r="S704" s="96"/>
      <c r="T704" s="96"/>
      <c r="U704" s="96"/>
      <c r="V704" s="96"/>
      <c r="W704" s="96"/>
      <c r="X704" s="96"/>
      <c r="Y704" s="96"/>
      <c r="Z704" s="96"/>
      <c r="AA704" s="96"/>
    </row>
    <row r="705" spans="1:27" ht="15.75" customHeight="1">
      <c r="A705" s="96"/>
      <c r="B705" s="96"/>
      <c r="C705" s="96"/>
      <c r="D705" s="96"/>
      <c r="E705" s="96"/>
      <c r="F705" s="96"/>
      <c r="G705" s="96"/>
      <c r="H705" s="96"/>
      <c r="I705" s="96"/>
      <c r="J705" s="96"/>
      <c r="K705" s="96"/>
      <c r="L705" s="96"/>
      <c r="M705" s="96"/>
      <c r="N705" s="96"/>
      <c r="O705" s="96"/>
      <c r="P705" s="96"/>
      <c r="Q705" s="96"/>
      <c r="R705" s="96"/>
      <c r="S705" s="96"/>
      <c r="T705" s="96"/>
      <c r="U705" s="96"/>
      <c r="V705" s="96"/>
      <c r="W705" s="96"/>
      <c r="X705" s="96"/>
      <c r="Y705" s="96"/>
      <c r="Z705" s="96"/>
      <c r="AA705" s="96"/>
    </row>
    <row r="706" spans="1:27" ht="15.75" customHeight="1">
      <c r="A706" s="96"/>
      <c r="B706" s="96"/>
      <c r="C706" s="96"/>
      <c r="D706" s="96"/>
      <c r="E706" s="96"/>
      <c r="F706" s="96"/>
      <c r="G706" s="96"/>
      <c r="H706" s="96"/>
      <c r="I706" s="96"/>
      <c r="J706" s="96"/>
      <c r="K706" s="96"/>
      <c r="L706" s="96"/>
      <c r="M706" s="96"/>
      <c r="N706" s="96"/>
      <c r="O706" s="96"/>
      <c r="P706" s="96"/>
      <c r="Q706" s="96"/>
      <c r="R706" s="96"/>
      <c r="S706" s="96"/>
      <c r="T706" s="96"/>
      <c r="U706" s="96"/>
      <c r="V706" s="96"/>
      <c r="W706" s="96"/>
      <c r="X706" s="96"/>
      <c r="Y706" s="96"/>
      <c r="Z706" s="96"/>
      <c r="AA706" s="96"/>
    </row>
    <row r="707" spans="1:27" ht="15.75" customHeight="1">
      <c r="A707" s="96"/>
      <c r="B707" s="96"/>
      <c r="C707" s="96"/>
      <c r="D707" s="96"/>
      <c r="E707" s="96"/>
      <c r="F707" s="96"/>
      <c r="G707" s="96"/>
      <c r="H707" s="96"/>
      <c r="I707" s="96"/>
      <c r="J707" s="96"/>
      <c r="K707" s="96"/>
      <c r="L707" s="96"/>
      <c r="M707" s="96"/>
      <c r="N707" s="96"/>
      <c r="O707" s="96"/>
      <c r="P707" s="96"/>
      <c r="Q707" s="96"/>
      <c r="R707" s="96"/>
      <c r="S707" s="96"/>
      <c r="T707" s="96"/>
      <c r="U707" s="96"/>
      <c r="V707" s="96"/>
      <c r="W707" s="96"/>
      <c r="X707" s="96"/>
      <c r="Y707" s="96"/>
      <c r="Z707" s="96"/>
      <c r="AA707" s="96"/>
    </row>
    <row r="708" spans="1:27" ht="15.75" customHeight="1">
      <c r="A708" s="96"/>
      <c r="B708" s="96"/>
      <c r="C708" s="96"/>
      <c r="D708" s="96"/>
      <c r="E708" s="96"/>
      <c r="F708" s="96"/>
      <c r="G708" s="96"/>
      <c r="H708" s="96"/>
      <c r="I708" s="96"/>
      <c r="J708" s="96"/>
      <c r="K708" s="96"/>
      <c r="L708" s="96"/>
      <c r="M708" s="96"/>
      <c r="N708" s="96"/>
      <c r="O708" s="96"/>
      <c r="P708" s="96"/>
      <c r="Q708" s="96"/>
      <c r="R708" s="96"/>
      <c r="S708" s="96"/>
      <c r="T708" s="96"/>
      <c r="U708" s="96"/>
      <c r="V708" s="96"/>
      <c r="W708" s="96"/>
      <c r="X708" s="96"/>
      <c r="Y708" s="96"/>
      <c r="Z708" s="96"/>
      <c r="AA708" s="96"/>
    </row>
    <row r="709" spans="1:27" ht="15.75" customHeight="1">
      <c r="A709" s="96"/>
      <c r="B709" s="96"/>
      <c r="C709" s="96"/>
      <c r="D709" s="96"/>
      <c r="E709" s="96"/>
      <c r="F709" s="96"/>
      <c r="G709" s="96"/>
      <c r="H709" s="96"/>
      <c r="I709" s="96"/>
      <c r="J709" s="96"/>
      <c r="K709" s="96"/>
      <c r="L709" s="96"/>
      <c r="M709" s="96"/>
      <c r="N709" s="96"/>
      <c r="O709" s="96"/>
      <c r="P709" s="96"/>
      <c r="Q709" s="96"/>
      <c r="R709" s="96"/>
      <c r="S709" s="96"/>
      <c r="T709" s="96"/>
      <c r="U709" s="96"/>
      <c r="V709" s="96"/>
      <c r="W709" s="96"/>
      <c r="X709" s="96"/>
      <c r="Y709" s="96"/>
      <c r="Z709" s="96"/>
      <c r="AA709" s="96"/>
    </row>
    <row r="710" spans="1:27" ht="15.75" customHeight="1">
      <c r="A710" s="96"/>
      <c r="B710" s="96"/>
      <c r="C710" s="96"/>
      <c r="D710" s="96"/>
      <c r="E710" s="96"/>
      <c r="F710" s="96"/>
      <c r="G710" s="96"/>
      <c r="H710" s="96"/>
      <c r="I710" s="96"/>
      <c r="J710" s="96"/>
      <c r="K710" s="96"/>
      <c r="L710" s="96"/>
      <c r="M710" s="96"/>
      <c r="N710" s="96"/>
      <c r="O710" s="96"/>
      <c r="P710" s="96"/>
      <c r="Q710" s="96"/>
      <c r="R710" s="96"/>
      <c r="S710" s="96"/>
      <c r="T710" s="96"/>
      <c r="U710" s="96"/>
      <c r="V710" s="96"/>
      <c r="W710" s="96"/>
      <c r="X710" s="96"/>
      <c r="Y710" s="96"/>
      <c r="Z710" s="96"/>
      <c r="AA710" s="96"/>
    </row>
    <row r="711" spans="1:27" ht="15.75" customHeight="1">
      <c r="A711" s="96"/>
      <c r="B711" s="96"/>
      <c r="C711" s="96"/>
      <c r="D711" s="96"/>
      <c r="E711" s="96"/>
      <c r="F711" s="96"/>
      <c r="G711" s="96"/>
      <c r="H711" s="96"/>
      <c r="I711" s="96"/>
      <c r="J711" s="96"/>
      <c r="K711" s="96"/>
      <c r="L711" s="96"/>
      <c r="M711" s="96"/>
      <c r="N711" s="96"/>
      <c r="O711" s="96"/>
      <c r="P711" s="96"/>
      <c r="Q711" s="96"/>
      <c r="R711" s="96"/>
      <c r="S711" s="96"/>
      <c r="T711" s="96"/>
      <c r="U711" s="96"/>
      <c r="V711" s="96"/>
      <c r="W711" s="96"/>
      <c r="X711" s="96"/>
      <c r="Y711" s="96"/>
      <c r="Z711" s="96"/>
      <c r="AA711" s="96"/>
    </row>
    <row r="712" spans="1:27" ht="15.75" customHeight="1">
      <c r="A712" s="96"/>
      <c r="B712" s="96"/>
      <c r="C712" s="96"/>
      <c r="D712" s="96"/>
      <c r="E712" s="96"/>
      <c r="F712" s="96"/>
      <c r="G712" s="96"/>
      <c r="H712" s="96"/>
      <c r="I712" s="96"/>
      <c r="J712" s="96"/>
      <c r="K712" s="96"/>
      <c r="L712" s="96"/>
      <c r="M712" s="96"/>
      <c r="N712" s="96"/>
      <c r="O712" s="96"/>
      <c r="P712" s="96"/>
      <c r="Q712" s="96"/>
      <c r="R712" s="96"/>
      <c r="S712" s="96"/>
      <c r="T712" s="96"/>
      <c r="U712" s="96"/>
      <c r="V712" s="96"/>
      <c r="W712" s="96"/>
      <c r="X712" s="96"/>
      <c r="Y712" s="96"/>
      <c r="Z712" s="96"/>
      <c r="AA712" s="96"/>
    </row>
    <row r="713" spans="1:27" ht="15.75" customHeight="1">
      <c r="A713" s="96"/>
      <c r="B713" s="96"/>
      <c r="C713" s="96"/>
      <c r="D713" s="96"/>
      <c r="E713" s="96"/>
      <c r="F713" s="96"/>
      <c r="G713" s="96"/>
      <c r="H713" s="96"/>
      <c r="I713" s="96"/>
      <c r="J713" s="96"/>
      <c r="K713" s="96"/>
      <c r="L713" s="96"/>
      <c r="M713" s="96"/>
      <c r="N713" s="96"/>
      <c r="O713" s="96"/>
      <c r="P713" s="96"/>
      <c r="Q713" s="96"/>
      <c r="R713" s="96"/>
      <c r="S713" s="96"/>
      <c r="T713" s="96"/>
      <c r="U713" s="96"/>
      <c r="V713" s="96"/>
      <c r="W713" s="96"/>
      <c r="X713" s="96"/>
      <c r="Y713" s="96"/>
      <c r="Z713" s="96"/>
      <c r="AA713" s="96"/>
    </row>
    <row r="714" spans="1:27" ht="15.75" customHeight="1">
      <c r="A714" s="96"/>
      <c r="B714" s="96"/>
      <c r="C714" s="96"/>
      <c r="D714" s="96"/>
      <c r="E714" s="96"/>
      <c r="F714" s="96"/>
      <c r="G714" s="96"/>
      <c r="H714" s="96"/>
      <c r="I714" s="96"/>
      <c r="J714" s="96"/>
      <c r="K714" s="96"/>
      <c r="L714" s="96"/>
      <c r="M714" s="96"/>
      <c r="N714" s="96"/>
      <c r="O714" s="96"/>
      <c r="P714" s="96"/>
      <c r="Q714" s="96"/>
      <c r="R714" s="96"/>
      <c r="S714" s="96"/>
      <c r="T714" s="96"/>
      <c r="U714" s="96"/>
      <c r="V714" s="96"/>
      <c r="W714" s="96"/>
      <c r="X714" s="96"/>
      <c r="Y714" s="96"/>
      <c r="Z714" s="96"/>
      <c r="AA714" s="96"/>
    </row>
    <row r="715" spans="1:27" ht="15.75" customHeight="1">
      <c r="A715" s="96"/>
      <c r="B715" s="96"/>
      <c r="C715" s="96"/>
      <c r="D715" s="96"/>
      <c r="E715" s="96"/>
      <c r="F715" s="96"/>
      <c r="G715" s="96"/>
      <c r="H715" s="96"/>
      <c r="I715" s="96"/>
      <c r="J715" s="96"/>
      <c r="K715" s="96"/>
      <c r="L715" s="96"/>
      <c r="M715" s="96"/>
      <c r="N715" s="96"/>
      <c r="O715" s="96"/>
      <c r="P715" s="96"/>
      <c r="Q715" s="96"/>
      <c r="R715" s="96"/>
      <c r="S715" s="96"/>
      <c r="T715" s="96"/>
      <c r="U715" s="96"/>
      <c r="V715" s="96"/>
      <c r="W715" s="96"/>
      <c r="X715" s="96"/>
      <c r="Y715" s="96"/>
      <c r="Z715" s="96"/>
      <c r="AA715" s="96"/>
    </row>
    <row r="716" spans="1:27" ht="15.75" customHeight="1">
      <c r="A716" s="96"/>
      <c r="B716" s="96"/>
      <c r="C716" s="96"/>
      <c r="D716" s="96"/>
      <c r="E716" s="96"/>
      <c r="F716" s="96"/>
      <c r="G716" s="96"/>
      <c r="H716" s="96"/>
      <c r="I716" s="96"/>
      <c r="J716" s="96"/>
      <c r="K716" s="96"/>
      <c r="L716" s="96"/>
      <c r="M716" s="96"/>
      <c r="N716" s="96"/>
      <c r="O716" s="96"/>
      <c r="P716" s="96"/>
      <c r="Q716" s="96"/>
      <c r="R716" s="96"/>
      <c r="S716" s="96"/>
      <c r="T716" s="96"/>
      <c r="U716" s="96"/>
      <c r="V716" s="96"/>
      <c r="W716" s="96"/>
      <c r="X716" s="96"/>
      <c r="Y716" s="96"/>
      <c r="Z716" s="96"/>
      <c r="AA716" s="96"/>
    </row>
    <row r="717" spans="1:27" ht="15.75" customHeight="1">
      <c r="A717" s="96"/>
      <c r="B717" s="96"/>
      <c r="C717" s="96"/>
      <c r="D717" s="96"/>
      <c r="E717" s="96"/>
      <c r="F717" s="96"/>
      <c r="G717" s="96"/>
      <c r="H717" s="96"/>
      <c r="I717" s="96"/>
      <c r="J717" s="96"/>
      <c r="K717" s="96"/>
      <c r="L717" s="96"/>
      <c r="M717" s="96"/>
      <c r="N717" s="96"/>
      <c r="O717" s="96"/>
      <c r="P717" s="96"/>
      <c r="Q717" s="96"/>
      <c r="R717" s="96"/>
      <c r="S717" s="96"/>
      <c r="T717" s="96"/>
      <c r="U717" s="96"/>
      <c r="V717" s="96"/>
      <c r="W717" s="96"/>
      <c r="X717" s="96"/>
      <c r="Y717" s="96"/>
      <c r="Z717" s="96"/>
      <c r="AA717" s="96"/>
    </row>
    <row r="718" spans="1:27" ht="15.75" customHeight="1">
      <c r="A718" s="96"/>
      <c r="B718" s="96"/>
      <c r="C718" s="96"/>
      <c r="D718" s="96"/>
      <c r="E718" s="96"/>
      <c r="F718" s="96"/>
      <c r="G718" s="96"/>
      <c r="H718" s="96"/>
      <c r="I718" s="96"/>
      <c r="J718" s="96"/>
      <c r="K718" s="96"/>
      <c r="L718" s="96"/>
      <c r="M718" s="96"/>
      <c r="N718" s="96"/>
      <c r="O718" s="96"/>
      <c r="P718" s="96"/>
      <c r="Q718" s="96"/>
      <c r="R718" s="96"/>
      <c r="S718" s="96"/>
      <c r="T718" s="96"/>
      <c r="U718" s="96"/>
      <c r="V718" s="96"/>
      <c r="W718" s="96"/>
      <c r="X718" s="96"/>
      <c r="Y718" s="96"/>
      <c r="Z718" s="96"/>
      <c r="AA718" s="96"/>
    </row>
    <row r="719" spans="1:27" ht="15.75" customHeight="1">
      <c r="A719" s="96"/>
      <c r="B719" s="96"/>
      <c r="C719" s="96"/>
      <c r="D719" s="96"/>
      <c r="E719" s="96"/>
      <c r="F719" s="96"/>
      <c r="G719" s="96"/>
      <c r="H719" s="96"/>
      <c r="I719" s="96"/>
      <c r="J719" s="96"/>
      <c r="K719" s="96"/>
      <c r="L719" s="96"/>
      <c r="M719" s="96"/>
      <c r="N719" s="96"/>
      <c r="O719" s="96"/>
      <c r="P719" s="96"/>
      <c r="Q719" s="96"/>
      <c r="R719" s="96"/>
      <c r="S719" s="96"/>
      <c r="T719" s="96"/>
      <c r="U719" s="96"/>
      <c r="V719" s="96"/>
      <c r="W719" s="96"/>
      <c r="X719" s="96"/>
      <c r="Y719" s="96"/>
      <c r="Z719" s="96"/>
      <c r="AA719" s="96"/>
    </row>
    <row r="720" spans="1:27" ht="15.75" customHeight="1">
      <c r="A720" s="96"/>
      <c r="B720" s="96"/>
      <c r="C720" s="96"/>
      <c r="D720" s="96"/>
      <c r="E720" s="96"/>
      <c r="F720" s="96"/>
      <c r="G720" s="96"/>
      <c r="H720" s="96"/>
      <c r="I720" s="96"/>
      <c r="J720" s="96"/>
      <c r="K720" s="96"/>
      <c r="L720" s="96"/>
      <c r="M720" s="96"/>
      <c r="N720" s="96"/>
      <c r="O720" s="96"/>
      <c r="P720" s="96"/>
      <c r="Q720" s="96"/>
      <c r="R720" s="96"/>
      <c r="S720" s="96"/>
      <c r="T720" s="96"/>
      <c r="U720" s="96"/>
      <c r="V720" s="96"/>
      <c r="W720" s="96"/>
      <c r="X720" s="96"/>
      <c r="Y720" s="96"/>
      <c r="Z720" s="96"/>
      <c r="AA720" s="96"/>
    </row>
    <row r="721" spans="1:27" ht="15.75" customHeight="1">
      <c r="A721" s="96"/>
      <c r="B721" s="96"/>
      <c r="C721" s="96"/>
      <c r="D721" s="96"/>
      <c r="E721" s="96"/>
      <c r="F721" s="96"/>
      <c r="G721" s="96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  <c r="Z721" s="96"/>
      <c r="AA721" s="96"/>
    </row>
    <row r="722" spans="1:27" ht="15.75" customHeight="1">
      <c r="A722" s="96"/>
      <c r="B722" s="96"/>
      <c r="C722" s="96"/>
      <c r="D722" s="96"/>
      <c r="E722" s="96"/>
      <c r="F722" s="96"/>
      <c r="G722" s="96"/>
      <c r="H722" s="96"/>
      <c r="I722" s="96"/>
      <c r="J722" s="96"/>
      <c r="K722" s="96"/>
      <c r="L722" s="96"/>
      <c r="M722" s="96"/>
      <c r="N722" s="96"/>
      <c r="O722" s="96"/>
      <c r="P722" s="96"/>
      <c r="Q722" s="96"/>
      <c r="R722" s="96"/>
      <c r="S722" s="96"/>
      <c r="T722" s="96"/>
      <c r="U722" s="96"/>
      <c r="V722" s="96"/>
      <c r="W722" s="96"/>
      <c r="X722" s="96"/>
      <c r="Y722" s="96"/>
      <c r="Z722" s="96"/>
      <c r="AA722" s="96"/>
    </row>
    <row r="723" spans="1:27" ht="15.75" customHeight="1">
      <c r="A723" s="96"/>
      <c r="B723" s="96"/>
      <c r="C723" s="96"/>
      <c r="D723" s="96"/>
      <c r="E723" s="96"/>
      <c r="F723" s="96"/>
      <c r="G723" s="96"/>
      <c r="H723" s="96"/>
      <c r="I723" s="96"/>
      <c r="J723" s="96"/>
      <c r="K723" s="96"/>
      <c r="L723" s="96"/>
      <c r="M723" s="96"/>
      <c r="N723" s="96"/>
      <c r="O723" s="96"/>
      <c r="P723" s="96"/>
      <c r="Q723" s="96"/>
      <c r="R723" s="96"/>
      <c r="S723" s="96"/>
      <c r="T723" s="96"/>
      <c r="U723" s="96"/>
      <c r="V723" s="96"/>
      <c r="W723" s="96"/>
      <c r="X723" s="96"/>
      <c r="Y723" s="96"/>
      <c r="Z723" s="96"/>
      <c r="AA723" s="96"/>
    </row>
    <row r="724" spans="1:27" ht="15.75" customHeight="1">
      <c r="A724" s="96"/>
      <c r="B724" s="96"/>
      <c r="C724" s="96"/>
      <c r="D724" s="96"/>
      <c r="E724" s="96"/>
      <c r="F724" s="96"/>
      <c r="G724" s="96"/>
      <c r="H724" s="96"/>
      <c r="I724" s="96"/>
      <c r="J724" s="96"/>
      <c r="K724" s="96"/>
      <c r="L724" s="96"/>
      <c r="M724" s="96"/>
      <c r="N724" s="96"/>
      <c r="O724" s="96"/>
      <c r="P724" s="96"/>
      <c r="Q724" s="96"/>
      <c r="R724" s="96"/>
      <c r="S724" s="96"/>
      <c r="T724" s="96"/>
      <c r="U724" s="96"/>
      <c r="V724" s="96"/>
      <c r="W724" s="96"/>
      <c r="X724" s="96"/>
      <c r="Y724" s="96"/>
      <c r="Z724" s="96"/>
      <c r="AA724" s="96"/>
    </row>
    <row r="725" spans="1:27" ht="15.75" customHeight="1">
      <c r="A725" s="96"/>
      <c r="B725" s="96"/>
      <c r="C725" s="96"/>
      <c r="D725" s="96"/>
      <c r="E725" s="96"/>
      <c r="F725" s="96"/>
      <c r="G725" s="96"/>
      <c r="H725" s="96"/>
      <c r="I725" s="96"/>
      <c r="J725" s="96"/>
      <c r="K725" s="96"/>
      <c r="L725" s="96"/>
      <c r="M725" s="96"/>
      <c r="N725" s="96"/>
      <c r="O725" s="96"/>
      <c r="P725" s="96"/>
      <c r="Q725" s="96"/>
      <c r="R725" s="96"/>
      <c r="S725" s="96"/>
      <c r="T725" s="96"/>
      <c r="U725" s="96"/>
      <c r="V725" s="96"/>
      <c r="W725" s="96"/>
      <c r="X725" s="96"/>
      <c r="Y725" s="96"/>
      <c r="Z725" s="96"/>
      <c r="AA725" s="96"/>
    </row>
    <row r="726" spans="1:27" ht="15.75" customHeight="1">
      <c r="A726" s="96"/>
      <c r="B726" s="96"/>
      <c r="C726" s="96"/>
      <c r="D726" s="96"/>
      <c r="E726" s="96"/>
      <c r="F726" s="96"/>
      <c r="G726" s="96"/>
      <c r="H726" s="96"/>
      <c r="I726" s="96"/>
      <c r="J726" s="96"/>
      <c r="K726" s="96"/>
      <c r="L726" s="96"/>
      <c r="M726" s="96"/>
      <c r="N726" s="96"/>
      <c r="O726" s="96"/>
      <c r="P726" s="96"/>
      <c r="Q726" s="96"/>
      <c r="R726" s="96"/>
      <c r="S726" s="96"/>
      <c r="T726" s="96"/>
      <c r="U726" s="96"/>
      <c r="V726" s="96"/>
      <c r="W726" s="96"/>
      <c r="X726" s="96"/>
      <c r="Y726" s="96"/>
      <c r="Z726" s="96"/>
      <c r="AA726" s="96"/>
    </row>
    <row r="727" spans="1:27" ht="15.75" customHeight="1">
      <c r="A727" s="96"/>
      <c r="B727" s="96"/>
      <c r="C727" s="96"/>
      <c r="D727" s="96"/>
      <c r="E727" s="96"/>
      <c r="F727" s="96"/>
      <c r="G727" s="96"/>
      <c r="H727" s="96"/>
      <c r="I727" s="96"/>
      <c r="J727" s="96"/>
      <c r="K727" s="96"/>
      <c r="L727" s="96"/>
      <c r="M727" s="96"/>
      <c r="N727" s="96"/>
      <c r="O727" s="96"/>
      <c r="P727" s="96"/>
      <c r="Q727" s="96"/>
      <c r="R727" s="96"/>
      <c r="S727" s="96"/>
      <c r="T727" s="96"/>
      <c r="U727" s="96"/>
      <c r="V727" s="96"/>
      <c r="W727" s="96"/>
      <c r="X727" s="96"/>
      <c r="Y727" s="96"/>
      <c r="Z727" s="96"/>
      <c r="AA727" s="96"/>
    </row>
    <row r="728" spans="1:27" ht="15.75" customHeight="1">
      <c r="A728" s="96"/>
      <c r="B728" s="96"/>
      <c r="C728" s="96"/>
      <c r="D728" s="96"/>
      <c r="E728" s="96"/>
      <c r="F728" s="96"/>
      <c r="G728" s="96"/>
      <c r="H728" s="96"/>
      <c r="I728" s="96"/>
      <c r="J728" s="96"/>
      <c r="K728" s="96"/>
      <c r="L728" s="96"/>
      <c r="M728" s="96"/>
      <c r="N728" s="96"/>
      <c r="O728" s="96"/>
      <c r="P728" s="96"/>
      <c r="Q728" s="96"/>
      <c r="R728" s="96"/>
      <c r="S728" s="96"/>
      <c r="T728" s="96"/>
      <c r="U728" s="96"/>
      <c r="V728" s="96"/>
      <c r="W728" s="96"/>
      <c r="X728" s="96"/>
      <c r="Y728" s="96"/>
      <c r="Z728" s="96"/>
      <c r="AA728" s="96"/>
    </row>
    <row r="729" spans="1:27" ht="15.75" customHeight="1">
      <c r="A729" s="96"/>
      <c r="B729" s="96"/>
      <c r="C729" s="96"/>
      <c r="D729" s="96"/>
      <c r="E729" s="96"/>
      <c r="F729" s="96"/>
      <c r="G729" s="96"/>
      <c r="H729" s="96"/>
      <c r="I729" s="96"/>
      <c r="J729" s="96"/>
      <c r="K729" s="96"/>
      <c r="L729" s="96"/>
      <c r="M729" s="96"/>
      <c r="N729" s="96"/>
      <c r="O729" s="96"/>
      <c r="P729" s="96"/>
      <c r="Q729" s="96"/>
      <c r="R729" s="96"/>
      <c r="S729" s="96"/>
      <c r="T729" s="96"/>
      <c r="U729" s="96"/>
      <c r="V729" s="96"/>
      <c r="W729" s="96"/>
      <c r="X729" s="96"/>
      <c r="Y729" s="96"/>
      <c r="Z729" s="96"/>
      <c r="AA729" s="96"/>
    </row>
    <row r="730" spans="1:27" ht="15.75" customHeight="1">
      <c r="A730" s="96"/>
      <c r="B730" s="96"/>
      <c r="C730" s="96"/>
      <c r="D730" s="96"/>
      <c r="E730" s="96"/>
      <c r="F730" s="96"/>
      <c r="G730" s="96"/>
      <c r="H730" s="96"/>
      <c r="I730" s="96"/>
      <c r="J730" s="96"/>
      <c r="K730" s="96"/>
      <c r="L730" s="96"/>
      <c r="M730" s="96"/>
      <c r="N730" s="96"/>
      <c r="O730" s="96"/>
      <c r="P730" s="96"/>
      <c r="Q730" s="96"/>
      <c r="R730" s="96"/>
      <c r="S730" s="96"/>
      <c r="T730" s="96"/>
      <c r="U730" s="96"/>
      <c r="V730" s="96"/>
      <c r="W730" s="96"/>
      <c r="X730" s="96"/>
      <c r="Y730" s="96"/>
      <c r="Z730" s="96"/>
      <c r="AA730" s="96"/>
    </row>
    <row r="731" spans="1:27" ht="15.75" customHeight="1">
      <c r="A731" s="96"/>
      <c r="B731" s="96"/>
      <c r="C731" s="96"/>
      <c r="D731" s="96"/>
      <c r="E731" s="96"/>
      <c r="F731" s="96"/>
      <c r="G731" s="96"/>
      <c r="H731" s="96"/>
      <c r="I731" s="96"/>
      <c r="J731" s="96"/>
      <c r="K731" s="96"/>
      <c r="L731" s="96"/>
      <c r="M731" s="96"/>
      <c r="N731" s="96"/>
      <c r="O731" s="96"/>
      <c r="P731" s="96"/>
      <c r="Q731" s="96"/>
      <c r="R731" s="96"/>
      <c r="S731" s="96"/>
      <c r="T731" s="96"/>
      <c r="U731" s="96"/>
      <c r="V731" s="96"/>
      <c r="W731" s="96"/>
      <c r="X731" s="96"/>
      <c r="Y731" s="96"/>
      <c r="Z731" s="96"/>
      <c r="AA731" s="96"/>
    </row>
    <row r="732" spans="1:27" ht="15.75" customHeight="1">
      <c r="A732" s="96"/>
      <c r="B732" s="96"/>
      <c r="C732" s="96"/>
      <c r="D732" s="96"/>
      <c r="E732" s="96"/>
      <c r="F732" s="96"/>
      <c r="G732" s="96"/>
      <c r="H732" s="96"/>
      <c r="I732" s="96"/>
      <c r="J732" s="96"/>
      <c r="K732" s="96"/>
      <c r="L732" s="96"/>
      <c r="M732" s="96"/>
      <c r="N732" s="96"/>
      <c r="O732" s="96"/>
      <c r="P732" s="96"/>
      <c r="Q732" s="96"/>
      <c r="R732" s="96"/>
      <c r="S732" s="96"/>
      <c r="T732" s="96"/>
      <c r="U732" s="96"/>
      <c r="V732" s="96"/>
      <c r="W732" s="96"/>
      <c r="X732" s="96"/>
      <c r="Y732" s="96"/>
      <c r="Z732" s="96"/>
      <c r="AA732" s="96"/>
    </row>
    <row r="733" spans="1:27" ht="15.75" customHeight="1">
      <c r="A733" s="96"/>
      <c r="B733" s="96"/>
      <c r="C733" s="96"/>
      <c r="D733" s="96"/>
      <c r="E733" s="96"/>
      <c r="F733" s="96"/>
      <c r="G733" s="96"/>
      <c r="H733" s="96"/>
      <c r="I733" s="96"/>
      <c r="J733" s="96"/>
      <c r="K733" s="96"/>
      <c r="L733" s="96"/>
      <c r="M733" s="96"/>
      <c r="N733" s="96"/>
      <c r="O733" s="96"/>
      <c r="P733" s="96"/>
      <c r="Q733" s="96"/>
      <c r="R733" s="96"/>
      <c r="S733" s="96"/>
      <c r="T733" s="96"/>
      <c r="U733" s="96"/>
      <c r="V733" s="96"/>
      <c r="W733" s="96"/>
      <c r="X733" s="96"/>
      <c r="Y733" s="96"/>
      <c r="Z733" s="96"/>
      <c r="AA733" s="96"/>
    </row>
    <row r="734" spans="1:27" ht="15.75" customHeight="1">
      <c r="A734" s="96"/>
      <c r="B734" s="96"/>
      <c r="C734" s="96"/>
      <c r="D734" s="96"/>
      <c r="E734" s="96"/>
      <c r="F734" s="96"/>
      <c r="G734" s="96"/>
      <c r="H734" s="96"/>
      <c r="I734" s="96"/>
      <c r="J734" s="96"/>
      <c r="K734" s="96"/>
      <c r="L734" s="96"/>
      <c r="M734" s="96"/>
      <c r="N734" s="96"/>
      <c r="O734" s="96"/>
      <c r="P734" s="96"/>
      <c r="Q734" s="96"/>
      <c r="R734" s="96"/>
      <c r="S734" s="96"/>
      <c r="T734" s="96"/>
      <c r="U734" s="96"/>
      <c r="V734" s="96"/>
      <c r="W734" s="96"/>
      <c r="X734" s="96"/>
      <c r="Y734" s="96"/>
      <c r="Z734" s="96"/>
      <c r="AA734" s="96"/>
    </row>
    <row r="735" spans="1:27" ht="15.75" customHeight="1">
      <c r="A735" s="96"/>
      <c r="B735" s="96"/>
      <c r="C735" s="96"/>
      <c r="D735" s="96"/>
      <c r="E735" s="96"/>
      <c r="F735" s="96"/>
      <c r="G735" s="96"/>
      <c r="H735" s="96"/>
      <c r="I735" s="96"/>
      <c r="J735" s="96"/>
      <c r="K735" s="96"/>
      <c r="L735" s="96"/>
      <c r="M735" s="96"/>
      <c r="N735" s="96"/>
      <c r="O735" s="96"/>
      <c r="P735" s="96"/>
      <c r="Q735" s="96"/>
      <c r="R735" s="96"/>
      <c r="S735" s="96"/>
      <c r="T735" s="96"/>
      <c r="U735" s="96"/>
      <c r="V735" s="96"/>
      <c r="W735" s="96"/>
      <c r="X735" s="96"/>
      <c r="Y735" s="96"/>
      <c r="Z735" s="96"/>
      <c r="AA735" s="96"/>
    </row>
    <row r="736" spans="1:27" ht="15.75" customHeight="1">
      <c r="A736" s="96"/>
      <c r="B736" s="96"/>
      <c r="C736" s="96"/>
      <c r="D736" s="96"/>
      <c r="E736" s="96"/>
      <c r="F736" s="96"/>
      <c r="G736" s="96"/>
      <c r="H736" s="96"/>
      <c r="I736" s="96"/>
      <c r="J736" s="96"/>
      <c r="K736" s="96"/>
      <c r="L736" s="96"/>
      <c r="M736" s="96"/>
      <c r="N736" s="96"/>
      <c r="O736" s="96"/>
      <c r="P736" s="96"/>
      <c r="Q736" s="96"/>
      <c r="R736" s="96"/>
      <c r="S736" s="96"/>
      <c r="T736" s="96"/>
      <c r="U736" s="96"/>
      <c r="V736" s="96"/>
      <c r="W736" s="96"/>
      <c r="X736" s="96"/>
      <c r="Y736" s="96"/>
      <c r="Z736" s="96"/>
      <c r="AA736" s="96"/>
    </row>
    <row r="737" spans="1:27" ht="15.75" customHeight="1">
      <c r="A737" s="96"/>
      <c r="B737" s="96"/>
      <c r="C737" s="96"/>
      <c r="D737" s="96"/>
      <c r="E737" s="96"/>
      <c r="F737" s="96"/>
      <c r="G737" s="96"/>
      <c r="H737" s="96"/>
      <c r="I737" s="96"/>
      <c r="J737" s="96"/>
      <c r="K737" s="96"/>
      <c r="L737" s="96"/>
      <c r="M737" s="96"/>
      <c r="N737" s="96"/>
      <c r="O737" s="96"/>
      <c r="P737" s="96"/>
      <c r="Q737" s="96"/>
      <c r="R737" s="96"/>
      <c r="S737" s="96"/>
      <c r="T737" s="96"/>
      <c r="U737" s="96"/>
      <c r="V737" s="96"/>
      <c r="W737" s="96"/>
      <c r="X737" s="96"/>
      <c r="Y737" s="96"/>
      <c r="Z737" s="96"/>
      <c r="AA737" s="96"/>
    </row>
    <row r="738" spans="1:27" ht="15.75" customHeight="1">
      <c r="A738" s="96"/>
      <c r="B738" s="96"/>
      <c r="C738" s="96"/>
      <c r="D738" s="96"/>
      <c r="E738" s="96"/>
      <c r="F738" s="96"/>
      <c r="G738" s="96"/>
      <c r="H738" s="96"/>
      <c r="I738" s="96"/>
      <c r="J738" s="96"/>
      <c r="K738" s="96"/>
      <c r="L738" s="96"/>
      <c r="M738" s="96"/>
      <c r="N738" s="96"/>
      <c r="O738" s="96"/>
      <c r="P738" s="96"/>
      <c r="Q738" s="96"/>
      <c r="R738" s="96"/>
      <c r="S738" s="96"/>
      <c r="T738" s="96"/>
      <c r="U738" s="96"/>
      <c r="V738" s="96"/>
      <c r="W738" s="96"/>
      <c r="X738" s="96"/>
      <c r="Y738" s="96"/>
      <c r="Z738" s="96"/>
      <c r="AA738" s="96"/>
    </row>
    <row r="739" spans="1:27" ht="15.75" customHeight="1">
      <c r="A739" s="96"/>
      <c r="B739" s="96"/>
      <c r="C739" s="96"/>
      <c r="D739" s="96"/>
      <c r="E739" s="96"/>
      <c r="F739" s="96"/>
      <c r="G739" s="96"/>
      <c r="H739" s="96"/>
      <c r="I739" s="96"/>
      <c r="J739" s="96"/>
      <c r="K739" s="96"/>
      <c r="L739" s="96"/>
      <c r="M739" s="96"/>
      <c r="N739" s="96"/>
      <c r="O739" s="96"/>
      <c r="P739" s="96"/>
      <c r="Q739" s="96"/>
      <c r="R739" s="96"/>
      <c r="S739" s="96"/>
      <c r="T739" s="96"/>
      <c r="U739" s="96"/>
      <c r="V739" s="96"/>
      <c r="W739" s="96"/>
      <c r="X739" s="96"/>
      <c r="Y739" s="96"/>
      <c r="Z739" s="96"/>
      <c r="AA739" s="96"/>
    </row>
    <row r="740" spans="1:27" ht="15.75" customHeight="1">
      <c r="A740" s="96"/>
      <c r="B740" s="96"/>
      <c r="C740" s="96"/>
      <c r="D740" s="96"/>
      <c r="E740" s="96"/>
      <c r="F740" s="96"/>
      <c r="G740" s="96"/>
      <c r="H740" s="96"/>
      <c r="I740" s="96"/>
      <c r="J740" s="96"/>
      <c r="K740" s="96"/>
      <c r="L740" s="96"/>
      <c r="M740" s="96"/>
      <c r="N740" s="96"/>
      <c r="O740" s="96"/>
      <c r="P740" s="96"/>
      <c r="Q740" s="96"/>
      <c r="R740" s="96"/>
      <c r="S740" s="96"/>
      <c r="T740" s="96"/>
      <c r="U740" s="96"/>
      <c r="V740" s="96"/>
      <c r="W740" s="96"/>
      <c r="X740" s="96"/>
      <c r="Y740" s="96"/>
      <c r="Z740" s="96"/>
      <c r="AA740" s="96"/>
    </row>
    <row r="741" spans="1:27" ht="15.75" customHeight="1">
      <c r="A741" s="96"/>
      <c r="B741" s="96"/>
      <c r="C741" s="96"/>
      <c r="D741" s="96"/>
      <c r="E741" s="96"/>
      <c r="F741" s="96"/>
      <c r="G741" s="96"/>
      <c r="H741" s="96"/>
      <c r="I741" s="96"/>
      <c r="J741" s="96"/>
      <c r="K741" s="96"/>
      <c r="L741" s="96"/>
      <c r="M741" s="96"/>
      <c r="N741" s="96"/>
      <c r="O741" s="96"/>
      <c r="P741" s="96"/>
      <c r="Q741" s="96"/>
      <c r="R741" s="96"/>
      <c r="S741" s="96"/>
      <c r="T741" s="96"/>
      <c r="U741" s="96"/>
      <c r="V741" s="96"/>
      <c r="W741" s="96"/>
      <c r="X741" s="96"/>
      <c r="Y741" s="96"/>
      <c r="Z741" s="96"/>
      <c r="AA741" s="96"/>
    </row>
    <row r="742" spans="1:27" ht="15.75" customHeight="1">
      <c r="A742" s="96"/>
      <c r="B742" s="96"/>
      <c r="C742" s="96"/>
      <c r="D742" s="96"/>
      <c r="E742" s="96"/>
      <c r="F742" s="96"/>
      <c r="G742" s="96"/>
      <c r="H742" s="96"/>
      <c r="I742" s="96"/>
      <c r="J742" s="96"/>
      <c r="K742" s="96"/>
      <c r="L742" s="96"/>
      <c r="M742" s="96"/>
      <c r="N742" s="96"/>
      <c r="O742" s="96"/>
      <c r="P742" s="96"/>
      <c r="Q742" s="96"/>
      <c r="R742" s="96"/>
      <c r="S742" s="96"/>
      <c r="T742" s="96"/>
      <c r="U742" s="96"/>
      <c r="V742" s="96"/>
      <c r="W742" s="96"/>
      <c r="X742" s="96"/>
      <c r="Y742" s="96"/>
      <c r="Z742" s="96"/>
      <c r="AA742" s="96"/>
    </row>
    <row r="743" spans="1:27" ht="15.75" customHeight="1">
      <c r="A743" s="96"/>
      <c r="B743" s="96"/>
      <c r="C743" s="96"/>
      <c r="D743" s="96"/>
      <c r="E743" s="96"/>
      <c r="F743" s="96"/>
      <c r="G743" s="96"/>
      <c r="H743" s="96"/>
      <c r="I743" s="96"/>
      <c r="J743" s="96"/>
      <c r="K743" s="96"/>
      <c r="L743" s="96"/>
      <c r="M743" s="96"/>
      <c r="N743" s="96"/>
      <c r="O743" s="96"/>
      <c r="P743" s="96"/>
      <c r="Q743" s="96"/>
      <c r="R743" s="96"/>
      <c r="S743" s="96"/>
      <c r="T743" s="96"/>
      <c r="U743" s="96"/>
      <c r="V743" s="96"/>
      <c r="W743" s="96"/>
      <c r="X743" s="96"/>
      <c r="Y743" s="96"/>
      <c r="Z743" s="96"/>
      <c r="AA743" s="96"/>
    </row>
    <row r="744" spans="1:27" ht="15.75" customHeight="1">
      <c r="A744" s="96"/>
      <c r="B744" s="96"/>
      <c r="C744" s="96"/>
      <c r="D744" s="96"/>
      <c r="E744" s="96"/>
      <c r="F744" s="96"/>
      <c r="G744" s="96"/>
      <c r="H744" s="96"/>
      <c r="I744" s="96"/>
      <c r="J744" s="96"/>
      <c r="K744" s="96"/>
      <c r="L744" s="96"/>
      <c r="M744" s="96"/>
      <c r="N744" s="96"/>
      <c r="O744" s="96"/>
      <c r="P744" s="96"/>
      <c r="Q744" s="96"/>
      <c r="R744" s="96"/>
      <c r="S744" s="96"/>
      <c r="T744" s="96"/>
      <c r="U744" s="96"/>
      <c r="V744" s="96"/>
      <c r="W744" s="96"/>
      <c r="X744" s="96"/>
      <c r="Y744" s="96"/>
      <c r="Z744" s="96"/>
      <c r="AA744" s="96"/>
    </row>
    <row r="745" spans="1:27" ht="15.75" customHeight="1">
      <c r="A745" s="96"/>
      <c r="B745" s="96"/>
      <c r="C745" s="96"/>
      <c r="D745" s="96"/>
      <c r="E745" s="96"/>
      <c r="F745" s="96"/>
      <c r="G745" s="96"/>
      <c r="H745" s="96"/>
      <c r="I745" s="96"/>
      <c r="J745" s="96"/>
      <c r="K745" s="96"/>
      <c r="L745" s="96"/>
      <c r="M745" s="96"/>
      <c r="N745" s="96"/>
      <c r="O745" s="96"/>
      <c r="P745" s="96"/>
      <c r="Q745" s="96"/>
      <c r="R745" s="96"/>
      <c r="S745" s="96"/>
      <c r="T745" s="96"/>
      <c r="U745" s="96"/>
      <c r="V745" s="96"/>
      <c r="W745" s="96"/>
      <c r="X745" s="96"/>
      <c r="Y745" s="96"/>
      <c r="Z745" s="96"/>
      <c r="AA745" s="96"/>
    </row>
    <row r="746" spans="1:27" ht="15.75" customHeight="1">
      <c r="A746" s="96"/>
      <c r="B746" s="96"/>
      <c r="C746" s="96"/>
      <c r="D746" s="96"/>
      <c r="E746" s="96"/>
      <c r="F746" s="96"/>
      <c r="G746" s="96"/>
      <c r="H746" s="96"/>
      <c r="I746" s="96"/>
      <c r="J746" s="96"/>
      <c r="K746" s="96"/>
      <c r="L746" s="96"/>
      <c r="M746" s="96"/>
      <c r="N746" s="96"/>
      <c r="O746" s="96"/>
      <c r="P746" s="96"/>
      <c r="Q746" s="96"/>
      <c r="R746" s="96"/>
      <c r="S746" s="96"/>
      <c r="T746" s="96"/>
      <c r="U746" s="96"/>
      <c r="V746" s="96"/>
      <c r="W746" s="96"/>
      <c r="X746" s="96"/>
      <c r="Y746" s="96"/>
      <c r="Z746" s="96"/>
      <c r="AA746" s="96"/>
    </row>
    <row r="747" spans="1:27" ht="15.75" customHeight="1">
      <c r="A747" s="96"/>
      <c r="B747" s="96"/>
      <c r="C747" s="96"/>
      <c r="D747" s="96"/>
      <c r="E747" s="96"/>
      <c r="F747" s="96"/>
      <c r="G747" s="96"/>
      <c r="H747" s="96"/>
      <c r="I747" s="96"/>
      <c r="J747" s="96"/>
      <c r="K747" s="96"/>
      <c r="L747" s="96"/>
      <c r="M747" s="96"/>
      <c r="N747" s="96"/>
      <c r="O747" s="96"/>
      <c r="P747" s="96"/>
      <c r="Q747" s="96"/>
      <c r="R747" s="96"/>
      <c r="S747" s="96"/>
      <c r="T747" s="96"/>
      <c r="U747" s="96"/>
      <c r="V747" s="96"/>
      <c r="W747" s="96"/>
      <c r="X747" s="96"/>
      <c r="Y747" s="96"/>
      <c r="Z747" s="96"/>
      <c r="AA747" s="96"/>
    </row>
    <row r="748" spans="1:27" ht="15.75" customHeight="1">
      <c r="A748" s="96"/>
      <c r="B748" s="96"/>
      <c r="C748" s="96"/>
      <c r="D748" s="96"/>
      <c r="E748" s="96"/>
      <c r="F748" s="96"/>
      <c r="G748" s="96"/>
      <c r="H748" s="96"/>
      <c r="I748" s="96"/>
      <c r="J748" s="96"/>
      <c r="K748" s="96"/>
      <c r="L748" s="96"/>
      <c r="M748" s="96"/>
      <c r="N748" s="96"/>
      <c r="O748" s="96"/>
      <c r="P748" s="96"/>
      <c r="Q748" s="96"/>
      <c r="R748" s="96"/>
      <c r="S748" s="96"/>
      <c r="T748" s="96"/>
      <c r="U748" s="96"/>
      <c r="V748" s="96"/>
      <c r="W748" s="96"/>
      <c r="X748" s="96"/>
      <c r="Y748" s="96"/>
      <c r="Z748" s="96"/>
      <c r="AA748" s="96"/>
    </row>
    <row r="749" spans="1:27" ht="15.75" customHeight="1">
      <c r="A749" s="96"/>
      <c r="B749" s="96"/>
      <c r="C749" s="96"/>
      <c r="D749" s="96"/>
      <c r="E749" s="96"/>
      <c r="F749" s="96"/>
      <c r="G749" s="96"/>
      <c r="H749" s="96"/>
      <c r="I749" s="96"/>
      <c r="J749" s="96"/>
      <c r="K749" s="96"/>
      <c r="L749" s="96"/>
      <c r="M749" s="96"/>
      <c r="N749" s="96"/>
      <c r="O749" s="96"/>
      <c r="P749" s="96"/>
      <c r="Q749" s="96"/>
      <c r="R749" s="96"/>
      <c r="S749" s="96"/>
      <c r="T749" s="96"/>
      <c r="U749" s="96"/>
      <c r="V749" s="96"/>
      <c r="W749" s="96"/>
      <c r="X749" s="96"/>
      <c r="Y749" s="96"/>
      <c r="Z749" s="96"/>
      <c r="AA749" s="96"/>
    </row>
    <row r="750" spans="1:27" ht="15.75" customHeight="1">
      <c r="A750" s="96"/>
      <c r="B750" s="96"/>
      <c r="C750" s="96"/>
      <c r="D750" s="96"/>
      <c r="E750" s="96"/>
      <c r="F750" s="96"/>
      <c r="G750" s="96"/>
      <c r="H750" s="96"/>
      <c r="I750" s="96"/>
      <c r="J750" s="96"/>
      <c r="K750" s="96"/>
      <c r="L750" s="96"/>
      <c r="M750" s="96"/>
      <c r="N750" s="96"/>
      <c r="O750" s="96"/>
      <c r="P750" s="96"/>
      <c r="Q750" s="96"/>
      <c r="R750" s="96"/>
      <c r="S750" s="96"/>
      <c r="T750" s="96"/>
      <c r="U750" s="96"/>
      <c r="V750" s="96"/>
      <c r="W750" s="96"/>
      <c r="X750" s="96"/>
      <c r="Y750" s="96"/>
      <c r="Z750" s="96"/>
      <c r="AA750" s="96"/>
    </row>
    <row r="751" spans="1:27" ht="15.75" customHeight="1">
      <c r="A751" s="96"/>
      <c r="B751" s="96"/>
      <c r="C751" s="96"/>
      <c r="D751" s="96"/>
      <c r="E751" s="96"/>
      <c r="F751" s="96"/>
      <c r="G751" s="96"/>
      <c r="H751" s="96"/>
      <c r="I751" s="96"/>
      <c r="J751" s="96"/>
      <c r="K751" s="96"/>
      <c r="L751" s="96"/>
      <c r="M751" s="96"/>
      <c r="N751" s="96"/>
      <c r="O751" s="96"/>
      <c r="P751" s="96"/>
      <c r="Q751" s="96"/>
      <c r="R751" s="96"/>
      <c r="S751" s="96"/>
      <c r="T751" s="96"/>
      <c r="U751" s="96"/>
      <c r="V751" s="96"/>
      <c r="W751" s="96"/>
      <c r="X751" s="96"/>
      <c r="Y751" s="96"/>
      <c r="Z751" s="96"/>
      <c r="AA751" s="96"/>
    </row>
    <row r="752" spans="1:27" ht="15.75" customHeight="1">
      <c r="A752" s="96"/>
      <c r="B752" s="96"/>
      <c r="C752" s="96"/>
      <c r="D752" s="96"/>
      <c r="E752" s="96"/>
      <c r="F752" s="96"/>
      <c r="G752" s="96"/>
      <c r="H752" s="96"/>
      <c r="I752" s="96"/>
      <c r="J752" s="96"/>
      <c r="K752" s="96"/>
      <c r="L752" s="96"/>
      <c r="M752" s="96"/>
      <c r="N752" s="96"/>
      <c r="O752" s="96"/>
      <c r="P752" s="96"/>
      <c r="Q752" s="96"/>
      <c r="R752" s="96"/>
      <c r="S752" s="96"/>
      <c r="T752" s="96"/>
      <c r="U752" s="96"/>
      <c r="V752" s="96"/>
      <c r="W752" s="96"/>
      <c r="X752" s="96"/>
      <c r="Y752" s="96"/>
      <c r="Z752" s="96"/>
      <c r="AA752" s="96"/>
    </row>
    <row r="753" spans="1:27" ht="15.75" customHeight="1">
      <c r="A753" s="96"/>
      <c r="B753" s="96"/>
      <c r="C753" s="96"/>
      <c r="D753" s="96"/>
      <c r="E753" s="96"/>
      <c r="F753" s="96"/>
      <c r="G753" s="96"/>
      <c r="H753" s="96"/>
      <c r="I753" s="96"/>
      <c r="J753" s="96"/>
      <c r="K753" s="96"/>
      <c r="L753" s="96"/>
      <c r="M753" s="96"/>
      <c r="N753" s="96"/>
      <c r="O753" s="96"/>
      <c r="P753" s="96"/>
      <c r="Q753" s="96"/>
      <c r="R753" s="96"/>
      <c r="S753" s="96"/>
      <c r="T753" s="96"/>
      <c r="U753" s="96"/>
      <c r="V753" s="96"/>
      <c r="W753" s="96"/>
      <c r="X753" s="96"/>
      <c r="Y753" s="96"/>
      <c r="Z753" s="96"/>
      <c r="AA753" s="96"/>
    </row>
    <row r="754" spans="1:27" ht="15.75" customHeight="1">
      <c r="A754" s="96"/>
      <c r="B754" s="96"/>
      <c r="C754" s="96"/>
      <c r="D754" s="96"/>
      <c r="E754" s="96"/>
      <c r="F754" s="96"/>
      <c r="G754" s="96"/>
      <c r="H754" s="96"/>
      <c r="I754" s="96"/>
      <c r="J754" s="96"/>
      <c r="K754" s="96"/>
      <c r="L754" s="96"/>
      <c r="M754" s="96"/>
      <c r="N754" s="96"/>
      <c r="O754" s="96"/>
      <c r="P754" s="96"/>
      <c r="Q754" s="96"/>
      <c r="R754" s="96"/>
      <c r="S754" s="96"/>
      <c r="T754" s="96"/>
      <c r="U754" s="96"/>
      <c r="V754" s="96"/>
      <c r="W754" s="96"/>
      <c r="X754" s="96"/>
      <c r="Y754" s="96"/>
      <c r="Z754" s="96"/>
      <c r="AA754" s="96"/>
    </row>
    <row r="755" spans="1:27" ht="15.75" customHeight="1">
      <c r="A755" s="96"/>
      <c r="B755" s="96"/>
      <c r="C755" s="96"/>
      <c r="D755" s="96"/>
      <c r="E755" s="96"/>
      <c r="F755" s="96"/>
      <c r="G755" s="96"/>
      <c r="H755" s="96"/>
      <c r="I755" s="96"/>
      <c r="J755" s="96"/>
      <c r="K755" s="96"/>
      <c r="L755" s="96"/>
      <c r="M755" s="96"/>
      <c r="N755" s="96"/>
      <c r="O755" s="96"/>
      <c r="P755" s="96"/>
      <c r="Q755" s="96"/>
      <c r="R755" s="96"/>
      <c r="S755" s="96"/>
      <c r="T755" s="96"/>
      <c r="U755" s="96"/>
      <c r="V755" s="96"/>
      <c r="W755" s="96"/>
      <c r="X755" s="96"/>
      <c r="Y755" s="96"/>
      <c r="Z755" s="96"/>
      <c r="AA755" s="96"/>
    </row>
    <row r="756" spans="1:27" ht="15.75" customHeight="1">
      <c r="A756" s="96"/>
      <c r="B756" s="96"/>
      <c r="C756" s="96"/>
      <c r="D756" s="96"/>
      <c r="E756" s="96"/>
      <c r="F756" s="96"/>
      <c r="G756" s="96"/>
      <c r="H756" s="96"/>
      <c r="I756" s="96"/>
      <c r="J756" s="96"/>
      <c r="K756" s="96"/>
      <c r="L756" s="96"/>
      <c r="M756" s="96"/>
      <c r="N756" s="96"/>
      <c r="O756" s="96"/>
      <c r="P756" s="96"/>
      <c r="Q756" s="96"/>
      <c r="R756" s="96"/>
      <c r="S756" s="96"/>
      <c r="T756" s="96"/>
      <c r="U756" s="96"/>
      <c r="V756" s="96"/>
      <c r="W756" s="96"/>
      <c r="X756" s="96"/>
      <c r="Y756" s="96"/>
      <c r="Z756" s="96"/>
      <c r="AA756" s="96"/>
    </row>
    <row r="757" spans="1:27" ht="15.75" customHeight="1">
      <c r="A757" s="96"/>
      <c r="B757" s="96"/>
      <c r="C757" s="96"/>
      <c r="D757" s="96"/>
      <c r="E757" s="96"/>
      <c r="F757" s="96"/>
      <c r="G757" s="96"/>
      <c r="H757" s="96"/>
      <c r="I757" s="96"/>
      <c r="J757" s="96"/>
      <c r="K757" s="96"/>
      <c r="L757" s="96"/>
      <c r="M757" s="96"/>
      <c r="N757" s="96"/>
      <c r="O757" s="96"/>
      <c r="P757" s="96"/>
      <c r="Q757" s="96"/>
      <c r="R757" s="96"/>
      <c r="S757" s="96"/>
      <c r="T757" s="96"/>
      <c r="U757" s="96"/>
      <c r="V757" s="96"/>
      <c r="W757" s="96"/>
      <c r="X757" s="96"/>
      <c r="Y757" s="96"/>
      <c r="Z757" s="96"/>
      <c r="AA757" s="96"/>
    </row>
    <row r="758" spans="1:27" ht="15.75" customHeight="1">
      <c r="A758" s="96"/>
      <c r="B758" s="96"/>
      <c r="C758" s="96"/>
      <c r="D758" s="96"/>
      <c r="E758" s="96"/>
      <c r="F758" s="96"/>
      <c r="G758" s="96"/>
      <c r="H758" s="96"/>
      <c r="I758" s="96"/>
      <c r="J758" s="96"/>
      <c r="K758" s="96"/>
      <c r="L758" s="96"/>
      <c r="M758" s="96"/>
      <c r="N758" s="96"/>
      <c r="O758" s="96"/>
      <c r="P758" s="96"/>
      <c r="Q758" s="96"/>
      <c r="R758" s="96"/>
      <c r="S758" s="96"/>
      <c r="T758" s="96"/>
      <c r="U758" s="96"/>
      <c r="V758" s="96"/>
      <c r="W758" s="96"/>
      <c r="X758" s="96"/>
      <c r="Y758" s="96"/>
      <c r="Z758" s="96"/>
      <c r="AA758" s="96"/>
    </row>
    <row r="759" spans="1:27" ht="15.75" customHeight="1">
      <c r="A759" s="96"/>
      <c r="B759" s="96"/>
      <c r="C759" s="96"/>
      <c r="D759" s="96"/>
      <c r="E759" s="96"/>
      <c r="F759" s="96"/>
      <c r="G759" s="96"/>
      <c r="H759" s="96"/>
      <c r="I759" s="96"/>
      <c r="J759" s="96"/>
      <c r="K759" s="96"/>
      <c r="L759" s="96"/>
      <c r="M759" s="96"/>
      <c r="N759" s="96"/>
      <c r="O759" s="96"/>
      <c r="P759" s="96"/>
      <c r="Q759" s="96"/>
      <c r="R759" s="96"/>
      <c r="S759" s="96"/>
      <c r="T759" s="96"/>
      <c r="U759" s="96"/>
      <c r="V759" s="96"/>
      <c r="W759" s="96"/>
      <c r="X759" s="96"/>
      <c r="Y759" s="96"/>
      <c r="Z759" s="96"/>
      <c r="AA759" s="96"/>
    </row>
    <row r="760" spans="1:27" ht="15.75" customHeight="1">
      <c r="A760" s="96"/>
      <c r="B760" s="96"/>
      <c r="C760" s="96"/>
      <c r="D760" s="96"/>
      <c r="E760" s="96"/>
      <c r="F760" s="96"/>
      <c r="G760" s="96"/>
      <c r="H760" s="96"/>
      <c r="I760" s="96"/>
      <c r="J760" s="96"/>
      <c r="K760" s="96"/>
      <c r="L760" s="96"/>
      <c r="M760" s="96"/>
      <c r="N760" s="96"/>
      <c r="O760" s="96"/>
      <c r="P760" s="96"/>
      <c r="Q760" s="96"/>
      <c r="R760" s="96"/>
      <c r="S760" s="96"/>
      <c r="T760" s="96"/>
      <c r="U760" s="96"/>
      <c r="V760" s="96"/>
      <c r="W760" s="96"/>
      <c r="X760" s="96"/>
      <c r="Y760" s="96"/>
      <c r="Z760" s="96"/>
      <c r="AA760" s="96"/>
    </row>
    <row r="761" spans="1:27" ht="15.75" customHeight="1">
      <c r="A761" s="96"/>
      <c r="B761" s="96"/>
      <c r="C761" s="96"/>
      <c r="D761" s="96"/>
      <c r="E761" s="96"/>
      <c r="F761" s="96"/>
      <c r="G761" s="96"/>
      <c r="H761" s="96"/>
      <c r="I761" s="96"/>
      <c r="J761" s="96"/>
      <c r="K761" s="96"/>
      <c r="L761" s="96"/>
      <c r="M761" s="96"/>
      <c r="N761" s="96"/>
      <c r="O761" s="96"/>
      <c r="P761" s="96"/>
      <c r="Q761" s="96"/>
      <c r="R761" s="96"/>
      <c r="S761" s="96"/>
      <c r="T761" s="96"/>
      <c r="U761" s="96"/>
      <c r="V761" s="96"/>
      <c r="W761" s="96"/>
      <c r="X761" s="96"/>
      <c r="Y761" s="96"/>
      <c r="Z761" s="96"/>
      <c r="AA761" s="96"/>
    </row>
    <row r="762" spans="1:27" ht="15.75" customHeight="1">
      <c r="A762" s="96"/>
      <c r="B762" s="96"/>
      <c r="C762" s="96"/>
      <c r="D762" s="96"/>
      <c r="E762" s="96"/>
      <c r="F762" s="96"/>
      <c r="G762" s="96"/>
      <c r="H762" s="96"/>
      <c r="I762" s="96"/>
      <c r="J762" s="96"/>
      <c r="K762" s="96"/>
      <c r="L762" s="96"/>
      <c r="M762" s="96"/>
      <c r="N762" s="96"/>
      <c r="O762" s="96"/>
      <c r="P762" s="96"/>
      <c r="Q762" s="96"/>
      <c r="R762" s="96"/>
      <c r="S762" s="96"/>
      <c r="T762" s="96"/>
      <c r="U762" s="96"/>
      <c r="V762" s="96"/>
      <c r="W762" s="96"/>
      <c r="X762" s="96"/>
      <c r="Y762" s="96"/>
      <c r="Z762" s="96"/>
      <c r="AA762" s="96"/>
    </row>
    <row r="763" spans="1:27" ht="15.75" customHeight="1">
      <c r="A763" s="96"/>
      <c r="B763" s="96"/>
      <c r="C763" s="96"/>
      <c r="D763" s="96"/>
      <c r="E763" s="96"/>
      <c r="F763" s="96"/>
      <c r="G763" s="96"/>
      <c r="H763" s="96"/>
      <c r="I763" s="96"/>
      <c r="J763" s="96"/>
      <c r="K763" s="96"/>
      <c r="L763" s="96"/>
      <c r="M763" s="96"/>
      <c r="N763" s="96"/>
      <c r="O763" s="96"/>
      <c r="P763" s="96"/>
      <c r="Q763" s="96"/>
      <c r="R763" s="96"/>
      <c r="S763" s="96"/>
      <c r="T763" s="96"/>
      <c r="U763" s="96"/>
      <c r="V763" s="96"/>
      <c r="W763" s="96"/>
      <c r="X763" s="96"/>
      <c r="Y763" s="96"/>
      <c r="Z763" s="96"/>
      <c r="AA763" s="96"/>
    </row>
    <row r="764" spans="1:27" ht="15.75" customHeight="1">
      <c r="A764" s="96"/>
      <c r="B764" s="96"/>
      <c r="C764" s="96"/>
      <c r="D764" s="96"/>
      <c r="E764" s="96"/>
      <c r="F764" s="96"/>
      <c r="G764" s="96"/>
      <c r="H764" s="96"/>
      <c r="I764" s="96"/>
      <c r="J764" s="96"/>
      <c r="K764" s="96"/>
      <c r="L764" s="96"/>
      <c r="M764" s="96"/>
      <c r="N764" s="96"/>
      <c r="O764" s="96"/>
      <c r="P764" s="96"/>
      <c r="Q764" s="96"/>
      <c r="R764" s="96"/>
      <c r="S764" s="96"/>
      <c r="T764" s="96"/>
      <c r="U764" s="96"/>
      <c r="V764" s="96"/>
      <c r="W764" s="96"/>
      <c r="X764" s="96"/>
      <c r="Y764" s="96"/>
      <c r="Z764" s="96"/>
      <c r="AA764" s="96"/>
    </row>
    <row r="765" spans="1:27" ht="15.75" customHeight="1">
      <c r="A765" s="96"/>
      <c r="B765" s="96"/>
      <c r="C765" s="96"/>
      <c r="D765" s="96"/>
      <c r="E765" s="96"/>
      <c r="F765" s="96"/>
      <c r="G765" s="96"/>
      <c r="H765" s="96"/>
      <c r="I765" s="96"/>
      <c r="J765" s="96"/>
      <c r="K765" s="96"/>
      <c r="L765" s="96"/>
      <c r="M765" s="96"/>
      <c r="N765" s="96"/>
      <c r="O765" s="96"/>
      <c r="P765" s="96"/>
      <c r="Q765" s="96"/>
      <c r="R765" s="96"/>
      <c r="S765" s="96"/>
      <c r="T765" s="96"/>
      <c r="U765" s="96"/>
      <c r="V765" s="96"/>
      <c r="W765" s="96"/>
      <c r="X765" s="96"/>
      <c r="Y765" s="96"/>
      <c r="Z765" s="96"/>
      <c r="AA765" s="96"/>
    </row>
    <row r="766" spans="1:27" ht="15.75" customHeight="1">
      <c r="A766" s="96"/>
      <c r="B766" s="96"/>
      <c r="C766" s="96"/>
      <c r="D766" s="96"/>
      <c r="E766" s="96"/>
      <c r="F766" s="96"/>
      <c r="G766" s="96"/>
      <c r="H766" s="96"/>
      <c r="I766" s="96"/>
      <c r="J766" s="96"/>
      <c r="K766" s="96"/>
      <c r="L766" s="96"/>
      <c r="M766" s="96"/>
      <c r="N766" s="96"/>
      <c r="O766" s="96"/>
      <c r="P766" s="96"/>
      <c r="Q766" s="96"/>
      <c r="R766" s="96"/>
      <c r="S766" s="96"/>
      <c r="T766" s="96"/>
      <c r="U766" s="96"/>
      <c r="V766" s="96"/>
      <c r="W766" s="96"/>
      <c r="X766" s="96"/>
      <c r="Y766" s="96"/>
      <c r="Z766" s="96"/>
      <c r="AA766" s="96"/>
    </row>
    <row r="767" spans="1:27" ht="15.75" customHeight="1">
      <c r="A767" s="96"/>
      <c r="B767" s="96"/>
      <c r="C767" s="96"/>
      <c r="D767" s="96"/>
      <c r="E767" s="96"/>
      <c r="F767" s="96"/>
      <c r="G767" s="96"/>
      <c r="H767" s="96"/>
      <c r="I767" s="96"/>
      <c r="J767" s="96"/>
      <c r="K767" s="96"/>
      <c r="L767" s="96"/>
      <c r="M767" s="96"/>
      <c r="N767" s="96"/>
      <c r="O767" s="96"/>
      <c r="P767" s="96"/>
      <c r="Q767" s="96"/>
      <c r="R767" s="96"/>
      <c r="S767" s="96"/>
      <c r="T767" s="96"/>
      <c r="U767" s="96"/>
      <c r="V767" s="96"/>
      <c r="W767" s="96"/>
      <c r="X767" s="96"/>
      <c r="Y767" s="96"/>
      <c r="Z767" s="96"/>
      <c r="AA767" s="96"/>
    </row>
    <row r="768" spans="1:27" ht="15.75" customHeight="1">
      <c r="A768" s="96"/>
      <c r="B768" s="96"/>
      <c r="C768" s="96"/>
      <c r="D768" s="96"/>
      <c r="E768" s="96"/>
      <c r="F768" s="96"/>
      <c r="G768" s="96"/>
      <c r="H768" s="96"/>
      <c r="I768" s="96"/>
      <c r="J768" s="96"/>
      <c r="K768" s="96"/>
      <c r="L768" s="96"/>
      <c r="M768" s="96"/>
      <c r="N768" s="96"/>
      <c r="O768" s="96"/>
      <c r="P768" s="96"/>
      <c r="Q768" s="96"/>
      <c r="R768" s="96"/>
      <c r="S768" s="96"/>
      <c r="T768" s="96"/>
      <c r="U768" s="96"/>
      <c r="V768" s="96"/>
      <c r="W768" s="96"/>
      <c r="X768" s="96"/>
      <c r="Y768" s="96"/>
      <c r="Z768" s="96"/>
      <c r="AA768" s="96"/>
    </row>
    <row r="769" spans="1:27" ht="15.75" customHeight="1">
      <c r="A769" s="96"/>
      <c r="B769" s="96"/>
      <c r="C769" s="96"/>
      <c r="D769" s="96"/>
      <c r="E769" s="96"/>
      <c r="F769" s="96"/>
      <c r="G769" s="96"/>
      <c r="H769" s="96"/>
      <c r="I769" s="96"/>
      <c r="J769" s="96"/>
      <c r="K769" s="96"/>
      <c r="L769" s="96"/>
      <c r="M769" s="96"/>
      <c r="N769" s="96"/>
      <c r="O769" s="96"/>
      <c r="P769" s="96"/>
      <c r="Q769" s="96"/>
      <c r="R769" s="96"/>
      <c r="S769" s="96"/>
      <c r="T769" s="96"/>
      <c r="U769" s="96"/>
      <c r="V769" s="96"/>
      <c r="W769" s="96"/>
      <c r="X769" s="96"/>
      <c r="Y769" s="96"/>
      <c r="Z769" s="96"/>
      <c r="AA769" s="96"/>
    </row>
    <row r="770" spans="1:27" ht="15.75" customHeight="1">
      <c r="A770" s="96"/>
      <c r="B770" s="96"/>
      <c r="C770" s="96"/>
      <c r="D770" s="96"/>
      <c r="E770" s="96"/>
      <c r="F770" s="96"/>
      <c r="G770" s="96"/>
      <c r="H770" s="96"/>
      <c r="I770" s="96"/>
      <c r="J770" s="96"/>
      <c r="K770" s="96"/>
      <c r="L770" s="96"/>
      <c r="M770" s="96"/>
      <c r="N770" s="96"/>
      <c r="O770" s="96"/>
      <c r="P770" s="96"/>
      <c r="Q770" s="96"/>
      <c r="R770" s="96"/>
      <c r="S770" s="96"/>
      <c r="T770" s="96"/>
      <c r="U770" s="96"/>
      <c r="V770" s="96"/>
      <c r="W770" s="96"/>
      <c r="X770" s="96"/>
      <c r="Y770" s="96"/>
      <c r="Z770" s="96"/>
      <c r="AA770" s="96"/>
    </row>
    <row r="771" spans="1:27" ht="15.75" customHeight="1">
      <c r="A771" s="96"/>
      <c r="B771" s="96"/>
      <c r="C771" s="96"/>
      <c r="D771" s="96"/>
      <c r="E771" s="96"/>
      <c r="F771" s="96"/>
      <c r="G771" s="96"/>
      <c r="H771" s="96"/>
      <c r="I771" s="96"/>
      <c r="J771" s="96"/>
      <c r="K771" s="96"/>
      <c r="L771" s="96"/>
      <c r="M771" s="96"/>
      <c r="N771" s="96"/>
      <c r="O771" s="96"/>
      <c r="P771" s="96"/>
      <c r="Q771" s="96"/>
      <c r="R771" s="96"/>
      <c r="S771" s="96"/>
      <c r="T771" s="96"/>
      <c r="U771" s="96"/>
      <c r="V771" s="96"/>
      <c r="W771" s="96"/>
      <c r="X771" s="96"/>
      <c r="Y771" s="96"/>
      <c r="Z771" s="96"/>
      <c r="AA771" s="96"/>
    </row>
    <row r="772" spans="1:27" ht="15.75" customHeight="1">
      <c r="A772" s="96"/>
      <c r="B772" s="96"/>
      <c r="C772" s="96"/>
      <c r="D772" s="96"/>
      <c r="E772" s="96"/>
      <c r="F772" s="96"/>
      <c r="G772" s="96"/>
      <c r="H772" s="96"/>
      <c r="I772" s="96"/>
      <c r="J772" s="96"/>
      <c r="K772" s="96"/>
      <c r="L772" s="96"/>
      <c r="M772" s="96"/>
      <c r="N772" s="96"/>
      <c r="O772" s="96"/>
      <c r="P772" s="96"/>
      <c r="Q772" s="96"/>
      <c r="R772" s="96"/>
      <c r="S772" s="96"/>
      <c r="T772" s="96"/>
      <c r="U772" s="96"/>
      <c r="V772" s="96"/>
      <c r="W772" s="96"/>
      <c r="X772" s="96"/>
      <c r="Y772" s="96"/>
      <c r="Z772" s="96"/>
      <c r="AA772" s="96"/>
    </row>
    <row r="773" spans="1:27" ht="15.75" customHeight="1">
      <c r="A773" s="96"/>
      <c r="B773" s="96"/>
      <c r="C773" s="96"/>
      <c r="D773" s="96"/>
      <c r="E773" s="96"/>
      <c r="F773" s="96"/>
      <c r="G773" s="96"/>
      <c r="H773" s="96"/>
      <c r="I773" s="96"/>
      <c r="J773" s="96"/>
      <c r="K773" s="96"/>
      <c r="L773" s="96"/>
      <c r="M773" s="96"/>
      <c r="N773" s="96"/>
      <c r="O773" s="96"/>
      <c r="P773" s="96"/>
      <c r="Q773" s="96"/>
      <c r="R773" s="96"/>
      <c r="S773" s="96"/>
      <c r="T773" s="96"/>
      <c r="U773" s="96"/>
      <c r="V773" s="96"/>
      <c r="W773" s="96"/>
      <c r="X773" s="96"/>
      <c r="Y773" s="96"/>
      <c r="Z773" s="96"/>
      <c r="AA773" s="96"/>
    </row>
    <row r="774" spans="1:27" ht="15.75" customHeight="1">
      <c r="A774" s="96"/>
      <c r="B774" s="96"/>
      <c r="C774" s="96"/>
      <c r="D774" s="96"/>
      <c r="E774" s="96"/>
      <c r="F774" s="96"/>
      <c r="G774" s="96"/>
      <c r="H774" s="96"/>
      <c r="I774" s="96"/>
      <c r="J774" s="96"/>
      <c r="K774" s="96"/>
      <c r="L774" s="96"/>
      <c r="M774" s="96"/>
      <c r="N774" s="96"/>
      <c r="O774" s="96"/>
      <c r="P774" s="96"/>
      <c r="Q774" s="96"/>
      <c r="R774" s="96"/>
      <c r="S774" s="96"/>
      <c r="T774" s="96"/>
      <c r="U774" s="96"/>
      <c r="V774" s="96"/>
      <c r="W774" s="96"/>
      <c r="X774" s="96"/>
      <c r="Y774" s="96"/>
      <c r="Z774" s="96"/>
      <c r="AA774" s="96"/>
    </row>
    <row r="775" spans="1:27" ht="15.75" customHeight="1">
      <c r="A775" s="96"/>
      <c r="B775" s="96"/>
      <c r="C775" s="96"/>
      <c r="D775" s="96"/>
      <c r="E775" s="96"/>
      <c r="F775" s="96"/>
      <c r="G775" s="96"/>
      <c r="H775" s="96"/>
      <c r="I775" s="96"/>
      <c r="J775" s="96"/>
      <c r="K775" s="96"/>
      <c r="L775" s="96"/>
      <c r="M775" s="96"/>
      <c r="N775" s="96"/>
      <c r="O775" s="96"/>
      <c r="P775" s="96"/>
      <c r="Q775" s="96"/>
      <c r="R775" s="96"/>
      <c r="S775" s="96"/>
      <c r="T775" s="96"/>
      <c r="U775" s="96"/>
      <c r="V775" s="96"/>
      <c r="W775" s="96"/>
      <c r="X775" s="96"/>
      <c r="Y775" s="96"/>
      <c r="Z775" s="96"/>
      <c r="AA775" s="96"/>
    </row>
    <row r="776" spans="1:27" ht="15.75" customHeight="1">
      <c r="A776" s="96"/>
      <c r="B776" s="96"/>
      <c r="C776" s="96"/>
      <c r="D776" s="96"/>
      <c r="E776" s="96"/>
      <c r="F776" s="96"/>
      <c r="G776" s="96"/>
      <c r="H776" s="96"/>
      <c r="I776" s="96"/>
      <c r="J776" s="96"/>
      <c r="K776" s="96"/>
      <c r="L776" s="96"/>
      <c r="M776" s="96"/>
      <c r="N776" s="96"/>
      <c r="O776" s="96"/>
      <c r="P776" s="96"/>
      <c r="Q776" s="96"/>
      <c r="R776" s="96"/>
      <c r="S776" s="96"/>
      <c r="T776" s="96"/>
      <c r="U776" s="96"/>
      <c r="V776" s="96"/>
      <c r="W776" s="96"/>
      <c r="X776" s="96"/>
      <c r="Y776" s="96"/>
      <c r="Z776" s="96"/>
      <c r="AA776" s="96"/>
    </row>
    <row r="777" spans="1:27" ht="15.75" customHeight="1">
      <c r="A777" s="96"/>
      <c r="B777" s="96"/>
      <c r="C777" s="96"/>
      <c r="D777" s="96"/>
      <c r="E777" s="96"/>
      <c r="F777" s="96"/>
      <c r="G777" s="96"/>
      <c r="H777" s="96"/>
      <c r="I777" s="96"/>
      <c r="J777" s="96"/>
      <c r="K777" s="96"/>
      <c r="L777" s="96"/>
      <c r="M777" s="96"/>
      <c r="N777" s="96"/>
      <c r="O777" s="96"/>
      <c r="P777" s="96"/>
      <c r="Q777" s="96"/>
      <c r="R777" s="96"/>
      <c r="S777" s="96"/>
      <c r="T777" s="96"/>
      <c r="U777" s="96"/>
      <c r="V777" s="96"/>
      <c r="W777" s="96"/>
      <c r="X777" s="96"/>
      <c r="Y777" s="96"/>
      <c r="Z777" s="96"/>
      <c r="AA777" s="96"/>
    </row>
    <row r="778" spans="1:27" ht="15.75" customHeight="1">
      <c r="A778" s="96"/>
      <c r="B778" s="96"/>
      <c r="C778" s="96"/>
      <c r="D778" s="96"/>
      <c r="E778" s="96"/>
      <c r="F778" s="96"/>
      <c r="G778" s="96"/>
      <c r="H778" s="96"/>
      <c r="I778" s="96"/>
      <c r="J778" s="96"/>
      <c r="K778" s="96"/>
      <c r="L778" s="96"/>
      <c r="M778" s="96"/>
      <c r="N778" s="96"/>
      <c r="O778" s="96"/>
      <c r="P778" s="96"/>
      <c r="Q778" s="96"/>
      <c r="R778" s="96"/>
      <c r="S778" s="96"/>
      <c r="T778" s="96"/>
      <c r="U778" s="96"/>
      <c r="V778" s="96"/>
      <c r="W778" s="96"/>
      <c r="X778" s="96"/>
      <c r="Y778" s="96"/>
      <c r="Z778" s="96"/>
      <c r="AA778" s="96"/>
    </row>
    <row r="779" spans="1:27" ht="15.75" customHeight="1">
      <c r="A779" s="96"/>
      <c r="B779" s="96"/>
      <c r="C779" s="96"/>
      <c r="D779" s="96"/>
      <c r="E779" s="96"/>
      <c r="F779" s="96"/>
      <c r="G779" s="96"/>
      <c r="H779" s="96"/>
      <c r="I779" s="96"/>
      <c r="J779" s="96"/>
      <c r="K779" s="96"/>
      <c r="L779" s="96"/>
      <c r="M779" s="96"/>
      <c r="N779" s="96"/>
      <c r="O779" s="96"/>
      <c r="P779" s="96"/>
      <c r="Q779" s="96"/>
      <c r="R779" s="96"/>
      <c r="S779" s="96"/>
      <c r="T779" s="96"/>
      <c r="U779" s="96"/>
      <c r="V779" s="96"/>
      <c r="W779" s="96"/>
      <c r="X779" s="96"/>
      <c r="Y779" s="96"/>
      <c r="Z779" s="96"/>
      <c r="AA779" s="96"/>
    </row>
    <row r="780" spans="1:27" ht="15.75" customHeight="1">
      <c r="A780" s="96"/>
      <c r="B780" s="96"/>
      <c r="C780" s="96"/>
      <c r="D780" s="96"/>
      <c r="E780" s="96"/>
      <c r="F780" s="96"/>
      <c r="G780" s="96"/>
      <c r="H780" s="96"/>
      <c r="I780" s="96"/>
      <c r="J780" s="96"/>
      <c r="K780" s="96"/>
      <c r="L780" s="96"/>
      <c r="M780" s="96"/>
      <c r="N780" s="96"/>
      <c r="O780" s="96"/>
      <c r="P780" s="96"/>
      <c r="Q780" s="96"/>
      <c r="R780" s="96"/>
      <c r="S780" s="96"/>
      <c r="T780" s="96"/>
      <c r="U780" s="96"/>
      <c r="V780" s="96"/>
      <c r="W780" s="96"/>
      <c r="X780" s="96"/>
      <c r="Y780" s="96"/>
      <c r="Z780" s="96"/>
      <c r="AA780" s="96"/>
    </row>
    <row r="781" spans="1:27" ht="15.75" customHeight="1">
      <c r="A781" s="96"/>
      <c r="B781" s="96"/>
      <c r="C781" s="96"/>
      <c r="D781" s="96"/>
      <c r="E781" s="96"/>
      <c r="F781" s="96"/>
      <c r="G781" s="96"/>
      <c r="H781" s="96"/>
      <c r="I781" s="96"/>
      <c r="J781" s="96"/>
      <c r="K781" s="96"/>
      <c r="L781" s="96"/>
      <c r="M781" s="96"/>
      <c r="N781" s="96"/>
      <c r="O781" s="96"/>
      <c r="P781" s="96"/>
      <c r="Q781" s="96"/>
      <c r="R781" s="96"/>
      <c r="S781" s="96"/>
      <c r="T781" s="96"/>
      <c r="U781" s="96"/>
      <c r="V781" s="96"/>
      <c r="W781" s="96"/>
      <c r="X781" s="96"/>
      <c r="Y781" s="96"/>
      <c r="Z781" s="96"/>
      <c r="AA781" s="96"/>
    </row>
    <row r="782" spans="1:27" ht="15.75" customHeight="1">
      <c r="A782" s="96"/>
      <c r="B782" s="96"/>
      <c r="C782" s="96"/>
      <c r="D782" s="96"/>
      <c r="E782" s="96"/>
      <c r="F782" s="96"/>
      <c r="G782" s="96"/>
      <c r="H782" s="96"/>
      <c r="I782" s="96"/>
      <c r="J782" s="96"/>
      <c r="K782" s="96"/>
      <c r="L782" s="96"/>
      <c r="M782" s="96"/>
      <c r="N782" s="96"/>
      <c r="O782" s="96"/>
      <c r="P782" s="96"/>
      <c r="Q782" s="96"/>
      <c r="R782" s="96"/>
      <c r="S782" s="96"/>
      <c r="T782" s="96"/>
      <c r="U782" s="96"/>
      <c r="V782" s="96"/>
      <c r="W782" s="96"/>
      <c r="X782" s="96"/>
      <c r="Y782" s="96"/>
      <c r="Z782" s="96"/>
      <c r="AA782" s="96"/>
    </row>
    <row r="783" spans="1:27" ht="15.75" customHeight="1">
      <c r="A783" s="96"/>
      <c r="B783" s="96"/>
      <c r="C783" s="96"/>
      <c r="D783" s="96"/>
      <c r="E783" s="96"/>
      <c r="F783" s="96"/>
      <c r="G783" s="96"/>
      <c r="H783" s="96"/>
      <c r="I783" s="96"/>
      <c r="J783" s="96"/>
      <c r="K783" s="96"/>
      <c r="L783" s="96"/>
      <c r="M783" s="96"/>
      <c r="N783" s="96"/>
      <c r="O783" s="96"/>
      <c r="P783" s="96"/>
      <c r="Q783" s="96"/>
      <c r="R783" s="96"/>
      <c r="S783" s="96"/>
      <c r="T783" s="96"/>
      <c r="U783" s="96"/>
      <c r="V783" s="96"/>
      <c r="W783" s="96"/>
      <c r="X783" s="96"/>
      <c r="Y783" s="96"/>
      <c r="Z783" s="96"/>
      <c r="AA783" s="96"/>
    </row>
    <row r="784" spans="1:27" ht="15.75" customHeight="1">
      <c r="A784" s="96"/>
      <c r="B784" s="96"/>
      <c r="C784" s="96"/>
      <c r="D784" s="96"/>
      <c r="E784" s="96"/>
      <c r="F784" s="96"/>
      <c r="G784" s="96"/>
      <c r="H784" s="96"/>
      <c r="I784" s="96"/>
      <c r="J784" s="96"/>
      <c r="K784" s="96"/>
      <c r="L784" s="96"/>
      <c r="M784" s="96"/>
      <c r="N784" s="96"/>
      <c r="O784" s="96"/>
      <c r="P784" s="96"/>
      <c r="Q784" s="96"/>
      <c r="R784" s="96"/>
      <c r="S784" s="96"/>
      <c r="T784" s="96"/>
      <c r="U784" s="96"/>
      <c r="V784" s="96"/>
      <c r="W784" s="96"/>
      <c r="X784" s="96"/>
      <c r="Y784" s="96"/>
      <c r="Z784" s="96"/>
      <c r="AA784" s="96"/>
    </row>
    <row r="785" spans="1:27" ht="15.75" customHeight="1">
      <c r="A785" s="96"/>
      <c r="B785" s="96"/>
      <c r="C785" s="96"/>
      <c r="D785" s="96"/>
      <c r="E785" s="96"/>
      <c r="F785" s="96"/>
      <c r="G785" s="96"/>
      <c r="H785" s="96"/>
      <c r="I785" s="96"/>
      <c r="J785" s="96"/>
      <c r="K785" s="96"/>
      <c r="L785" s="96"/>
      <c r="M785" s="96"/>
      <c r="N785" s="96"/>
      <c r="O785" s="96"/>
      <c r="P785" s="96"/>
      <c r="Q785" s="96"/>
      <c r="R785" s="96"/>
      <c r="S785" s="96"/>
      <c r="T785" s="96"/>
      <c r="U785" s="96"/>
      <c r="V785" s="96"/>
      <c r="W785" s="96"/>
      <c r="X785" s="96"/>
      <c r="Y785" s="96"/>
      <c r="Z785" s="96"/>
      <c r="AA785" s="96"/>
    </row>
    <row r="786" spans="1:27" ht="15.75" customHeight="1">
      <c r="A786" s="96"/>
      <c r="B786" s="96"/>
      <c r="C786" s="96"/>
      <c r="D786" s="96"/>
      <c r="E786" s="96"/>
      <c r="F786" s="96"/>
      <c r="G786" s="96"/>
      <c r="H786" s="96"/>
      <c r="I786" s="96"/>
      <c r="J786" s="96"/>
      <c r="K786" s="96"/>
      <c r="L786" s="96"/>
      <c r="M786" s="96"/>
      <c r="N786" s="96"/>
      <c r="O786" s="96"/>
      <c r="P786" s="96"/>
      <c r="Q786" s="96"/>
      <c r="R786" s="96"/>
      <c r="S786" s="96"/>
      <c r="T786" s="96"/>
      <c r="U786" s="96"/>
      <c r="V786" s="96"/>
      <c r="W786" s="96"/>
      <c r="X786" s="96"/>
      <c r="Y786" s="96"/>
      <c r="Z786" s="96"/>
      <c r="AA786" s="96"/>
    </row>
    <row r="787" spans="1:27" ht="15.75" customHeight="1">
      <c r="A787" s="96"/>
      <c r="B787" s="96"/>
      <c r="C787" s="96"/>
      <c r="D787" s="96"/>
      <c r="E787" s="96"/>
      <c r="F787" s="96"/>
      <c r="G787" s="96"/>
      <c r="H787" s="96"/>
      <c r="I787" s="96"/>
      <c r="J787" s="96"/>
      <c r="K787" s="96"/>
      <c r="L787" s="96"/>
      <c r="M787" s="96"/>
      <c r="N787" s="96"/>
      <c r="O787" s="96"/>
      <c r="P787" s="96"/>
      <c r="Q787" s="96"/>
      <c r="R787" s="96"/>
      <c r="S787" s="96"/>
      <c r="T787" s="96"/>
      <c r="U787" s="96"/>
      <c r="V787" s="96"/>
      <c r="W787" s="96"/>
      <c r="X787" s="96"/>
      <c r="Y787" s="96"/>
      <c r="Z787" s="96"/>
      <c r="AA787" s="96"/>
    </row>
    <row r="788" spans="1:27" ht="15.75" customHeight="1">
      <c r="A788" s="96"/>
      <c r="B788" s="96"/>
      <c r="C788" s="96"/>
      <c r="D788" s="96"/>
      <c r="E788" s="96"/>
      <c r="F788" s="96"/>
      <c r="G788" s="96"/>
      <c r="H788" s="96"/>
      <c r="I788" s="96"/>
      <c r="J788" s="96"/>
      <c r="K788" s="96"/>
      <c r="L788" s="96"/>
      <c r="M788" s="96"/>
      <c r="N788" s="96"/>
      <c r="O788" s="96"/>
      <c r="P788" s="96"/>
      <c r="Q788" s="96"/>
      <c r="R788" s="96"/>
      <c r="S788" s="96"/>
      <c r="T788" s="96"/>
      <c r="U788" s="96"/>
      <c r="V788" s="96"/>
      <c r="W788" s="96"/>
      <c r="X788" s="96"/>
      <c r="Y788" s="96"/>
      <c r="Z788" s="96"/>
      <c r="AA788" s="96"/>
    </row>
    <row r="789" spans="1:27" ht="15.75" customHeight="1">
      <c r="A789" s="96"/>
      <c r="B789" s="96"/>
      <c r="C789" s="96"/>
      <c r="D789" s="96"/>
      <c r="E789" s="96"/>
      <c r="F789" s="96"/>
      <c r="G789" s="96"/>
      <c r="H789" s="96"/>
      <c r="I789" s="96"/>
      <c r="J789" s="96"/>
      <c r="K789" s="96"/>
      <c r="L789" s="96"/>
      <c r="M789" s="96"/>
      <c r="N789" s="96"/>
      <c r="O789" s="96"/>
      <c r="P789" s="96"/>
      <c r="Q789" s="96"/>
      <c r="R789" s="96"/>
      <c r="S789" s="96"/>
      <c r="T789" s="96"/>
      <c r="U789" s="96"/>
      <c r="V789" s="96"/>
      <c r="W789" s="96"/>
      <c r="X789" s="96"/>
      <c r="Y789" s="96"/>
      <c r="Z789" s="96"/>
      <c r="AA789" s="96"/>
    </row>
    <row r="790" spans="1:27" ht="15.75" customHeight="1">
      <c r="A790" s="96"/>
      <c r="B790" s="96"/>
      <c r="C790" s="96"/>
      <c r="D790" s="96"/>
      <c r="E790" s="96"/>
      <c r="F790" s="96"/>
      <c r="G790" s="96"/>
      <c r="H790" s="96"/>
      <c r="I790" s="96"/>
      <c r="J790" s="96"/>
      <c r="K790" s="96"/>
      <c r="L790" s="96"/>
      <c r="M790" s="96"/>
      <c r="N790" s="96"/>
      <c r="O790" s="96"/>
      <c r="P790" s="96"/>
      <c r="Q790" s="96"/>
      <c r="R790" s="96"/>
      <c r="S790" s="96"/>
      <c r="T790" s="96"/>
      <c r="U790" s="96"/>
      <c r="V790" s="96"/>
      <c r="W790" s="96"/>
      <c r="X790" s="96"/>
      <c r="Y790" s="96"/>
      <c r="Z790" s="96"/>
      <c r="AA790" s="96"/>
    </row>
    <row r="791" spans="1:27" ht="15.75" customHeight="1">
      <c r="A791" s="96"/>
      <c r="B791" s="96"/>
      <c r="C791" s="96"/>
      <c r="D791" s="96"/>
      <c r="E791" s="96"/>
      <c r="F791" s="96"/>
      <c r="G791" s="96"/>
      <c r="H791" s="96"/>
      <c r="I791" s="96"/>
      <c r="J791" s="96"/>
      <c r="K791" s="96"/>
      <c r="L791" s="96"/>
      <c r="M791" s="96"/>
      <c r="N791" s="96"/>
      <c r="O791" s="96"/>
      <c r="P791" s="96"/>
      <c r="Q791" s="96"/>
      <c r="R791" s="96"/>
      <c r="S791" s="96"/>
      <c r="T791" s="96"/>
      <c r="U791" s="96"/>
      <c r="V791" s="96"/>
      <c r="W791" s="96"/>
      <c r="X791" s="96"/>
      <c r="Y791" s="96"/>
      <c r="Z791" s="96"/>
      <c r="AA791" s="96"/>
    </row>
    <row r="792" spans="1:27" ht="15.75" customHeight="1">
      <c r="A792" s="96"/>
      <c r="B792" s="96"/>
      <c r="C792" s="96"/>
      <c r="D792" s="96"/>
      <c r="E792" s="96"/>
      <c r="F792" s="96"/>
      <c r="G792" s="96"/>
      <c r="H792" s="96"/>
      <c r="I792" s="96"/>
      <c r="J792" s="96"/>
      <c r="K792" s="96"/>
      <c r="L792" s="96"/>
      <c r="M792" s="96"/>
      <c r="N792" s="96"/>
      <c r="O792" s="96"/>
      <c r="P792" s="96"/>
      <c r="Q792" s="96"/>
      <c r="R792" s="96"/>
      <c r="S792" s="96"/>
      <c r="T792" s="96"/>
      <c r="U792" s="96"/>
      <c r="V792" s="96"/>
      <c r="W792" s="96"/>
      <c r="X792" s="96"/>
      <c r="Y792" s="96"/>
      <c r="Z792" s="96"/>
      <c r="AA792" s="96"/>
    </row>
    <row r="793" spans="1:27" ht="15.75" customHeight="1">
      <c r="A793" s="96"/>
      <c r="B793" s="96"/>
      <c r="C793" s="96"/>
      <c r="D793" s="96"/>
      <c r="E793" s="96"/>
      <c r="F793" s="96"/>
      <c r="G793" s="96"/>
      <c r="H793" s="96"/>
      <c r="I793" s="96"/>
      <c r="J793" s="96"/>
      <c r="K793" s="96"/>
      <c r="L793" s="96"/>
      <c r="M793" s="96"/>
      <c r="N793" s="96"/>
      <c r="O793" s="96"/>
      <c r="P793" s="96"/>
      <c r="Q793" s="96"/>
      <c r="R793" s="96"/>
      <c r="S793" s="96"/>
      <c r="T793" s="96"/>
      <c r="U793" s="96"/>
      <c r="V793" s="96"/>
      <c r="W793" s="96"/>
      <c r="X793" s="96"/>
      <c r="Y793" s="96"/>
      <c r="Z793" s="96"/>
      <c r="AA793" s="96"/>
    </row>
    <row r="794" spans="1:27" ht="15.75" customHeight="1">
      <c r="A794" s="96"/>
      <c r="B794" s="96"/>
      <c r="C794" s="96"/>
      <c r="D794" s="96"/>
      <c r="E794" s="96"/>
      <c r="F794" s="96"/>
      <c r="G794" s="96"/>
      <c r="H794" s="96"/>
      <c r="I794" s="96"/>
      <c r="J794" s="96"/>
      <c r="K794" s="96"/>
      <c r="L794" s="96"/>
      <c r="M794" s="96"/>
      <c r="N794" s="96"/>
      <c r="O794" s="96"/>
      <c r="P794" s="96"/>
      <c r="Q794" s="96"/>
      <c r="R794" s="96"/>
      <c r="S794" s="96"/>
      <c r="T794" s="96"/>
      <c r="U794" s="96"/>
      <c r="V794" s="96"/>
      <c r="W794" s="96"/>
      <c r="X794" s="96"/>
      <c r="Y794" s="96"/>
      <c r="Z794" s="96"/>
      <c r="AA794" s="96"/>
    </row>
    <row r="795" spans="1:27" ht="15.75" customHeight="1">
      <c r="A795" s="96"/>
      <c r="B795" s="96"/>
      <c r="C795" s="96"/>
      <c r="D795" s="96"/>
      <c r="E795" s="96"/>
      <c r="F795" s="96"/>
      <c r="G795" s="96"/>
      <c r="H795" s="96"/>
      <c r="I795" s="96"/>
      <c r="J795" s="96"/>
      <c r="K795" s="96"/>
      <c r="L795" s="96"/>
      <c r="M795" s="96"/>
      <c r="N795" s="96"/>
      <c r="O795" s="96"/>
      <c r="P795" s="96"/>
      <c r="Q795" s="96"/>
      <c r="R795" s="96"/>
      <c r="S795" s="96"/>
      <c r="T795" s="96"/>
      <c r="U795" s="96"/>
      <c r="V795" s="96"/>
      <c r="W795" s="96"/>
      <c r="X795" s="96"/>
      <c r="Y795" s="96"/>
      <c r="Z795" s="96"/>
      <c r="AA795" s="96"/>
    </row>
    <row r="796" spans="1:27" ht="15.75" customHeight="1">
      <c r="A796" s="96"/>
      <c r="B796" s="96"/>
      <c r="C796" s="96"/>
      <c r="D796" s="96"/>
      <c r="E796" s="96"/>
      <c r="F796" s="96"/>
      <c r="G796" s="96"/>
      <c r="H796" s="96"/>
      <c r="I796" s="96"/>
      <c r="J796" s="96"/>
      <c r="K796" s="96"/>
      <c r="L796" s="96"/>
      <c r="M796" s="96"/>
      <c r="N796" s="96"/>
      <c r="O796" s="96"/>
      <c r="P796" s="96"/>
      <c r="Q796" s="96"/>
      <c r="R796" s="96"/>
      <c r="S796" s="96"/>
      <c r="T796" s="96"/>
      <c r="U796" s="96"/>
      <c r="V796" s="96"/>
      <c r="W796" s="96"/>
      <c r="X796" s="96"/>
      <c r="Y796" s="96"/>
      <c r="Z796" s="96"/>
      <c r="AA796" s="96"/>
    </row>
    <row r="797" spans="1:27" ht="15.75" customHeight="1">
      <c r="A797" s="96"/>
      <c r="B797" s="96"/>
      <c r="C797" s="96"/>
      <c r="D797" s="96"/>
      <c r="E797" s="96"/>
      <c r="F797" s="96"/>
      <c r="G797" s="96"/>
      <c r="H797" s="96"/>
      <c r="I797" s="96"/>
      <c r="J797" s="96"/>
      <c r="K797" s="96"/>
      <c r="L797" s="96"/>
      <c r="M797" s="96"/>
      <c r="N797" s="96"/>
      <c r="O797" s="96"/>
      <c r="P797" s="96"/>
      <c r="Q797" s="96"/>
      <c r="R797" s="96"/>
      <c r="S797" s="96"/>
      <c r="T797" s="96"/>
      <c r="U797" s="96"/>
      <c r="V797" s="96"/>
      <c r="W797" s="96"/>
      <c r="X797" s="96"/>
      <c r="Y797" s="96"/>
      <c r="Z797" s="96"/>
      <c r="AA797" s="96"/>
    </row>
    <row r="798" spans="1:27" ht="15.75" customHeight="1">
      <c r="A798" s="96"/>
      <c r="B798" s="96"/>
      <c r="C798" s="96"/>
      <c r="D798" s="96"/>
      <c r="E798" s="96"/>
      <c r="F798" s="96"/>
      <c r="G798" s="96"/>
      <c r="H798" s="96"/>
      <c r="I798" s="96"/>
      <c r="J798" s="96"/>
      <c r="K798" s="96"/>
      <c r="L798" s="96"/>
      <c r="M798" s="96"/>
      <c r="N798" s="96"/>
      <c r="O798" s="96"/>
      <c r="P798" s="96"/>
      <c r="Q798" s="96"/>
      <c r="R798" s="96"/>
      <c r="S798" s="96"/>
      <c r="T798" s="96"/>
      <c r="U798" s="96"/>
      <c r="V798" s="96"/>
      <c r="W798" s="96"/>
      <c r="X798" s="96"/>
      <c r="Y798" s="96"/>
      <c r="Z798" s="96"/>
      <c r="AA798" s="96"/>
    </row>
    <row r="799" spans="1:27" ht="15.75" customHeight="1">
      <c r="A799" s="96"/>
      <c r="B799" s="96"/>
      <c r="C799" s="96"/>
      <c r="D799" s="96"/>
      <c r="E799" s="96"/>
      <c r="F799" s="96"/>
      <c r="G799" s="96"/>
      <c r="H799" s="96"/>
      <c r="I799" s="96"/>
      <c r="J799" s="96"/>
      <c r="K799" s="96"/>
      <c r="L799" s="96"/>
      <c r="M799" s="96"/>
      <c r="N799" s="96"/>
      <c r="O799" s="96"/>
      <c r="P799" s="96"/>
      <c r="Q799" s="96"/>
      <c r="R799" s="96"/>
      <c r="S799" s="96"/>
      <c r="T799" s="96"/>
      <c r="U799" s="96"/>
      <c r="V799" s="96"/>
      <c r="W799" s="96"/>
      <c r="X799" s="96"/>
      <c r="Y799" s="96"/>
      <c r="Z799" s="96"/>
      <c r="AA799" s="96"/>
    </row>
    <row r="800" spans="1:27" ht="15.75" customHeight="1">
      <c r="A800" s="96"/>
      <c r="B800" s="96"/>
      <c r="C800" s="96"/>
      <c r="D800" s="96"/>
      <c r="E800" s="96"/>
      <c r="F800" s="96"/>
      <c r="G800" s="96"/>
      <c r="H800" s="96"/>
      <c r="I800" s="96"/>
      <c r="J800" s="96"/>
      <c r="K800" s="96"/>
      <c r="L800" s="96"/>
      <c r="M800" s="96"/>
      <c r="N800" s="96"/>
      <c r="O800" s="96"/>
      <c r="P800" s="96"/>
      <c r="Q800" s="96"/>
      <c r="R800" s="96"/>
      <c r="S800" s="96"/>
      <c r="T800" s="96"/>
      <c r="U800" s="96"/>
      <c r="V800" s="96"/>
      <c r="W800" s="96"/>
      <c r="X800" s="96"/>
      <c r="Y800" s="96"/>
      <c r="Z800" s="96"/>
      <c r="AA800" s="96"/>
    </row>
    <row r="801" spans="1:27" ht="15.75" customHeight="1">
      <c r="A801" s="96"/>
      <c r="B801" s="96"/>
      <c r="C801" s="96"/>
      <c r="D801" s="96"/>
      <c r="E801" s="96"/>
      <c r="F801" s="96"/>
      <c r="G801" s="96"/>
      <c r="H801" s="96"/>
      <c r="I801" s="96"/>
      <c r="J801" s="96"/>
      <c r="K801" s="96"/>
      <c r="L801" s="96"/>
      <c r="M801" s="96"/>
      <c r="N801" s="96"/>
      <c r="O801" s="96"/>
      <c r="P801" s="96"/>
      <c r="Q801" s="96"/>
      <c r="R801" s="96"/>
      <c r="S801" s="96"/>
      <c r="T801" s="96"/>
      <c r="U801" s="96"/>
      <c r="V801" s="96"/>
      <c r="W801" s="96"/>
      <c r="X801" s="96"/>
      <c r="Y801" s="96"/>
      <c r="Z801" s="96"/>
      <c r="AA801" s="96"/>
    </row>
    <row r="802" spans="1:27" ht="15.75" customHeight="1">
      <c r="A802" s="96"/>
      <c r="B802" s="96"/>
      <c r="C802" s="96"/>
      <c r="D802" s="96"/>
      <c r="E802" s="96"/>
      <c r="F802" s="96"/>
      <c r="G802" s="96"/>
      <c r="H802" s="96"/>
      <c r="I802" s="96"/>
      <c r="J802" s="96"/>
      <c r="K802" s="96"/>
      <c r="L802" s="96"/>
      <c r="M802" s="96"/>
      <c r="N802" s="96"/>
      <c r="O802" s="96"/>
      <c r="P802" s="96"/>
      <c r="Q802" s="96"/>
      <c r="R802" s="96"/>
      <c r="S802" s="96"/>
      <c r="T802" s="96"/>
      <c r="U802" s="96"/>
      <c r="V802" s="96"/>
      <c r="W802" s="96"/>
      <c r="X802" s="96"/>
      <c r="Y802" s="96"/>
      <c r="Z802" s="96"/>
      <c r="AA802" s="96"/>
    </row>
    <row r="803" spans="1:27" ht="15.75" customHeight="1">
      <c r="A803" s="96"/>
      <c r="B803" s="96"/>
      <c r="C803" s="96"/>
      <c r="D803" s="96"/>
      <c r="E803" s="96"/>
      <c r="F803" s="96"/>
      <c r="G803" s="96"/>
      <c r="H803" s="96"/>
      <c r="I803" s="96"/>
      <c r="J803" s="96"/>
      <c r="K803" s="96"/>
      <c r="L803" s="96"/>
      <c r="M803" s="96"/>
      <c r="N803" s="96"/>
      <c r="O803" s="96"/>
      <c r="P803" s="96"/>
      <c r="Q803" s="96"/>
      <c r="R803" s="96"/>
      <c r="S803" s="96"/>
      <c r="T803" s="96"/>
      <c r="U803" s="96"/>
      <c r="V803" s="96"/>
      <c r="W803" s="96"/>
      <c r="X803" s="96"/>
      <c r="Y803" s="96"/>
      <c r="Z803" s="96"/>
      <c r="AA803" s="96"/>
    </row>
    <row r="804" spans="1:27" ht="15.75" customHeight="1">
      <c r="A804" s="96"/>
      <c r="B804" s="96"/>
      <c r="C804" s="96"/>
      <c r="D804" s="96"/>
      <c r="E804" s="96"/>
      <c r="F804" s="96"/>
      <c r="G804" s="96"/>
      <c r="H804" s="96"/>
      <c r="I804" s="96"/>
      <c r="J804" s="96"/>
      <c r="K804" s="96"/>
      <c r="L804" s="96"/>
      <c r="M804" s="96"/>
      <c r="N804" s="96"/>
      <c r="O804" s="96"/>
      <c r="P804" s="96"/>
      <c r="Q804" s="96"/>
      <c r="R804" s="96"/>
      <c r="S804" s="96"/>
      <c r="T804" s="96"/>
      <c r="U804" s="96"/>
      <c r="V804" s="96"/>
      <c r="W804" s="96"/>
      <c r="X804" s="96"/>
      <c r="Y804" s="96"/>
      <c r="Z804" s="96"/>
      <c r="AA804" s="96"/>
    </row>
    <row r="805" spans="1:27" ht="15.75" customHeight="1">
      <c r="A805" s="96"/>
      <c r="B805" s="96"/>
      <c r="C805" s="96"/>
      <c r="D805" s="96"/>
      <c r="E805" s="96"/>
      <c r="F805" s="96"/>
      <c r="G805" s="96"/>
      <c r="H805" s="96"/>
      <c r="I805" s="96"/>
      <c r="J805" s="96"/>
      <c r="K805" s="96"/>
      <c r="L805" s="96"/>
      <c r="M805" s="96"/>
      <c r="N805" s="96"/>
      <c r="O805" s="96"/>
      <c r="P805" s="96"/>
      <c r="Q805" s="96"/>
      <c r="R805" s="96"/>
      <c r="S805" s="96"/>
      <c r="T805" s="96"/>
      <c r="U805" s="96"/>
      <c r="V805" s="96"/>
      <c r="W805" s="96"/>
      <c r="X805" s="96"/>
      <c r="Y805" s="96"/>
      <c r="Z805" s="96"/>
      <c r="AA805" s="96"/>
    </row>
    <row r="806" spans="1:27" ht="15.75" customHeight="1">
      <c r="A806" s="96"/>
      <c r="B806" s="96"/>
      <c r="C806" s="96"/>
      <c r="D806" s="96"/>
      <c r="E806" s="96"/>
      <c r="F806" s="96"/>
      <c r="G806" s="96"/>
      <c r="H806" s="96"/>
      <c r="I806" s="96"/>
      <c r="J806" s="96"/>
      <c r="K806" s="96"/>
      <c r="L806" s="96"/>
      <c r="M806" s="96"/>
      <c r="N806" s="96"/>
      <c r="O806" s="96"/>
      <c r="P806" s="96"/>
      <c r="Q806" s="96"/>
      <c r="R806" s="96"/>
      <c r="S806" s="96"/>
      <c r="T806" s="96"/>
      <c r="U806" s="96"/>
      <c r="V806" s="96"/>
      <c r="W806" s="96"/>
      <c r="X806" s="96"/>
      <c r="Y806" s="96"/>
      <c r="Z806" s="96"/>
      <c r="AA806" s="96"/>
    </row>
    <row r="807" spans="1:27" ht="15.75" customHeight="1">
      <c r="A807" s="96"/>
      <c r="B807" s="96"/>
      <c r="C807" s="96"/>
      <c r="D807" s="96"/>
      <c r="E807" s="96"/>
      <c r="F807" s="96"/>
      <c r="G807" s="96"/>
      <c r="H807" s="96"/>
      <c r="I807" s="96"/>
      <c r="J807" s="96"/>
      <c r="K807" s="96"/>
      <c r="L807" s="96"/>
      <c r="M807" s="96"/>
      <c r="N807" s="96"/>
      <c r="O807" s="96"/>
      <c r="P807" s="96"/>
      <c r="Q807" s="96"/>
      <c r="R807" s="96"/>
      <c r="S807" s="96"/>
      <c r="T807" s="96"/>
      <c r="U807" s="96"/>
      <c r="V807" s="96"/>
      <c r="W807" s="96"/>
      <c r="X807" s="96"/>
      <c r="Y807" s="96"/>
      <c r="Z807" s="96"/>
      <c r="AA807" s="96"/>
    </row>
    <row r="808" spans="1:27" ht="15.75" customHeight="1">
      <c r="A808" s="96"/>
      <c r="B808" s="96"/>
      <c r="C808" s="96"/>
      <c r="D808" s="96"/>
      <c r="E808" s="96"/>
      <c r="F808" s="96"/>
      <c r="G808" s="96"/>
      <c r="H808" s="96"/>
      <c r="I808" s="96"/>
      <c r="J808" s="96"/>
      <c r="K808" s="96"/>
      <c r="L808" s="96"/>
      <c r="M808" s="96"/>
      <c r="N808" s="96"/>
      <c r="O808" s="96"/>
      <c r="P808" s="96"/>
      <c r="Q808" s="96"/>
      <c r="R808" s="96"/>
      <c r="S808" s="96"/>
      <c r="T808" s="96"/>
      <c r="U808" s="96"/>
      <c r="V808" s="96"/>
      <c r="W808" s="96"/>
      <c r="X808" s="96"/>
      <c r="Y808" s="96"/>
      <c r="Z808" s="96"/>
      <c r="AA808" s="96"/>
    </row>
    <row r="809" spans="1:27" ht="15.75" customHeight="1">
      <c r="A809" s="96"/>
      <c r="B809" s="96"/>
      <c r="C809" s="96"/>
      <c r="D809" s="96"/>
      <c r="E809" s="96"/>
      <c r="F809" s="96"/>
      <c r="G809" s="96"/>
      <c r="H809" s="96"/>
      <c r="I809" s="96"/>
      <c r="J809" s="96"/>
      <c r="K809" s="96"/>
      <c r="L809" s="96"/>
      <c r="M809" s="96"/>
      <c r="N809" s="96"/>
      <c r="O809" s="96"/>
      <c r="P809" s="96"/>
      <c r="Q809" s="96"/>
      <c r="R809" s="96"/>
      <c r="S809" s="96"/>
      <c r="T809" s="96"/>
      <c r="U809" s="96"/>
      <c r="V809" s="96"/>
      <c r="W809" s="96"/>
      <c r="X809" s="96"/>
      <c r="Y809" s="96"/>
      <c r="Z809" s="96"/>
      <c r="AA809" s="96"/>
    </row>
    <row r="810" spans="1:27" ht="15.75" customHeight="1">
      <c r="A810" s="96"/>
      <c r="B810" s="96"/>
      <c r="C810" s="96"/>
      <c r="D810" s="96"/>
      <c r="E810" s="96"/>
      <c r="F810" s="96"/>
      <c r="G810" s="96"/>
      <c r="H810" s="96"/>
      <c r="I810" s="96"/>
      <c r="J810" s="96"/>
      <c r="K810" s="96"/>
      <c r="L810" s="96"/>
      <c r="M810" s="96"/>
      <c r="N810" s="96"/>
      <c r="O810" s="96"/>
      <c r="P810" s="96"/>
      <c r="Q810" s="96"/>
      <c r="R810" s="96"/>
      <c r="S810" s="96"/>
      <c r="T810" s="96"/>
      <c r="U810" s="96"/>
      <c r="V810" s="96"/>
      <c r="W810" s="96"/>
      <c r="X810" s="96"/>
      <c r="Y810" s="96"/>
      <c r="Z810" s="96"/>
      <c r="AA810" s="96"/>
    </row>
    <row r="811" spans="1:27" ht="15.75" customHeight="1">
      <c r="A811" s="96"/>
      <c r="B811" s="96"/>
      <c r="C811" s="96"/>
      <c r="D811" s="96"/>
      <c r="E811" s="96"/>
      <c r="F811" s="96"/>
      <c r="G811" s="96"/>
      <c r="H811" s="96"/>
      <c r="I811" s="96"/>
      <c r="J811" s="96"/>
      <c r="K811" s="96"/>
      <c r="L811" s="96"/>
      <c r="M811" s="96"/>
      <c r="N811" s="96"/>
      <c r="O811" s="96"/>
      <c r="P811" s="96"/>
      <c r="Q811" s="96"/>
      <c r="R811" s="96"/>
      <c r="S811" s="96"/>
      <c r="T811" s="96"/>
      <c r="U811" s="96"/>
      <c r="V811" s="96"/>
      <c r="W811" s="96"/>
      <c r="X811" s="96"/>
      <c r="Y811" s="96"/>
      <c r="Z811" s="96"/>
      <c r="AA811" s="96"/>
    </row>
    <row r="812" spans="1:27" ht="15.75" customHeight="1">
      <c r="A812" s="96"/>
      <c r="B812" s="96"/>
      <c r="C812" s="96"/>
      <c r="D812" s="96"/>
      <c r="E812" s="96"/>
      <c r="F812" s="96"/>
      <c r="G812" s="96"/>
      <c r="H812" s="96"/>
      <c r="I812" s="96"/>
      <c r="J812" s="96"/>
      <c r="K812" s="96"/>
      <c r="L812" s="96"/>
      <c r="M812" s="96"/>
      <c r="N812" s="96"/>
      <c r="O812" s="96"/>
      <c r="P812" s="96"/>
      <c r="Q812" s="96"/>
      <c r="R812" s="96"/>
      <c r="S812" s="96"/>
      <c r="T812" s="96"/>
      <c r="U812" s="96"/>
      <c r="V812" s="96"/>
      <c r="W812" s="96"/>
      <c r="X812" s="96"/>
      <c r="Y812" s="96"/>
      <c r="Z812" s="96"/>
      <c r="AA812" s="96"/>
    </row>
    <row r="813" spans="1:27" ht="15.75" customHeight="1">
      <c r="A813" s="96"/>
      <c r="B813" s="96"/>
      <c r="C813" s="96"/>
      <c r="D813" s="96"/>
      <c r="E813" s="96"/>
      <c r="F813" s="96"/>
      <c r="G813" s="96"/>
      <c r="H813" s="96"/>
      <c r="I813" s="96"/>
      <c r="J813" s="96"/>
      <c r="K813" s="96"/>
      <c r="L813" s="96"/>
      <c r="M813" s="96"/>
      <c r="N813" s="96"/>
      <c r="O813" s="96"/>
      <c r="P813" s="96"/>
      <c r="Q813" s="96"/>
      <c r="R813" s="96"/>
      <c r="S813" s="96"/>
      <c r="T813" s="96"/>
      <c r="U813" s="96"/>
      <c r="V813" s="96"/>
      <c r="W813" s="96"/>
      <c r="X813" s="96"/>
      <c r="Y813" s="96"/>
      <c r="Z813" s="96"/>
      <c r="AA813" s="96"/>
    </row>
    <row r="814" spans="1:27" ht="15.75" customHeight="1">
      <c r="A814" s="96"/>
      <c r="B814" s="96"/>
      <c r="C814" s="96"/>
      <c r="D814" s="96"/>
      <c r="E814" s="96"/>
      <c r="F814" s="96"/>
      <c r="G814" s="96"/>
      <c r="H814" s="96"/>
      <c r="I814" s="96"/>
      <c r="J814" s="96"/>
      <c r="K814" s="96"/>
      <c r="L814" s="96"/>
      <c r="M814" s="96"/>
      <c r="N814" s="96"/>
      <c r="O814" s="96"/>
      <c r="P814" s="96"/>
      <c r="Q814" s="96"/>
      <c r="R814" s="96"/>
      <c r="S814" s="96"/>
      <c r="T814" s="96"/>
      <c r="U814" s="96"/>
      <c r="V814" s="96"/>
      <c r="W814" s="96"/>
      <c r="X814" s="96"/>
      <c r="Y814" s="96"/>
      <c r="Z814" s="96"/>
      <c r="AA814" s="96"/>
    </row>
    <row r="815" spans="1:27" ht="15.75" customHeight="1">
      <c r="A815" s="96"/>
      <c r="B815" s="96"/>
      <c r="C815" s="96"/>
      <c r="D815" s="96"/>
      <c r="E815" s="96"/>
      <c r="F815" s="96"/>
      <c r="G815" s="96"/>
      <c r="H815" s="96"/>
      <c r="I815" s="96"/>
      <c r="J815" s="96"/>
      <c r="K815" s="96"/>
      <c r="L815" s="96"/>
      <c r="M815" s="96"/>
      <c r="N815" s="96"/>
      <c r="O815" s="96"/>
      <c r="P815" s="96"/>
      <c r="Q815" s="96"/>
      <c r="R815" s="96"/>
      <c r="S815" s="96"/>
      <c r="T815" s="96"/>
      <c r="U815" s="96"/>
      <c r="V815" s="96"/>
      <c r="W815" s="96"/>
      <c r="X815" s="96"/>
      <c r="Y815" s="96"/>
      <c r="Z815" s="96"/>
      <c r="AA815" s="96"/>
    </row>
    <row r="816" spans="1:27" ht="15.75" customHeight="1">
      <c r="A816" s="96"/>
      <c r="B816" s="96"/>
      <c r="C816" s="96"/>
      <c r="D816" s="96"/>
      <c r="E816" s="96"/>
      <c r="F816" s="96"/>
      <c r="G816" s="96"/>
      <c r="H816" s="96"/>
      <c r="I816" s="96"/>
      <c r="J816" s="96"/>
      <c r="K816" s="96"/>
      <c r="L816" s="96"/>
      <c r="M816" s="96"/>
      <c r="N816" s="96"/>
      <c r="O816" s="96"/>
      <c r="P816" s="96"/>
      <c r="Q816" s="96"/>
      <c r="R816" s="96"/>
      <c r="S816" s="96"/>
      <c r="T816" s="96"/>
      <c r="U816" s="96"/>
      <c r="V816" s="96"/>
      <c r="W816" s="96"/>
      <c r="X816" s="96"/>
      <c r="Y816" s="96"/>
      <c r="Z816" s="96"/>
      <c r="AA816" s="96"/>
    </row>
    <row r="817" spans="1:27" ht="15.75" customHeight="1">
      <c r="A817" s="96"/>
      <c r="B817" s="96"/>
      <c r="C817" s="96"/>
      <c r="D817" s="96"/>
      <c r="E817" s="96"/>
      <c r="F817" s="96"/>
      <c r="G817" s="96"/>
      <c r="H817" s="96"/>
      <c r="I817" s="96"/>
      <c r="J817" s="96"/>
      <c r="K817" s="96"/>
      <c r="L817" s="96"/>
      <c r="M817" s="96"/>
      <c r="N817" s="96"/>
      <c r="O817" s="96"/>
      <c r="P817" s="96"/>
      <c r="Q817" s="96"/>
      <c r="R817" s="96"/>
      <c r="S817" s="96"/>
      <c r="T817" s="96"/>
      <c r="U817" s="96"/>
      <c r="V817" s="96"/>
      <c r="W817" s="96"/>
      <c r="X817" s="96"/>
      <c r="Y817" s="96"/>
      <c r="Z817" s="96"/>
      <c r="AA817" s="96"/>
    </row>
    <row r="818" spans="1:27" ht="15.75" customHeight="1">
      <c r="A818" s="96"/>
      <c r="B818" s="96"/>
      <c r="C818" s="96"/>
      <c r="D818" s="96"/>
      <c r="E818" s="96"/>
      <c r="F818" s="96"/>
      <c r="G818" s="96"/>
      <c r="H818" s="96"/>
      <c r="I818" s="96"/>
      <c r="J818" s="96"/>
      <c r="K818" s="96"/>
      <c r="L818" s="96"/>
      <c r="M818" s="96"/>
      <c r="N818" s="96"/>
      <c r="O818" s="96"/>
      <c r="P818" s="96"/>
      <c r="Q818" s="96"/>
      <c r="R818" s="96"/>
      <c r="S818" s="96"/>
      <c r="T818" s="96"/>
      <c r="U818" s="96"/>
      <c r="V818" s="96"/>
      <c r="W818" s="96"/>
      <c r="X818" s="96"/>
      <c r="Y818" s="96"/>
      <c r="Z818" s="96"/>
      <c r="AA818" s="96"/>
    </row>
    <row r="819" spans="1:27" ht="15.75" customHeight="1">
      <c r="A819" s="96"/>
      <c r="B819" s="96"/>
      <c r="C819" s="96"/>
      <c r="D819" s="96"/>
      <c r="E819" s="96"/>
      <c r="F819" s="96"/>
      <c r="G819" s="96"/>
      <c r="H819" s="96"/>
      <c r="I819" s="96"/>
      <c r="J819" s="96"/>
      <c r="K819" s="96"/>
      <c r="L819" s="96"/>
      <c r="M819" s="96"/>
      <c r="N819" s="96"/>
      <c r="O819" s="96"/>
      <c r="P819" s="96"/>
      <c r="Q819" s="96"/>
      <c r="R819" s="96"/>
      <c r="S819" s="96"/>
      <c r="T819" s="96"/>
      <c r="U819" s="96"/>
      <c r="V819" s="96"/>
      <c r="W819" s="96"/>
      <c r="X819" s="96"/>
      <c r="Y819" s="96"/>
      <c r="Z819" s="96"/>
      <c r="AA819" s="96"/>
    </row>
    <row r="820" spans="1:27" ht="15.75" customHeight="1">
      <c r="A820" s="96"/>
      <c r="B820" s="96"/>
      <c r="C820" s="96"/>
      <c r="D820" s="96"/>
      <c r="E820" s="96"/>
      <c r="F820" s="96"/>
      <c r="G820" s="96"/>
      <c r="H820" s="96"/>
      <c r="I820" s="96"/>
      <c r="J820" s="96"/>
      <c r="K820" s="96"/>
      <c r="L820" s="96"/>
      <c r="M820" s="96"/>
      <c r="N820" s="96"/>
      <c r="O820" s="96"/>
      <c r="P820" s="96"/>
      <c r="Q820" s="96"/>
      <c r="R820" s="96"/>
      <c r="S820" s="96"/>
      <c r="T820" s="96"/>
      <c r="U820" s="96"/>
      <c r="V820" s="96"/>
      <c r="W820" s="96"/>
      <c r="X820" s="96"/>
      <c r="Y820" s="96"/>
      <c r="Z820" s="96"/>
      <c r="AA820" s="96"/>
    </row>
    <row r="821" spans="1:27" ht="15.75" customHeight="1">
      <c r="A821" s="96"/>
      <c r="B821" s="96"/>
      <c r="C821" s="96"/>
      <c r="D821" s="96"/>
      <c r="E821" s="96"/>
      <c r="F821" s="96"/>
      <c r="G821" s="96"/>
      <c r="H821" s="96"/>
      <c r="I821" s="96"/>
      <c r="J821" s="96"/>
      <c r="K821" s="96"/>
      <c r="L821" s="96"/>
      <c r="M821" s="96"/>
      <c r="N821" s="96"/>
      <c r="O821" s="96"/>
      <c r="P821" s="96"/>
      <c r="Q821" s="96"/>
      <c r="R821" s="96"/>
      <c r="S821" s="96"/>
      <c r="T821" s="96"/>
      <c r="U821" s="96"/>
      <c r="V821" s="96"/>
      <c r="W821" s="96"/>
      <c r="X821" s="96"/>
      <c r="Y821" s="96"/>
      <c r="Z821" s="96"/>
      <c r="AA821" s="96"/>
    </row>
    <row r="822" spans="1:27" ht="15.75" customHeight="1">
      <c r="A822" s="96"/>
      <c r="B822" s="96"/>
      <c r="C822" s="96"/>
      <c r="D822" s="96"/>
      <c r="E822" s="96"/>
      <c r="F822" s="96"/>
      <c r="G822" s="96"/>
      <c r="H822" s="96"/>
      <c r="I822" s="96"/>
      <c r="J822" s="96"/>
      <c r="K822" s="96"/>
      <c r="L822" s="96"/>
      <c r="M822" s="96"/>
      <c r="N822" s="96"/>
      <c r="O822" s="96"/>
      <c r="P822" s="96"/>
      <c r="Q822" s="96"/>
      <c r="R822" s="96"/>
      <c r="S822" s="96"/>
      <c r="T822" s="96"/>
      <c r="U822" s="96"/>
      <c r="V822" s="96"/>
      <c r="W822" s="96"/>
      <c r="X822" s="96"/>
      <c r="Y822" s="96"/>
      <c r="Z822" s="96"/>
      <c r="AA822" s="96"/>
    </row>
    <row r="823" spans="1:27" ht="15.75" customHeight="1">
      <c r="A823" s="96"/>
      <c r="B823" s="96"/>
      <c r="C823" s="96"/>
      <c r="D823" s="96"/>
      <c r="E823" s="96"/>
      <c r="F823" s="96"/>
      <c r="G823" s="96"/>
      <c r="H823" s="96"/>
      <c r="I823" s="96"/>
      <c r="J823" s="96"/>
      <c r="K823" s="96"/>
      <c r="L823" s="96"/>
      <c r="M823" s="96"/>
      <c r="N823" s="96"/>
      <c r="O823" s="96"/>
      <c r="P823" s="96"/>
      <c r="Q823" s="96"/>
      <c r="R823" s="96"/>
      <c r="S823" s="96"/>
      <c r="T823" s="96"/>
      <c r="U823" s="96"/>
      <c r="V823" s="96"/>
      <c r="W823" s="96"/>
      <c r="X823" s="96"/>
      <c r="Y823" s="96"/>
      <c r="Z823" s="96"/>
      <c r="AA823" s="96"/>
    </row>
    <row r="824" spans="1:27" ht="15.75" customHeight="1">
      <c r="A824" s="96"/>
      <c r="B824" s="96"/>
      <c r="C824" s="96"/>
      <c r="D824" s="96"/>
      <c r="E824" s="96"/>
      <c r="F824" s="96"/>
      <c r="G824" s="96"/>
      <c r="H824" s="96"/>
      <c r="I824" s="96"/>
      <c r="J824" s="96"/>
      <c r="K824" s="96"/>
      <c r="L824" s="96"/>
      <c r="M824" s="96"/>
      <c r="N824" s="96"/>
      <c r="O824" s="96"/>
      <c r="P824" s="96"/>
      <c r="Q824" s="96"/>
      <c r="R824" s="96"/>
      <c r="S824" s="96"/>
      <c r="T824" s="96"/>
      <c r="U824" s="96"/>
      <c r="V824" s="96"/>
      <c r="W824" s="96"/>
      <c r="X824" s="96"/>
      <c r="Y824" s="96"/>
      <c r="Z824" s="96"/>
      <c r="AA824" s="96"/>
    </row>
    <row r="825" spans="1:27" ht="15.75" customHeight="1">
      <c r="A825" s="96"/>
      <c r="B825" s="96"/>
      <c r="C825" s="96"/>
      <c r="D825" s="96"/>
      <c r="E825" s="96"/>
      <c r="F825" s="96"/>
      <c r="G825" s="96"/>
      <c r="H825" s="96"/>
      <c r="I825" s="96"/>
      <c r="J825" s="96"/>
      <c r="K825" s="96"/>
      <c r="L825" s="96"/>
      <c r="M825" s="96"/>
      <c r="N825" s="96"/>
      <c r="O825" s="96"/>
      <c r="P825" s="96"/>
      <c r="Q825" s="96"/>
      <c r="R825" s="96"/>
      <c r="S825" s="96"/>
      <c r="T825" s="96"/>
      <c r="U825" s="96"/>
      <c r="V825" s="96"/>
      <c r="W825" s="96"/>
      <c r="X825" s="96"/>
      <c r="Y825" s="96"/>
      <c r="Z825" s="96"/>
      <c r="AA825" s="96"/>
    </row>
    <row r="826" spans="1:27" ht="15.75" customHeight="1">
      <c r="A826" s="96"/>
      <c r="B826" s="96"/>
      <c r="C826" s="96"/>
      <c r="D826" s="96"/>
      <c r="E826" s="96"/>
      <c r="F826" s="96"/>
      <c r="G826" s="96"/>
      <c r="H826" s="96"/>
      <c r="I826" s="96"/>
      <c r="J826" s="96"/>
      <c r="K826" s="96"/>
      <c r="L826" s="96"/>
      <c r="M826" s="96"/>
      <c r="N826" s="96"/>
      <c r="O826" s="96"/>
      <c r="P826" s="96"/>
      <c r="Q826" s="96"/>
      <c r="R826" s="96"/>
      <c r="S826" s="96"/>
      <c r="T826" s="96"/>
      <c r="U826" s="96"/>
      <c r="V826" s="96"/>
      <c r="W826" s="96"/>
      <c r="X826" s="96"/>
      <c r="Y826" s="96"/>
      <c r="Z826" s="96"/>
      <c r="AA826" s="96"/>
    </row>
    <row r="827" spans="1:27" ht="15.75" customHeight="1">
      <c r="A827" s="96"/>
      <c r="B827" s="96"/>
      <c r="C827" s="96"/>
      <c r="D827" s="96"/>
      <c r="E827" s="96"/>
      <c r="F827" s="96"/>
      <c r="G827" s="96"/>
      <c r="H827" s="96"/>
      <c r="I827" s="96"/>
      <c r="J827" s="96"/>
      <c r="K827" s="96"/>
      <c r="L827" s="96"/>
      <c r="M827" s="96"/>
      <c r="N827" s="96"/>
      <c r="O827" s="96"/>
      <c r="P827" s="96"/>
      <c r="Q827" s="96"/>
      <c r="R827" s="96"/>
      <c r="S827" s="96"/>
      <c r="T827" s="96"/>
      <c r="U827" s="96"/>
      <c r="V827" s="96"/>
      <c r="W827" s="96"/>
      <c r="X827" s="96"/>
      <c r="Y827" s="96"/>
      <c r="Z827" s="96"/>
      <c r="AA827" s="96"/>
    </row>
    <row r="828" spans="1:27" ht="15.75" customHeight="1">
      <c r="A828" s="96"/>
      <c r="B828" s="96"/>
      <c r="C828" s="96"/>
      <c r="D828" s="96"/>
      <c r="E828" s="96"/>
      <c r="F828" s="96"/>
      <c r="G828" s="96"/>
      <c r="H828" s="96"/>
      <c r="I828" s="96"/>
      <c r="J828" s="96"/>
      <c r="K828" s="96"/>
      <c r="L828" s="96"/>
      <c r="M828" s="96"/>
      <c r="N828" s="96"/>
      <c r="O828" s="96"/>
      <c r="P828" s="96"/>
      <c r="Q828" s="96"/>
      <c r="R828" s="96"/>
      <c r="S828" s="96"/>
      <c r="T828" s="96"/>
      <c r="U828" s="96"/>
      <c r="V828" s="96"/>
      <c r="W828" s="96"/>
      <c r="X828" s="96"/>
      <c r="Y828" s="96"/>
      <c r="Z828" s="96"/>
      <c r="AA828" s="96"/>
    </row>
    <row r="829" spans="1:27" ht="15.75" customHeight="1">
      <c r="A829" s="96"/>
      <c r="B829" s="96"/>
      <c r="C829" s="96"/>
      <c r="D829" s="96"/>
      <c r="E829" s="96"/>
      <c r="F829" s="96"/>
      <c r="G829" s="96"/>
      <c r="H829" s="96"/>
      <c r="I829" s="96"/>
      <c r="J829" s="96"/>
      <c r="K829" s="96"/>
      <c r="L829" s="96"/>
      <c r="M829" s="96"/>
      <c r="N829" s="96"/>
      <c r="O829" s="96"/>
      <c r="P829" s="96"/>
      <c r="Q829" s="96"/>
      <c r="R829" s="96"/>
      <c r="S829" s="96"/>
      <c r="T829" s="96"/>
      <c r="U829" s="96"/>
      <c r="V829" s="96"/>
      <c r="W829" s="96"/>
      <c r="X829" s="96"/>
      <c r="Y829" s="96"/>
      <c r="Z829" s="96"/>
      <c r="AA829" s="96"/>
    </row>
    <row r="830" spans="1:27" ht="15.75" customHeight="1">
      <c r="A830" s="96"/>
      <c r="B830" s="96"/>
      <c r="C830" s="96"/>
      <c r="D830" s="96"/>
      <c r="E830" s="96"/>
      <c r="F830" s="96"/>
      <c r="G830" s="96"/>
      <c r="H830" s="96"/>
      <c r="I830" s="96"/>
      <c r="J830" s="96"/>
      <c r="K830" s="96"/>
      <c r="L830" s="96"/>
      <c r="M830" s="96"/>
      <c r="N830" s="96"/>
      <c r="O830" s="96"/>
      <c r="P830" s="96"/>
      <c r="Q830" s="96"/>
      <c r="R830" s="96"/>
      <c r="S830" s="96"/>
      <c r="T830" s="96"/>
      <c r="U830" s="96"/>
      <c r="V830" s="96"/>
      <c r="W830" s="96"/>
      <c r="X830" s="96"/>
      <c r="Y830" s="96"/>
      <c r="Z830" s="96"/>
      <c r="AA830" s="96"/>
    </row>
    <row r="831" spans="1:27" ht="15.75" customHeight="1">
      <c r="A831" s="96"/>
      <c r="B831" s="96"/>
      <c r="C831" s="96"/>
      <c r="D831" s="96"/>
      <c r="E831" s="96"/>
      <c r="F831" s="96"/>
      <c r="G831" s="96"/>
      <c r="H831" s="96"/>
      <c r="I831" s="96"/>
      <c r="J831" s="96"/>
      <c r="K831" s="96"/>
      <c r="L831" s="96"/>
      <c r="M831" s="96"/>
      <c r="N831" s="96"/>
      <c r="O831" s="96"/>
      <c r="P831" s="96"/>
      <c r="Q831" s="96"/>
      <c r="R831" s="96"/>
      <c r="S831" s="96"/>
      <c r="T831" s="96"/>
      <c r="U831" s="96"/>
      <c r="V831" s="96"/>
      <c r="W831" s="96"/>
      <c r="X831" s="96"/>
      <c r="Y831" s="96"/>
      <c r="Z831" s="96"/>
      <c r="AA831" s="96"/>
    </row>
    <row r="832" spans="1:27" ht="15.75" customHeight="1">
      <c r="A832" s="96"/>
      <c r="B832" s="96"/>
      <c r="C832" s="96"/>
      <c r="D832" s="96"/>
      <c r="E832" s="96"/>
      <c r="F832" s="96"/>
      <c r="G832" s="96"/>
      <c r="H832" s="96"/>
      <c r="I832" s="96"/>
      <c r="J832" s="96"/>
      <c r="K832" s="96"/>
      <c r="L832" s="96"/>
      <c r="M832" s="96"/>
      <c r="N832" s="96"/>
      <c r="O832" s="96"/>
      <c r="P832" s="96"/>
      <c r="Q832" s="96"/>
      <c r="R832" s="96"/>
      <c r="S832" s="96"/>
      <c r="T832" s="96"/>
      <c r="U832" s="96"/>
      <c r="V832" s="96"/>
      <c r="W832" s="96"/>
      <c r="X832" s="96"/>
      <c r="Y832" s="96"/>
      <c r="Z832" s="96"/>
      <c r="AA832" s="96"/>
    </row>
    <row r="833" spans="1:27" ht="15.75" customHeight="1">
      <c r="A833" s="96"/>
      <c r="B833" s="96"/>
      <c r="C833" s="96"/>
      <c r="D833" s="96"/>
      <c r="E833" s="96"/>
      <c r="F833" s="96"/>
      <c r="G833" s="96"/>
      <c r="H833" s="96"/>
      <c r="I833" s="96"/>
      <c r="J833" s="96"/>
      <c r="K833" s="96"/>
      <c r="L833" s="96"/>
      <c r="M833" s="96"/>
      <c r="N833" s="96"/>
      <c r="O833" s="96"/>
      <c r="P833" s="96"/>
      <c r="Q833" s="96"/>
      <c r="R833" s="96"/>
      <c r="S833" s="96"/>
      <c r="T833" s="96"/>
      <c r="U833" s="96"/>
      <c r="V833" s="96"/>
      <c r="W833" s="96"/>
      <c r="X833" s="96"/>
      <c r="Y833" s="96"/>
      <c r="Z833" s="96"/>
      <c r="AA833" s="96"/>
    </row>
    <row r="834" spans="1:27" ht="15.75" customHeight="1">
      <c r="A834" s="96"/>
      <c r="B834" s="96"/>
      <c r="C834" s="96"/>
      <c r="D834" s="96"/>
      <c r="E834" s="96"/>
      <c r="F834" s="96"/>
      <c r="G834" s="96"/>
      <c r="H834" s="96"/>
      <c r="I834" s="96"/>
      <c r="J834" s="96"/>
      <c r="K834" s="96"/>
      <c r="L834" s="96"/>
      <c r="M834" s="96"/>
      <c r="N834" s="96"/>
      <c r="O834" s="96"/>
      <c r="P834" s="96"/>
      <c r="Q834" s="96"/>
      <c r="R834" s="96"/>
      <c r="S834" s="96"/>
      <c r="T834" s="96"/>
      <c r="U834" s="96"/>
      <c r="V834" s="96"/>
      <c r="W834" s="96"/>
      <c r="X834" s="96"/>
      <c r="Y834" s="96"/>
      <c r="Z834" s="96"/>
      <c r="AA834" s="96"/>
    </row>
    <row r="835" spans="1:27" ht="15.75" customHeight="1">
      <c r="A835" s="96"/>
      <c r="B835" s="96"/>
      <c r="C835" s="96"/>
      <c r="D835" s="96"/>
      <c r="E835" s="96"/>
      <c r="F835" s="96"/>
      <c r="G835" s="96"/>
      <c r="H835" s="96"/>
      <c r="I835" s="96"/>
      <c r="J835" s="96"/>
      <c r="K835" s="96"/>
      <c r="L835" s="96"/>
      <c r="M835" s="96"/>
      <c r="N835" s="96"/>
      <c r="O835" s="96"/>
      <c r="P835" s="96"/>
      <c r="Q835" s="96"/>
      <c r="R835" s="96"/>
      <c r="S835" s="96"/>
      <c r="T835" s="96"/>
      <c r="U835" s="96"/>
      <c r="V835" s="96"/>
      <c r="W835" s="96"/>
      <c r="X835" s="96"/>
      <c r="Y835" s="96"/>
      <c r="Z835" s="96"/>
      <c r="AA835" s="96"/>
    </row>
    <row r="836" spans="1:27" ht="15.75" customHeight="1">
      <c r="A836" s="96"/>
      <c r="B836" s="96"/>
      <c r="C836" s="96"/>
      <c r="D836" s="96"/>
      <c r="E836" s="96"/>
      <c r="F836" s="96"/>
      <c r="G836" s="96"/>
      <c r="H836" s="96"/>
      <c r="I836" s="96"/>
      <c r="J836" s="96"/>
      <c r="K836" s="96"/>
      <c r="L836" s="96"/>
      <c r="M836" s="96"/>
      <c r="N836" s="96"/>
      <c r="O836" s="96"/>
      <c r="P836" s="96"/>
      <c r="Q836" s="96"/>
      <c r="R836" s="96"/>
      <c r="S836" s="96"/>
      <c r="T836" s="96"/>
      <c r="U836" s="96"/>
      <c r="V836" s="96"/>
      <c r="W836" s="96"/>
      <c r="X836" s="96"/>
      <c r="Y836" s="96"/>
      <c r="Z836" s="96"/>
      <c r="AA836" s="96"/>
    </row>
    <row r="837" spans="1:27" ht="15.75" customHeight="1">
      <c r="A837" s="96"/>
      <c r="B837" s="96"/>
      <c r="C837" s="96"/>
      <c r="D837" s="96"/>
      <c r="E837" s="96"/>
      <c r="F837" s="96"/>
      <c r="G837" s="96"/>
      <c r="H837" s="96"/>
      <c r="I837" s="96"/>
      <c r="J837" s="96"/>
      <c r="K837" s="96"/>
      <c r="L837" s="96"/>
      <c r="M837" s="96"/>
      <c r="N837" s="96"/>
      <c r="O837" s="96"/>
      <c r="P837" s="96"/>
      <c r="Q837" s="96"/>
      <c r="R837" s="96"/>
      <c r="S837" s="96"/>
      <c r="T837" s="96"/>
      <c r="U837" s="96"/>
      <c r="V837" s="96"/>
      <c r="W837" s="96"/>
      <c r="X837" s="96"/>
      <c r="Y837" s="96"/>
      <c r="Z837" s="96"/>
      <c r="AA837" s="96"/>
    </row>
    <row r="838" spans="1:27" ht="15.75" customHeight="1">
      <c r="A838" s="96"/>
      <c r="B838" s="96"/>
      <c r="C838" s="96"/>
      <c r="D838" s="96"/>
      <c r="E838" s="96"/>
      <c r="F838" s="96"/>
      <c r="G838" s="96"/>
      <c r="H838" s="96"/>
      <c r="I838" s="96"/>
      <c r="J838" s="96"/>
      <c r="K838" s="96"/>
      <c r="L838" s="96"/>
      <c r="M838" s="96"/>
      <c r="N838" s="96"/>
      <c r="O838" s="96"/>
      <c r="P838" s="96"/>
      <c r="Q838" s="96"/>
      <c r="R838" s="96"/>
      <c r="S838" s="96"/>
      <c r="T838" s="96"/>
      <c r="U838" s="96"/>
      <c r="V838" s="96"/>
      <c r="W838" s="96"/>
      <c r="X838" s="96"/>
      <c r="Y838" s="96"/>
      <c r="Z838" s="96"/>
      <c r="AA838" s="96"/>
    </row>
    <row r="839" spans="1:27" ht="15.75" customHeight="1">
      <c r="A839" s="96"/>
      <c r="B839" s="96"/>
      <c r="C839" s="96"/>
      <c r="D839" s="96"/>
      <c r="E839" s="96"/>
      <c r="F839" s="96"/>
      <c r="G839" s="96"/>
      <c r="H839" s="96"/>
      <c r="I839" s="96"/>
      <c r="J839" s="96"/>
      <c r="K839" s="96"/>
      <c r="L839" s="96"/>
      <c r="M839" s="96"/>
      <c r="N839" s="96"/>
      <c r="O839" s="96"/>
      <c r="P839" s="96"/>
      <c r="Q839" s="96"/>
      <c r="R839" s="96"/>
      <c r="S839" s="96"/>
      <c r="T839" s="96"/>
      <c r="U839" s="96"/>
      <c r="V839" s="96"/>
      <c r="W839" s="96"/>
      <c r="X839" s="96"/>
      <c r="Y839" s="96"/>
      <c r="Z839" s="96"/>
      <c r="AA839" s="96"/>
    </row>
    <row r="840" spans="1:27" ht="15.75" customHeight="1">
      <c r="A840" s="96"/>
      <c r="B840" s="96"/>
      <c r="C840" s="96"/>
      <c r="D840" s="96"/>
      <c r="E840" s="96"/>
      <c r="F840" s="96"/>
      <c r="G840" s="96"/>
      <c r="H840" s="96"/>
      <c r="I840" s="96"/>
      <c r="J840" s="96"/>
      <c r="K840" s="96"/>
      <c r="L840" s="96"/>
      <c r="M840" s="96"/>
      <c r="N840" s="96"/>
      <c r="O840" s="96"/>
      <c r="P840" s="96"/>
      <c r="Q840" s="96"/>
      <c r="R840" s="96"/>
      <c r="S840" s="96"/>
      <c r="T840" s="96"/>
      <c r="U840" s="96"/>
      <c r="V840" s="96"/>
      <c r="W840" s="96"/>
      <c r="X840" s="96"/>
      <c r="Y840" s="96"/>
      <c r="Z840" s="96"/>
      <c r="AA840" s="96"/>
    </row>
    <row r="841" spans="1:27" ht="15.75" customHeight="1">
      <c r="A841" s="96"/>
      <c r="B841" s="96"/>
      <c r="C841" s="96"/>
      <c r="D841" s="96"/>
      <c r="E841" s="96"/>
      <c r="F841" s="96"/>
      <c r="G841" s="96"/>
      <c r="H841" s="96"/>
      <c r="I841" s="96"/>
      <c r="J841" s="96"/>
      <c r="K841" s="96"/>
      <c r="L841" s="96"/>
      <c r="M841" s="96"/>
      <c r="N841" s="96"/>
      <c r="O841" s="96"/>
      <c r="P841" s="96"/>
      <c r="Q841" s="96"/>
      <c r="R841" s="96"/>
      <c r="S841" s="96"/>
      <c r="T841" s="96"/>
      <c r="U841" s="96"/>
      <c r="V841" s="96"/>
      <c r="W841" s="96"/>
      <c r="X841" s="96"/>
      <c r="Y841" s="96"/>
      <c r="Z841" s="96"/>
      <c r="AA841" s="96"/>
    </row>
    <row r="842" spans="1:27" ht="15.75" customHeight="1">
      <c r="A842" s="96"/>
      <c r="B842" s="96"/>
      <c r="C842" s="96"/>
      <c r="D842" s="96"/>
      <c r="E842" s="96"/>
      <c r="F842" s="96"/>
      <c r="G842" s="96"/>
      <c r="H842" s="96"/>
      <c r="I842" s="96"/>
      <c r="J842" s="96"/>
      <c r="K842" s="96"/>
      <c r="L842" s="96"/>
      <c r="M842" s="96"/>
      <c r="N842" s="96"/>
      <c r="O842" s="96"/>
      <c r="P842" s="96"/>
      <c r="Q842" s="96"/>
      <c r="R842" s="96"/>
      <c r="S842" s="96"/>
      <c r="T842" s="96"/>
      <c r="U842" s="96"/>
      <c r="V842" s="96"/>
      <c r="W842" s="96"/>
      <c r="X842" s="96"/>
      <c r="Y842" s="96"/>
      <c r="Z842" s="96"/>
      <c r="AA842" s="96"/>
    </row>
    <row r="843" spans="1:27" ht="15.75" customHeight="1">
      <c r="A843" s="96"/>
      <c r="B843" s="96"/>
      <c r="C843" s="96"/>
      <c r="D843" s="96"/>
      <c r="E843" s="96"/>
      <c r="F843" s="96"/>
      <c r="G843" s="96"/>
      <c r="H843" s="96"/>
      <c r="I843" s="96"/>
      <c r="J843" s="96"/>
      <c r="K843" s="96"/>
      <c r="L843" s="96"/>
      <c r="M843" s="96"/>
      <c r="N843" s="96"/>
      <c r="O843" s="96"/>
      <c r="P843" s="96"/>
      <c r="Q843" s="96"/>
      <c r="R843" s="96"/>
      <c r="S843" s="96"/>
      <c r="T843" s="96"/>
      <c r="U843" s="96"/>
      <c r="V843" s="96"/>
      <c r="W843" s="96"/>
      <c r="X843" s="96"/>
      <c r="Y843" s="96"/>
      <c r="Z843" s="96"/>
      <c r="AA843" s="96"/>
    </row>
    <row r="844" spans="1:27" ht="15.75" customHeight="1">
      <c r="A844" s="96"/>
      <c r="B844" s="96"/>
      <c r="C844" s="96"/>
      <c r="D844" s="96"/>
      <c r="E844" s="96"/>
      <c r="F844" s="96"/>
      <c r="G844" s="96"/>
      <c r="H844" s="96"/>
      <c r="I844" s="96"/>
      <c r="J844" s="96"/>
      <c r="K844" s="96"/>
      <c r="L844" s="96"/>
      <c r="M844" s="96"/>
      <c r="N844" s="96"/>
      <c r="O844" s="96"/>
      <c r="P844" s="96"/>
      <c r="Q844" s="96"/>
      <c r="R844" s="96"/>
      <c r="S844" s="96"/>
      <c r="T844" s="96"/>
      <c r="U844" s="96"/>
      <c r="V844" s="96"/>
      <c r="W844" s="96"/>
      <c r="X844" s="96"/>
      <c r="Y844" s="96"/>
      <c r="Z844" s="96"/>
      <c r="AA844" s="96"/>
    </row>
    <row r="845" spans="1:27" ht="15.75" customHeight="1">
      <c r="A845" s="96"/>
      <c r="B845" s="96"/>
      <c r="C845" s="96"/>
      <c r="D845" s="96"/>
      <c r="E845" s="96"/>
      <c r="F845" s="96"/>
      <c r="G845" s="96"/>
      <c r="H845" s="96"/>
      <c r="I845" s="96"/>
      <c r="J845" s="96"/>
      <c r="K845" s="96"/>
      <c r="L845" s="96"/>
      <c r="M845" s="96"/>
      <c r="N845" s="96"/>
      <c r="O845" s="96"/>
      <c r="P845" s="96"/>
      <c r="Q845" s="96"/>
      <c r="R845" s="96"/>
      <c r="S845" s="96"/>
      <c r="T845" s="96"/>
      <c r="U845" s="96"/>
      <c r="V845" s="96"/>
      <c r="W845" s="96"/>
      <c r="X845" s="96"/>
      <c r="Y845" s="96"/>
      <c r="Z845" s="96"/>
      <c r="AA845" s="96"/>
    </row>
    <row r="846" spans="1:27" ht="15.75" customHeight="1">
      <c r="A846" s="96"/>
      <c r="B846" s="96"/>
      <c r="C846" s="96"/>
      <c r="D846" s="96"/>
      <c r="E846" s="96"/>
      <c r="F846" s="96"/>
      <c r="G846" s="96"/>
      <c r="H846" s="96"/>
      <c r="I846" s="96"/>
      <c r="J846" s="96"/>
      <c r="K846" s="96"/>
      <c r="L846" s="96"/>
      <c r="M846" s="96"/>
      <c r="N846" s="96"/>
      <c r="O846" s="96"/>
      <c r="P846" s="96"/>
      <c r="Q846" s="96"/>
      <c r="R846" s="96"/>
      <c r="S846" s="96"/>
      <c r="T846" s="96"/>
      <c r="U846" s="96"/>
      <c r="V846" s="96"/>
      <c r="W846" s="96"/>
      <c r="X846" s="96"/>
      <c r="Y846" s="96"/>
      <c r="Z846" s="96"/>
      <c r="AA846" s="96"/>
    </row>
    <row r="847" spans="1:27" ht="15.75" customHeight="1">
      <c r="A847" s="96"/>
      <c r="B847" s="96"/>
      <c r="C847" s="96"/>
      <c r="D847" s="96"/>
      <c r="E847" s="96"/>
      <c r="F847" s="96"/>
      <c r="G847" s="96"/>
      <c r="H847" s="96"/>
      <c r="I847" s="96"/>
      <c r="J847" s="96"/>
      <c r="K847" s="96"/>
      <c r="L847" s="96"/>
      <c r="M847" s="96"/>
      <c r="N847" s="96"/>
      <c r="O847" s="96"/>
      <c r="P847" s="96"/>
      <c r="Q847" s="96"/>
      <c r="R847" s="96"/>
      <c r="S847" s="96"/>
      <c r="T847" s="96"/>
      <c r="U847" s="96"/>
      <c r="V847" s="96"/>
      <c r="W847" s="96"/>
      <c r="X847" s="96"/>
      <c r="Y847" s="96"/>
      <c r="Z847" s="96"/>
      <c r="AA847" s="96"/>
    </row>
    <row r="848" spans="1:27" ht="15.75" customHeight="1">
      <c r="A848" s="96"/>
      <c r="B848" s="96"/>
      <c r="C848" s="96"/>
      <c r="D848" s="96"/>
      <c r="E848" s="96"/>
      <c r="F848" s="96"/>
      <c r="G848" s="96"/>
      <c r="H848" s="96"/>
      <c r="I848" s="96"/>
      <c r="J848" s="96"/>
      <c r="K848" s="96"/>
      <c r="L848" s="96"/>
      <c r="M848" s="96"/>
      <c r="N848" s="96"/>
      <c r="O848" s="96"/>
      <c r="P848" s="96"/>
      <c r="Q848" s="96"/>
      <c r="R848" s="96"/>
      <c r="S848" s="96"/>
      <c r="T848" s="96"/>
      <c r="U848" s="96"/>
      <c r="V848" s="96"/>
      <c r="W848" s="96"/>
      <c r="X848" s="96"/>
      <c r="Y848" s="96"/>
      <c r="Z848" s="96"/>
      <c r="AA848" s="96"/>
    </row>
    <row r="849" spans="1:27" ht="15.75" customHeight="1">
      <c r="A849" s="96"/>
      <c r="B849" s="96"/>
      <c r="C849" s="96"/>
      <c r="D849" s="96"/>
      <c r="E849" s="96"/>
      <c r="F849" s="96"/>
      <c r="G849" s="96"/>
      <c r="H849" s="96"/>
      <c r="I849" s="96"/>
      <c r="J849" s="96"/>
      <c r="K849" s="96"/>
      <c r="L849" s="96"/>
      <c r="M849" s="96"/>
      <c r="N849" s="96"/>
      <c r="O849" s="96"/>
      <c r="P849" s="96"/>
      <c r="Q849" s="96"/>
      <c r="R849" s="96"/>
      <c r="S849" s="96"/>
      <c r="T849" s="96"/>
      <c r="U849" s="96"/>
      <c r="V849" s="96"/>
      <c r="W849" s="96"/>
      <c r="X849" s="96"/>
      <c r="Y849" s="96"/>
      <c r="Z849" s="96"/>
      <c r="AA849" s="96"/>
    </row>
    <row r="850" spans="1:27" ht="15.75" customHeight="1">
      <c r="A850" s="96"/>
      <c r="B850" s="96"/>
      <c r="C850" s="96"/>
      <c r="D850" s="96"/>
      <c r="E850" s="96"/>
      <c r="F850" s="96"/>
      <c r="G850" s="96"/>
      <c r="H850" s="96"/>
      <c r="I850" s="96"/>
      <c r="J850" s="96"/>
      <c r="K850" s="96"/>
      <c r="L850" s="96"/>
      <c r="M850" s="96"/>
      <c r="N850" s="96"/>
      <c r="O850" s="96"/>
      <c r="P850" s="96"/>
      <c r="Q850" s="96"/>
      <c r="R850" s="96"/>
      <c r="S850" s="96"/>
      <c r="T850" s="96"/>
      <c r="U850" s="96"/>
      <c r="V850" s="96"/>
      <c r="W850" s="96"/>
      <c r="X850" s="96"/>
      <c r="Y850" s="96"/>
      <c r="Z850" s="96"/>
      <c r="AA850" s="96"/>
    </row>
    <row r="851" spans="1:27" ht="15.75" customHeight="1">
      <c r="A851" s="96"/>
      <c r="B851" s="96"/>
      <c r="C851" s="96"/>
      <c r="D851" s="96"/>
      <c r="E851" s="96"/>
      <c r="F851" s="96"/>
      <c r="G851" s="96"/>
      <c r="H851" s="96"/>
      <c r="I851" s="96"/>
      <c r="J851" s="96"/>
      <c r="K851" s="96"/>
      <c r="L851" s="96"/>
      <c r="M851" s="96"/>
      <c r="N851" s="96"/>
      <c r="O851" s="96"/>
      <c r="P851" s="96"/>
      <c r="Q851" s="96"/>
      <c r="R851" s="96"/>
      <c r="S851" s="96"/>
      <c r="T851" s="96"/>
      <c r="U851" s="96"/>
      <c r="V851" s="96"/>
      <c r="W851" s="96"/>
      <c r="X851" s="96"/>
      <c r="Y851" s="96"/>
      <c r="Z851" s="96"/>
      <c r="AA851" s="96"/>
    </row>
    <row r="852" spans="1:27" ht="15.75" customHeight="1">
      <c r="A852" s="96"/>
      <c r="B852" s="96"/>
      <c r="C852" s="96"/>
      <c r="D852" s="96"/>
      <c r="E852" s="96"/>
      <c r="F852" s="96"/>
      <c r="G852" s="96"/>
      <c r="H852" s="96"/>
      <c r="I852" s="96"/>
      <c r="J852" s="96"/>
      <c r="K852" s="96"/>
      <c r="L852" s="96"/>
      <c r="M852" s="96"/>
      <c r="N852" s="96"/>
      <c r="O852" s="96"/>
      <c r="P852" s="96"/>
      <c r="Q852" s="96"/>
      <c r="R852" s="96"/>
      <c r="S852" s="96"/>
      <c r="T852" s="96"/>
      <c r="U852" s="96"/>
      <c r="V852" s="96"/>
      <c r="W852" s="96"/>
      <c r="X852" s="96"/>
      <c r="Y852" s="96"/>
      <c r="Z852" s="96"/>
      <c r="AA852" s="96"/>
    </row>
    <row r="853" spans="1:27" ht="15.75" customHeight="1">
      <c r="A853" s="96"/>
      <c r="B853" s="96"/>
      <c r="C853" s="96"/>
      <c r="D853" s="96"/>
      <c r="E853" s="96"/>
      <c r="F853" s="96"/>
      <c r="G853" s="96"/>
      <c r="H853" s="96"/>
      <c r="I853" s="96"/>
      <c r="J853" s="96"/>
      <c r="K853" s="96"/>
      <c r="L853" s="96"/>
      <c r="M853" s="96"/>
      <c r="N853" s="96"/>
      <c r="O853" s="96"/>
      <c r="P853" s="96"/>
      <c r="Q853" s="96"/>
      <c r="R853" s="96"/>
      <c r="S853" s="96"/>
      <c r="T853" s="96"/>
      <c r="U853" s="96"/>
      <c r="V853" s="96"/>
      <c r="W853" s="96"/>
      <c r="X853" s="96"/>
      <c r="Y853" s="96"/>
      <c r="Z853" s="96"/>
      <c r="AA853" s="96"/>
    </row>
    <row r="854" spans="1:27" ht="15.75" customHeight="1">
      <c r="A854" s="96"/>
      <c r="B854" s="96"/>
      <c r="C854" s="96"/>
      <c r="D854" s="96"/>
      <c r="E854" s="96"/>
      <c r="F854" s="96"/>
      <c r="G854" s="96"/>
      <c r="H854" s="96"/>
      <c r="I854" s="96"/>
      <c r="J854" s="96"/>
      <c r="K854" s="96"/>
      <c r="L854" s="96"/>
      <c r="M854" s="96"/>
      <c r="N854" s="96"/>
      <c r="O854" s="96"/>
      <c r="P854" s="96"/>
      <c r="Q854" s="96"/>
      <c r="R854" s="96"/>
      <c r="S854" s="96"/>
      <c r="T854" s="96"/>
      <c r="U854" s="96"/>
      <c r="V854" s="96"/>
      <c r="W854" s="96"/>
      <c r="X854" s="96"/>
      <c r="Y854" s="96"/>
      <c r="Z854" s="96"/>
      <c r="AA854" s="96"/>
    </row>
    <row r="855" spans="1:27" ht="15.75" customHeight="1">
      <c r="A855" s="96"/>
      <c r="B855" s="96"/>
      <c r="C855" s="96"/>
      <c r="D855" s="96"/>
      <c r="E855" s="96"/>
      <c r="F855" s="96"/>
      <c r="G855" s="96"/>
      <c r="H855" s="96"/>
      <c r="I855" s="96"/>
      <c r="J855" s="96"/>
      <c r="K855" s="96"/>
      <c r="L855" s="96"/>
      <c r="M855" s="96"/>
      <c r="N855" s="96"/>
      <c r="O855" s="96"/>
      <c r="P855" s="96"/>
      <c r="Q855" s="96"/>
      <c r="R855" s="96"/>
      <c r="S855" s="96"/>
      <c r="T855" s="96"/>
      <c r="U855" s="96"/>
      <c r="V855" s="96"/>
      <c r="W855" s="96"/>
      <c r="X855" s="96"/>
      <c r="Y855" s="96"/>
      <c r="Z855" s="96"/>
      <c r="AA855" s="96"/>
    </row>
    <row r="856" spans="1:27" ht="15.75" customHeight="1">
      <c r="A856" s="96"/>
      <c r="B856" s="96"/>
      <c r="C856" s="96"/>
      <c r="D856" s="96"/>
      <c r="E856" s="96"/>
      <c r="F856" s="96"/>
      <c r="G856" s="96"/>
      <c r="H856" s="96"/>
      <c r="I856" s="96"/>
      <c r="J856" s="96"/>
      <c r="K856" s="96"/>
      <c r="L856" s="96"/>
      <c r="M856" s="96"/>
      <c r="N856" s="96"/>
      <c r="O856" s="96"/>
      <c r="P856" s="96"/>
      <c r="Q856" s="96"/>
      <c r="R856" s="96"/>
      <c r="S856" s="96"/>
      <c r="T856" s="96"/>
      <c r="U856" s="96"/>
      <c r="V856" s="96"/>
      <c r="W856" s="96"/>
      <c r="X856" s="96"/>
      <c r="Y856" s="96"/>
      <c r="Z856" s="96"/>
      <c r="AA856" s="96"/>
    </row>
    <row r="857" spans="1:27" ht="15.75" customHeight="1">
      <c r="A857" s="96"/>
      <c r="B857" s="96"/>
      <c r="C857" s="96"/>
      <c r="D857" s="96"/>
      <c r="E857" s="96"/>
      <c r="F857" s="96"/>
      <c r="G857" s="96"/>
      <c r="H857" s="96"/>
      <c r="I857" s="96"/>
      <c r="J857" s="96"/>
      <c r="K857" s="96"/>
      <c r="L857" s="96"/>
      <c r="M857" s="96"/>
      <c r="N857" s="96"/>
      <c r="O857" s="96"/>
      <c r="P857" s="96"/>
      <c r="Q857" s="96"/>
      <c r="R857" s="96"/>
      <c r="S857" s="96"/>
      <c r="T857" s="96"/>
      <c r="U857" s="96"/>
      <c r="V857" s="96"/>
      <c r="W857" s="96"/>
      <c r="X857" s="96"/>
      <c r="Y857" s="96"/>
      <c r="Z857" s="96"/>
      <c r="AA857" s="96"/>
    </row>
    <row r="858" spans="1:27" ht="15.75" customHeight="1">
      <c r="A858" s="96"/>
      <c r="B858" s="96"/>
      <c r="C858" s="96"/>
      <c r="D858" s="96"/>
      <c r="E858" s="96"/>
      <c r="F858" s="96"/>
      <c r="G858" s="96"/>
      <c r="H858" s="96"/>
      <c r="I858" s="96"/>
      <c r="J858" s="96"/>
      <c r="K858" s="96"/>
      <c r="L858" s="96"/>
      <c r="M858" s="96"/>
      <c r="N858" s="96"/>
      <c r="O858" s="96"/>
      <c r="P858" s="96"/>
      <c r="Q858" s="96"/>
      <c r="R858" s="96"/>
      <c r="S858" s="96"/>
      <c r="T858" s="96"/>
      <c r="U858" s="96"/>
      <c r="V858" s="96"/>
      <c r="W858" s="96"/>
      <c r="X858" s="96"/>
      <c r="Y858" s="96"/>
      <c r="Z858" s="96"/>
      <c r="AA858" s="96"/>
    </row>
    <row r="859" spans="1:27" ht="15.75" customHeight="1">
      <c r="A859" s="96"/>
      <c r="B859" s="96"/>
      <c r="C859" s="96"/>
      <c r="D859" s="96"/>
      <c r="E859" s="96"/>
      <c r="F859" s="96"/>
      <c r="G859" s="96"/>
      <c r="H859" s="96"/>
      <c r="I859" s="96"/>
      <c r="J859" s="96"/>
      <c r="K859" s="96"/>
      <c r="L859" s="96"/>
      <c r="M859" s="96"/>
      <c r="N859" s="96"/>
      <c r="O859" s="96"/>
      <c r="P859" s="96"/>
      <c r="Q859" s="96"/>
      <c r="R859" s="96"/>
      <c r="S859" s="96"/>
      <c r="T859" s="96"/>
      <c r="U859" s="96"/>
      <c r="V859" s="96"/>
      <c r="W859" s="96"/>
      <c r="X859" s="96"/>
      <c r="Y859" s="96"/>
      <c r="Z859" s="96"/>
      <c r="AA859" s="96"/>
    </row>
    <row r="860" spans="1:27" ht="15.75" customHeight="1">
      <c r="A860" s="96"/>
      <c r="B860" s="96"/>
      <c r="C860" s="96"/>
      <c r="D860" s="96"/>
      <c r="E860" s="96"/>
      <c r="F860" s="96"/>
      <c r="G860" s="96"/>
      <c r="H860" s="96"/>
      <c r="I860" s="96"/>
      <c r="J860" s="96"/>
      <c r="K860" s="96"/>
      <c r="L860" s="96"/>
      <c r="M860" s="96"/>
      <c r="N860" s="96"/>
      <c r="O860" s="96"/>
      <c r="P860" s="96"/>
      <c r="Q860" s="96"/>
      <c r="R860" s="96"/>
      <c r="S860" s="96"/>
      <c r="T860" s="96"/>
      <c r="U860" s="96"/>
      <c r="V860" s="96"/>
      <c r="W860" s="96"/>
      <c r="X860" s="96"/>
      <c r="Y860" s="96"/>
      <c r="Z860" s="96"/>
      <c r="AA860" s="96"/>
    </row>
    <row r="861" spans="1:27" ht="15.75" customHeight="1">
      <c r="A861" s="96"/>
      <c r="B861" s="96"/>
      <c r="C861" s="96"/>
      <c r="D861" s="96"/>
      <c r="E861" s="96"/>
      <c r="F861" s="96"/>
      <c r="G861" s="96"/>
      <c r="H861" s="96"/>
      <c r="I861" s="96"/>
      <c r="J861" s="96"/>
      <c r="K861" s="96"/>
      <c r="L861" s="96"/>
      <c r="M861" s="96"/>
      <c r="N861" s="96"/>
      <c r="O861" s="96"/>
      <c r="P861" s="96"/>
      <c r="Q861" s="96"/>
      <c r="R861" s="96"/>
      <c r="S861" s="96"/>
      <c r="T861" s="96"/>
      <c r="U861" s="96"/>
      <c r="V861" s="96"/>
      <c r="W861" s="96"/>
      <c r="X861" s="96"/>
      <c r="Y861" s="96"/>
      <c r="Z861" s="96"/>
      <c r="AA861" s="96"/>
    </row>
    <row r="862" spans="1:27" ht="15.75" customHeight="1">
      <c r="A862" s="96"/>
      <c r="B862" s="96"/>
      <c r="C862" s="96"/>
      <c r="D862" s="96"/>
      <c r="E862" s="96"/>
      <c r="F862" s="96"/>
      <c r="G862" s="96"/>
      <c r="H862" s="96"/>
      <c r="I862" s="96"/>
      <c r="J862" s="96"/>
      <c r="K862" s="96"/>
      <c r="L862" s="96"/>
      <c r="M862" s="96"/>
      <c r="N862" s="96"/>
      <c r="O862" s="96"/>
      <c r="P862" s="96"/>
      <c r="Q862" s="96"/>
      <c r="R862" s="96"/>
      <c r="S862" s="96"/>
      <c r="T862" s="96"/>
      <c r="U862" s="96"/>
      <c r="V862" s="96"/>
      <c r="W862" s="96"/>
      <c r="X862" s="96"/>
      <c r="Y862" s="96"/>
      <c r="Z862" s="96"/>
      <c r="AA862" s="96"/>
    </row>
    <row r="863" spans="1:27" ht="15.75" customHeight="1">
      <c r="A863" s="96"/>
      <c r="B863" s="96"/>
      <c r="C863" s="96"/>
      <c r="D863" s="96"/>
      <c r="E863" s="96"/>
      <c r="F863" s="96"/>
      <c r="G863" s="96"/>
      <c r="H863" s="96"/>
      <c r="I863" s="96"/>
      <c r="J863" s="96"/>
      <c r="K863" s="96"/>
      <c r="L863" s="96"/>
      <c r="M863" s="96"/>
      <c r="N863" s="96"/>
      <c r="O863" s="96"/>
      <c r="P863" s="96"/>
      <c r="Q863" s="96"/>
      <c r="R863" s="96"/>
      <c r="S863" s="96"/>
      <c r="T863" s="96"/>
      <c r="U863" s="96"/>
      <c r="V863" s="96"/>
      <c r="W863" s="96"/>
      <c r="X863" s="96"/>
      <c r="Y863" s="96"/>
      <c r="Z863" s="96"/>
      <c r="AA863" s="96"/>
    </row>
    <row r="864" spans="1:27" ht="15.75" customHeight="1">
      <c r="A864" s="96"/>
      <c r="B864" s="96"/>
      <c r="C864" s="96"/>
      <c r="D864" s="96"/>
      <c r="E864" s="96"/>
      <c r="F864" s="96"/>
      <c r="G864" s="96"/>
      <c r="H864" s="96"/>
      <c r="I864" s="96"/>
      <c r="J864" s="96"/>
      <c r="K864" s="96"/>
      <c r="L864" s="96"/>
      <c r="M864" s="96"/>
      <c r="N864" s="96"/>
      <c r="O864" s="96"/>
      <c r="P864" s="96"/>
      <c r="Q864" s="96"/>
      <c r="R864" s="96"/>
      <c r="S864" s="96"/>
      <c r="T864" s="96"/>
      <c r="U864" s="96"/>
      <c r="V864" s="96"/>
      <c r="W864" s="96"/>
      <c r="X864" s="96"/>
      <c r="Y864" s="96"/>
      <c r="Z864" s="96"/>
      <c r="AA864" s="96"/>
    </row>
    <row r="865" spans="1:27" ht="15.75" customHeight="1">
      <c r="A865" s="96"/>
      <c r="B865" s="96"/>
      <c r="C865" s="96"/>
      <c r="D865" s="96"/>
      <c r="E865" s="96"/>
      <c r="F865" s="96"/>
      <c r="G865" s="96"/>
      <c r="H865" s="96"/>
      <c r="I865" s="96"/>
      <c r="J865" s="96"/>
      <c r="K865" s="96"/>
      <c r="L865" s="96"/>
      <c r="M865" s="96"/>
      <c r="N865" s="96"/>
      <c r="O865" s="96"/>
      <c r="P865" s="96"/>
      <c r="Q865" s="96"/>
      <c r="R865" s="96"/>
      <c r="S865" s="96"/>
      <c r="T865" s="96"/>
      <c r="U865" s="96"/>
      <c r="V865" s="96"/>
      <c r="W865" s="96"/>
      <c r="X865" s="96"/>
      <c r="Y865" s="96"/>
      <c r="Z865" s="96"/>
      <c r="AA865" s="96"/>
    </row>
    <row r="866" spans="1:27" ht="15.75" customHeight="1">
      <c r="A866" s="96"/>
      <c r="B866" s="96"/>
      <c r="C866" s="96"/>
      <c r="D866" s="96"/>
      <c r="E866" s="96"/>
      <c r="F866" s="96"/>
      <c r="G866" s="96"/>
      <c r="H866" s="96"/>
      <c r="I866" s="96"/>
      <c r="J866" s="96"/>
      <c r="K866" s="96"/>
      <c r="L866" s="96"/>
      <c r="M866" s="96"/>
      <c r="N866" s="96"/>
      <c r="O866" s="96"/>
      <c r="P866" s="96"/>
      <c r="Q866" s="96"/>
      <c r="R866" s="96"/>
      <c r="S866" s="96"/>
      <c r="T866" s="96"/>
      <c r="U866" s="96"/>
      <c r="V866" s="96"/>
      <c r="W866" s="96"/>
      <c r="X866" s="96"/>
      <c r="Y866" s="96"/>
      <c r="Z866" s="96"/>
      <c r="AA866" s="96"/>
    </row>
    <row r="867" spans="1:27" ht="15.75" customHeight="1">
      <c r="A867" s="96"/>
      <c r="B867" s="96"/>
      <c r="C867" s="96"/>
      <c r="D867" s="96"/>
      <c r="E867" s="96"/>
      <c r="F867" s="96"/>
      <c r="G867" s="96"/>
      <c r="H867" s="96"/>
      <c r="I867" s="96"/>
      <c r="J867" s="96"/>
      <c r="K867" s="96"/>
      <c r="L867" s="96"/>
      <c r="M867" s="96"/>
      <c r="N867" s="96"/>
      <c r="O867" s="96"/>
      <c r="P867" s="96"/>
      <c r="Q867" s="96"/>
      <c r="R867" s="96"/>
      <c r="S867" s="96"/>
      <c r="T867" s="96"/>
      <c r="U867" s="96"/>
      <c r="V867" s="96"/>
      <c r="W867" s="96"/>
      <c r="X867" s="96"/>
      <c r="Y867" s="96"/>
      <c r="Z867" s="96"/>
      <c r="AA867" s="96"/>
    </row>
    <row r="868" spans="1:27" ht="15.75" customHeight="1">
      <c r="A868" s="96"/>
      <c r="B868" s="96"/>
      <c r="C868" s="96"/>
      <c r="D868" s="96"/>
      <c r="E868" s="96"/>
      <c r="F868" s="96"/>
      <c r="G868" s="96"/>
      <c r="H868" s="96"/>
      <c r="I868" s="96"/>
      <c r="J868" s="96"/>
      <c r="K868" s="96"/>
      <c r="L868" s="96"/>
      <c r="M868" s="96"/>
      <c r="N868" s="96"/>
      <c r="O868" s="96"/>
      <c r="P868" s="96"/>
      <c r="Q868" s="96"/>
      <c r="R868" s="96"/>
      <c r="S868" s="96"/>
      <c r="T868" s="96"/>
      <c r="U868" s="96"/>
      <c r="V868" s="96"/>
      <c r="W868" s="96"/>
      <c r="X868" s="96"/>
      <c r="Y868" s="96"/>
      <c r="Z868" s="96"/>
      <c r="AA868" s="96"/>
    </row>
    <row r="869" spans="1:27" ht="15.75" customHeight="1">
      <c r="A869" s="96"/>
      <c r="B869" s="96"/>
      <c r="C869" s="96"/>
      <c r="D869" s="96"/>
      <c r="E869" s="96"/>
      <c r="F869" s="96"/>
      <c r="G869" s="96"/>
      <c r="H869" s="96"/>
      <c r="I869" s="96"/>
      <c r="J869" s="96"/>
      <c r="K869" s="96"/>
      <c r="L869" s="96"/>
      <c r="M869" s="96"/>
      <c r="N869" s="96"/>
      <c r="O869" s="96"/>
      <c r="P869" s="96"/>
      <c r="Q869" s="96"/>
      <c r="R869" s="96"/>
      <c r="S869" s="96"/>
      <c r="T869" s="96"/>
      <c r="U869" s="96"/>
      <c r="V869" s="96"/>
      <c r="W869" s="96"/>
      <c r="X869" s="96"/>
      <c r="Y869" s="96"/>
      <c r="Z869" s="96"/>
      <c r="AA869" s="96"/>
    </row>
    <row r="870" spans="1:27" ht="15.75" customHeight="1">
      <c r="A870" s="96"/>
      <c r="B870" s="96"/>
      <c r="C870" s="96"/>
      <c r="D870" s="96"/>
      <c r="E870" s="96"/>
      <c r="F870" s="96"/>
      <c r="G870" s="96"/>
      <c r="H870" s="96"/>
      <c r="I870" s="96"/>
      <c r="J870" s="96"/>
      <c r="K870" s="96"/>
      <c r="L870" s="96"/>
      <c r="M870" s="96"/>
      <c r="N870" s="96"/>
      <c r="O870" s="96"/>
      <c r="P870" s="96"/>
      <c r="Q870" s="96"/>
      <c r="R870" s="96"/>
      <c r="S870" s="96"/>
      <c r="T870" s="96"/>
      <c r="U870" s="96"/>
      <c r="V870" s="96"/>
      <c r="W870" s="96"/>
      <c r="X870" s="96"/>
      <c r="Y870" s="96"/>
      <c r="Z870" s="96"/>
      <c r="AA870" s="96"/>
    </row>
    <row r="871" spans="1:27" ht="15.75" customHeight="1">
      <c r="A871" s="96"/>
      <c r="B871" s="96"/>
      <c r="C871" s="96"/>
      <c r="D871" s="96"/>
      <c r="E871" s="96"/>
      <c r="F871" s="96"/>
      <c r="G871" s="96"/>
      <c r="H871" s="96"/>
      <c r="I871" s="96"/>
      <c r="J871" s="96"/>
      <c r="K871" s="96"/>
      <c r="L871" s="96"/>
      <c r="M871" s="96"/>
      <c r="N871" s="96"/>
      <c r="O871" s="96"/>
      <c r="P871" s="96"/>
      <c r="Q871" s="96"/>
      <c r="R871" s="96"/>
      <c r="S871" s="96"/>
      <c r="T871" s="96"/>
      <c r="U871" s="96"/>
      <c r="V871" s="96"/>
      <c r="W871" s="96"/>
      <c r="X871" s="96"/>
      <c r="Y871" s="96"/>
      <c r="Z871" s="96"/>
      <c r="AA871" s="96"/>
    </row>
    <row r="872" spans="1:27" ht="15.75" customHeight="1">
      <c r="A872" s="96"/>
      <c r="B872" s="96"/>
      <c r="C872" s="96"/>
      <c r="D872" s="96"/>
      <c r="E872" s="96"/>
      <c r="F872" s="96"/>
      <c r="G872" s="96"/>
      <c r="H872" s="96"/>
      <c r="I872" s="96"/>
      <c r="J872" s="96"/>
      <c r="K872" s="96"/>
      <c r="L872" s="96"/>
      <c r="M872" s="96"/>
      <c r="N872" s="96"/>
      <c r="O872" s="96"/>
      <c r="P872" s="96"/>
      <c r="Q872" s="96"/>
      <c r="R872" s="96"/>
      <c r="S872" s="96"/>
      <c r="T872" s="96"/>
      <c r="U872" s="96"/>
      <c r="V872" s="96"/>
      <c r="W872" s="96"/>
      <c r="X872" s="96"/>
      <c r="Y872" s="96"/>
      <c r="Z872" s="96"/>
      <c r="AA872" s="96"/>
    </row>
    <row r="873" spans="1:27" ht="15.75" customHeight="1">
      <c r="A873" s="96"/>
      <c r="B873" s="96"/>
      <c r="C873" s="96"/>
      <c r="D873" s="96"/>
      <c r="E873" s="96"/>
      <c r="F873" s="96"/>
      <c r="G873" s="96"/>
      <c r="H873" s="96"/>
      <c r="I873" s="96"/>
      <c r="J873" s="96"/>
      <c r="K873" s="96"/>
      <c r="L873" s="96"/>
      <c r="M873" s="96"/>
      <c r="N873" s="96"/>
      <c r="O873" s="96"/>
      <c r="P873" s="96"/>
      <c r="Q873" s="96"/>
      <c r="R873" s="96"/>
      <c r="S873" s="96"/>
      <c r="T873" s="96"/>
      <c r="U873" s="96"/>
      <c r="V873" s="96"/>
      <c r="W873" s="96"/>
      <c r="X873" s="96"/>
      <c r="Y873" s="96"/>
      <c r="Z873" s="96"/>
      <c r="AA873" s="96"/>
    </row>
    <row r="874" spans="1:27" ht="15.75" customHeight="1">
      <c r="A874" s="96"/>
      <c r="B874" s="96"/>
      <c r="C874" s="96"/>
      <c r="D874" s="96"/>
      <c r="E874" s="96"/>
      <c r="F874" s="96"/>
      <c r="G874" s="96"/>
      <c r="H874" s="96"/>
      <c r="I874" s="96"/>
      <c r="J874" s="96"/>
      <c r="K874" s="96"/>
      <c r="L874" s="96"/>
      <c r="M874" s="96"/>
      <c r="N874" s="96"/>
      <c r="O874" s="96"/>
      <c r="P874" s="96"/>
      <c r="Q874" s="96"/>
      <c r="R874" s="96"/>
      <c r="S874" s="96"/>
      <c r="T874" s="96"/>
      <c r="U874" s="96"/>
      <c r="V874" s="96"/>
      <c r="W874" s="96"/>
      <c r="X874" s="96"/>
      <c r="Y874" s="96"/>
      <c r="Z874" s="96"/>
      <c r="AA874" s="96"/>
    </row>
    <row r="875" spans="1:27" ht="15.75" customHeight="1">
      <c r="A875" s="96"/>
      <c r="B875" s="96"/>
      <c r="C875" s="96"/>
      <c r="D875" s="96"/>
      <c r="E875" s="96"/>
      <c r="F875" s="96"/>
      <c r="G875" s="96"/>
      <c r="H875" s="96"/>
      <c r="I875" s="96"/>
      <c r="J875" s="96"/>
      <c r="K875" s="96"/>
      <c r="L875" s="96"/>
      <c r="M875" s="96"/>
      <c r="N875" s="96"/>
      <c r="O875" s="96"/>
      <c r="P875" s="96"/>
      <c r="Q875" s="96"/>
      <c r="R875" s="96"/>
      <c r="S875" s="96"/>
      <c r="T875" s="96"/>
      <c r="U875" s="96"/>
      <c r="V875" s="96"/>
      <c r="W875" s="96"/>
      <c r="X875" s="96"/>
      <c r="Y875" s="96"/>
      <c r="Z875" s="96"/>
      <c r="AA875" s="96"/>
    </row>
    <row r="876" spans="1:27" ht="15.75" customHeight="1">
      <c r="A876" s="96"/>
      <c r="B876" s="96"/>
      <c r="C876" s="96"/>
      <c r="D876" s="96"/>
      <c r="E876" s="96"/>
      <c r="F876" s="96"/>
      <c r="G876" s="96"/>
      <c r="H876" s="96"/>
      <c r="I876" s="96"/>
      <c r="J876" s="96"/>
      <c r="K876" s="96"/>
      <c r="L876" s="96"/>
      <c r="M876" s="96"/>
      <c r="N876" s="96"/>
      <c r="O876" s="96"/>
      <c r="P876" s="96"/>
      <c r="Q876" s="96"/>
      <c r="R876" s="96"/>
      <c r="S876" s="96"/>
      <c r="T876" s="96"/>
      <c r="U876" s="96"/>
      <c r="V876" s="96"/>
      <c r="W876" s="96"/>
      <c r="X876" s="96"/>
      <c r="Y876" s="96"/>
      <c r="Z876" s="96"/>
      <c r="AA876" s="96"/>
    </row>
    <row r="877" spans="1:27" ht="15.75" customHeight="1">
      <c r="A877" s="96"/>
      <c r="B877" s="96"/>
      <c r="C877" s="96"/>
      <c r="D877" s="96"/>
      <c r="E877" s="96"/>
      <c r="F877" s="96"/>
      <c r="G877" s="96"/>
      <c r="H877" s="96"/>
      <c r="I877" s="96"/>
      <c r="J877" s="96"/>
      <c r="K877" s="96"/>
      <c r="L877" s="96"/>
      <c r="M877" s="96"/>
      <c r="N877" s="96"/>
      <c r="O877" s="96"/>
      <c r="P877" s="96"/>
      <c r="Q877" s="96"/>
      <c r="R877" s="96"/>
      <c r="S877" s="96"/>
      <c r="T877" s="96"/>
      <c r="U877" s="96"/>
      <c r="V877" s="96"/>
      <c r="W877" s="96"/>
      <c r="X877" s="96"/>
      <c r="Y877" s="96"/>
      <c r="Z877" s="96"/>
      <c r="AA877" s="96"/>
    </row>
    <row r="878" spans="1:27" ht="15.75" customHeight="1">
      <c r="A878" s="96"/>
      <c r="B878" s="96"/>
      <c r="C878" s="96"/>
      <c r="D878" s="96"/>
      <c r="E878" s="96"/>
      <c r="F878" s="96"/>
      <c r="G878" s="96"/>
      <c r="H878" s="96"/>
      <c r="I878" s="96"/>
      <c r="J878" s="96"/>
      <c r="K878" s="96"/>
      <c r="L878" s="96"/>
      <c r="M878" s="96"/>
      <c r="N878" s="96"/>
      <c r="O878" s="96"/>
      <c r="P878" s="96"/>
      <c r="Q878" s="96"/>
      <c r="R878" s="96"/>
      <c r="S878" s="96"/>
      <c r="T878" s="96"/>
      <c r="U878" s="96"/>
      <c r="V878" s="96"/>
      <c r="W878" s="96"/>
      <c r="X878" s="96"/>
      <c r="Y878" s="96"/>
      <c r="Z878" s="96"/>
      <c r="AA878" s="96"/>
    </row>
    <row r="879" spans="1:27" ht="15.75" customHeight="1">
      <c r="A879" s="96"/>
      <c r="B879" s="96"/>
      <c r="C879" s="96"/>
      <c r="D879" s="96"/>
      <c r="E879" s="96"/>
      <c r="F879" s="96"/>
      <c r="G879" s="96"/>
      <c r="H879" s="96"/>
      <c r="I879" s="96"/>
      <c r="J879" s="96"/>
      <c r="K879" s="96"/>
      <c r="L879" s="96"/>
      <c r="M879" s="96"/>
      <c r="N879" s="96"/>
      <c r="O879" s="96"/>
      <c r="P879" s="96"/>
      <c r="Q879" s="96"/>
      <c r="R879" s="96"/>
      <c r="S879" s="96"/>
      <c r="T879" s="96"/>
      <c r="U879" s="96"/>
      <c r="V879" s="96"/>
      <c r="W879" s="96"/>
      <c r="X879" s="96"/>
      <c r="Y879" s="96"/>
      <c r="Z879" s="96"/>
      <c r="AA879" s="96"/>
    </row>
    <row r="880" spans="1:27" ht="15.75" customHeight="1">
      <c r="A880" s="96"/>
      <c r="B880" s="96"/>
      <c r="C880" s="96"/>
      <c r="D880" s="96"/>
      <c r="E880" s="96"/>
      <c r="F880" s="96"/>
      <c r="G880" s="96"/>
      <c r="H880" s="96"/>
      <c r="I880" s="96"/>
      <c r="J880" s="96"/>
      <c r="K880" s="96"/>
      <c r="L880" s="96"/>
      <c r="M880" s="96"/>
      <c r="N880" s="96"/>
      <c r="O880" s="96"/>
      <c r="P880" s="96"/>
      <c r="Q880" s="96"/>
      <c r="R880" s="96"/>
      <c r="S880" s="96"/>
      <c r="T880" s="96"/>
      <c r="U880" s="96"/>
      <c r="V880" s="96"/>
      <c r="W880" s="96"/>
      <c r="X880" s="96"/>
      <c r="Y880" s="96"/>
      <c r="Z880" s="96"/>
      <c r="AA880" s="96"/>
    </row>
    <row r="881" spans="1:27" ht="15.75" customHeight="1">
      <c r="A881" s="96"/>
      <c r="B881" s="96"/>
      <c r="C881" s="96"/>
      <c r="D881" s="96"/>
      <c r="E881" s="96"/>
      <c r="F881" s="96"/>
      <c r="G881" s="96"/>
      <c r="H881" s="96"/>
      <c r="I881" s="96"/>
      <c r="J881" s="96"/>
      <c r="K881" s="96"/>
      <c r="L881" s="96"/>
      <c r="M881" s="96"/>
      <c r="N881" s="96"/>
      <c r="O881" s="96"/>
      <c r="P881" s="96"/>
      <c r="Q881" s="96"/>
      <c r="R881" s="96"/>
      <c r="S881" s="96"/>
      <c r="T881" s="96"/>
      <c r="U881" s="96"/>
      <c r="V881" s="96"/>
      <c r="W881" s="96"/>
      <c r="X881" s="96"/>
      <c r="Y881" s="96"/>
      <c r="Z881" s="96"/>
      <c r="AA881" s="96"/>
    </row>
    <row r="882" spans="1:27" ht="15.75" customHeight="1">
      <c r="A882" s="96"/>
      <c r="B882" s="96"/>
      <c r="C882" s="96"/>
      <c r="D882" s="96"/>
      <c r="E882" s="96"/>
      <c r="F882" s="96"/>
      <c r="G882" s="96"/>
      <c r="H882" s="96"/>
      <c r="I882" s="96"/>
      <c r="J882" s="96"/>
      <c r="K882" s="96"/>
      <c r="L882" s="96"/>
      <c r="M882" s="96"/>
      <c r="N882" s="96"/>
      <c r="O882" s="96"/>
      <c r="P882" s="96"/>
      <c r="Q882" s="96"/>
      <c r="R882" s="96"/>
      <c r="S882" s="96"/>
      <c r="T882" s="96"/>
      <c r="U882" s="96"/>
      <c r="V882" s="96"/>
      <c r="W882" s="96"/>
      <c r="X882" s="96"/>
      <c r="Y882" s="96"/>
      <c r="Z882" s="96"/>
      <c r="AA882" s="96"/>
    </row>
    <row r="883" spans="1:27" ht="15.75" customHeight="1">
      <c r="A883" s="96"/>
      <c r="B883" s="96"/>
      <c r="C883" s="96"/>
      <c r="D883" s="96"/>
      <c r="E883" s="96"/>
      <c r="F883" s="96"/>
      <c r="G883" s="96"/>
      <c r="H883" s="96"/>
      <c r="I883" s="96"/>
      <c r="J883" s="96"/>
      <c r="K883" s="96"/>
      <c r="L883" s="96"/>
      <c r="M883" s="96"/>
      <c r="N883" s="96"/>
      <c r="O883" s="96"/>
      <c r="P883" s="96"/>
      <c r="Q883" s="96"/>
      <c r="R883" s="96"/>
      <c r="S883" s="96"/>
      <c r="T883" s="96"/>
      <c r="U883" s="96"/>
      <c r="V883" s="96"/>
      <c r="W883" s="96"/>
      <c r="X883" s="96"/>
      <c r="Y883" s="96"/>
      <c r="Z883" s="96"/>
      <c r="AA883" s="96"/>
    </row>
    <row r="884" spans="1:27" ht="15.75" customHeight="1">
      <c r="A884" s="96"/>
      <c r="B884" s="96"/>
      <c r="C884" s="96"/>
      <c r="D884" s="96"/>
      <c r="E884" s="96"/>
      <c r="F884" s="96"/>
      <c r="G884" s="96"/>
      <c r="H884" s="96"/>
      <c r="I884" s="96"/>
      <c r="J884" s="96"/>
      <c r="K884" s="96"/>
      <c r="L884" s="96"/>
      <c r="M884" s="96"/>
      <c r="N884" s="96"/>
      <c r="O884" s="96"/>
      <c r="P884" s="96"/>
      <c r="Q884" s="96"/>
      <c r="R884" s="96"/>
      <c r="S884" s="96"/>
      <c r="T884" s="96"/>
      <c r="U884" s="96"/>
      <c r="V884" s="96"/>
      <c r="W884" s="96"/>
      <c r="X884" s="96"/>
      <c r="Y884" s="96"/>
      <c r="Z884" s="96"/>
      <c r="AA884" s="96"/>
    </row>
    <row r="885" spans="1:27" ht="15.75" customHeight="1">
      <c r="A885" s="96"/>
      <c r="B885" s="96"/>
      <c r="C885" s="96"/>
      <c r="D885" s="96"/>
      <c r="E885" s="96"/>
      <c r="F885" s="96"/>
      <c r="G885" s="96"/>
      <c r="H885" s="96"/>
      <c r="I885" s="96"/>
      <c r="J885" s="96"/>
      <c r="K885" s="96"/>
      <c r="L885" s="96"/>
      <c r="M885" s="96"/>
      <c r="N885" s="96"/>
      <c r="O885" s="96"/>
      <c r="P885" s="96"/>
      <c r="Q885" s="96"/>
      <c r="R885" s="96"/>
      <c r="S885" s="96"/>
      <c r="T885" s="96"/>
      <c r="U885" s="96"/>
      <c r="V885" s="96"/>
      <c r="W885" s="96"/>
      <c r="X885" s="96"/>
      <c r="Y885" s="96"/>
      <c r="Z885" s="96"/>
      <c r="AA885" s="96"/>
    </row>
    <row r="886" spans="1:27" ht="15.75" customHeight="1">
      <c r="A886" s="96"/>
      <c r="B886" s="96"/>
      <c r="C886" s="96"/>
      <c r="D886" s="96"/>
      <c r="E886" s="96"/>
      <c r="F886" s="96"/>
      <c r="G886" s="96"/>
      <c r="H886" s="96"/>
      <c r="I886" s="96"/>
      <c r="J886" s="96"/>
      <c r="K886" s="96"/>
      <c r="L886" s="96"/>
      <c r="M886" s="96"/>
      <c r="N886" s="96"/>
      <c r="O886" s="96"/>
      <c r="P886" s="96"/>
      <c r="Q886" s="96"/>
      <c r="R886" s="96"/>
      <c r="S886" s="96"/>
      <c r="T886" s="96"/>
      <c r="U886" s="96"/>
      <c r="V886" s="96"/>
      <c r="W886" s="96"/>
      <c r="X886" s="96"/>
      <c r="Y886" s="96"/>
      <c r="Z886" s="96"/>
      <c r="AA886" s="96"/>
    </row>
    <row r="887" spans="1:27" ht="15.75" customHeight="1">
      <c r="A887" s="96"/>
      <c r="B887" s="96"/>
      <c r="C887" s="96"/>
      <c r="D887" s="96"/>
      <c r="E887" s="96"/>
      <c r="F887" s="96"/>
      <c r="G887" s="96"/>
      <c r="H887" s="96"/>
      <c r="I887" s="96"/>
      <c r="J887" s="96"/>
      <c r="K887" s="96"/>
      <c r="L887" s="96"/>
      <c r="M887" s="96"/>
      <c r="N887" s="96"/>
      <c r="O887" s="96"/>
      <c r="P887" s="96"/>
      <c r="Q887" s="96"/>
      <c r="R887" s="96"/>
      <c r="S887" s="96"/>
      <c r="T887" s="96"/>
      <c r="U887" s="96"/>
      <c r="V887" s="96"/>
      <c r="W887" s="96"/>
      <c r="X887" s="96"/>
      <c r="Y887" s="96"/>
      <c r="Z887" s="96"/>
      <c r="AA887" s="96"/>
    </row>
    <row r="888" spans="1:27" ht="15.75" customHeight="1">
      <c r="A888" s="96"/>
      <c r="B888" s="96"/>
      <c r="C888" s="96"/>
      <c r="D888" s="96"/>
      <c r="E888" s="96"/>
      <c r="F888" s="96"/>
      <c r="G888" s="96"/>
      <c r="H888" s="96"/>
      <c r="I888" s="96"/>
      <c r="J888" s="96"/>
      <c r="K888" s="96"/>
      <c r="L888" s="96"/>
      <c r="M888" s="96"/>
      <c r="N888" s="96"/>
      <c r="O888" s="96"/>
      <c r="P888" s="96"/>
      <c r="Q888" s="96"/>
      <c r="R888" s="96"/>
      <c r="S888" s="96"/>
      <c r="T888" s="96"/>
      <c r="U888" s="96"/>
      <c r="V888" s="96"/>
      <c r="W888" s="96"/>
      <c r="X888" s="96"/>
      <c r="Y888" s="96"/>
      <c r="Z888" s="96"/>
      <c r="AA888" s="96"/>
    </row>
    <row r="889" spans="1:27" ht="15.75" customHeight="1">
      <c r="A889" s="96"/>
      <c r="B889" s="96"/>
      <c r="C889" s="96"/>
      <c r="D889" s="96"/>
      <c r="E889" s="96"/>
      <c r="F889" s="96"/>
      <c r="G889" s="96"/>
      <c r="H889" s="96"/>
      <c r="I889" s="96"/>
      <c r="J889" s="96"/>
      <c r="K889" s="96"/>
      <c r="L889" s="96"/>
      <c r="M889" s="96"/>
      <c r="N889" s="96"/>
      <c r="O889" s="96"/>
      <c r="P889" s="96"/>
      <c r="Q889" s="96"/>
      <c r="R889" s="96"/>
      <c r="S889" s="96"/>
      <c r="T889" s="96"/>
      <c r="U889" s="96"/>
      <c r="V889" s="96"/>
      <c r="W889" s="96"/>
      <c r="X889" s="96"/>
      <c r="Y889" s="96"/>
      <c r="Z889" s="96"/>
      <c r="AA889" s="96"/>
    </row>
    <row r="890" spans="1:27" ht="15.75" customHeight="1">
      <c r="A890" s="96"/>
      <c r="B890" s="96"/>
      <c r="C890" s="96"/>
      <c r="D890" s="96"/>
      <c r="E890" s="96"/>
      <c r="F890" s="96"/>
      <c r="G890" s="96"/>
      <c r="H890" s="96"/>
      <c r="I890" s="96"/>
      <c r="J890" s="96"/>
      <c r="K890" s="96"/>
      <c r="L890" s="96"/>
      <c r="M890" s="96"/>
      <c r="N890" s="96"/>
      <c r="O890" s="96"/>
      <c r="P890" s="96"/>
      <c r="Q890" s="96"/>
      <c r="R890" s="96"/>
      <c r="S890" s="96"/>
      <c r="T890" s="96"/>
      <c r="U890" s="96"/>
      <c r="V890" s="96"/>
      <c r="W890" s="96"/>
      <c r="X890" s="96"/>
      <c r="Y890" s="96"/>
      <c r="Z890" s="96"/>
      <c r="AA890" s="96"/>
    </row>
    <row r="891" spans="1:27" ht="15.75" customHeight="1">
      <c r="A891" s="96"/>
      <c r="B891" s="96"/>
      <c r="C891" s="96"/>
      <c r="D891" s="96"/>
      <c r="E891" s="96"/>
      <c r="F891" s="96"/>
      <c r="G891" s="96"/>
      <c r="H891" s="96"/>
      <c r="I891" s="96"/>
      <c r="J891" s="96"/>
      <c r="K891" s="96"/>
      <c r="L891" s="96"/>
      <c r="M891" s="96"/>
      <c r="N891" s="96"/>
      <c r="O891" s="96"/>
      <c r="P891" s="96"/>
      <c r="Q891" s="96"/>
      <c r="R891" s="96"/>
      <c r="S891" s="96"/>
      <c r="T891" s="96"/>
      <c r="U891" s="96"/>
      <c r="V891" s="96"/>
      <c r="W891" s="96"/>
      <c r="X891" s="96"/>
      <c r="Y891" s="96"/>
      <c r="Z891" s="96"/>
      <c r="AA891" s="96"/>
    </row>
    <row r="892" spans="1:27" ht="15.75" customHeight="1">
      <c r="A892" s="96"/>
      <c r="B892" s="96"/>
      <c r="C892" s="96"/>
      <c r="D892" s="96"/>
      <c r="E892" s="96"/>
      <c r="F892" s="96"/>
      <c r="G892" s="96"/>
      <c r="H892" s="96"/>
      <c r="I892" s="96"/>
      <c r="J892" s="96"/>
      <c r="K892" s="96"/>
      <c r="L892" s="96"/>
      <c r="M892" s="96"/>
      <c r="N892" s="96"/>
      <c r="O892" s="96"/>
      <c r="P892" s="96"/>
      <c r="Q892" s="96"/>
      <c r="R892" s="96"/>
      <c r="S892" s="96"/>
      <c r="T892" s="96"/>
      <c r="U892" s="96"/>
      <c r="V892" s="96"/>
      <c r="W892" s="96"/>
      <c r="X892" s="96"/>
      <c r="Y892" s="96"/>
      <c r="Z892" s="96"/>
      <c r="AA892" s="96"/>
    </row>
    <row r="893" spans="1:27" ht="15.75" customHeight="1">
      <c r="A893" s="96"/>
      <c r="B893" s="96"/>
      <c r="C893" s="96"/>
      <c r="D893" s="96"/>
      <c r="E893" s="96"/>
      <c r="F893" s="96"/>
      <c r="G893" s="96"/>
      <c r="H893" s="96"/>
      <c r="I893" s="96"/>
      <c r="J893" s="96"/>
      <c r="K893" s="96"/>
      <c r="L893" s="96"/>
      <c r="M893" s="96"/>
      <c r="N893" s="96"/>
      <c r="O893" s="96"/>
      <c r="P893" s="96"/>
      <c r="Q893" s="96"/>
      <c r="R893" s="96"/>
      <c r="S893" s="96"/>
      <c r="T893" s="96"/>
      <c r="U893" s="96"/>
      <c r="V893" s="96"/>
      <c r="W893" s="96"/>
      <c r="X893" s="96"/>
      <c r="Y893" s="96"/>
      <c r="Z893" s="96"/>
      <c r="AA893" s="96"/>
    </row>
    <row r="894" spans="1:27" ht="15.75" customHeight="1">
      <c r="A894" s="96"/>
      <c r="B894" s="96"/>
      <c r="C894" s="96"/>
      <c r="D894" s="96"/>
      <c r="E894" s="96"/>
      <c r="F894" s="96"/>
      <c r="G894" s="96"/>
      <c r="H894" s="96"/>
      <c r="I894" s="96"/>
      <c r="J894" s="96"/>
      <c r="K894" s="96"/>
      <c r="L894" s="96"/>
      <c r="M894" s="96"/>
      <c r="N894" s="96"/>
      <c r="O894" s="96"/>
      <c r="P894" s="96"/>
      <c r="Q894" s="96"/>
      <c r="R894" s="96"/>
      <c r="S894" s="96"/>
      <c r="T894" s="96"/>
      <c r="U894" s="96"/>
      <c r="V894" s="96"/>
      <c r="W894" s="96"/>
      <c r="X894" s="96"/>
      <c r="Y894" s="96"/>
      <c r="Z894" s="96"/>
      <c r="AA894" s="96"/>
    </row>
    <row r="895" spans="1:27" ht="15.75" customHeight="1">
      <c r="A895" s="96"/>
      <c r="B895" s="96"/>
      <c r="C895" s="96"/>
      <c r="D895" s="96"/>
      <c r="E895" s="96"/>
      <c r="F895" s="96"/>
      <c r="G895" s="96"/>
      <c r="H895" s="96"/>
      <c r="I895" s="96"/>
      <c r="J895" s="96"/>
      <c r="K895" s="96"/>
      <c r="L895" s="96"/>
      <c r="M895" s="96"/>
      <c r="N895" s="96"/>
      <c r="O895" s="96"/>
      <c r="P895" s="96"/>
      <c r="Q895" s="96"/>
      <c r="R895" s="96"/>
      <c r="S895" s="96"/>
      <c r="T895" s="96"/>
      <c r="U895" s="96"/>
      <c r="V895" s="96"/>
      <c r="W895" s="96"/>
      <c r="X895" s="96"/>
      <c r="Y895" s="96"/>
      <c r="Z895" s="96"/>
      <c r="AA895" s="96"/>
    </row>
    <row r="896" spans="1:27" ht="15.75" customHeight="1">
      <c r="A896" s="96"/>
      <c r="B896" s="96"/>
      <c r="C896" s="96"/>
      <c r="D896" s="96"/>
      <c r="E896" s="96"/>
      <c r="F896" s="96"/>
      <c r="G896" s="96"/>
      <c r="H896" s="96"/>
      <c r="I896" s="96"/>
      <c r="J896" s="96"/>
      <c r="K896" s="96"/>
      <c r="L896" s="96"/>
      <c r="M896" s="96"/>
      <c r="N896" s="96"/>
      <c r="O896" s="96"/>
      <c r="P896" s="96"/>
      <c r="Q896" s="96"/>
      <c r="R896" s="96"/>
      <c r="S896" s="96"/>
      <c r="T896" s="96"/>
      <c r="U896" s="96"/>
      <c r="V896" s="96"/>
      <c r="W896" s="96"/>
      <c r="X896" s="96"/>
      <c r="Y896" s="96"/>
      <c r="Z896" s="96"/>
      <c r="AA896" s="96"/>
    </row>
    <row r="897" spans="1:27" ht="15.75" customHeight="1">
      <c r="A897" s="96"/>
      <c r="B897" s="96"/>
      <c r="C897" s="96"/>
      <c r="D897" s="96"/>
      <c r="E897" s="96"/>
      <c r="F897" s="96"/>
      <c r="G897" s="96"/>
      <c r="H897" s="96"/>
      <c r="I897" s="96"/>
      <c r="J897" s="96"/>
      <c r="K897" s="96"/>
      <c r="L897" s="96"/>
      <c r="M897" s="96"/>
      <c r="N897" s="96"/>
      <c r="O897" s="96"/>
      <c r="P897" s="96"/>
      <c r="Q897" s="96"/>
      <c r="R897" s="96"/>
      <c r="S897" s="96"/>
      <c r="T897" s="96"/>
      <c r="U897" s="96"/>
      <c r="V897" s="96"/>
      <c r="W897" s="96"/>
      <c r="X897" s="96"/>
      <c r="Y897" s="96"/>
      <c r="Z897" s="96"/>
      <c r="AA897" s="96"/>
    </row>
    <row r="898" spans="1:27" ht="15.75" customHeight="1">
      <c r="A898" s="96"/>
      <c r="B898" s="96"/>
      <c r="C898" s="96"/>
      <c r="D898" s="96"/>
      <c r="E898" s="96"/>
      <c r="F898" s="96"/>
      <c r="G898" s="96"/>
      <c r="H898" s="96"/>
      <c r="I898" s="96"/>
      <c r="J898" s="96"/>
      <c r="K898" s="96"/>
      <c r="L898" s="96"/>
      <c r="M898" s="96"/>
      <c r="N898" s="96"/>
      <c r="O898" s="96"/>
      <c r="P898" s="96"/>
      <c r="Q898" s="96"/>
      <c r="R898" s="96"/>
      <c r="S898" s="96"/>
      <c r="T898" s="96"/>
      <c r="U898" s="96"/>
      <c r="V898" s="96"/>
      <c r="W898" s="96"/>
      <c r="X898" s="96"/>
      <c r="Y898" s="96"/>
      <c r="Z898" s="96"/>
      <c r="AA898" s="96"/>
    </row>
    <row r="899" spans="1:27" ht="15.75" customHeight="1">
      <c r="A899" s="96"/>
      <c r="B899" s="96"/>
      <c r="C899" s="96"/>
      <c r="D899" s="96"/>
      <c r="E899" s="96"/>
      <c r="F899" s="96"/>
      <c r="G899" s="96"/>
      <c r="H899" s="96"/>
      <c r="I899" s="96"/>
      <c r="J899" s="96"/>
      <c r="K899" s="96"/>
      <c r="L899" s="96"/>
      <c r="M899" s="96"/>
      <c r="N899" s="96"/>
      <c r="O899" s="96"/>
      <c r="P899" s="96"/>
      <c r="Q899" s="96"/>
      <c r="R899" s="96"/>
      <c r="S899" s="96"/>
      <c r="T899" s="96"/>
      <c r="U899" s="96"/>
      <c r="V899" s="96"/>
      <c r="W899" s="96"/>
      <c r="X899" s="96"/>
      <c r="Y899" s="96"/>
      <c r="Z899" s="96"/>
      <c r="AA899" s="96"/>
    </row>
    <row r="900" spans="1:27" ht="15.75" customHeight="1">
      <c r="A900" s="96"/>
      <c r="B900" s="96"/>
      <c r="C900" s="96"/>
      <c r="D900" s="96"/>
      <c r="E900" s="96"/>
      <c r="F900" s="96"/>
      <c r="G900" s="96"/>
      <c r="H900" s="96"/>
      <c r="I900" s="96"/>
      <c r="J900" s="96"/>
      <c r="K900" s="96"/>
      <c r="L900" s="96"/>
      <c r="M900" s="96"/>
      <c r="N900" s="96"/>
      <c r="O900" s="96"/>
      <c r="P900" s="96"/>
      <c r="Q900" s="96"/>
      <c r="R900" s="96"/>
      <c r="S900" s="96"/>
      <c r="T900" s="96"/>
      <c r="U900" s="96"/>
      <c r="V900" s="96"/>
      <c r="W900" s="96"/>
      <c r="X900" s="96"/>
      <c r="Y900" s="96"/>
      <c r="Z900" s="96"/>
      <c r="AA900" s="96"/>
    </row>
    <row r="901" spans="1:27" ht="15.75" customHeight="1">
      <c r="A901" s="96"/>
      <c r="B901" s="96"/>
      <c r="C901" s="96"/>
      <c r="D901" s="96"/>
      <c r="E901" s="96"/>
      <c r="F901" s="96"/>
      <c r="G901" s="96"/>
      <c r="H901" s="96"/>
      <c r="I901" s="96"/>
      <c r="J901" s="96"/>
      <c r="K901" s="96"/>
      <c r="L901" s="96"/>
      <c r="M901" s="96"/>
      <c r="N901" s="96"/>
      <c r="O901" s="96"/>
      <c r="P901" s="96"/>
      <c r="Q901" s="96"/>
      <c r="R901" s="96"/>
      <c r="S901" s="96"/>
      <c r="T901" s="96"/>
      <c r="U901" s="96"/>
      <c r="V901" s="96"/>
      <c r="W901" s="96"/>
      <c r="X901" s="96"/>
      <c r="Y901" s="96"/>
      <c r="Z901" s="96"/>
      <c r="AA901" s="96"/>
    </row>
    <row r="902" spans="1:27" ht="15.75" customHeight="1">
      <c r="A902" s="96"/>
      <c r="B902" s="96"/>
      <c r="C902" s="96"/>
      <c r="D902" s="96"/>
      <c r="E902" s="96"/>
      <c r="F902" s="96"/>
      <c r="G902" s="96"/>
      <c r="H902" s="96"/>
      <c r="I902" s="96"/>
      <c r="J902" s="96"/>
      <c r="K902" s="96"/>
      <c r="L902" s="96"/>
      <c r="M902" s="96"/>
      <c r="N902" s="96"/>
      <c r="O902" s="96"/>
      <c r="P902" s="96"/>
      <c r="Q902" s="96"/>
      <c r="R902" s="96"/>
      <c r="S902" s="96"/>
      <c r="T902" s="96"/>
      <c r="U902" s="96"/>
      <c r="V902" s="96"/>
      <c r="W902" s="96"/>
      <c r="X902" s="96"/>
      <c r="Y902" s="96"/>
      <c r="Z902" s="96"/>
      <c r="AA902" s="96"/>
    </row>
    <row r="903" spans="1:27" ht="15.75" customHeight="1">
      <c r="A903" s="96"/>
      <c r="B903" s="96"/>
      <c r="C903" s="96"/>
      <c r="D903" s="96"/>
      <c r="E903" s="96"/>
      <c r="F903" s="96"/>
      <c r="G903" s="96"/>
      <c r="H903" s="96"/>
      <c r="I903" s="96"/>
      <c r="J903" s="96"/>
      <c r="K903" s="96"/>
      <c r="L903" s="96"/>
      <c r="M903" s="96"/>
      <c r="N903" s="96"/>
      <c r="O903" s="96"/>
      <c r="P903" s="96"/>
      <c r="Q903" s="96"/>
      <c r="R903" s="96"/>
      <c r="S903" s="96"/>
      <c r="T903" s="96"/>
      <c r="U903" s="96"/>
      <c r="V903" s="96"/>
      <c r="W903" s="96"/>
      <c r="X903" s="96"/>
      <c r="Y903" s="96"/>
      <c r="Z903" s="96"/>
      <c r="AA903" s="96"/>
    </row>
    <row r="904" spans="1:27" ht="15.75" customHeight="1">
      <c r="A904" s="96"/>
      <c r="B904" s="96"/>
      <c r="C904" s="96"/>
      <c r="D904" s="96"/>
      <c r="E904" s="96"/>
      <c r="F904" s="96"/>
      <c r="G904" s="96"/>
      <c r="H904" s="96"/>
      <c r="I904" s="96"/>
      <c r="J904" s="96"/>
      <c r="K904" s="96"/>
      <c r="L904" s="96"/>
      <c r="M904" s="96"/>
      <c r="N904" s="96"/>
      <c r="O904" s="96"/>
      <c r="P904" s="96"/>
      <c r="Q904" s="96"/>
      <c r="R904" s="96"/>
      <c r="S904" s="96"/>
      <c r="T904" s="96"/>
      <c r="U904" s="96"/>
      <c r="V904" s="96"/>
      <c r="W904" s="96"/>
      <c r="X904" s="96"/>
      <c r="Y904" s="96"/>
      <c r="Z904" s="96"/>
      <c r="AA904" s="96"/>
    </row>
    <row r="905" spans="1:27" ht="15.75" customHeight="1">
      <c r="A905" s="96"/>
      <c r="B905" s="96"/>
      <c r="C905" s="96"/>
      <c r="D905" s="96"/>
      <c r="E905" s="96"/>
      <c r="F905" s="96"/>
      <c r="G905" s="96"/>
      <c r="H905" s="96"/>
      <c r="I905" s="96"/>
      <c r="J905" s="96"/>
      <c r="K905" s="96"/>
      <c r="L905" s="96"/>
      <c r="M905" s="96"/>
      <c r="N905" s="96"/>
      <c r="O905" s="96"/>
      <c r="P905" s="96"/>
      <c r="Q905" s="96"/>
      <c r="R905" s="96"/>
      <c r="S905" s="96"/>
      <c r="T905" s="96"/>
      <c r="U905" s="96"/>
      <c r="V905" s="96"/>
      <c r="W905" s="96"/>
      <c r="X905" s="96"/>
      <c r="Y905" s="96"/>
      <c r="Z905" s="96"/>
      <c r="AA905" s="96"/>
    </row>
    <row r="906" spans="1:27" ht="15.75" customHeight="1">
      <c r="A906" s="96"/>
      <c r="B906" s="96"/>
      <c r="C906" s="96"/>
      <c r="D906" s="96"/>
      <c r="E906" s="96"/>
      <c r="F906" s="96"/>
      <c r="G906" s="96"/>
      <c r="H906" s="96"/>
      <c r="I906" s="96"/>
      <c r="J906" s="96"/>
      <c r="K906" s="96"/>
      <c r="L906" s="96"/>
      <c r="M906" s="96"/>
      <c r="N906" s="96"/>
      <c r="O906" s="96"/>
      <c r="P906" s="96"/>
      <c r="Q906" s="96"/>
      <c r="R906" s="96"/>
      <c r="S906" s="96"/>
      <c r="T906" s="96"/>
      <c r="U906" s="96"/>
      <c r="V906" s="96"/>
      <c r="W906" s="96"/>
      <c r="X906" s="96"/>
      <c r="Y906" s="96"/>
      <c r="Z906" s="96"/>
      <c r="AA906" s="96"/>
    </row>
    <row r="907" spans="1:27" ht="15.75" customHeight="1">
      <c r="A907" s="96"/>
      <c r="B907" s="96"/>
      <c r="C907" s="96"/>
      <c r="D907" s="96"/>
      <c r="E907" s="96"/>
      <c r="F907" s="96"/>
      <c r="G907" s="96"/>
      <c r="H907" s="96"/>
      <c r="I907" s="96"/>
      <c r="J907" s="96"/>
      <c r="K907" s="96"/>
      <c r="L907" s="96"/>
      <c r="M907" s="96"/>
      <c r="N907" s="96"/>
      <c r="O907" s="96"/>
      <c r="P907" s="96"/>
      <c r="Q907" s="96"/>
      <c r="R907" s="96"/>
      <c r="S907" s="96"/>
      <c r="T907" s="96"/>
      <c r="U907" s="96"/>
      <c r="V907" s="96"/>
      <c r="W907" s="96"/>
      <c r="X907" s="96"/>
      <c r="Y907" s="96"/>
      <c r="Z907" s="96"/>
      <c r="AA907" s="96"/>
    </row>
    <row r="908" spans="1:27" ht="15.75" customHeight="1">
      <c r="A908" s="96"/>
      <c r="B908" s="96"/>
      <c r="C908" s="96"/>
      <c r="D908" s="96"/>
      <c r="E908" s="96"/>
      <c r="F908" s="96"/>
      <c r="G908" s="96"/>
      <c r="H908" s="96"/>
      <c r="I908" s="96"/>
      <c r="J908" s="96"/>
      <c r="K908" s="96"/>
      <c r="L908" s="96"/>
      <c r="M908" s="96"/>
      <c r="N908" s="96"/>
      <c r="O908" s="96"/>
      <c r="P908" s="96"/>
      <c r="Q908" s="96"/>
      <c r="R908" s="96"/>
      <c r="S908" s="96"/>
      <c r="T908" s="96"/>
      <c r="U908" s="96"/>
      <c r="V908" s="96"/>
      <c r="W908" s="96"/>
      <c r="X908" s="96"/>
      <c r="Y908" s="96"/>
      <c r="Z908" s="96"/>
      <c r="AA908" s="96"/>
    </row>
    <row r="909" spans="1:27" ht="15.75" customHeight="1">
      <c r="A909" s="96"/>
      <c r="B909" s="96"/>
      <c r="C909" s="96"/>
      <c r="D909" s="96"/>
      <c r="E909" s="96"/>
      <c r="F909" s="96"/>
      <c r="G909" s="96"/>
      <c r="H909" s="96"/>
      <c r="I909" s="96"/>
      <c r="J909" s="96"/>
      <c r="K909" s="96"/>
      <c r="L909" s="96"/>
      <c r="M909" s="96"/>
      <c r="N909" s="96"/>
      <c r="O909" s="96"/>
      <c r="P909" s="96"/>
      <c r="Q909" s="96"/>
      <c r="R909" s="96"/>
      <c r="S909" s="96"/>
      <c r="T909" s="96"/>
      <c r="U909" s="96"/>
      <c r="V909" s="96"/>
      <c r="W909" s="96"/>
      <c r="X909" s="96"/>
      <c r="Y909" s="96"/>
      <c r="Z909" s="96"/>
      <c r="AA909" s="96"/>
    </row>
    <row r="910" spans="1:27" ht="15.75" customHeight="1">
      <c r="A910" s="96"/>
      <c r="B910" s="96"/>
      <c r="C910" s="96"/>
      <c r="D910" s="96"/>
      <c r="E910" s="96"/>
      <c r="F910" s="96"/>
      <c r="G910" s="96"/>
      <c r="H910" s="96"/>
      <c r="I910" s="96"/>
      <c r="J910" s="96"/>
      <c r="K910" s="96"/>
      <c r="L910" s="96"/>
      <c r="M910" s="96"/>
      <c r="N910" s="96"/>
      <c r="O910" s="96"/>
      <c r="P910" s="96"/>
      <c r="Q910" s="96"/>
      <c r="R910" s="96"/>
      <c r="S910" s="96"/>
      <c r="T910" s="96"/>
      <c r="U910" s="96"/>
      <c r="V910" s="96"/>
      <c r="W910" s="96"/>
      <c r="X910" s="96"/>
      <c r="Y910" s="96"/>
      <c r="Z910" s="96"/>
      <c r="AA910" s="96"/>
    </row>
    <row r="911" spans="1:27" ht="15.75" customHeight="1">
      <c r="A911" s="96"/>
      <c r="B911" s="96"/>
      <c r="C911" s="96"/>
      <c r="D911" s="96"/>
      <c r="E911" s="96"/>
      <c r="F911" s="96"/>
      <c r="G911" s="96"/>
      <c r="H911" s="96"/>
      <c r="I911" s="96"/>
      <c r="J911" s="96"/>
      <c r="K911" s="96"/>
      <c r="L911" s="96"/>
      <c r="M911" s="96"/>
      <c r="N911" s="96"/>
      <c r="O911" s="96"/>
      <c r="P911" s="96"/>
      <c r="Q911" s="96"/>
      <c r="R911" s="96"/>
      <c r="S911" s="96"/>
      <c r="T911" s="96"/>
      <c r="U911" s="96"/>
      <c r="V911" s="96"/>
      <c r="W911" s="96"/>
      <c r="X911" s="96"/>
      <c r="Y911" s="96"/>
      <c r="Z911" s="96"/>
      <c r="AA911" s="96"/>
    </row>
    <row r="912" spans="1:27" ht="15.75" customHeight="1">
      <c r="A912" s="96"/>
      <c r="B912" s="96"/>
      <c r="C912" s="96"/>
      <c r="D912" s="96"/>
      <c r="E912" s="96"/>
      <c r="F912" s="96"/>
      <c r="G912" s="96"/>
      <c r="H912" s="96"/>
      <c r="I912" s="96"/>
      <c r="J912" s="96"/>
      <c r="K912" s="96"/>
      <c r="L912" s="96"/>
      <c r="M912" s="96"/>
      <c r="N912" s="96"/>
      <c r="O912" s="96"/>
      <c r="P912" s="96"/>
      <c r="Q912" s="96"/>
      <c r="R912" s="96"/>
      <c r="S912" s="96"/>
      <c r="T912" s="96"/>
      <c r="U912" s="96"/>
      <c r="V912" s="96"/>
      <c r="W912" s="96"/>
      <c r="X912" s="96"/>
      <c r="Y912" s="96"/>
      <c r="Z912" s="96"/>
      <c r="AA912" s="96"/>
    </row>
    <row r="913" spans="1:27" ht="15.75" customHeight="1">
      <c r="A913" s="96"/>
      <c r="B913" s="96"/>
      <c r="C913" s="96"/>
      <c r="D913" s="96"/>
      <c r="E913" s="96"/>
      <c r="F913" s="96"/>
      <c r="G913" s="96"/>
      <c r="H913" s="96"/>
      <c r="I913" s="96"/>
      <c r="J913" s="96"/>
      <c r="K913" s="96"/>
      <c r="L913" s="96"/>
      <c r="M913" s="96"/>
      <c r="N913" s="96"/>
      <c r="O913" s="96"/>
      <c r="P913" s="96"/>
      <c r="Q913" s="96"/>
      <c r="R913" s="96"/>
      <c r="S913" s="96"/>
      <c r="T913" s="96"/>
      <c r="U913" s="96"/>
      <c r="V913" s="96"/>
      <c r="W913" s="96"/>
      <c r="X913" s="96"/>
      <c r="Y913" s="96"/>
      <c r="Z913" s="96"/>
      <c r="AA913" s="96"/>
    </row>
    <row r="914" spans="1:27" ht="15.75" customHeight="1">
      <c r="A914" s="96"/>
      <c r="B914" s="96"/>
      <c r="C914" s="96"/>
      <c r="D914" s="96"/>
      <c r="E914" s="96"/>
      <c r="F914" s="96"/>
      <c r="G914" s="96"/>
      <c r="H914" s="96"/>
      <c r="I914" s="96"/>
      <c r="J914" s="96"/>
      <c r="K914" s="96"/>
      <c r="L914" s="96"/>
      <c r="M914" s="96"/>
      <c r="N914" s="96"/>
      <c r="O914" s="96"/>
      <c r="P914" s="96"/>
      <c r="Q914" s="96"/>
      <c r="R914" s="96"/>
      <c r="S914" s="96"/>
      <c r="T914" s="96"/>
      <c r="U914" s="96"/>
      <c r="V914" s="96"/>
      <c r="W914" s="96"/>
      <c r="X914" s="96"/>
      <c r="Y914" s="96"/>
      <c r="Z914" s="96"/>
      <c r="AA914" s="96"/>
    </row>
    <row r="915" spans="1:27" ht="15.75" customHeight="1">
      <c r="A915" s="96"/>
      <c r="B915" s="96"/>
      <c r="C915" s="96"/>
      <c r="D915" s="96"/>
      <c r="E915" s="96"/>
      <c r="F915" s="96"/>
      <c r="G915" s="96"/>
      <c r="H915" s="96"/>
      <c r="I915" s="96"/>
      <c r="J915" s="96"/>
      <c r="K915" s="96"/>
      <c r="L915" s="96"/>
      <c r="M915" s="96"/>
      <c r="N915" s="96"/>
      <c r="O915" s="96"/>
      <c r="P915" s="96"/>
      <c r="Q915" s="96"/>
      <c r="R915" s="96"/>
      <c r="S915" s="96"/>
      <c r="T915" s="96"/>
      <c r="U915" s="96"/>
      <c r="V915" s="96"/>
      <c r="W915" s="96"/>
      <c r="X915" s="96"/>
      <c r="Y915" s="96"/>
      <c r="Z915" s="96"/>
      <c r="AA915" s="96"/>
    </row>
    <row r="916" spans="1:27" ht="15.75" customHeight="1">
      <c r="A916" s="96"/>
      <c r="B916" s="96"/>
      <c r="C916" s="96"/>
      <c r="D916" s="96"/>
      <c r="E916" s="96"/>
      <c r="F916" s="96"/>
      <c r="G916" s="96"/>
      <c r="H916" s="96"/>
      <c r="I916" s="96"/>
      <c r="J916" s="96"/>
      <c r="K916" s="96"/>
      <c r="L916" s="96"/>
      <c r="M916" s="96"/>
      <c r="N916" s="96"/>
      <c r="O916" s="96"/>
      <c r="P916" s="96"/>
      <c r="Q916" s="96"/>
      <c r="R916" s="96"/>
      <c r="S916" s="96"/>
      <c r="T916" s="96"/>
      <c r="U916" s="96"/>
      <c r="V916" s="96"/>
      <c r="W916" s="96"/>
      <c r="X916" s="96"/>
      <c r="Y916" s="96"/>
      <c r="Z916" s="96"/>
      <c r="AA916" s="96"/>
    </row>
    <row r="917" spans="1:27" ht="15.75" customHeight="1">
      <c r="A917" s="96"/>
      <c r="B917" s="96"/>
      <c r="C917" s="96"/>
      <c r="D917" s="96"/>
      <c r="E917" s="96"/>
      <c r="F917" s="96"/>
      <c r="G917" s="96"/>
      <c r="H917" s="96"/>
      <c r="I917" s="96"/>
      <c r="J917" s="96"/>
      <c r="K917" s="96"/>
      <c r="L917" s="96"/>
      <c r="M917" s="96"/>
      <c r="N917" s="96"/>
      <c r="O917" s="96"/>
      <c r="P917" s="96"/>
      <c r="Q917" s="96"/>
      <c r="R917" s="96"/>
      <c r="S917" s="96"/>
      <c r="T917" s="96"/>
      <c r="U917" s="96"/>
      <c r="V917" s="96"/>
      <c r="W917" s="96"/>
      <c r="X917" s="96"/>
      <c r="Y917" s="96"/>
      <c r="Z917" s="96"/>
      <c r="AA917" s="96"/>
    </row>
    <row r="918" spans="1:27" ht="15.75" customHeight="1">
      <c r="A918" s="96"/>
      <c r="B918" s="96"/>
      <c r="C918" s="96"/>
      <c r="D918" s="96"/>
      <c r="E918" s="96"/>
      <c r="F918" s="96"/>
      <c r="G918" s="96"/>
      <c r="H918" s="96"/>
      <c r="I918" s="96"/>
      <c r="J918" s="96"/>
      <c r="K918" s="96"/>
      <c r="L918" s="96"/>
      <c r="M918" s="96"/>
      <c r="N918" s="96"/>
      <c r="O918" s="96"/>
      <c r="P918" s="96"/>
      <c r="Q918" s="96"/>
      <c r="R918" s="96"/>
      <c r="S918" s="96"/>
      <c r="T918" s="96"/>
      <c r="U918" s="96"/>
      <c r="V918" s="96"/>
      <c r="W918" s="96"/>
      <c r="X918" s="96"/>
      <c r="Y918" s="96"/>
      <c r="Z918" s="96"/>
      <c r="AA918" s="96"/>
    </row>
    <row r="919" spans="1:27" ht="15.75" customHeight="1">
      <c r="A919" s="96"/>
      <c r="B919" s="96"/>
      <c r="C919" s="96"/>
      <c r="D919" s="96"/>
      <c r="E919" s="96"/>
      <c r="F919" s="96"/>
      <c r="G919" s="96"/>
      <c r="H919" s="96"/>
      <c r="I919" s="96"/>
      <c r="J919" s="96"/>
      <c r="K919" s="96"/>
      <c r="L919" s="96"/>
      <c r="M919" s="96"/>
      <c r="N919" s="96"/>
      <c r="O919" s="96"/>
      <c r="P919" s="96"/>
      <c r="Q919" s="96"/>
      <c r="R919" s="96"/>
      <c r="S919" s="96"/>
      <c r="T919" s="96"/>
      <c r="U919" s="96"/>
      <c r="V919" s="96"/>
      <c r="W919" s="96"/>
      <c r="X919" s="96"/>
      <c r="Y919" s="96"/>
      <c r="Z919" s="96"/>
      <c r="AA919" s="96"/>
    </row>
    <row r="920" spans="1:27" ht="15.75" customHeight="1">
      <c r="A920" s="96"/>
      <c r="B920" s="96"/>
      <c r="C920" s="96"/>
      <c r="D920" s="96"/>
      <c r="E920" s="96"/>
      <c r="F920" s="96"/>
      <c r="G920" s="96"/>
      <c r="H920" s="96"/>
      <c r="I920" s="96"/>
      <c r="J920" s="96"/>
      <c r="K920" s="96"/>
      <c r="L920" s="96"/>
      <c r="M920" s="96"/>
      <c r="N920" s="96"/>
      <c r="O920" s="96"/>
      <c r="P920" s="96"/>
      <c r="Q920" s="96"/>
      <c r="R920" s="96"/>
      <c r="S920" s="96"/>
      <c r="T920" s="96"/>
      <c r="U920" s="96"/>
      <c r="V920" s="96"/>
      <c r="W920" s="96"/>
      <c r="X920" s="96"/>
      <c r="Y920" s="96"/>
      <c r="Z920" s="96"/>
      <c r="AA920" s="96"/>
    </row>
    <row r="921" spans="1:27" ht="15.75" customHeight="1">
      <c r="A921" s="96"/>
      <c r="B921" s="96"/>
      <c r="C921" s="96"/>
      <c r="D921" s="96"/>
      <c r="E921" s="96"/>
      <c r="F921" s="96"/>
      <c r="G921" s="96"/>
      <c r="H921" s="96"/>
      <c r="I921" s="96"/>
      <c r="J921" s="96"/>
      <c r="K921" s="96"/>
      <c r="L921" s="96"/>
      <c r="M921" s="96"/>
      <c r="N921" s="96"/>
      <c r="O921" s="96"/>
      <c r="P921" s="96"/>
      <c r="Q921" s="96"/>
      <c r="R921" s="96"/>
      <c r="S921" s="96"/>
      <c r="T921" s="96"/>
      <c r="U921" s="96"/>
      <c r="V921" s="96"/>
      <c r="W921" s="96"/>
      <c r="X921" s="96"/>
      <c r="Y921" s="96"/>
      <c r="Z921" s="96"/>
      <c r="AA921" s="96"/>
    </row>
    <row r="922" spans="1:27" ht="15.75" customHeight="1">
      <c r="A922" s="96"/>
      <c r="B922" s="96"/>
      <c r="C922" s="96"/>
      <c r="D922" s="96"/>
      <c r="E922" s="96"/>
      <c r="F922" s="96"/>
      <c r="G922" s="96"/>
      <c r="H922" s="96"/>
      <c r="I922" s="96"/>
      <c r="J922" s="96"/>
      <c r="K922" s="96"/>
      <c r="L922" s="96"/>
      <c r="M922" s="96"/>
      <c r="N922" s="96"/>
      <c r="O922" s="96"/>
      <c r="P922" s="96"/>
      <c r="Q922" s="96"/>
      <c r="R922" s="96"/>
      <c r="S922" s="96"/>
      <c r="T922" s="96"/>
      <c r="U922" s="96"/>
      <c r="V922" s="96"/>
      <c r="W922" s="96"/>
      <c r="X922" s="96"/>
      <c r="Y922" s="96"/>
      <c r="Z922" s="96"/>
      <c r="AA922" s="96"/>
    </row>
    <row r="923" spans="1:27" ht="15.75" customHeight="1">
      <c r="A923" s="96"/>
      <c r="B923" s="96"/>
      <c r="C923" s="96"/>
      <c r="D923" s="96"/>
      <c r="E923" s="96"/>
      <c r="F923" s="96"/>
      <c r="G923" s="96"/>
      <c r="H923" s="96"/>
      <c r="I923" s="96"/>
      <c r="J923" s="96"/>
      <c r="K923" s="96"/>
      <c r="L923" s="96"/>
      <c r="M923" s="96"/>
      <c r="N923" s="96"/>
      <c r="O923" s="96"/>
      <c r="P923" s="96"/>
      <c r="Q923" s="96"/>
      <c r="R923" s="96"/>
      <c r="S923" s="96"/>
      <c r="T923" s="96"/>
      <c r="U923" s="96"/>
      <c r="V923" s="96"/>
      <c r="W923" s="96"/>
      <c r="X923" s="96"/>
      <c r="Y923" s="96"/>
      <c r="Z923" s="96"/>
      <c r="AA923" s="96"/>
    </row>
    <row r="924" spans="1:27" ht="15.75" customHeight="1">
      <c r="A924" s="96"/>
      <c r="B924" s="96"/>
      <c r="C924" s="96"/>
      <c r="D924" s="96"/>
      <c r="E924" s="96"/>
      <c r="F924" s="96"/>
      <c r="G924" s="96"/>
      <c r="H924" s="96"/>
      <c r="I924" s="96"/>
      <c r="J924" s="96"/>
      <c r="K924" s="96"/>
      <c r="L924" s="96"/>
      <c r="M924" s="96"/>
      <c r="N924" s="96"/>
      <c r="O924" s="96"/>
      <c r="P924" s="96"/>
      <c r="Q924" s="96"/>
      <c r="R924" s="96"/>
      <c r="S924" s="96"/>
      <c r="T924" s="96"/>
      <c r="U924" s="96"/>
      <c r="V924" s="96"/>
      <c r="W924" s="96"/>
      <c r="X924" s="96"/>
      <c r="Y924" s="96"/>
      <c r="Z924" s="96"/>
      <c r="AA924" s="96"/>
    </row>
    <row r="925" spans="1:27" ht="15.75" customHeight="1">
      <c r="A925" s="96"/>
      <c r="B925" s="96"/>
      <c r="C925" s="96"/>
      <c r="D925" s="96"/>
      <c r="E925" s="96"/>
      <c r="F925" s="96"/>
      <c r="G925" s="96"/>
      <c r="H925" s="96"/>
      <c r="I925" s="96"/>
      <c r="J925" s="96"/>
      <c r="K925" s="96"/>
      <c r="L925" s="96"/>
      <c r="M925" s="96"/>
      <c r="N925" s="96"/>
      <c r="O925" s="96"/>
      <c r="P925" s="96"/>
      <c r="Q925" s="96"/>
      <c r="R925" s="96"/>
      <c r="S925" s="96"/>
      <c r="T925" s="96"/>
      <c r="U925" s="96"/>
      <c r="V925" s="96"/>
      <c r="W925" s="96"/>
      <c r="X925" s="96"/>
      <c r="Y925" s="96"/>
      <c r="Z925" s="96"/>
      <c r="AA925" s="96"/>
    </row>
    <row r="926" spans="1:27" ht="15.75" customHeight="1">
      <c r="A926" s="96"/>
      <c r="B926" s="96"/>
      <c r="C926" s="96"/>
      <c r="D926" s="96"/>
      <c r="E926" s="96"/>
      <c r="F926" s="96"/>
      <c r="G926" s="96"/>
      <c r="H926" s="96"/>
      <c r="I926" s="96"/>
      <c r="J926" s="96"/>
      <c r="K926" s="96"/>
      <c r="L926" s="96"/>
      <c r="M926" s="96"/>
      <c r="N926" s="96"/>
      <c r="O926" s="96"/>
      <c r="P926" s="96"/>
      <c r="Q926" s="96"/>
      <c r="R926" s="96"/>
      <c r="S926" s="96"/>
      <c r="T926" s="96"/>
      <c r="U926" s="96"/>
      <c r="V926" s="96"/>
      <c r="W926" s="96"/>
      <c r="X926" s="96"/>
      <c r="Y926" s="96"/>
      <c r="Z926" s="96"/>
      <c r="AA926" s="96"/>
    </row>
    <row r="927" spans="1:27" ht="15.75" customHeight="1">
      <c r="A927" s="96"/>
      <c r="B927" s="96"/>
      <c r="C927" s="96"/>
      <c r="D927" s="96"/>
      <c r="E927" s="96"/>
      <c r="F927" s="96"/>
      <c r="G927" s="96"/>
      <c r="H927" s="96"/>
      <c r="I927" s="96"/>
      <c r="J927" s="96"/>
      <c r="K927" s="96"/>
      <c r="L927" s="96"/>
      <c r="M927" s="96"/>
      <c r="N927" s="96"/>
      <c r="O927" s="96"/>
      <c r="P927" s="96"/>
      <c r="Q927" s="96"/>
      <c r="R927" s="96"/>
      <c r="S927" s="96"/>
      <c r="T927" s="96"/>
      <c r="U927" s="96"/>
      <c r="V927" s="96"/>
      <c r="W927" s="96"/>
      <c r="X927" s="96"/>
      <c r="Y927" s="96"/>
      <c r="Z927" s="96"/>
      <c r="AA927" s="96"/>
    </row>
    <row r="928" spans="1:27" ht="15.75" customHeight="1">
      <c r="A928" s="96"/>
      <c r="B928" s="96"/>
      <c r="C928" s="96"/>
      <c r="D928" s="96"/>
      <c r="E928" s="96"/>
      <c r="F928" s="96"/>
      <c r="G928" s="96"/>
      <c r="H928" s="96"/>
      <c r="I928" s="96"/>
      <c r="J928" s="96"/>
      <c r="K928" s="96"/>
      <c r="L928" s="96"/>
      <c r="M928" s="96"/>
      <c r="N928" s="96"/>
      <c r="O928" s="96"/>
      <c r="P928" s="96"/>
      <c r="Q928" s="96"/>
      <c r="R928" s="96"/>
      <c r="S928" s="96"/>
      <c r="T928" s="96"/>
      <c r="U928" s="96"/>
      <c r="V928" s="96"/>
      <c r="W928" s="96"/>
      <c r="X928" s="96"/>
      <c r="Y928" s="96"/>
      <c r="Z928" s="96"/>
      <c r="AA928" s="96"/>
    </row>
    <row r="929" spans="1:27" ht="15.75" customHeight="1">
      <c r="A929" s="96"/>
      <c r="B929" s="96"/>
      <c r="C929" s="96"/>
      <c r="D929" s="96"/>
      <c r="E929" s="96"/>
      <c r="F929" s="96"/>
      <c r="G929" s="96"/>
      <c r="H929" s="96"/>
      <c r="I929" s="96"/>
      <c r="J929" s="96"/>
      <c r="K929" s="96"/>
      <c r="L929" s="96"/>
      <c r="M929" s="96"/>
      <c r="N929" s="96"/>
      <c r="O929" s="96"/>
      <c r="P929" s="96"/>
      <c r="Q929" s="96"/>
      <c r="R929" s="96"/>
      <c r="S929" s="96"/>
      <c r="T929" s="96"/>
      <c r="U929" s="96"/>
      <c r="V929" s="96"/>
      <c r="W929" s="96"/>
      <c r="X929" s="96"/>
      <c r="Y929" s="96"/>
      <c r="Z929" s="96"/>
      <c r="AA929" s="96"/>
    </row>
    <row r="930" spans="1:27" ht="15.75" customHeight="1">
      <c r="A930" s="96"/>
      <c r="B930" s="96"/>
      <c r="C930" s="96"/>
      <c r="D930" s="96"/>
      <c r="E930" s="96"/>
      <c r="F930" s="96"/>
      <c r="G930" s="96"/>
      <c r="H930" s="96"/>
      <c r="I930" s="96"/>
      <c r="J930" s="96"/>
      <c r="K930" s="96"/>
      <c r="L930" s="96"/>
      <c r="M930" s="96"/>
      <c r="N930" s="96"/>
      <c r="O930" s="96"/>
      <c r="P930" s="96"/>
      <c r="Q930" s="96"/>
      <c r="R930" s="96"/>
      <c r="S930" s="96"/>
      <c r="T930" s="96"/>
      <c r="U930" s="96"/>
      <c r="V930" s="96"/>
      <c r="W930" s="96"/>
      <c r="X930" s="96"/>
      <c r="Y930" s="96"/>
      <c r="Z930" s="96"/>
      <c r="AA930" s="96"/>
    </row>
    <row r="931" spans="1:27" ht="15.75" customHeight="1">
      <c r="A931" s="96"/>
      <c r="B931" s="96"/>
      <c r="C931" s="96"/>
      <c r="D931" s="96"/>
      <c r="E931" s="96"/>
      <c r="F931" s="96"/>
      <c r="G931" s="96"/>
      <c r="H931" s="96"/>
      <c r="I931" s="96"/>
      <c r="J931" s="96"/>
      <c r="K931" s="96"/>
      <c r="L931" s="96"/>
      <c r="M931" s="96"/>
      <c r="N931" s="96"/>
      <c r="O931" s="96"/>
      <c r="P931" s="96"/>
      <c r="Q931" s="96"/>
      <c r="R931" s="96"/>
      <c r="S931" s="96"/>
      <c r="T931" s="96"/>
      <c r="U931" s="96"/>
      <c r="V931" s="96"/>
      <c r="W931" s="96"/>
      <c r="X931" s="96"/>
      <c r="Y931" s="96"/>
      <c r="Z931" s="96"/>
      <c r="AA931" s="96"/>
    </row>
    <row r="932" spans="1:27" ht="15.75" customHeight="1">
      <c r="A932" s="96"/>
      <c r="B932" s="96"/>
      <c r="C932" s="96"/>
      <c r="D932" s="96"/>
      <c r="E932" s="96"/>
      <c r="F932" s="96"/>
      <c r="G932" s="96"/>
      <c r="H932" s="96"/>
      <c r="I932" s="96"/>
      <c r="J932" s="96"/>
      <c r="K932" s="96"/>
      <c r="L932" s="96"/>
      <c r="M932" s="96"/>
      <c r="N932" s="96"/>
      <c r="O932" s="96"/>
      <c r="P932" s="96"/>
      <c r="Q932" s="96"/>
      <c r="R932" s="96"/>
      <c r="S932" s="96"/>
      <c r="T932" s="96"/>
      <c r="U932" s="96"/>
      <c r="V932" s="96"/>
      <c r="W932" s="96"/>
      <c r="X932" s="96"/>
      <c r="Y932" s="96"/>
      <c r="Z932" s="96"/>
      <c r="AA932" s="96"/>
    </row>
    <row r="933" spans="1:27" ht="15.75" customHeight="1">
      <c r="A933" s="96"/>
      <c r="B933" s="96"/>
      <c r="C933" s="96"/>
      <c r="D933" s="96"/>
      <c r="E933" s="96"/>
      <c r="F933" s="96"/>
      <c r="G933" s="96"/>
      <c r="H933" s="96"/>
      <c r="I933" s="96"/>
      <c r="J933" s="96"/>
      <c r="K933" s="96"/>
      <c r="L933" s="96"/>
      <c r="M933" s="96"/>
      <c r="N933" s="96"/>
      <c r="O933" s="96"/>
      <c r="P933" s="96"/>
      <c r="Q933" s="96"/>
      <c r="R933" s="96"/>
      <c r="S933" s="96"/>
      <c r="T933" s="96"/>
      <c r="U933" s="96"/>
      <c r="V933" s="96"/>
      <c r="W933" s="96"/>
      <c r="X933" s="96"/>
      <c r="Y933" s="96"/>
      <c r="Z933" s="96"/>
      <c r="AA933" s="96"/>
    </row>
    <row r="934" spans="1:27" ht="15.75" customHeight="1">
      <c r="A934" s="96"/>
      <c r="B934" s="96"/>
      <c r="C934" s="96"/>
      <c r="D934" s="96"/>
      <c r="E934" s="96"/>
      <c r="F934" s="96"/>
      <c r="G934" s="96"/>
      <c r="H934" s="96"/>
      <c r="I934" s="96"/>
      <c r="J934" s="96"/>
      <c r="K934" s="96"/>
      <c r="L934" s="96"/>
      <c r="M934" s="96"/>
      <c r="N934" s="96"/>
      <c r="O934" s="96"/>
      <c r="P934" s="96"/>
      <c r="Q934" s="96"/>
      <c r="R934" s="96"/>
      <c r="S934" s="96"/>
      <c r="T934" s="96"/>
      <c r="U934" s="96"/>
      <c r="V934" s="96"/>
      <c r="W934" s="96"/>
      <c r="X934" s="96"/>
      <c r="Y934" s="96"/>
      <c r="Z934" s="96"/>
      <c r="AA934" s="96"/>
    </row>
    <row r="935" spans="1:27" ht="15.75" customHeight="1">
      <c r="A935" s="96"/>
      <c r="B935" s="96"/>
      <c r="C935" s="96"/>
      <c r="D935" s="96"/>
      <c r="E935" s="96"/>
      <c r="F935" s="96"/>
      <c r="G935" s="96"/>
      <c r="H935" s="96"/>
      <c r="I935" s="96"/>
      <c r="J935" s="96"/>
      <c r="K935" s="96"/>
      <c r="L935" s="96"/>
      <c r="M935" s="96"/>
      <c r="N935" s="96"/>
      <c r="O935" s="96"/>
      <c r="P935" s="96"/>
      <c r="Q935" s="96"/>
      <c r="R935" s="96"/>
      <c r="S935" s="96"/>
      <c r="T935" s="96"/>
      <c r="U935" s="96"/>
      <c r="V935" s="96"/>
      <c r="W935" s="96"/>
      <c r="X935" s="96"/>
      <c r="Y935" s="96"/>
      <c r="Z935" s="96"/>
      <c r="AA935" s="96"/>
    </row>
    <row r="936" spans="1:27" ht="15.75" customHeight="1">
      <c r="A936" s="96"/>
      <c r="B936" s="96"/>
      <c r="C936" s="96"/>
      <c r="D936" s="96"/>
      <c r="E936" s="96"/>
      <c r="F936" s="96"/>
      <c r="G936" s="96"/>
      <c r="H936" s="96"/>
      <c r="I936" s="96"/>
      <c r="J936" s="96"/>
      <c r="K936" s="96"/>
      <c r="L936" s="96"/>
      <c r="M936" s="96"/>
      <c r="N936" s="96"/>
      <c r="O936" s="96"/>
      <c r="P936" s="96"/>
      <c r="Q936" s="96"/>
      <c r="R936" s="96"/>
      <c r="S936" s="96"/>
      <c r="T936" s="96"/>
      <c r="U936" s="96"/>
      <c r="V936" s="96"/>
      <c r="W936" s="96"/>
      <c r="X936" s="96"/>
      <c r="Y936" s="96"/>
      <c r="Z936" s="96"/>
      <c r="AA936" s="96"/>
    </row>
    <row r="937" spans="1:27" ht="15.75" customHeight="1">
      <c r="A937" s="96"/>
      <c r="B937" s="96"/>
      <c r="C937" s="96"/>
      <c r="D937" s="96"/>
      <c r="E937" s="96"/>
      <c r="F937" s="96"/>
      <c r="G937" s="96"/>
      <c r="H937" s="96"/>
      <c r="I937" s="96"/>
      <c r="J937" s="96"/>
      <c r="K937" s="96"/>
      <c r="L937" s="96"/>
      <c r="M937" s="96"/>
      <c r="N937" s="96"/>
      <c r="O937" s="96"/>
      <c r="P937" s="96"/>
      <c r="Q937" s="96"/>
      <c r="R937" s="96"/>
      <c r="S937" s="96"/>
      <c r="T937" s="96"/>
      <c r="U937" s="96"/>
      <c r="V937" s="96"/>
      <c r="W937" s="96"/>
      <c r="X937" s="96"/>
      <c r="Y937" s="96"/>
      <c r="Z937" s="96"/>
      <c r="AA937" s="96"/>
    </row>
    <row r="938" spans="1:27" ht="15.75" customHeight="1">
      <c r="A938" s="96"/>
      <c r="B938" s="96"/>
      <c r="C938" s="96"/>
      <c r="D938" s="96"/>
      <c r="E938" s="96"/>
      <c r="F938" s="96"/>
      <c r="G938" s="96"/>
      <c r="H938" s="96"/>
      <c r="I938" s="96"/>
      <c r="J938" s="96"/>
      <c r="K938" s="96"/>
      <c r="L938" s="96"/>
      <c r="M938" s="96"/>
      <c r="N938" s="96"/>
      <c r="O938" s="96"/>
      <c r="P938" s="96"/>
      <c r="Q938" s="96"/>
      <c r="R938" s="96"/>
      <c r="S938" s="96"/>
      <c r="T938" s="96"/>
      <c r="U938" s="96"/>
      <c r="V938" s="96"/>
      <c r="W938" s="96"/>
      <c r="X938" s="96"/>
      <c r="Y938" s="96"/>
      <c r="Z938" s="96"/>
      <c r="AA938" s="96"/>
    </row>
    <row r="939" spans="1:27" ht="15.75" customHeight="1">
      <c r="A939" s="96"/>
      <c r="B939" s="96"/>
      <c r="C939" s="96"/>
      <c r="D939" s="96"/>
      <c r="E939" s="96"/>
      <c r="F939" s="96"/>
      <c r="G939" s="96"/>
      <c r="H939" s="96"/>
      <c r="I939" s="96"/>
      <c r="J939" s="96"/>
      <c r="K939" s="96"/>
      <c r="L939" s="96"/>
      <c r="M939" s="96"/>
      <c r="N939" s="96"/>
      <c r="O939" s="96"/>
      <c r="P939" s="96"/>
      <c r="Q939" s="96"/>
      <c r="R939" s="96"/>
      <c r="S939" s="96"/>
      <c r="T939" s="96"/>
      <c r="U939" s="96"/>
      <c r="V939" s="96"/>
      <c r="W939" s="96"/>
      <c r="X939" s="96"/>
      <c r="Y939" s="96"/>
      <c r="Z939" s="96"/>
      <c r="AA939" s="96"/>
    </row>
    <row r="940" spans="1:27" ht="15.75" customHeight="1">
      <c r="A940" s="96"/>
      <c r="B940" s="96"/>
      <c r="C940" s="96"/>
      <c r="D940" s="96"/>
      <c r="E940" s="96"/>
      <c r="F940" s="96"/>
      <c r="G940" s="96"/>
      <c r="H940" s="96"/>
      <c r="I940" s="96"/>
      <c r="J940" s="96"/>
      <c r="K940" s="96"/>
      <c r="L940" s="96"/>
      <c r="M940" s="96"/>
      <c r="N940" s="96"/>
      <c r="O940" s="96"/>
      <c r="P940" s="96"/>
      <c r="Q940" s="96"/>
      <c r="R940" s="96"/>
      <c r="S940" s="96"/>
      <c r="T940" s="96"/>
      <c r="U940" s="96"/>
      <c r="V940" s="96"/>
      <c r="W940" s="96"/>
      <c r="X940" s="96"/>
      <c r="Y940" s="96"/>
      <c r="Z940" s="96"/>
      <c r="AA940" s="96"/>
    </row>
    <row r="941" spans="1:27" ht="15.75" customHeight="1">
      <c r="A941" s="96"/>
      <c r="B941" s="96"/>
      <c r="C941" s="96"/>
      <c r="D941" s="96"/>
      <c r="E941" s="96"/>
      <c r="F941" s="96"/>
      <c r="G941" s="96"/>
      <c r="H941" s="96"/>
      <c r="I941" s="96"/>
      <c r="J941" s="96"/>
      <c r="K941" s="96"/>
      <c r="L941" s="96"/>
      <c r="M941" s="96"/>
      <c r="N941" s="96"/>
      <c r="O941" s="96"/>
      <c r="P941" s="96"/>
      <c r="Q941" s="96"/>
      <c r="R941" s="96"/>
      <c r="S941" s="96"/>
      <c r="T941" s="96"/>
      <c r="U941" s="96"/>
      <c r="V941" s="96"/>
      <c r="W941" s="96"/>
      <c r="X941" s="96"/>
      <c r="Y941" s="96"/>
      <c r="Z941" s="96"/>
      <c r="AA941" s="96"/>
    </row>
    <row r="942" spans="1:27" ht="15.75" customHeight="1">
      <c r="A942" s="96"/>
      <c r="B942" s="96"/>
      <c r="C942" s="96"/>
      <c r="D942" s="96"/>
      <c r="E942" s="96"/>
      <c r="F942" s="96"/>
      <c r="G942" s="96"/>
      <c r="H942" s="96"/>
      <c r="I942" s="96"/>
      <c r="J942" s="96"/>
      <c r="K942" s="96"/>
      <c r="L942" s="96"/>
      <c r="M942" s="96"/>
      <c r="N942" s="96"/>
      <c r="O942" s="96"/>
      <c r="P942" s="96"/>
      <c r="Q942" s="96"/>
      <c r="R942" s="96"/>
      <c r="S942" s="96"/>
      <c r="T942" s="96"/>
      <c r="U942" s="96"/>
      <c r="V942" s="96"/>
      <c r="W942" s="96"/>
      <c r="X942" s="96"/>
      <c r="Y942" s="96"/>
      <c r="Z942" s="96"/>
      <c r="AA942" s="96"/>
    </row>
    <row r="943" spans="1:27" ht="15.75" customHeight="1">
      <c r="A943" s="96"/>
      <c r="B943" s="96"/>
      <c r="C943" s="96"/>
      <c r="D943" s="96"/>
      <c r="E943" s="96"/>
      <c r="F943" s="96"/>
      <c r="G943" s="96"/>
      <c r="H943" s="96"/>
      <c r="I943" s="96"/>
      <c r="J943" s="96"/>
      <c r="K943" s="96"/>
      <c r="L943" s="96"/>
      <c r="M943" s="96"/>
      <c r="N943" s="96"/>
      <c r="O943" s="96"/>
      <c r="P943" s="96"/>
      <c r="Q943" s="96"/>
      <c r="R943" s="96"/>
      <c r="S943" s="96"/>
      <c r="T943" s="96"/>
      <c r="U943" s="96"/>
      <c r="V943" s="96"/>
      <c r="W943" s="96"/>
      <c r="X943" s="96"/>
      <c r="Y943" s="96"/>
      <c r="Z943" s="96"/>
      <c r="AA943" s="96"/>
    </row>
    <row r="944" spans="1:27" ht="15.75" customHeight="1">
      <c r="A944" s="96"/>
      <c r="B944" s="96"/>
      <c r="C944" s="96"/>
      <c r="D944" s="96"/>
      <c r="E944" s="96"/>
      <c r="F944" s="96"/>
      <c r="G944" s="96"/>
      <c r="H944" s="96"/>
      <c r="I944" s="96"/>
      <c r="J944" s="96"/>
      <c r="K944" s="96"/>
      <c r="L944" s="96"/>
      <c r="M944" s="96"/>
      <c r="N944" s="96"/>
      <c r="O944" s="96"/>
      <c r="P944" s="96"/>
      <c r="Q944" s="96"/>
      <c r="R944" s="96"/>
      <c r="S944" s="96"/>
      <c r="T944" s="96"/>
      <c r="U944" s="96"/>
      <c r="V944" s="96"/>
      <c r="W944" s="96"/>
      <c r="X944" s="96"/>
      <c r="Y944" s="96"/>
      <c r="Z944" s="96"/>
      <c r="AA944" s="96"/>
    </row>
    <row r="945" spans="1:27" ht="15.75" customHeight="1">
      <c r="A945" s="96"/>
      <c r="B945" s="96"/>
      <c r="C945" s="96"/>
      <c r="D945" s="96"/>
      <c r="E945" s="96"/>
      <c r="F945" s="96"/>
      <c r="G945" s="96"/>
      <c r="H945" s="96"/>
      <c r="I945" s="96"/>
      <c r="J945" s="96"/>
      <c r="K945" s="96"/>
      <c r="L945" s="96"/>
      <c r="M945" s="96"/>
      <c r="N945" s="96"/>
      <c r="O945" s="96"/>
      <c r="P945" s="96"/>
      <c r="Q945" s="96"/>
      <c r="R945" s="96"/>
      <c r="S945" s="96"/>
      <c r="T945" s="96"/>
      <c r="U945" s="96"/>
      <c r="V945" s="96"/>
      <c r="W945" s="96"/>
      <c r="X945" s="96"/>
      <c r="Y945" s="96"/>
      <c r="Z945" s="96"/>
      <c r="AA945" s="96"/>
    </row>
    <row r="946" spans="1:27" ht="15.75" customHeight="1">
      <c r="A946" s="96"/>
      <c r="B946" s="96"/>
      <c r="C946" s="96"/>
      <c r="D946" s="96"/>
      <c r="E946" s="96"/>
      <c r="F946" s="96"/>
      <c r="G946" s="96"/>
      <c r="H946" s="96"/>
      <c r="I946" s="96"/>
      <c r="J946" s="96"/>
      <c r="K946" s="96"/>
      <c r="L946" s="96"/>
      <c r="M946" s="96"/>
      <c r="N946" s="96"/>
      <c r="O946" s="96"/>
      <c r="P946" s="96"/>
      <c r="Q946" s="96"/>
      <c r="R946" s="96"/>
      <c r="S946" s="96"/>
      <c r="T946" s="96"/>
      <c r="U946" s="96"/>
      <c r="V946" s="96"/>
      <c r="W946" s="96"/>
      <c r="X946" s="96"/>
      <c r="Y946" s="96"/>
      <c r="Z946" s="96"/>
      <c r="AA946" s="96"/>
    </row>
    <row r="947" spans="1:27" ht="15.75" customHeight="1">
      <c r="A947" s="96"/>
      <c r="B947" s="96"/>
      <c r="C947" s="96"/>
      <c r="D947" s="96"/>
      <c r="E947" s="96"/>
      <c r="F947" s="96"/>
      <c r="G947" s="96"/>
      <c r="H947" s="96"/>
      <c r="I947" s="96"/>
      <c r="J947" s="96"/>
      <c r="K947" s="96"/>
      <c r="L947" s="96"/>
      <c r="M947" s="96"/>
      <c r="N947" s="96"/>
      <c r="O947" s="96"/>
      <c r="P947" s="96"/>
      <c r="Q947" s="96"/>
      <c r="R947" s="96"/>
      <c r="S947" s="96"/>
      <c r="T947" s="96"/>
      <c r="U947" s="96"/>
      <c r="V947" s="96"/>
      <c r="W947" s="96"/>
      <c r="X947" s="96"/>
      <c r="Y947" s="96"/>
      <c r="Z947" s="96"/>
      <c r="AA947" s="96"/>
    </row>
    <row r="948" spans="1:27" ht="15.75" customHeight="1">
      <c r="A948" s="96"/>
      <c r="B948" s="96"/>
      <c r="C948" s="96"/>
      <c r="D948" s="96"/>
      <c r="E948" s="96"/>
      <c r="F948" s="96"/>
      <c r="G948" s="96"/>
      <c r="H948" s="96"/>
      <c r="I948" s="96"/>
      <c r="J948" s="96"/>
      <c r="K948" s="96"/>
      <c r="L948" s="96"/>
      <c r="M948" s="96"/>
      <c r="N948" s="96"/>
      <c r="O948" s="96"/>
      <c r="P948" s="96"/>
      <c r="Q948" s="96"/>
      <c r="R948" s="96"/>
      <c r="S948" s="96"/>
      <c r="T948" s="96"/>
      <c r="U948" s="96"/>
      <c r="V948" s="96"/>
      <c r="W948" s="96"/>
      <c r="X948" s="96"/>
      <c r="Y948" s="96"/>
      <c r="Z948" s="96"/>
      <c r="AA948" s="96"/>
    </row>
    <row r="949" spans="1:27" ht="15.75" customHeight="1">
      <c r="A949" s="96"/>
      <c r="B949" s="96"/>
      <c r="C949" s="96"/>
      <c r="D949" s="96"/>
      <c r="E949" s="96"/>
      <c r="F949" s="96"/>
      <c r="G949" s="96"/>
      <c r="H949" s="96"/>
      <c r="I949" s="96"/>
      <c r="J949" s="96"/>
      <c r="K949" s="96"/>
      <c r="L949" s="96"/>
      <c r="M949" s="96"/>
      <c r="N949" s="96"/>
      <c r="O949" s="96"/>
      <c r="P949" s="96"/>
      <c r="Q949" s="96"/>
      <c r="R949" s="96"/>
      <c r="S949" s="96"/>
      <c r="T949" s="96"/>
      <c r="U949" s="96"/>
      <c r="V949" s="96"/>
      <c r="W949" s="96"/>
      <c r="X949" s="96"/>
      <c r="Y949" s="96"/>
      <c r="Z949" s="96"/>
      <c r="AA949" s="96"/>
    </row>
    <row r="950" spans="1:27" ht="15.75" customHeight="1">
      <c r="A950" s="96"/>
      <c r="B950" s="96"/>
      <c r="C950" s="96"/>
      <c r="D950" s="96"/>
      <c r="E950" s="96"/>
      <c r="F950" s="96"/>
      <c r="G950" s="96"/>
      <c r="H950" s="96"/>
      <c r="I950" s="96"/>
      <c r="J950" s="96"/>
      <c r="K950" s="96"/>
      <c r="L950" s="96"/>
      <c r="M950" s="96"/>
      <c r="N950" s="96"/>
      <c r="O950" s="96"/>
      <c r="P950" s="96"/>
      <c r="Q950" s="96"/>
      <c r="R950" s="96"/>
      <c r="S950" s="96"/>
      <c r="T950" s="96"/>
      <c r="U950" s="96"/>
      <c r="V950" s="96"/>
      <c r="W950" s="96"/>
      <c r="X950" s="96"/>
      <c r="Y950" s="96"/>
      <c r="Z950" s="96"/>
      <c r="AA950" s="96"/>
    </row>
    <row r="951" spans="1:27" ht="15.75" customHeight="1">
      <c r="A951" s="96"/>
      <c r="B951" s="96"/>
      <c r="C951" s="96"/>
      <c r="D951" s="96"/>
      <c r="E951" s="96"/>
      <c r="F951" s="96"/>
      <c r="G951" s="96"/>
      <c r="H951" s="96"/>
      <c r="I951" s="96"/>
      <c r="J951" s="96"/>
      <c r="K951" s="96"/>
      <c r="L951" s="96"/>
      <c r="M951" s="96"/>
      <c r="N951" s="96"/>
      <c r="O951" s="96"/>
      <c r="P951" s="96"/>
      <c r="Q951" s="96"/>
      <c r="R951" s="96"/>
      <c r="S951" s="96"/>
      <c r="T951" s="96"/>
      <c r="U951" s="96"/>
      <c r="V951" s="96"/>
      <c r="W951" s="96"/>
      <c r="X951" s="96"/>
      <c r="Y951" s="96"/>
      <c r="Z951" s="96"/>
      <c r="AA951" s="96"/>
    </row>
    <row r="952" spans="1:27" ht="15.75" customHeight="1">
      <c r="A952" s="96"/>
      <c r="B952" s="96"/>
      <c r="C952" s="96"/>
      <c r="D952" s="96"/>
      <c r="E952" s="96"/>
      <c r="F952" s="96"/>
      <c r="G952" s="96"/>
      <c r="H952" s="96"/>
      <c r="I952" s="96"/>
      <c r="J952" s="96"/>
      <c r="K952" s="96"/>
      <c r="L952" s="96"/>
      <c r="M952" s="96"/>
      <c r="N952" s="96"/>
      <c r="O952" s="96"/>
      <c r="P952" s="96"/>
      <c r="Q952" s="96"/>
      <c r="R952" s="96"/>
      <c r="S952" s="96"/>
      <c r="T952" s="96"/>
      <c r="U952" s="96"/>
      <c r="V952" s="96"/>
      <c r="W952" s="96"/>
      <c r="X952" s="96"/>
      <c r="Y952" s="96"/>
      <c r="Z952" s="96"/>
      <c r="AA952" s="96"/>
    </row>
    <row r="953" spans="1:27" ht="15.75" customHeight="1">
      <c r="A953" s="96"/>
      <c r="B953" s="96"/>
      <c r="C953" s="96"/>
      <c r="D953" s="96"/>
      <c r="E953" s="96"/>
      <c r="F953" s="96"/>
      <c r="G953" s="96"/>
      <c r="H953" s="96"/>
      <c r="I953" s="96"/>
      <c r="J953" s="96"/>
      <c r="K953" s="96"/>
      <c r="L953" s="96"/>
      <c r="M953" s="96"/>
      <c r="N953" s="96"/>
      <c r="O953" s="96"/>
      <c r="P953" s="96"/>
      <c r="Q953" s="96"/>
      <c r="R953" s="96"/>
      <c r="S953" s="96"/>
      <c r="T953" s="96"/>
      <c r="U953" s="96"/>
      <c r="V953" s="96"/>
      <c r="W953" s="96"/>
      <c r="X953" s="96"/>
      <c r="Y953" s="96"/>
      <c r="Z953" s="96"/>
      <c r="AA953" s="96"/>
    </row>
    <row r="954" spans="1:27" ht="15.75" customHeight="1">
      <c r="A954" s="96"/>
      <c r="B954" s="96"/>
      <c r="C954" s="96"/>
      <c r="D954" s="96"/>
      <c r="E954" s="96"/>
      <c r="F954" s="96"/>
      <c r="G954" s="96"/>
      <c r="H954" s="96"/>
      <c r="I954" s="96"/>
      <c r="J954" s="96"/>
      <c r="K954" s="96"/>
      <c r="L954" s="96"/>
      <c r="M954" s="96"/>
      <c r="N954" s="96"/>
      <c r="O954" s="96"/>
      <c r="P954" s="96"/>
      <c r="Q954" s="96"/>
      <c r="R954" s="96"/>
      <c r="S954" s="96"/>
      <c r="T954" s="96"/>
      <c r="U954" s="96"/>
      <c r="V954" s="96"/>
      <c r="W954" s="96"/>
      <c r="X954" s="96"/>
      <c r="Y954" s="96"/>
      <c r="Z954" s="96"/>
      <c r="AA954" s="96"/>
    </row>
    <row r="955" spans="1:27" ht="15.75" customHeight="1">
      <c r="A955" s="96"/>
      <c r="B955" s="96"/>
      <c r="C955" s="96"/>
      <c r="D955" s="96"/>
      <c r="E955" s="96"/>
      <c r="F955" s="96"/>
      <c r="G955" s="96"/>
      <c r="H955" s="96"/>
      <c r="I955" s="96"/>
      <c r="J955" s="96"/>
      <c r="K955" s="96"/>
      <c r="L955" s="96"/>
      <c r="M955" s="96"/>
      <c r="N955" s="96"/>
      <c r="O955" s="96"/>
      <c r="P955" s="96"/>
      <c r="Q955" s="96"/>
      <c r="R955" s="96"/>
      <c r="S955" s="96"/>
      <c r="T955" s="96"/>
      <c r="U955" s="96"/>
      <c r="V955" s="96"/>
      <c r="W955" s="96"/>
      <c r="X955" s="96"/>
      <c r="Y955" s="96"/>
      <c r="Z955" s="96"/>
      <c r="AA955" s="96"/>
    </row>
    <row r="956" spans="1:27" ht="15.75" customHeight="1">
      <c r="A956" s="96"/>
      <c r="B956" s="96"/>
      <c r="C956" s="96"/>
      <c r="D956" s="96"/>
      <c r="E956" s="96"/>
      <c r="F956" s="96"/>
      <c r="G956" s="96"/>
      <c r="H956" s="96"/>
      <c r="I956" s="96"/>
      <c r="J956" s="96"/>
      <c r="K956" s="96"/>
      <c r="L956" s="96"/>
      <c r="M956" s="96"/>
      <c r="N956" s="96"/>
      <c r="O956" s="96"/>
      <c r="P956" s="96"/>
      <c r="Q956" s="96"/>
      <c r="R956" s="96"/>
      <c r="S956" s="96"/>
      <c r="T956" s="96"/>
      <c r="U956" s="96"/>
      <c r="V956" s="96"/>
      <c r="W956" s="96"/>
      <c r="X956" s="96"/>
      <c r="Y956" s="96"/>
      <c r="Z956" s="96"/>
      <c r="AA956" s="96"/>
    </row>
    <row r="957" spans="1:27" ht="15.75" customHeight="1">
      <c r="A957" s="96"/>
      <c r="B957" s="96"/>
      <c r="C957" s="96"/>
      <c r="D957" s="96"/>
      <c r="E957" s="96"/>
      <c r="F957" s="96"/>
      <c r="G957" s="96"/>
      <c r="H957" s="96"/>
      <c r="I957" s="96"/>
      <c r="J957" s="96"/>
      <c r="K957" s="96"/>
      <c r="L957" s="96"/>
      <c r="M957" s="96"/>
      <c r="N957" s="96"/>
      <c r="O957" s="96"/>
      <c r="P957" s="96"/>
      <c r="Q957" s="96"/>
      <c r="R957" s="96"/>
      <c r="S957" s="96"/>
      <c r="T957" s="96"/>
      <c r="U957" s="96"/>
      <c r="V957" s="96"/>
      <c r="W957" s="96"/>
      <c r="X957" s="96"/>
      <c r="Y957" s="96"/>
      <c r="Z957" s="96"/>
      <c r="AA957" s="96"/>
    </row>
    <row r="958" spans="1:27" ht="15.75" customHeight="1">
      <c r="A958" s="96"/>
      <c r="B958" s="96"/>
      <c r="C958" s="96"/>
      <c r="D958" s="96"/>
      <c r="E958" s="96"/>
      <c r="F958" s="96"/>
      <c r="G958" s="96"/>
      <c r="H958" s="96"/>
      <c r="I958" s="96"/>
      <c r="J958" s="96"/>
      <c r="K958" s="96"/>
      <c r="L958" s="96"/>
      <c r="M958" s="96"/>
      <c r="N958" s="96"/>
      <c r="O958" s="96"/>
      <c r="P958" s="96"/>
      <c r="Q958" s="96"/>
      <c r="R958" s="96"/>
      <c r="S958" s="96"/>
      <c r="T958" s="96"/>
      <c r="U958" s="96"/>
      <c r="V958" s="96"/>
      <c r="W958" s="96"/>
      <c r="X958" s="96"/>
      <c r="Y958" s="96"/>
      <c r="Z958" s="96"/>
      <c r="AA958" s="96"/>
    </row>
    <row r="959" spans="1:27" ht="15.75" customHeight="1">
      <c r="A959" s="96"/>
      <c r="B959" s="96"/>
      <c r="C959" s="96"/>
      <c r="D959" s="96"/>
      <c r="E959" s="96"/>
      <c r="F959" s="96"/>
      <c r="G959" s="96"/>
      <c r="H959" s="96"/>
      <c r="I959" s="96"/>
      <c r="J959" s="96"/>
      <c r="K959" s="96"/>
      <c r="L959" s="96"/>
      <c r="M959" s="96"/>
      <c r="N959" s="96"/>
      <c r="O959" s="96"/>
      <c r="P959" s="96"/>
      <c r="Q959" s="96"/>
      <c r="R959" s="96"/>
      <c r="S959" s="96"/>
      <c r="T959" s="96"/>
      <c r="U959" s="96"/>
      <c r="V959" s="96"/>
      <c r="W959" s="96"/>
      <c r="X959" s="96"/>
      <c r="Y959" s="96"/>
      <c r="Z959" s="96"/>
      <c r="AA959" s="96"/>
    </row>
    <row r="960" spans="1:27" ht="15.75" customHeight="1">
      <c r="A960" s="96"/>
      <c r="B960" s="96"/>
      <c r="C960" s="96"/>
      <c r="D960" s="96"/>
      <c r="E960" s="96"/>
      <c r="F960" s="96"/>
      <c r="G960" s="96"/>
      <c r="H960" s="96"/>
      <c r="I960" s="96"/>
      <c r="J960" s="96"/>
      <c r="K960" s="96"/>
      <c r="L960" s="96"/>
      <c r="M960" s="96"/>
      <c r="N960" s="96"/>
      <c r="O960" s="96"/>
      <c r="P960" s="96"/>
      <c r="Q960" s="96"/>
      <c r="R960" s="96"/>
      <c r="S960" s="96"/>
      <c r="T960" s="96"/>
      <c r="U960" s="96"/>
      <c r="V960" s="96"/>
      <c r="W960" s="96"/>
      <c r="X960" s="96"/>
      <c r="Y960" s="96"/>
      <c r="Z960" s="96"/>
      <c r="AA960" s="96"/>
    </row>
    <row r="961" spans="1:27" ht="15.75" customHeight="1">
      <c r="A961" s="96"/>
      <c r="B961" s="96"/>
      <c r="C961" s="96"/>
      <c r="D961" s="96"/>
      <c r="E961" s="96"/>
      <c r="F961" s="96"/>
      <c r="G961" s="96"/>
      <c r="H961" s="96"/>
      <c r="I961" s="96"/>
      <c r="J961" s="96"/>
      <c r="K961" s="96"/>
      <c r="L961" s="96"/>
      <c r="M961" s="96"/>
      <c r="N961" s="96"/>
      <c r="O961" s="96"/>
      <c r="P961" s="96"/>
      <c r="Q961" s="96"/>
      <c r="R961" s="96"/>
      <c r="S961" s="96"/>
      <c r="T961" s="96"/>
      <c r="U961" s="96"/>
      <c r="V961" s="96"/>
      <c r="W961" s="96"/>
      <c r="X961" s="96"/>
      <c r="Y961" s="96"/>
      <c r="Z961" s="96"/>
      <c r="AA961" s="96"/>
    </row>
    <row r="962" spans="1:27" ht="15.75" customHeight="1">
      <c r="A962" s="96"/>
      <c r="B962" s="96"/>
      <c r="C962" s="96"/>
      <c r="D962" s="96"/>
      <c r="E962" s="96"/>
      <c r="F962" s="96"/>
      <c r="G962" s="96"/>
      <c r="H962" s="96"/>
      <c r="I962" s="96"/>
      <c r="J962" s="96"/>
      <c r="K962" s="96"/>
      <c r="L962" s="96"/>
      <c r="M962" s="96"/>
      <c r="N962" s="96"/>
      <c r="O962" s="96"/>
      <c r="P962" s="96"/>
      <c r="Q962" s="96"/>
      <c r="R962" s="96"/>
      <c r="S962" s="96"/>
      <c r="T962" s="96"/>
      <c r="U962" s="96"/>
      <c r="V962" s="96"/>
      <c r="W962" s="96"/>
      <c r="X962" s="96"/>
      <c r="Y962" s="96"/>
      <c r="Z962" s="96"/>
      <c r="AA962" s="96"/>
    </row>
    <row r="963" spans="1:27" ht="15.75" customHeight="1">
      <c r="A963" s="96"/>
      <c r="B963" s="96"/>
      <c r="C963" s="96"/>
      <c r="D963" s="96"/>
      <c r="E963" s="96"/>
      <c r="F963" s="96"/>
      <c r="G963" s="96"/>
      <c r="H963" s="96"/>
      <c r="I963" s="96"/>
      <c r="J963" s="96"/>
      <c r="K963" s="96"/>
      <c r="L963" s="96"/>
      <c r="M963" s="96"/>
      <c r="N963" s="96"/>
      <c r="O963" s="96"/>
      <c r="P963" s="96"/>
      <c r="Q963" s="96"/>
      <c r="R963" s="96"/>
      <c r="S963" s="96"/>
      <c r="T963" s="96"/>
      <c r="U963" s="96"/>
      <c r="V963" s="96"/>
      <c r="W963" s="96"/>
      <c r="X963" s="96"/>
      <c r="Y963" s="96"/>
      <c r="Z963" s="96"/>
      <c r="AA963" s="96"/>
    </row>
    <row r="964" spans="1:27" ht="15.75" customHeight="1">
      <c r="A964" s="96"/>
      <c r="B964" s="96"/>
      <c r="C964" s="96"/>
      <c r="D964" s="96"/>
      <c r="E964" s="96"/>
      <c r="F964" s="96"/>
      <c r="G964" s="96"/>
      <c r="H964" s="96"/>
      <c r="I964" s="96"/>
      <c r="J964" s="96"/>
      <c r="K964" s="96"/>
      <c r="L964" s="96"/>
      <c r="M964" s="96"/>
      <c r="N964" s="96"/>
      <c r="O964" s="96"/>
      <c r="P964" s="96"/>
      <c r="Q964" s="96"/>
      <c r="R964" s="96"/>
      <c r="S964" s="96"/>
      <c r="T964" s="96"/>
      <c r="U964" s="96"/>
      <c r="V964" s="96"/>
      <c r="W964" s="96"/>
      <c r="X964" s="96"/>
      <c r="Y964" s="96"/>
      <c r="Z964" s="96"/>
      <c r="AA964" s="96"/>
    </row>
    <row r="965" spans="1:27" ht="15.75" customHeight="1">
      <c r="A965" s="96"/>
      <c r="B965" s="96"/>
      <c r="C965" s="96"/>
      <c r="D965" s="96"/>
      <c r="E965" s="96"/>
      <c r="F965" s="96"/>
      <c r="G965" s="96"/>
      <c r="H965" s="96"/>
      <c r="I965" s="96"/>
      <c r="J965" s="96"/>
      <c r="K965" s="96"/>
      <c r="L965" s="96"/>
      <c r="M965" s="96"/>
      <c r="N965" s="96"/>
      <c r="O965" s="96"/>
      <c r="P965" s="96"/>
      <c r="Q965" s="96"/>
      <c r="R965" s="96"/>
      <c r="S965" s="96"/>
      <c r="T965" s="96"/>
      <c r="U965" s="96"/>
      <c r="V965" s="96"/>
      <c r="W965" s="96"/>
      <c r="X965" s="96"/>
      <c r="Y965" s="96"/>
      <c r="Z965" s="96"/>
      <c r="AA965" s="96"/>
    </row>
    <row r="966" spans="1:27" ht="15.75" customHeight="1">
      <c r="A966" s="96"/>
      <c r="B966" s="96"/>
      <c r="C966" s="96"/>
      <c r="D966" s="96"/>
      <c r="E966" s="96"/>
      <c r="F966" s="96"/>
      <c r="G966" s="96"/>
      <c r="H966" s="96"/>
      <c r="I966" s="96"/>
      <c r="J966" s="96"/>
      <c r="K966" s="96"/>
      <c r="L966" s="96"/>
      <c r="M966" s="96"/>
      <c r="N966" s="96"/>
      <c r="O966" s="96"/>
      <c r="P966" s="96"/>
      <c r="Q966" s="96"/>
      <c r="R966" s="96"/>
      <c r="S966" s="96"/>
      <c r="T966" s="96"/>
      <c r="U966" s="96"/>
      <c r="V966" s="96"/>
      <c r="W966" s="96"/>
      <c r="X966" s="96"/>
      <c r="Y966" s="96"/>
      <c r="Z966" s="96"/>
      <c r="AA966" s="96"/>
    </row>
    <row r="967" spans="1:27" ht="15.75" customHeight="1">
      <c r="A967" s="96"/>
      <c r="B967" s="96"/>
      <c r="C967" s="96"/>
      <c r="D967" s="96"/>
      <c r="E967" s="96"/>
      <c r="F967" s="96"/>
      <c r="G967" s="96"/>
      <c r="H967" s="96"/>
      <c r="I967" s="96"/>
      <c r="J967" s="96"/>
      <c r="K967" s="96"/>
      <c r="L967" s="96"/>
      <c r="M967" s="96"/>
      <c r="N967" s="96"/>
      <c r="O967" s="96"/>
      <c r="P967" s="96"/>
      <c r="Q967" s="96"/>
      <c r="R967" s="96"/>
      <c r="S967" s="96"/>
      <c r="T967" s="96"/>
      <c r="U967" s="96"/>
      <c r="V967" s="96"/>
      <c r="W967" s="96"/>
      <c r="X967" s="96"/>
      <c r="Y967" s="96"/>
      <c r="Z967" s="96"/>
      <c r="AA967" s="96"/>
    </row>
    <row r="968" spans="1:27" ht="15.75" customHeight="1">
      <c r="A968" s="96"/>
      <c r="B968" s="96"/>
      <c r="C968" s="96"/>
      <c r="D968" s="96"/>
      <c r="E968" s="96"/>
      <c r="F968" s="96"/>
      <c r="G968" s="96"/>
      <c r="H968" s="96"/>
      <c r="I968" s="96"/>
      <c r="J968" s="96"/>
      <c r="K968" s="96"/>
      <c r="L968" s="96"/>
      <c r="M968" s="96"/>
      <c r="N968" s="96"/>
      <c r="O968" s="96"/>
      <c r="P968" s="96"/>
      <c r="Q968" s="96"/>
      <c r="R968" s="96"/>
      <c r="S968" s="96"/>
      <c r="T968" s="96"/>
      <c r="U968" s="96"/>
      <c r="V968" s="96"/>
      <c r="W968" s="96"/>
      <c r="X968" s="96"/>
      <c r="Y968" s="96"/>
      <c r="Z968" s="96"/>
      <c r="AA968" s="96"/>
    </row>
    <row r="969" spans="1:27" ht="15.75" customHeight="1">
      <c r="A969" s="96"/>
      <c r="B969" s="96"/>
      <c r="C969" s="96"/>
      <c r="D969" s="96"/>
      <c r="E969" s="96"/>
      <c r="F969" s="96"/>
      <c r="G969" s="96"/>
      <c r="H969" s="96"/>
      <c r="I969" s="96"/>
      <c r="J969" s="96"/>
      <c r="K969" s="96"/>
      <c r="L969" s="96"/>
      <c r="M969" s="96"/>
      <c r="N969" s="96"/>
      <c r="O969" s="96"/>
      <c r="P969" s="96"/>
      <c r="Q969" s="96"/>
      <c r="R969" s="96"/>
      <c r="S969" s="96"/>
      <c r="T969" s="96"/>
      <c r="U969" s="96"/>
      <c r="V969" s="96"/>
      <c r="W969" s="96"/>
      <c r="X969" s="96"/>
      <c r="Y969" s="96"/>
      <c r="Z969" s="96"/>
      <c r="AA969" s="96"/>
    </row>
    <row r="970" spans="1:27" ht="15.75" customHeight="1">
      <c r="A970" s="96"/>
      <c r="B970" s="96"/>
      <c r="C970" s="96"/>
      <c r="D970" s="96"/>
      <c r="E970" s="96"/>
      <c r="F970" s="96"/>
      <c r="G970" s="96"/>
      <c r="H970" s="96"/>
      <c r="I970" s="96"/>
      <c r="J970" s="96"/>
      <c r="K970" s="96"/>
      <c r="L970" s="96"/>
      <c r="M970" s="96"/>
      <c r="N970" s="96"/>
      <c r="O970" s="96"/>
      <c r="P970" s="96"/>
      <c r="Q970" s="96"/>
      <c r="R970" s="96"/>
      <c r="S970" s="96"/>
      <c r="T970" s="96"/>
      <c r="U970" s="96"/>
      <c r="V970" s="96"/>
      <c r="W970" s="96"/>
      <c r="X970" s="96"/>
      <c r="Y970" s="96"/>
      <c r="Z970" s="96"/>
      <c r="AA970" s="96"/>
    </row>
    <row r="971" spans="1:27" ht="15.75" customHeight="1">
      <c r="A971" s="96"/>
      <c r="B971" s="96"/>
      <c r="C971" s="96"/>
      <c r="D971" s="96"/>
      <c r="E971" s="96"/>
      <c r="F971" s="96"/>
      <c r="G971" s="96"/>
      <c r="H971" s="96"/>
      <c r="I971" s="96"/>
      <c r="J971" s="96"/>
      <c r="K971" s="96"/>
      <c r="L971" s="96"/>
      <c r="M971" s="96"/>
      <c r="N971" s="96"/>
      <c r="O971" s="96"/>
      <c r="P971" s="96"/>
      <c r="Q971" s="96"/>
      <c r="R971" s="96"/>
      <c r="S971" s="96"/>
      <c r="T971" s="96"/>
      <c r="U971" s="96"/>
      <c r="V971" s="96"/>
      <c r="W971" s="96"/>
      <c r="X971" s="96"/>
      <c r="Y971" s="96"/>
      <c r="Z971" s="96"/>
      <c r="AA971" s="96"/>
    </row>
    <row r="972" spans="1:27" ht="15.75" customHeight="1">
      <c r="A972" s="96"/>
      <c r="B972" s="96"/>
      <c r="C972" s="96"/>
      <c r="D972" s="96"/>
      <c r="E972" s="96"/>
      <c r="F972" s="96"/>
      <c r="G972" s="96"/>
      <c r="H972" s="96"/>
      <c r="I972" s="96"/>
      <c r="J972" s="96"/>
      <c r="K972" s="96"/>
      <c r="L972" s="96"/>
      <c r="M972" s="96"/>
      <c r="N972" s="96"/>
      <c r="O972" s="96"/>
      <c r="P972" s="96"/>
      <c r="Q972" s="96"/>
      <c r="R972" s="96"/>
      <c r="S972" s="96"/>
      <c r="T972" s="96"/>
      <c r="U972" s="96"/>
      <c r="V972" s="96"/>
      <c r="W972" s="96"/>
      <c r="X972" s="96"/>
      <c r="Y972" s="96"/>
      <c r="Z972" s="96"/>
      <c r="AA972" s="96"/>
    </row>
    <row r="973" spans="1:27" ht="15.75" customHeight="1">
      <c r="A973" s="96"/>
      <c r="B973" s="96"/>
      <c r="C973" s="96"/>
      <c r="D973" s="96"/>
      <c r="E973" s="96"/>
      <c r="F973" s="96"/>
      <c r="G973" s="96"/>
      <c r="H973" s="96"/>
      <c r="I973" s="96"/>
      <c r="J973" s="96"/>
      <c r="K973" s="96"/>
      <c r="L973" s="96"/>
      <c r="M973" s="96"/>
      <c r="N973" s="96"/>
      <c r="O973" s="96"/>
      <c r="P973" s="96"/>
      <c r="Q973" s="96"/>
      <c r="R973" s="96"/>
      <c r="S973" s="96"/>
      <c r="T973" s="96"/>
      <c r="U973" s="96"/>
      <c r="V973" s="96"/>
      <c r="W973" s="96"/>
      <c r="X973" s="96"/>
      <c r="Y973" s="96"/>
      <c r="Z973" s="96"/>
      <c r="AA973" s="96"/>
    </row>
    <row r="974" spans="1:27" ht="15.75" customHeight="1">
      <c r="A974" s="96"/>
      <c r="B974" s="96"/>
      <c r="C974" s="96"/>
      <c r="D974" s="96"/>
      <c r="E974" s="96"/>
      <c r="F974" s="96"/>
      <c r="G974" s="96"/>
      <c r="H974" s="96"/>
      <c r="I974" s="96"/>
      <c r="J974" s="96"/>
      <c r="K974" s="96"/>
      <c r="L974" s="96"/>
      <c r="M974" s="96"/>
      <c r="N974" s="96"/>
      <c r="O974" s="96"/>
      <c r="P974" s="96"/>
      <c r="Q974" s="96"/>
      <c r="R974" s="96"/>
      <c r="S974" s="96"/>
      <c r="T974" s="96"/>
      <c r="U974" s="96"/>
      <c r="V974" s="96"/>
      <c r="W974" s="96"/>
      <c r="X974" s="96"/>
      <c r="Y974" s="96"/>
      <c r="Z974" s="96"/>
      <c r="AA974" s="96"/>
    </row>
    <row r="975" spans="1:27" ht="15.75" customHeight="1">
      <c r="A975" s="96"/>
      <c r="B975" s="96"/>
      <c r="C975" s="96"/>
      <c r="D975" s="96"/>
      <c r="E975" s="96"/>
      <c r="F975" s="96"/>
      <c r="G975" s="96"/>
      <c r="H975" s="96"/>
      <c r="I975" s="96"/>
      <c r="J975" s="96"/>
      <c r="K975" s="96"/>
      <c r="L975" s="96"/>
      <c r="M975" s="96"/>
      <c r="N975" s="96"/>
      <c r="O975" s="96"/>
      <c r="P975" s="96"/>
      <c r="Q975" s="96"/>
      <c r="R975" s="96"/>
      <c r="S975" s="96"/>
      <c r="T975" s="96"/>
      <c r="U975" s="96"/>
      <c r="V975" s="96"/>
      <c r="W975" s="96"/>
      <c r="X975" s="96"/>
      <c r="Y975" s="96"/>
      <c r="Z975" s="96"/>
      <c r="AA975" s="96"/>
    </row>
    <row r="976" spans="1:27" ht="15.75" customHeight="1">
      <c r="A976" s="96"/>
      <c r="B976" s="96"/>
      <c r="C976" s="96"/>
      <c r="D976" s="96"/>
      <c r="E976" s="96"/>
      <c r="F976" s="96"/>
      <c r="G976" s="96"/>
      <c r="H976" s="96"/>
      <c r="I976" s="96"/>
      <c r="J976" s="96"/>
      <c r="K976" s="96"/>
      <c r="L976" s="96"/>
      <c r="M976" s="96"/>
      <c r="N976" s="96"/>
      <c r="O976" s="96"/>
      <c r="P976" s="96"/>
      <c r="Q976" s="96"/>
      <c r="R976" s="96"/>
      <c r="S976" s="96"/>
      <c r="T976" s="96"/>
      <c r="U976" s="96"/>
      <c r="V976" s="96"/>
      <c r="W976" s="96"/>
      <c r="X976" s="96"/>
      <c r="Y976" s="96"/>
      <c r="Z976" s="96"/>
      <c r="AA976" s="96"/>
    </row>
    <row r="977" spans="1:27" ht="15.75" customHeight="1">
      <c r="A977" s="96"/>
      <c r="B977" s="96"/>
      <c r="C977" s="96"/>
      <c r="D977" s="96"/>
      <c r="E977" s="96"/>
      <c r="F977" s="96"/>
      <c r="G977" s="96"/>
      <c r="H977" s="96"/>
      <c r="I977" s="96"/>
      <c r="J977" s="96"/>
      <c r="K977" s="96"/>
      <c r="L977" s="96"/>
      <c r="M977" s="96"/>
      <c r="N977" s="96"/>
      <c r="O977" s="96"/>
      <c r="P977" s="96"/>
      <c r="Q977" s="96"/>
      <c r="R977" s="96"/>
      <c r="S977" s="96"/>
      <c r="T977" s="96"/>
      <c r="U977" s="96"/>
      <c r="V977" s="96"/>
      <c r="W977" s="96"/>
      <c r="X977" s="96"/>
      <c r="Y977" s="96"/>
      <c r="Z977" s="96"/>
      <c r="AA977" s="96"/>
    </row>
    <row r="978" spans="1:27" ht="15.75" customHeight="1">
      <c r="A978" s="96"/>
      <c r="B978" s="96"/>
      <c r="C978" s="96"/>
      <c r="D978" s="96"/>
      <c r="E978" s="96"/>
      <c r="F978" s="96"/>
      <c r="G978" s="96"/>
      <c r="H978" s="96"/>
      <c r="I978" s="96"/>
      <c r="J978" s="96"/>
      <c r="K978" s="96"/>
      <c r="L978" s="96"/>
      <c r="M978" s="96"/>
      <c r="N978" s="96"/>
      <c r="O978" s="96"/>
      <c r="P978" s="96"/>
      <c r="Q978" s="96"/>
      <c r="R978" s="96"/>
      <c r="S978" s="96"/>
      <c r="T978" s="96"/>
      <c r="U978" s="96"/>
      <c r="V978" s="96"/>
      <c r="W978" s="96"/>
      <c r="X978" s="96"/>
      <c r="Y978" s="96"/>
      <c r="Z978" s="96"/>
      <c r="AA978" s="96"/>
    </row>
    <row r="979" spans="1:27" ht="15.75" customHeight="1">
      <c r="A979" s="96"/>
      <c r="B979" s="96"/>
      <c r="C979" s="96"/>
      <c r="D979" s="96"/>
      <c r="E979" s="96"/>
      <c r="F979" s="96"/>
      <c r="G979" s="96"/>
      <c r="H979" s="96"/>
      <c r="I979" s="96"/>
      <c r="J979" s="96"/>
      <c r="K979" s="96"/>
      <c r="L979" s="96"/>
      <c r="M979" s="96"/>
      <c r="N979" s="96"/>
      <c r="O979" s="96"/>
      <c r="P979" s="96"/>
      <c r="Q979" s="96"/>
      <c r="R979" s="96"/>
      <c r="S979" s="96"/>
      <c r="T979" s="96"/>
      <c r="U979" s="96"/>
      <c r="V979" s="96"/>
      <c r="W979" s="96"/>
      <c r="X979" s="96"/>
      <c r="Y979" s="96"/>
      <c r="Z979" s="96"/>
      <c r="AA979" s="96"/>
    </row>
    <row r="980" spans="1:27" ht="15.75" customHeight="1">
      <c r="A980" s="96"/>
      <c r="B980" s="96"/>
      <c r="C980" s="96"/>
      <c r="D980" s="96"/>
      <c r="E980" s="96"/>
      <c r="F980" s="96"/>
      <c r="G980" s="96"/>
      <c r="H980" s="96"/>
      <c r="I980" s="96"/>
      <c r="J980" s="96"/>
      <c r="K980" s="96"/>
      <c r="L980" s="96"/>
      <c r="M980" s="96"/>
      <c r="N980" s="96"/>
      <c r="O980" s="96"/>
      <c r="P980" s="96"/>
      <c r="Q980" s="96"/>
      <c r="R980" s="96"/>
      <c r="S980" s="96"/>
      <c r="T980" s="96"/>
      <c r="U980" s="96"/>
      <c r="V980" s="96"/>
      <c r="W980" s="96"/>
      <c r="X980" s="96"/>
      <c r="Y980" s="96"/>
      <c r="Z980" s="96"/>
      <c r="AA980" s="96"/>
    </row>
    <row r="981" spans="1:27" ht="15.75" customHeight="1">
      <c r="A981" s="96"/>
      <c r="B981" s="96"/>
      <c r="C981" s="96"/>
      <c r="D981" s="96"/>
      <c r="E981" s="96"/>
      <c r="F981" s="96"/>
      <c r="G981" s="96"/>
      <c r="H981" s="96"/>
      <c r="I981" s="96"/>
      <c r="J981" s="96"/>
      <c r="K981" s="96"/>
      <c r="L981" s="96"/>
      <c r="M981" s="96"/>
      <c r="N981" s="96"/>
      <c r="O981" s="96"/>
      <c r="P981" s="96"/>
      <c r="Q981" s="96"/>
      <c r="R981" s="96"/>
      <c r="S981" s="96"/>
      <c r="T981" s="96"/>
      <c r="U981" s="96"/>
      <c r="V981" s="96"/>
      <c r="W981" s="96"/>
      <c r="X981" s="96"/>
      <c r="Y981" s="96"/>
      <c r="Z981" s="96"/>
      <c r="AA981" s="96"/>
    </row>
    <row r="982" spans="1:27" ht="15.75" customHeight="1">
      <c r="A982" s="96"/>
      <c r="B982" s="96"/>
      <c r="C982" s="96"/>
      <c r="D982" s="96"/>
      <c r="E982" s="96"/>
      <c r="F982" s="96"/>
      <c r="G982" s="96"/>
      <c r="H982" s="96"/>
      <c r="I982" s="96"/>
      <c r="J982" s="96"/>
      <c r="K982" s="96"/>
      <c r="L982" s="96"/>
      <c r="M982" s="96"/>
      <c r="N982" s="96"/>
      <c r="O982" s="96"/>
      <c r="P982" s="96"/>
      <c r="Q982" s="96"/>
      <c r="R982" s="96"/>
      <c r="S982" s="96"/>
      <c r="T982" s="96"/>
      <c r="U982" s="96"/>
      <c r="V982" s="96"/>
      <c r="W982" s="96"/>
      <c r="X982" s="96"/>
      <c r="Y982" s="96"/>
      <c r="Z982" s="96"/>
      <c r="AA982" s="96"/>
    </row>
    <row r="983" spans="1:27" ht="15.75" customHeight="1">
      <c r="A983" s="96"/>
      <c r="B983" s="96"/>
      <c r="C983" s="96"/>
      <c r="D983" s="96"/>
      <c r="E983" s="96"/>
      <c r="F983" s="96"/>
      <c r="G983" s="96"/>
      <c r="H983" s="96"/>
      <c r="I983" s="96"/>
      <c r="J983" s="96"/>
      <c r="K983" s="96"/>
      <c r="L983" s="96"/>
      <c r="M983" s="96"/>
      <c r="N983" s="96"/>
      <c r="O983" s="96"/>
      <c r="P983" s="96"/>
      <c r="Q983" s="96"/>
      <c r="R983" s="96"/>
      <c r="S983" s="96"/>
      <c r="T983" s="96"/>
      <c r="U983" s="96"/>
      <c r="V983" s="96"/>
      <c r="W983" s="96"/>
      <c r="X983" s="96"/>
      <c r="Y983" s="96"/>
      <c r="Z983" s="96"/>
      <c r="AA983" s="96"/>
    </row>
    <row r="984" spans="1:27" ht="15.75" customHeight="1">
      <c r="A984" s="96"/>
      <c r="B984" s="96"/>
      <c r="C984" s="96"/>
      <c r="D984" s="96"/>
      <c r="E984" s="96"/>
      <c r="F984" s="96"/>
      <c r="G984" s="96"/>
      <c r="H984" s="96"/>
      <c r="I984" s="96"/>
      <c r="J984" s="96"/>
      <c r="K984" s="96"/>
      <c r="L984" s="96"/>
      <c r="M984" s="96"/>
      <c r="N984" s="96"/>
      <c r="O984" s="96"/>
      <c r="P984" s="96"/>
      <c r="Q984" s="96"/>
      <c r="R984" s="96"/>
      <c r="S984" s="96"/>
      <c r="T984" s="96"/>
      <c r="U984" s="96"/>
      <c r="V984" s="96"/>
      <c r="W984" s="96"/>
      <c r="X984" s="96"/>
      <c r="Y984" s="96"/>
      <c r="Z984" s="96"/>
      <c r="AA984" s="96"/>
    </row>
    <row r="985" spans="1:27" ht="15.75" customHeight="1">
      <c r="A985" s="96"/>
      <c r="B985" s="96"/>
      <c r="C985" s="96"/>
      <c r="D985" s="96"/>
      <c r="E985" s="96"/>
      <c r="F985" s="96"/>
      <c r="G985" s="96"/>
      <c r="H985" s="96"/>
      <c r="I985" s="96"/>
      <c r="J985" s="96"/>
      <c r="K985" s="96"/>
      <c r="L985" s="96"/>
      <c r="M985" s="96"/>
      <c r="N985" s="96"/>
      <c r="O985" s="96"/>
      <c r="P985" s="96"/>
      <c r="Q985" s="96"/>
      <c r="R985" s="96"/>
      <c r="S985" s="96"/>
      <c r="T985" s="96"/>
      <c r="U985" s="96"/>
      <c r="V985" s="96"/>
      <c r="W985" s="96"/>
      <c r="X985" s="96"/>
      <c r="Y985" s="96"/>
      <c r="Z985" s="96"/>
      <c r="AA985" s="96"/>
    </row>
    <row r="986" spans="1:27" ht="15.75" customHeight="1">
      <c r="A986" s="96"/>
      <c r="B986" s="96"/>
      <c r="C986" s="96"/>
      <c r="D986" s="96"/>
      <c r="E986" s="96"/>
      <c r="F986" s="96"/>
      <c r="G986" s="96"/>
      <c r="H986" s="96"/>
      <c r="I986" s="96"/>
      <c r="J986" s="96"/>
      <c r="K986" s="96"/>
      <c r="L986" s="96"/>
      <c r="M986" s="96"/>
      <c r="N986" s="96"/>
      <c r="O986" s="96"/>
      <c r="P986" s="96"/>
      <c r="Q986" s="96"/>
      <c r="R986" s="96"/>
      <c r="S986" s="96"/>
      <c r="T986" s="96"/>
      <c r="U986" s="96"/>
      <c r="V986" s="96"/>
      <c r="W986" s="96"/>
      <c r="X986" s="96"/>
      <c r="Y986" s="96"/>
      <c r="Z986" s="96"/>
      <c r="AA986" s="96"/>
    </row>
    <row r="987" spans="1:27" ht="15.75" customHeight="1">
      <c r="A987" s="96"/>
      <c r="B987" s="96"/>
      <c r="C987" s="96"/>
      <c r="D987" s="96"/>
      <c r="E987" s="96"/>
      <c r="F987" s="96"/>
      <c r="G987" s="96"/>
      <c r="H987" s="96"/>
      <c r="I987" s="96"/>
      <c r="J987" s="96"/>
      <c r="K987" s="96"/>
      <c r="L987" s="96"/>
      <c r="M987" s="96"/>
      <c r="N987" s="96"/>
      <c r="O987" s="96"/>
      <c r="P987" s="96"/>
      <c r="Q987" s="96"/>
      <c r="R987" s="96"/>
      <c r="S987" s="96"/>
      <c r="T987" s="96"/>
      <c r="U987" s="96"/>
      <c r="V987" s="96"/>
      <c r="W987" s="96"/>
      <c r="X987" s="96"/>
      <c r="Y987" s="96"/>
      <c r="Z987" s="96"/>
      <c r="AA987" s="96"/>
    </row>
    <row r="988" spans="1:27" ht="15.75" customHeight="1">
      <c r="A988" s="96"/>
      <c r="B988" s="96"/>
      <c r="C988" s="96"/>
      <c r="D988" s="96"/>
      <c r="E988" s="96"/>
      <c r="F988" s="96"/>
      <c r="G988" s="96"/>
      <c r="H988" s="96"/>
      <c r="I988" s="96"/>
      <c r="J988" s="96"/>
      <c r="K988" s="96"/>
      <c r="L988" s="96"/>
      <c r="M988" s="96"/>
      <c r="N988" s="96"/>
      <c r="O988" s="96"/>
      <c r="P988" s="96"/>
      <c r="Q988" s="96"/>
      <c r="R988" s="96"/>
      <c r="S988" s="96"/>
      <c r="T988" s="96"/>
      <c r="U988" s="96"/>
      <c r="V988" s="96"/>
      <c r="W988" s="96"/>
      <c r="X988" s="96"/>
      <c r="Y988" s="96"/>
      <c r="Z988" s="96"/>
      <c r="AA988" s="96"/>
    </row>
    <row r="989" spans="1:27" ht="15.75" customHeight="1">
      <c r="A989" s="96"/>
      <c r="B989" s="96"/>
      <c r="C989" s="96"/>
      <c r="D989" s="96"/>
      <c r="E989" s="96"/>
      <c r="F989" s="96"/>
      <c r="G989" s="96"/>
      <c r="H989" s="96"/>
      <c r="I989" s="96"/>
      <c r="J989" s="96"/>
      <c r="K989" s="96"/>
      <c r="L989" s="96"/>
      <c r="M989" s="96"/>
      <c r="N989" s="96"/>
      <c r="O989" s="96"/>
      <c r="P989" s="96"/>
      <c r="Q989" s="96"/>
      <c r="R989" s="96"/>
      <c r="S989" s="96"/>
      <c r="T989" s="96"/>
      <c r="U989" s="96"/>
      <c r="V989" s="96"/>
      <c r="W989" s="96"/>
      <c r="X989" s="96"/>
      <c r="Y989" s="96"/>
      <c r="Z989" s="96"/>
      <c r="AA989" s="96"/>
    </row>
    <row r="990" spans="1:27" ht="15.75" customHeight="1">
      <c r="A990" s="96"/>
      <c r="B990" s="96"/>
      <c r="C990" s="96"/>
      <c r="D990" s="96"/>
      <c r="E990" s="96"/>
      <c r="F990" s="96"/>
      <c r="G990" s="96"/>
      <c r="H990" s="96"/>
      <c r="I990" s="96"/>
      <c r="J990" s="96"/>
      <c r="K990" s="96"/>
      <c r="L990" s="96"/>
      <c r="M990" s="96"/>
      <c r="N990" s="96"/>
      <c r="O990" s="96"/>
      <c r="P990" s="96"/>
      <c r="Q990" s="96"/>
      <c r="R990" s="96"/>
      <c r="S990" s="96"/>
      <c r="T990" s="96"/>
      <c r="U990" s="96"/>
      <c r="V990" s="96"/>
      <c r="W990" s="96"/>
      <c r="X990" s="96"/>
      <c r="Y990" s="96"/>
      <c r="Z990" s="96"/>
      <c r="AA990" s="96"/>
    </row>
    <row r="991" spans="1:27" ht="15.75" customHeight="1">
      <c r="A991" s="96"/>
      <c r="B991" s="96"/>
      <c r="C991" s="96"/>
      <c r="D991" s="96"/>
      <c r="E991" s="96"/>
      <c r="F991" s="96"/>
      <c r="G991" s="96"/>
      <c r="H991" s="96"/>
      <c r="I991" s="96"/>
      <c r="J991" s="96"/>
      <c r="K991" s="96"/>
      <c r="L991" s="96"/>
      <c r="M991" s="96"/>
      <c r="N991" s="96"/>
      <c r="O991" s="96"/>
      <c r="P991" s="96"/>
      <c r="Q991" s="96"/>
      <c r="R991" s="96"/>
      <c r="S991" s="96"/>
      <c r="T991" s="96"/>
      <c r="U991" s="96"/>
      <c r="V991" s="96"/>
      <c r="W991" s="96"/>
      <c r="X991" s="96"/>
      <c r="Y991" s="96"/>
      <c r="Z991" s="96"/>
      <c r="AA991" s="96"/>
    </row>
    <row r="992" spans="1:27" ht="15.75" customHeight="1">
      <c r="A992" s="96"/>
      <c r="B992" s="96"/>
      <c r="C992" s="96"/>
      <c r="D992" s="96"/>
      <c r="E992" s="96"/>
      <c r="F992" s="96"/>
      <c r="G992" s="96"/>
      <c r="H992" s="96"/>
      <c r="I992" s="96"/>
      <c r="J992" s="96"/>
      <c r="K992" s="96"/>
      <c r="L992" s="96"/>
      <c r="M992" s="96"/>
      <c r="N992" s="96"/>
      <c r="O992" s="96"/>
      <c r="P992" s="96"/>
      <c r="Q992" s="96"/>
      <c r="R992" s="96"/>
      <c r="S992" s="96"/>
      <c r="T992" s="96"/>
      <c r="U992" s="96"/>
      <c r="V992" s="96"/>
      <c r="W992" s="96"/>
      <c r="X992" s="96"/>
      <c r="Y992" s="96"/>
      <c r="Z992" s="96"/>
      <c r="AA992" s="96"/>
    </row>
    <row r="993" spans="1:27" ht="15.75" customHeight="1">
      <c r="A993" s="96"/>
      <c r="B993" s="96"/>
      <c r="C993" s="96"/>
      <c r="D993" s="96"/>
      <c r="E993" s="96"/>
      <c r="F993" s="96"/>
      <c r="G993" s="96"/>
      <c r="H993" s="96"/>
      <c r="I993" s="96"/>
      <c r="J993" s="96"/>
      <c r="K993" s="96"/>
      <c r="L993" s="96"/>
      <c r="M993" s="96"/>
      <c r="N993" s="96"/>
      <c r="O993" s="96"/>
      <c r="P993" s="96"/>
      <c r="Q993" s="96"/>
      <c r="R993" s="96"/>
      <c r="S993" s="96"/>
      <c r="T993" s="96"/>
      <c r="U993" s="96"/>
      <c r="V993" s="96"/>
      <c r="W993" s="96"/>
      <c r="X993" s="96"/>
      <c r="Y993" s="96"/>
      <c r="Z993" s="96"/>
      <c r="AA993" s="96"/>
    </row>
    <row r="994" spans="1:27" ht="15.75" customHeight="1">
      <c r="A994" s="96"/>
      <c r="B994" s="96"/>
      <c r="C994" s="96"/>
      <c r="D994" s="96"/>
      <c r="E994" s="96"/>
      <c r="F994" s="96"/>
      <c r="G994" s="96"/>
      <c r="H994" s="96"/>
      <c r="I994" s="96"/>
      <c r="J994" s="96"/>
      <c r="K994" s="96"/>
      <c r="L994" s="96"/>
      <c r="M994" s="96"/>
      <c r="N994" s="96"/>
      <c r="O994" s="96"/>
      <c r="P994" s="96"/>
      <c r="Q994" s="96"/>
      <c r="R994" s="96"/>
      <c r="S994" s="96"/>
      <c r="T994" s="96"/>
      <c r="U994" s="96"/>
      <c r="V994" s="96"/>
      <c r="W994" s="96"/>
      <c r="X994" s="96"/>
      <c r="Y994" s="96"/>
      <c r="Z994" s="96"/>
      <c r="AA994" s="96"/>
    </row>
    <row r="995" spans="1:27" ht="15.75" customHeight="1">
      <c r="A995" s="96"/>
      <c r="B995" s="96"/>
      <c r="C995" s="96"/>
      <c r="D995" s="96"/>
      <c r="E995" s="96"/>
      <c r="F995" s="96"/>
      <c r="G995" s="96"/>
      <c r="H995" s="96"/>
      <c r="I995" s="96"/>
      <c r="J995" s="96"/>
      <c r="K995" s="96"/>
      <c r="L995" s="96"/>
      <c r="M995" s="96"/>
      <c r="N995" s="96"/>
      <c r="O995" s="96"/>
      <c r="P995" s="96"/>
      <c r="Q995" s="96"/>
      <c r="R995" s="96"/>
      <c r="S995" s="96"/>
      <c r="T995" s="96"/>
      <c r="U995" s="96"/>
      <c r="V995" s="96"/>
      <c r="W995" s="96"/>
      <c r="X995" s="96"/>
      <c r="Y995" s="96"/>
      <c r="Z995" s="96"/>
      <c r="AA995" s="96"/>
    </row>
    <row r="996" spans="1:27" ht="15.75" customHeight="1">
      <c r="A996" s="96"/>
      <c r="B996" s="96"/>
      <c r="C996" s="96"/>
      <c r="D996" s="96"/>
      <c r="E996" s="96"/>
      <c r="F996" s="96"/>
      <c r="G996" s="96"/>
      <c r="H996" s="96"/>
      <c r="I996" s="96"/>
      <c r="J996" s="96"/>
      <c r="K996" s="96"/>
      <c r="L996" s="96"/>
      <c r="M996" s="96"/>
      <c r="N996" s="96"/>
      <c r="O996" s="96"/>
      <c r="P996" s="96"/>
      <c r="Q996" s="96"/>
      <c r="R996" s="96"/>
      <c r="S996" s="96"/>
      <c r="T996" s="96"/>
      <c r="U996" s="96"/>
      <c r="V996" s="96"/>
      <c r="W996" s="96"/>
      <c r="X996" s="96"/>
      <c r="Y996" s="96"/>
      <c r="Z996" s="96"/>
      <c r="AA996" s="96"/>
    </row>
    <row r="997" spans="1:27" ht="15.75" customHeight="1">
      <c r="A997" s="96"/>
      <c r="B997" s="96"/>
      <c r="C997" s="96"/>
      <c r="D997" s="96"/>
      <c r="E997" s="96"/>
      <c r="F997" s="96"/>
      <c r="G997" s="96"/>
      <c r="H997" s="96"/>
      <c r="I997" s="96"/>
      <c r="J997" s="96"/>
      <c r="K997" s="96"/>
      <c r="L997" s="96"/>
      <c r="M997" s="96"/>
      <c r="N997" s="96"/>
      <c r="O997" s="96"/>
      <c r="P997" s="96"/>
      <c r="Q997" s="96"/>
      <c r="R997" s="96"/>
      <c r="S997" s="96"/>
      <c r="T997" s="96"/>
      <c r="U997" s="96"/>
      <c r="V997" s="96"/>
      <c r="W997" s="96"/>
      <c r="X997" s="96"/>
      <c r="Y997" s="96"/>
      <c r="Z997" s="96"/>
      <c r="AA997" s="96"/>
    </row>
    <row r="998" spans="1:27" ht="15.75" customHeight="1">
      <c r="A998" s="96"/>
      <c r="B998" s="96"/>
      <c r="C998" s="96"/>
      <c r="D998" s="96"/>
      <c r="E998" s="96"/>
      <c r="F998" s="96"/>
      <c r="G998" s="96"/>
      <c r="H998" s="96"/>
      <c r="I998" s="96"/>
      <c r="J998" s="96"/>
      <c r="K998" s="96"/>
      <c r="L998" s="96"/>
      <c r="M998" s="96"/>
      <c r="N998" s="96"/>
      <c r="O998" s="96"/>
      <c r="P998" s="96"/>
      <c r="Q998" s="96"/>
      <c r="R998" s="96"/>
      <c r="S998" s="96"/>
      <c r="T998" s="96"/>
      <c r="U998" s="96"/>
      <c r="V998" s="96"/>
      <c r="W998" s="96"/>
      <c r="X998" s="96"/>
      <c r="Y998" s="96"/>
      <c r="Z998" s="96"/>
      <c r="AA998" s="96"/>
    </row>
    <row r="999" spans="1:27" ht="15.75" customHeight="1">
      <c r="A999" s="96"/>
      <c r="B999" s="96"/>
      <c r="C999" s="96"/>
      <c r="D999" s="96"/>
      <c r="E999" s="96"/>
      <c r="F999" s="96"/>
      <c r="G999" s="96"/>
      <c r="H999" s="96"/>
      <c r="I999" s="96"/>
      <c r="J999" s="96"/>
      <c r="K999" s="96"/>
      <c r="L999" s="96"/>
      <c r="M999" s="96"/>
      <c r="N999" s="96"/>
      <c r="O999" s="96"/>
      <c r="P999" s="96"/>
      <c r="Q999" s="96"/>
      <c r="R999" s="96"/>
      <c r="S999" s="96"/>
      <c r="T999" s="96"/>
      <c r="U999" s="96"/>
      <c r="V999" s="96"/>
      <c r="W999" s="96"/>
      <c r="X999" s="96"/>
      <c r="Y999" s="96"/>
      <c r="Z999" s="96"/>
      <c r="AA999" s="96"/>
    </row>
    <row r="1000" spans="1:27" ht="15.75" customHeight="1">
      <c r="A1000" s="96"/>
      <c r="B1000" s="96"/>
      <c r="C1000" s="96"/>
      <c r="D1000" s="96"/>
      <c r="E1000" s="96"/>
      <c r="F1000" s="96"/>
      <c r="G1000" s="96"/>
      <c r="H1000" s="96"/>
      <c r="I1000" s="96"/>
      <c r="J1000" s="96"/>
      <c r="K1000" s="96"/>
      <c r="L1000" s="96"/>
      <c r="M1000" s="96"/>
      <c r="N1000" s="96"/>
      <c r="O1000" s="96"/>
      <c r="P1000" s="96"/>
      <c r="Q1000" s="96"/>
      <c r="R1000" s="96"/>
      <c r="S1000" s="96"/>
      <c r="T1000" s="96"/>
      <c r="U1000" s="96"/>
      <c r="V1000" s="96"/>
      <c r="W1000" s="96"/>
      <c r="X1000" s="96"/>
      <c r="Y1000" s="96"/>
      <c r="Z1000" s="96"/>
      <c r="AA1000" s="96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Previous Day Breakout</vt:lpstr>
      <vt:lpstr>Candlestick Pattern</vt:lpstr>
      <vt:lpstr>Volume Scanner</vt:lpstr>
      <vt:lpstr>Gann Calculator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dws</dc:creator>
  <cp:lastModifiedBy>dws</cp:lastModifiedBy>
  <dcterms:created xsi:type="dcterms:W3CDTF">2020-05-03T11:49:36Z</dcterms:created>
  <dcterms:modified xsi:type="dcterms:W3CDTF">2020-05-03T11:49:37Z</dcterms:modified>
</cp:coreProperties>
</file>