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dhanshusane/Desktop/sudhanshu/Publications/2020/VIS20/"/>
    </mc:Choice>
  </mc:AlternateContent>
  <xr:revisionPtr revIDLastSave="0" documentId="13_ncr:1_{0E4BF2F1-C33A-B740-972F-508F36BFC3ED}" xr6:coauthVersionLast="45" xr6:coauthVersionMax="45" xr10:uidLastSave="{00000000-0000-0000-0000-000000000000}"/>
  <bookViews>
    <workbookView xWindow="460" yWindow="460" windowWidth="28340" windowHeight="15780" firstSheet="1" activeTab="6" xr2:uid="{CAB673C0-09F8-C84D-B609-7EE14E27F30E}"/>
  </bookViews>
  <sheets>
    <sheet name="Nyx_InSitu_128" sheetId="6" r:id="rId1"/>
    <sheet name="Reconstruction of Clover" sheetId="10" r:id="rId2"/>
    <sheet name="ParticlesVsStep" sheetId="12" r:id="rId3"/>
    <sheet name="Nyx_InSitu_64" sheetId="5" r:id="rId4"/>
    <sheet name="SW4_InSitu" sheetId="3" r:id="rId5"/>
    <sheet name="Binary vs ASCII" sheetId="7" r:id="rId6"/>
    <sheet name="Cloverleaf3D_InSitu" sheetId="2" r:id="rId7"/>
    <sheet name="Cloverleaf3D_InSitu_Binary" sheetId="9" r:id="rId8"/>
    <sheet name="Nyx_InSitu_Binary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8" i="3" l="1"/>
  <c r="M37" i="3"/>
  <c r="M36" i="3"/>
  <c r="M35" i="3"/>
  <c r="M34" i="3"/>
  <c r="M33" i="3"/>
  <c r="A48" i="12" l="1"/>
  <c r="A47" i="12"/>
  <c r="A46" i="12"/>
  <c r="A45" i="12"/>
  <c r="A44" i="12"/>
  <c r="A43" i="12"/>
  <c r="A42" i="12"/>
  <c r="A24" i="12"/>
  <c r="A25" i="12"/>
  <c r="A26" i="12"/>
  <c r="A27" i="12"/>
  <c r="A28" i="12"/>
  <c r="A29" i="12"/>
  <c r="A14" i="12"/>
  <c r="A15" i="12"/>
  <c r="A16" i="12"/>
  <c r="L24" i="10" l="1"/>
  <c r="K24" i="10"/>
  <c r="J24" i="10"/>
  <c r="L23" i="10"/>
  <c r="K23" i="10"/>
  <c r="J23" i="10"/>
  <c r="L22" i="10"/>
  <c r="K22" i="10"/>
  <c r="J22" i="10"/>
  <c r="L21" i="10"/>
  <c r="K21" i="10"/>
  <c r="J21" i="10"/>
  <c r="L20" i="10"/>
  <c r="K20" i="10"/>
  <c r="J20" i="10"/>
  <c r="L19" i="10"/>
  <c r="K19" i="10"/>
  <c r="J19" i="10"/>
  <c r="L18" i="10"/>
  <c r="K18" i="10"/>
  <c r="J18" i="10"/>
  <c r="L17" i="10"/>
  <c r="K17" i="10"/>
  <c r="J17" i="10"/>
  <c r="L16" i="10"/>
  <c r="K16" i="10"/>
  <c r="J16" i="10"/>
  <c r="K10" i="10"/>
  <c r="K9" i="10"/>
  <c r="K8" i="10"/>
  <c r="K7" i="10"/>
  <c r="K5" i="10"/>
  <c r="K4" i="10"/>
  <c r="K3" i="10"/>
  <c r="K6" i="10"/>
  <c r="L10" i="10" l="1"/>
  <c r="L9" i="10"/>
  <c r="L8" i="10"/>
  <c r="L7" i="10"/>
  <c r="L6" i="10"/>
  <c r="L5" i="10"/>
  <c r="L4" i="10"/>
  <c r="L3" i="10"/>
  <c r="L2" i="10"/>
  <c r="K2" i="10"/>
  <c r="J10" i="10"/>
  <c r="J9" i="10"/>
  <c r="J8" i="10"/>
  <c r="J7" i="10"/>
  <c r="J6" i="10"/>
  <c r="J5" i="10"/>
  <c r="J4" i="10"/>
  <c r="J3" i="10"/>
  <c r="J2" i="10"/>
  <c r="G3" i="10" l="1"/>
  <c r="G6" i="10"/>
  <c r="G9" i="10"/>
  <c r="G10" i="10"/>
  <c r="G7" i="10"/>
  <c r="G4" i="10"/>
  <c r="A23" i="12"/>
  <c r="A22" i="12"/>
  <c r="A21" i="12"/>
  <c r="A20" i="12"/>
  <c r="A19" i="12"/>
  <c r="A18" i="12"/>
  <c r="A17" i="12"/>
  <c r="M31" i="2"/>
  <c r="M30" i="2"/>
  <c r="M29" i="2"/>
  <c r="M28" i="2"/>
  <c r="M27" i="2"/>
  <c r="M26" i="2"/>
  <c r="M25" i="2"/>
  <c r="M24" i="2"/>
  <c r="M23" i="2"/>
  <c r="M32" i="2"/>
  <c r="X22" i="5" l="1"/>
  <c r="X21" i="5"/>
  <c r="X20" i="5"/>
  <c r="X19" i="5"/>
  <c r="X18" i="5"/>
  <c r="X17" i="5"/>
  <c r="X16" i="5"/>
  <c r="X15" i="5"/>
  <c r="X14" i="5"/>
  <c r="X13" i="5"/>
  <c r="X12" i="5"/>
  <c r="X11" i="5"/>
  <c r="U13" i="6"/>
  <c r="U12" i="6"/>
  <c r="U11" i="6"/>
  <c r="U10" i="6"/>
  <c r="U9" i="6"/>
  <c r="U8" i="6"/>
  <c r="R8" i="6"/>
  <c r="T13" i="6"/>
  <c r="T12" i="6"/>
  <c r="T11" i="6"/>
  <c r="T10" i="6"/>
  <c r="T9" i="6"/>
  <c r="T8" i="6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I38" i="3" l="1"/>
  <c r="I37" i="3"/>
  <c r="I36" i="3"/>
  <c r="I35" i="3"/>
  <c r="I34" i="3"/>
  <c r="I33" i="3"/>
  <c r="J26" i="3" l="1"/>
  <c r="J27" i="3"/>
  <c r="U22" i="5"/>
  <c r="U21" i="5"/>
  <c r="U20" i="5"/>
  <c r="U19" i="5"/>
  <c r="U18" i="5"/>
  <c r="U17" i="5"/>
  <c r="S17" i="5"/>
  <c r="F28" i="3" l="1"/>
  <c r="F27" i="3"/>
  <c r="F26" i="3"/>
  <c r="H38" i="3"/>
  <c r="H37" i="3"/>
  <c r="H36" i="3"/>
  <c r="H35" i="3"/>
  <c r="H34" i="3"/>
  <c r="H33" i="3"/>
  <c r="L10" i="2" l="1"/>
  <c r="K15" i="2"/>
  <c r="L15" i="2" s="1"/>
  <c r="K12" i="2"/>
  <c r="L12" i="2" s="1"/>
  <c r="K10" i="2"/>
  <c r="K9" i="2"/>
  <c r="L9" i="2" s="1"/>
  <c r="U9" i="2"/>
  <c r="V9" i="2" s="1"/>
  <c r="H17" i="2"/>
  <c r="H16" i="2"/>
  <c r="H15" i="2"/>
  <c r="H14" i="2"/>
  <c r="H13" i="2"/>
  <c r="H12" i="2"/>
  <c r="H11" i="2"/>
  <c r="H10" i="2"/>
  <c r="H9" i="2"/>
  <c r="H5" i="2"/>
  <c r="H4" i="2"/>
  <c r="H6" i="2"/>
  <c r="M22" i="5"/>
  <c r="M21" i="5"/>
  <c r="M20" i="5"/>
  <c r="M19" i="5"/>
  <c r="M17" i="5"/>
  <c r="M16" i="5"/>
  <c r="M15" i="5"/>
  <c r="M14" i="5"/>
  <c r="M13" i="5"/>
  <c r="M12" i="5"/>
  <c r="M11" i="5"/>
  <c r="M7" i="5"/>
  <c r="M6" i="5"/>
  <c r="M5" i="5"/>
  <c r="K5" i="5"/>
  <c r="K4" i="5"/>
  <c r="M4" i="5" s="1"/>
  <c r="K22" i="5"/>
  <c r="K21" i="5"/>
  <c r="K20" i="5"/>
  <c r="K19" i="5"/>
  <c r="K18" i="5"/>
  <c r="M18" i="5" s="1"/>
  <c r="K17" i="5"/>
  <c r="K16" i="5"/>
  <c r="K15" i="5"/>
  <c r="K14" i="5"/>
  <c r="K13" i="5"/>
  <c r="K12" i="5"/>
  <c r="K11" i="5"/>
  <c r="K7" i="5"/>
  <c r="K6" i="5"/>
  <c r="L28" i="3"/>
  <c r="K28" i="3"/>
  <c r="K27" i="3"/>
  <c r="K26" i="3"/>
  <c r="J28" i="3"/>
  <c r="L27" i="3"/>
  <c r="L26" i="3"/>
  <c r="R13" i="6"/>
  <c r="R12" i="6"/>
  <c r="R11" i="6"/>
  <c r="R10" i="6"/>
  <c r="R9" i="6"/>
  <c r="Q13" i="6"/>
  <c r="Q12" i="6"/>
  <c r="Q11" i="6"/>
  <c r="Q10" i="6"/>
  <c r="Q9" i="6"/>
  <c r="Q8" i="6"/>
  <c r="U16" i="5" l="1"/>
  <c r="U15" i="5"/>
  <c r="U14" i="5"/>
  <c r="U13" i="5"/>
  <c r="U12" i="5"/>
  <c r="U11" i="5"/>
  <c r="T16" i="5"/>
  <c r="T15" i="5"/>
  <c r="T14" i="5"/>
  <c r="T13" i="5"/>
  <c r="T12" i="5"/>
  <c r="T11" i="5"/>
  <c r="L12" i="3"/>
  <c r="M12" i="3" s="1"/>
  <c r="L10" i="3"/>
  <c r="M10" i="3" s="1"/>
  <c r="L9" i="3"/>
  <c r="M9" i="3" s="1"/>
  <c r="L8" i="3"/>
  <c r="M8" i="3" s="1"/>
  <c r="U15" i="2"/>
  <c r="V15" i="2" s="1"/>
  <c r="U12" i="2"/>
  <c r="V12" i="2" s="1"/>
  <c r="U10" i="2"/>
  <c r="V10" i="2" s="1"/>
  <c r="L19" i="7" l="1"/>
  <c r="L18" i="7"/>
  <c r="L17" i="7"/>
  <c r="L16" i="7"/>
  <c r="L15" i="7"/>
  <c r="L14" i="7"/>
  <c r="L13" i="7"/>
  <c r="L28" i="7"/>
  <c r="L27" i="7"/>
  <c r="L26" i="7"/>
  <c r="L25" i="7"/>
  <c r="L24" i="7"/>
  <c r="L23" i="7"/>
  <c r="L22" i="7"/>
  <c r="H17" i="9" l="1"/>
  <c r="Q17" i="9" s="1"/>
  <c r="H16" i="9"/>
  <c r="Q16" i="9" s="1"/>
  <c r="H15" i="9"/>
  <c r="Q15" i="9" s="1"/>
  <c r="R15" i="9" s="1"/>
  <c r="H14" i="9"/>
  <c r="Q14" i="9" s="1"/>
  <c r="H13" i="9"/>
  <c r="Q13" i="9" s="1"/>
  <c r="H12" i="9"/>
  <c r="Q12" i="9" s="1"/>
  <c r="R12" i="9" s="1"/>
  <c r="H11" i="9"/>
  <c r="Q11" i="9" s="1"/>
  <c r="H10" i="9"/>
  <c r="K10" i="9" s="1"/>
  <c r="P10" i="9" s="1"/>
  <c r="H9" i="9"/>
  <c r="Q9" i="9" s="1"/>
  <c r="R9" i="9" s="1"/>
  <c r="H8" i="9"/>
  <c r="H7" i="9"/>
  <c r="O17" i="9"/>
  <c r="R17" i="9" s="1"/>
  <c r="O16" i="9"/>
  <c r="R16" i="9" s="1"/>
  <c r="O14" i="9"/>
  <c r="O13" i="9"/>
  <c r="R13" i="9" s="1"/>
  <c r="O11" i="9"/>
  <c r="R11" i="9" s="1"/>
  <c r="O6" i="9"/>
  <c r="G6" i="9"/>
  <c r="O5" i="9"/>
  <c r="G5" i="9"/>
  <c r="H5" i="9" s="1"/>
  <c r="K5" i="9" s="1"/>
  <c r="P5" i="9" s="1"/>
  <c r="O4" i="9"/>
  <c r="G4" i="9"/>
  <c r="H4" i="9" s="1"/>
  <c r="K4" i="9" s="1"/>
  <c r="P4" i="9" s="1"/>
  <c r="O13" i="8"/>
  <c r="O12" i="8"/>
  <c r="O11" i="8"/>
  <c r="O10" i="8"/>
  <c r="M10" i="8" s="1"/>
  <c r="O9" i="8"/>
  <c r="O8" i="8"/>
  <c r="Q8" i="8" s="1"/>
  <c r="O4" i="8"/>
  <c r="Q4" i="8" s="1"/>
  <c r="H13" i="8"/>
  <c r="H12" i="8"/>
  <c r="H11" i="8"/>
  <c r="H10" i="8"/>
  <c r="H9" i="8"/>
  <c r="H8" i="8"/>
  <c r="H4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M13" i="8"/>
  <c r="Q12" i="8"/>
  <c r="Q11" i="8"/>
  <c r="M11" i="8"/>
  <c r="Q9" i="8"/>
  <c r="M9" i="8"/>
  <c r="M4" i="8"/>
  <c r="R14" i="9" l="1"/>
  <c r="R5" i="9"/>
  <c r="S5" i="9" s="1"/>
  <c r="M5" i="9"/>
  <c r="M10" i="9"/>
  <c r="M4" i="9"/>
  <c r="Q5" i="9"/>
  <c r="J10" i="9"/>
  <c r="H6" i="9"/>
  <c r="K6" i="9" s="1"/>
  <c r="K14" i="9"/>
  <c r="Q10" i="9"/>
  <c r="R10" i="9" s="1"/>
  <c r="S10" i="9" s="1"/>
  <c r="K11" i="9"/>
  <c r="S11" i="9" s="1"/>
  <c r="K15" i="9"/>
  <c r="S15" i="9" s="1"/>
  <c r="Q4" i="9"/>
  <c r="R4" i="9" s="1"/>
  <c r="S4" i="9" s="1"/>
  <c r="K12" i="9"/>
  <c r="S12" i="9" s="1"/>
  <c r="K16" i="9"/>
  <c r="S16" i="9" s="1"/>
  <c r="K9" i="9"/>
  <c r="S9" i="9" s="1"/>
  <c r="K13" i="9"/>
  <c r="K17" i="9"/>
  <c r="J5" i="9"/>
  <c r="J4" i="9"/>
  <c r="M8" i="8"/>
  <c r="Q10" i="8"/>
  <c r="M12" i="8"/>
  <c r="Q13" i="8"/>
  <c r="E8" i="7"/>
  <c r="E7" i="7"/>
  <c r="E6" i="7"/>
  <c r="E5" i="7"/>
  <c r="E4" i="7"/>
  <c r="E3" i="7"/>
  <c r="E2" i="7"/>
  <c r="M13" i="9" l="1"/>
  <c r="S13" i="9"/>
  <c r="M14" i="9"/>
  <c r="S14" i="9"/>
  <c r="M6" i="9"/>
  <c r="M17" i="9"/>
  <c r="S17" i="9"/>
  <c r="P16" i="9"/>
  <c r="M16" i="9"/>
  <c r="P11" i="9"/>
  <c r="M11" i="9"/>
  <c r="P12" i="9"/>
  <c r="M12" i="9"/>
  <c r="P9" i="9"/>
  <c r="M9" i="9"/>
  <c r="P15" i="9"/>
  <c r="M15" i="9"/>
  <c r="J13" i="9"/>
  <c r="P13" i="9"/>
  <c r="J14" i="9"/>
  <c r="P14" i="9"/>
  <c r="J6" i="9"/>
  <c r="P6" i="9"/>
  <c r="J17" i="9"/>
  <c r="P17" i="9"/>
  <c r="J12" i="9"/>
  <c r="J9" i="9"/>
  <c r="J15" i="9"/>
  <c r="J11" i="9"/>
  <c r="J16" i="9"/>
  <c r="Q6" i="9"/>
  <c r="R6" i="9" s="1"/>
  <c r="S6" i="9" s="1"/>
  <c r="S17" i="2"/>
  <c r="S16" i="2"/>
  <c r="S14" i="2"/>
  <c r="S13" i="2"/>
  <c r="S11" i="2"/>
  <c r="S6" i="2"/>
  <c r="S5" i="2"/>
  <c r="S4" i="2"/>
  <c r="M6" i="2"/>
  <c r="M5" i="2"/>
  <c r="M4" i="2"/>
  <c r="P4" i="2" s="1"/>
  <c r="O13" i="6"/>
  <c r="P13" i="6" s="1"/>
  <c r="O11" i="6"/>
  <c r="O10" i="6"/>
  <c r="P10" i="6" s="1"/>
  <c r="O9" i="6"/>
  <c r="P9" i="6" s="1"/>
  <c r="O8" i="6"/>
  <c r="P8" i="6" s="1"/>
  <c r="O4" i="6"/>
  <c r="P4" i="6" s="1"/>
  <c r="P12" i="6"/>
  <c r="P11" i="6"/>
  <c r="U11" i="2" l="1"/>
  <c r="V11" i="2" s="1"/>
  <c r="K11" i="2"/>
  <c r="L11" i="2" s="1"/>
  <c r="U17" i="2"/>
  <c r="V17" i="2" s="1"/>
  <c r="K17" i="2"/>
  <c r="L17" i="2" s="1"/>
  <c r="U14" i="2"/>
  <c r="V14" i="2" s="1"/>
  <c r="K14" i="2"/>
  <c r="L14" i="2" s="1"/>
  <c r="U13" i="2"/>
  <c r="V13" i="2" s="1"/>
  <c r="K13" i="2"/>
  <c r="L13" i="2" s="1"/>
  <c r="U16" i="2"/>
  <c r="V16" i="2" s="1"/>
  <c r="K16" i="2"/>
  <c r="L16" i="2" s="1"/>
  <c r="H12" i="3"/>
  <c r="K12" i="3" s="1"/>
  <c r="H10" i="3" l="1"/>
  <c r="K10" i="3" s="1"/>
  <c r="H9" i="3"/>
  <c r="K9" i="3" s="1"/>
  <c r="H8" i="3"/>
  <c r="O4" i="5"/>
  <c r="P6" i="2"/>
  <c r="P5" i="2"/>
  <c r="P17" i="2"/>
  <c r="P16" i="2"/>
  <c r="P15" i="2"/>
  <c r="R15" i="2" s="1"/>
  <c r="P14" i="2"/>
  <c r="P13" i="2"/>
  <c r="P12" i="2"/>
  <c r="P11" i="2"/>
  <c r="P10" i="2"/>
  <c r="P9" i="2"/>
  <c r="J13" i="6"/>
  <c r="I13" i="6" s="1"/>
  <c r="J12" i="6"/>
  <c r="L12" i="6" s="1"/>
  <c r="J11" i="6"/>
  <c r="L11" i="6" s="1"/>
  <c r="J10" i="6"/>
  <c r="I10" i="6" s="1"/>
  <c r="J9" i="6"/>
  <c r="I9" i="6" s="1"/>
  <c r="J8" i="6"/>
  <c r="L8" i="6" s="1"/>
  <c r="I11" i="6"/>
  <c r="I4" i="6"/>
  <c r="L4" i="6"/>
  <c r="S38" i="5"/>
  <c r="S34" i="5"/>
  <c r="S30" i="5"/>
  <c r="S41" i="5"/>
  <c r="S40" i="5"/>
  <c r="S39" i="5"/>
  <c r="S37" i="5"/>
  <c r="S36" i="5"/>
  <c r="S35" i="5"/>
  <c r="S33" i="5"/>
  <c r="S32" i="5"/>
  <c r="S31" i="5"/>
  <c r="S29" i="5"/>
  <c r="S28" i="5"/>
  <c r="Q16" i="5"/>
  <c r="O16" i="5" s="1"/>
  <c r="Q15" i="5"/>
  <c r="O15" i="5" s="1"/>
  <c r="Q14" i="5"/>
  <c r="S14" i="5" s="1"/>
  <c r="Q13" i="5"/>
  <c r="S13" i="5" s="1"/>
  <c r="S15" i="5"/>
  <c r="Q12" i="5"/>
  <c r="O12" i="5" s="1"/>
  <c r="Q11" i="5"/>
  <c r="S11" i="5" s="1"/>
  <c r="S4" i="5"/>
  <c r="T6" i="2" l="1"/>
  <c r="R6" i="2"/>
  <c r="O5" i="2"/>
  <c r="T5" i="2"/>
  <c r="T4" i="2"/>
  <c r="R4" i="2"/>
  <c r="O17" i="2"/>
  <c r="T17" i="2"/>
  <c r="R16" i="2"/>
  <c r="T16" i="2"/>
  <c r="O15" i="2"/>
  <c r="T15" i="2"/>
  <c r="O14" i="2"/>
  <c r="T14" i="2"/>
  <c r="R14" i="2"/>
  <c r="O13" i="2"/>
  <c r="T13" i="2"/>
  <c r="R12" i="2"/>
  <c r="T12" i="2"/>
  <c r="O11" i="2"/>
  <c r="T11" i="2"/>
  <c r="O10" i="2"/>
  <c r="T10" i="2"/>
  <c r="R10" i="2"/>
  <c r="O9" i="2"/>
  <c r="T9" i="2"/>
  <c r="O4" i="2"/>
  <c r="O14" i="5"/>
  <c r="R11" i="2"/>
  <c r="R17" i="2"/>
  <c r="O11" i="5"/>
  <c r="O6" i="2"/>
  <c r="R13" i="2"/>
  <c r="O13" i="5"/>
  <c r="I12" i="6"/>
  <c r="R5" i="2"/>
  <c r="O12" i="2"/>
  <c r="O16" i="2"/>
  <c r="R9" i="2"/>
  <c r="I8" i="6"/>
  <c r="L10" i="6"/>
  <c r="L13" i="6"/>
  <c r="L9" i="6"/>
  <c r="S12" i="5"/>
  <c r="S16" i="5"/>
</calcChain>
</file>

<file path=xl/sharedStrings.xml><?xml version="1.0" encoding="utf-8"?>
<sst xmlns="http://schemas.openxmlformats.org/spreadsheetml/2006/main" count="677" uniqueCount="300">
  <si>
    <t>Eulerian Configuration</t>
  </si>
  <si>
    <t>IO</t>
  </si>
  <si>
    <t>Bytes</t>
  </si>
  <si>
    <t>Lagrangian Configuration</t>
  </si>
  <si>
    <t>LagrangianField Configuration</t>
  </si>
  <si>
    <t>Dataset: Nyx Extraction Numbers</t>
  </si>
  <si>
    <t>Simulation Time</t>
  </si>
  <si>
    <t>Step Avg</t>
  </si>
  <si>
    <t>Total Step</t>
  </si>
  <si>
    <t>Total In Situ</t>
  </si>
  <si>
    <t>% VAD</t>
  </si>
  <si>
    <t>Feature Calculation</t>
  </si>
  <si>
    <t>Seed Placement</t>
  </si>
  <si>
    <t>RNG</t>
  </si>
  <si>
    <t>Dataset: SW4 Extraction Numbers</t>
  </si>
  <si>
    <t>Feature Extraction</t>
  </si>
  <si>
    <t xml:space="preserve">disp+val </t>
  </si>
  <si>
    <t>Interval 25</t>
  </si>
  <si>
    <t>Interval 25, 1:1</t>
  </si>
  <si>
    <t>Interval 25, 1:8</t>
  </si>
  <si>
    <t>Interval 50, 1:1</t>
  </si>
  <si>
    <t>Interval 50, 1:8</t>
  </si>
  <si>
    <t>Interval 25, 1:27</t>
  </si>
  <si>
    <t>Interval 50, 1:27</t>
  </si>
  <si>
    <t>Test ID</t>
  </si>
  <si>
    <t>1;</t>
  </si>
  <si>
    <t>2;</t>
  </si>
  <si>
    <t>3;</t>
  </si>
  <si>
    <t>4;</t>
  </si>
  <si>
    <t>5;</t>
  </si>
  <si>
    <t>6;</t>
  </si>
  <si>
    <t>7;</t>
  </si>
  <si>
    <t>8;</t>
  </si>
  <si>
    <t>9;</t>
  </si>
  <si>
    <t>10;</t>
  </si>
  <si>
    <t>11;</t>
  </si>
  <si>
    <t>12;</t>
  </si>
  <si>
    <t>Interval 25, 1:8 + Entropy + E2</t>
  </si>
  <si>
    <t>Interval 25, 1:8 + Entropy + E3</t>
  </si>
  <si>
    <t>Interval 50, 1:8 + Entropy + E2</t>
  </si>
  <si>
    <t>Interval 50, 1:8 + Entropy + E3</t>
  </si>
  <si>
    <t>Interval 25, 1:27 + Entropy + E2</t>
  </si>
  <si>
    <t>Interval 25, 1:27 + Entropy + E3</t>
  </si>
  <si>
    <t>Interval 25, 1:8 + Divergence + E2</t>
  </si>
  <si>
    <t>Interval 25, 1:8 + Divergence + E3</t>
  </si>
  <si>
    <t>Interval 50, 1:8 + Divergence + E2</t>
  </si>
  <si>
    <t>Interval 50, 1:8 + Divergence + E3</t>
  </si>
  <si>
    <t>Interval 25, 1:8 + VM + E2</t>
  </si>
  <si>
    <t>Interval 25, 1:8 + VM + E3</t>
  </si>
  <si>
    <t>Interval 50, 1:8 + VM + E2</t>
  </si>
  <si>
    <t>Interval 50, 1:8 + VM + E3</t>
  </si>
  <si>
    <t>1;3648</t>
  </si>
  <si>
    <t>1;3650</t>
  </si>
  <si>
    <t>2;3651</t>
  </si>
  <si>
    <t>3;3652</t>
  </si>
  <si>
    <t>4;3653</t>
  </si>
  <si>
    <t>5;3654</t>
  </si>
  <si>
    <t>6;3656</t>
  </si>
  <si>
    <t>14;3677</t>
  </si>
  <si>
    <t>13;3676</t>
  </si>
  <si>
    <t>12;3675</t>
  </si>
  <si>
    <t>11;3674</t>
  </si>
  <si>
    <t>10;3671</t>
  </si>
  <si>
    <t>9;3670</t>
  </si>
  <si>
    <t>8;3668</t>
  </si>
  <si>
    <t>7;3667</t>
  </si>
  <si>
    <t>6;3666</t>
  </si>
  <si>
    <t>5;3664</t>
  </si>
  <si>
    <t>4;3662</t>
  </si>
  <si>
    <t>3;3660</t>
  </si>
  <si>
    <t>2;3659</t>
  </si>
  <si>
    <t>1;3657</t>
  </si>
  <si>
    <t>disp+val</t>
  </si>
  <si>
    <t>Interval 40</t>
  </si>
  <si>
    <t>Interval 40, 1:8</t>
  </si>
  <si>
    <t>Interval 40, 1:27</t>
  </si>
  <si>
    <t>Interval 40, 1:64</t>
  </si>
  <si>
    <t>Interval 20</t>
  </si>
  <si>
    <t>Interval 20, 1:8</t>
  </si>
  <si>
    <t>Interval 20, 1:27</t>
  </si>
  <si>
    <t>Interval 20, 1:64</t>
  </si>
  <si>
    <t>Interval 40, 1:8 + Entropy + E2</t>
  </si>
  <si>
    <t>Interval 40, 1:8 + Entropy + E3</t>
  </si>
  <si>
    <t>Interval 40, 1:27 + Entropy + E2</t>
  </si>
  <si>
    <t>Interval 40, 1:27 + Entropy + E3</t>
  </si>
  <si>
    <t>Interval 40, 1:64 + Entropy + E2</t>
  </si>
  <si>
    <t>Interval 40, 1:64 + Entropy + E3</t>
  </si>
  <si>
    <t>Interval 40, 1:8 + Divergence + E2</t>
  </si>
  <si>
    <t>Interval 40, 1:8 + Divergence + E3</t>
  </si>
  <si>
    <t>Interval 40, 1:8 + VM + E2</t>
  </si>
  <si>
    <t>Interval 40, 1:8 + VM + E3</t>
  </si>
  <si>
    <t>Interval 40, 1:27 + Divergence + E3</t>
  </si>
  <si>
    <t>Interval 40, 1:27 + VM + E3</t>
  </si>
  <si>
    <t>1 node 1 MPI task, 64^3 for 400 cycles.</t>
  </si>
  <si>
    <t>Interval 60</t>
  </si>
  <si>
    <t>Interval 60, 1:8</t>
  </si>
  <si>
    <t>Interval 60, 1:27</t>
  </si>
  <si>
    <t>Interval 60, 1:64</t>
  </si>
  <si>
    <t>Interval 200</t>
  </si>
  <si>
    <t>Interval 200, 1:8</t>
  </si>
  <si>
    <t>Interval 200, 1:27</t>
  </si>
  <si>
    <t>Interval 200, 1:64</t>
  </si>
  <si>
    <t>9;17596</t>
  </si>
  <si>
    <t>8;17597</t>
  </si>
  <si>
    <t>6;17599</t>
  </si>
  <si>
    <t>5;17601</t>
  </si>
  <si>
    <t>3;17603</t>
  </si>
  <si>
    <t>Total IO</t>
  </si>
  <si>
    <t>14.5 MB</t>
  </si>
  <si>
    <t>Cycles</t>
  </si>
  <si>
    <t>Sim step</t>
  </si>
  <si>
    <t>13.4 MB</t>
  </si>
  <si>
    <t>14M</t>
  </si>
  <si>
    <t>0.48 MB</t>
  </si>
  <si>
    <t xml:space="preserve">1.7 MB </t>
  </si>
  <si>
    <t>Points Stored</t>
  </si>
  <si>
    <t>Cycle</t>
  </si>
  <si>
    <t>1.7 - 1.9M</t>
  </si>
  <si>
    <t>1.4-1.8M</t>
  </si>
  <si>
    <t>1.5-1.9M</t>
  </si>
  <si>
    <t>0.48 - 0.54M</t>
  </si>
  <si>
    <t>1.5-1.8M</t>
  </si>
  <si>
    <t>0.9M-1.5M</t>
  </si>
  <si>
    <t>0.75-1.9M</t>
  </si>
  <si>
    <t>0.78-1.4M</t>
  </si>
  <si>
    <t>0.64 - 1.6M</t>
  </si>
  <si>
    <t>101M</t>
  </si>
  <si>
    <t>110M</t>
  </si>
  <si>
    <t>4M</t>
  </si>
  <si>
    <t>109M</t>
  </si>
  <si>
    <t>Simulation Step</t>
  </si>
  <si>
    <t>3;20340</t>
  </si>
  <si>
    <t>2;20341</t>
  </si>
  <si>
    <t>1;20342</t>
  </si>
  <si>
    <t>1;20601</t>
  </si>
  <si>
    <t>2;20602</t>
  </si>
  <si>
    <t>3;20603</t>
  </si>
  <si>
    <t>12.1 MB</t>
  </si>
  <si>
    <t>3.6 MB</t>
  </si>
  <si>
    <t>1.4 MB</t>
  </si>
  <si>
    <t>12 MB</t>
  </si>
  <si>
    <t>Reconstruction</t>
  </si>
  <si>
    <t xml:space="preserve">Dataset: Cloverleaf3D </t>
  </si>
  <si>
    <t>4.5 MB</t>
  </si>
  <si>
    <t>1.3 MB</t>
  </si>
  <si>
    <t>0.5 MB</t>
  </si>
  <si>
    <t>3;23641</t>
  </si>
  <si>
    <t>Fixed</t>
  </si>
  <si>
    <t>Fix completed for:</t>
  </si>
  <si>
    <t xml:space="preserve">h = 100, n = 64, MPI = 384, </t>
  </si>
  <si>
    <t>9 MB</t>
  </si>
  <si>
    <r>
      <t xml:space="preserve">16 nodes, 96 MPI ranks,  128^3 on each rank, 586^3 total --- </t>
    </r>
    <r>
      <rPr>
        <b/>
        <sz val="14"/>
        <color theme="1"/>
        <rFont val="Calibri"/>
        <family val="2"/>
        <scheme val="minor"/>
      </rPr>
      <t xml:space="preserve">600 cycles max. Datasets only fixed upto cycle 600. </t>
    </r>
    <r>
      <rPr>
        <sz val="14"/>
        <color theme="1"/>
        <rFont val="Calibri"/>
        <family val="2"/>
        <scheme val="minor"/>
      </rPr>
      <t xml:space="preserve"> </t>
    </r>
  </si>
  <si>
    <t>Fixed - 600</t>
  </si>
  <si>
    <t>1;28784</t>
  </si>
  <si>
    <t>2;28785</t>
  </si>
  <si>
    <t>4;28786</t>
  </si>
  <si>
    <t>7;28787</t>
  </si>
  <si>
    <t>Rerun</t>
  </si>
  <si>
    <t>New % VAD</t>
  </si>
  <si>
    <t>New % DAV</t>
  </si>
  <si>
    <t xml:space="preserve">Sim Time at 600 </t>
  </si>
  <si>
    <t>89.9 MB</t>
  </si>
  <si>
    <t>92.7 MB</t>
  </si>
  <si>
    <t>89.8 MB</t>
  </si>
  <si>
    <t>File Size</t>
  </si>
  <si>
    <t>Binary</t>
  </si>
  <si>
    <t>ASCII</t>
  </si>
  <si>
    <t>1 MB</t>
  </si>
  <si>
    <t>100 MB</t>
  </si>
  <si>
    <t>5 MB</t>
  </si>
  <si>
    <t>10 MB</t>
  </si>
  <si>
    <t>20 MB</t>
  </si>
  <si>
    <t>50 MB</t>
  </si>
  <si>
    <t>200 MB</t>
  </si>
  <si>
    <t>dims^3</t>
  </si>
  <si>
    <t>Speedup</t>
  </si>
  <si>
    <t>Difference</t>
  </si>
  <si>
    <t>Sim Time Corrected</t>
  </si>
  <si>
    <t>Correct %DAV</t>
  </si>
  <si>
    <t xml:space="preserve">dims^3 </t>
  </si>
  <si>
    <t>6 MPI ranks</t>
  </si>
  <si>
    <t>Single MPI</t>
  </si>
  <si>
    <t xml:space="preserve">Summit - login node. </t>
  </si>
  <si>
    <t>Compute Node</t>
  </si>
  <si>
    <t>35/27</t>
  </si>
  <si>
    <t>76/59</t>
  </si>
  <si>
    <t>60/47</t>
  </si>
  <si>
    <t>95/74</t>
  </si>
  <si>
    <t>164/126</t>
  </si>
  <si>
    <t>128/100</t>
  </si>
  <si>
    <t>200/159</t>
  </si>
  <si>
    <t>6 MPI/Node</t>
  </si>
  <si>
    <t>1 node 6 MPI task Lagrangian vs Eulerian</t>
  </si>
  <si>
    <t xml:space="preserve">Accuracy </t>
  </si>
  <si>
    <t xml:space="preserve">Cloverleaf 16 node - extraction </t>
  </si>
  <si>
    <t xml:space="preserve">SW4 64 node - extraction? </t>
  </si>
  <si>
    <t>InSituCost</t>
  </si>
  <si>
    <t>New_Sim_Time_600</t>
  </si>
  <si>
    <t>Sim time (no IO)</t>
  </si>
  <si>
    <t>Extra Lagrangian run. 384 MPI, h = 75, 1:8</t>
  </si>
  <si>
    <t>Sim No IO</t>
  </si>
  <si>
    <t>Sim no IO</t>
  </si>
  <si>
    <t>% DAV</t>
  </si>
  <si>
    <t xml:space="preserve">Experiment h = 400,300,200,    6 MPI ranks 1 node. 1:8 seeding. </t>
  </si>
  <si>
    <t>Configuration</t>
  </si>
  <si>
    <t xml:space="preserve">Time Avg </t>
  </si>
  <si>
    <t>Time Total</t>
  </si>
  <si>
    <t>Sim Time No IO</t>
  </si>
  <si>
    <t>h = 300</t>
  </si>
  <si>
    <t xml:space="preserve">h = 200 </t>
  </si>
  <si>
    <t># particles/MPI</t>
  </si>
  <si>
    <t>#particles/Node</t>
  </si>
  <si>
    <t>Per Cycle Time</t>
  </si>
  <si>
    <t>Grid points per node</t>
  </si>
  <si>
    <t>Sim DIMS</t>
  </si>
  <si>
    <t>Memory/Node (MB)</t>
  </si>
  <si>
    <t>251*251*70</t>
  </si>
  <si>
    <t>335*335*93</t>
  </si>
  <si>
    <t>501*501*139</t>
  </si>
  <si>
    <t>% DAV per cycle</t>
  </si>
  <si>
    <t>Experiment. H = 400, 1:1, 1:8, 1:27, 1:64</t>
  </si>
  <si>
    <t>Eulerian</t>
  </si>
  <si>
    <t>Lagrangian 1:64</t>
  </si>
  <si>
    <t>Lagrangian 1:27</t>
  </si>
  <si>
    <t>Lagrangian 1:8</t>
  </si>
  <si>
    <t xml:space="preserve">Lagrangian 1:1 </t>
  </si>
  <si>
    <t>Total Data Storage</t>
  </si>
  <si>
    <t>Interval</t>
  </si>
  <si>
    <t>550 MB</t>
  </si>
  <si>
    <t>1.1 GB</t>
  </si>
  <si>
    <t>16 MB</t>
  </si>
  <si>
    <t>42 MB</t>
  </si>
  <si>
    <t>158 MB</t>
  </si>
  <si>
    <t>1.3 GB</t>
  </si>
  <si>
    <t>Accuracy</t>
  </si>
  <si>
    <t>Average L2-norm</t>
  </si>
  <si>
    <t>Alaska reconstruction</t>
  </si>
  <si>
    <t>Summit reconstruction</t>
  </si>
  <si>
    <t>Interval 50</t>
  </si>
  <si>
    <t>Interval 100</t>
  </si>
  <si>
    <t>Interval 100, 1:1</t>
  </si>
  <si>
    <t>Interval 100, 1:8</t>
  </si>
  <si>
    <t>Interval 100, 1:27</t>
  </si>
  <si>
    <t>Interval 200, 1:1</t>
  </si>
  <si>
    <t>% Cell</t>
  </si>
  <si>
    <t xml:space="preserve">Data Storage </t>
  </si>
  <si>
    <t>Total Data</t>
  </si>
  <si>
    <t>267 GB</t>
  </si>
  <si>
    <t>133 GB</t>
  </si>
  <si>
    <t>95 GB</t>
  </si>
  <si>
    <t>34 GB</t>
  </si>
  <si>
    <t>10 GB</t>
  </si>
  <si>
    <t>4 GB</t>
  </si>
  <si>
    <t>17 GB</t>
  </si>
  <si>
    <t>2 GB</t>
  </si>
  <si>
    <t>12 GB</t>
  </si>
  <si>
    <t>3.4 GB</t>
  </si>
  <si>
    <t>5.1 GB</t>
  </si>
  <si>
    <t>600 cycle Sim time</t>
  </si>
  <si>
    <t>overflow = 10.0</t>
  </si>
  <si>
    <t xml:space="preserve">Lagrangian </t>
  </si>
  <si>
    <t>Lagrangian 20, 1:8</t>
  </si>
  <si>
    <t>Lagrangian 20, 1:27</t>
  </si>
  <si>
    <t>Lagrangian 20, 1:64</t>
  </si>
  <si>
    <t>Lagrangian 40, 1:8</t>
  </si>
  <si>
    <t>Lagrangian 40, 1:27</t>
  </si>
  <si>
    <t>Lagrangian 60, 1:8</t>
  </si>
  <si>
    <t>Lagrangian 60, 1:27</t>
  </si>
  <si>
    <t>Lagrangian 60, 1:64</t>
  </si>
  <si>
    <t>h = 400; 10</t>
  </si>
  <si>
    <t>MB</t>
  </si>
  <si>
    <t>SW4</t>
  </si>
  <si>
    <t>Cloverleaf</t>
  </si>
  <si>
    <t>Nyx</t>
  </si>
  <si>
    <t>CPU</t>
  </si>
  <si>
    <t>GPU</t>
  </si>
  <si>
    <t>Step Time</t>
  </si>
  <si>
    <t>Number of Particles/Node</t>
  </si>
  <si>
    <t>Number of Particles/Rank</t>
  </si>
  <si>
    <t>CGAL</t>
  </si>
  <si>
    <t>Communication</t>
  </si>
  <si>
    <t>Interpolation</t>
  </si>
  <si>
    <t>Total for 600</t>
  </si>
  <si>
    <t>Total input size</t>
  </si>
  <si>
    <t xml:space="preserve">Compute Node Hour Cost 600 cycle reconstruction. </t>
  </si>
  <si>
    <t>Points Per Rank</t>
  </si>
  <si>
    <t>Preprocess</t>
  </si>
  <si>
    <t>2.895 s</t>
  </si>
  <si>
    <t>7.05 s</t>
  </si>
  <si>
    <t>Incorrect Measurement</t>
  </si>
  <si>
    <t>Comm</t>
  </si>
  <si>
    <t>Total</t>
  </si>
  <si>
    <t>Total Time for 600 cycles Using CGAL</t>
  </si>
  <si>
    <t>24.6 s</t>
  </si>
  <si>
    <t>Fixed Pts</t>
  </si>
  <si>
    <t>CGAL Alaska</t>
  </si>
  <si>
    <t>Serial</t>
  </si>
  <si>
    <t>Parallel</t>
  </si>
  <si>
    <t>0.7-0.3</t>
  </si>
  <si>
    <t>15-18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</si>
</sst>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4"/>
      <color rgb="FF000000"/>
      <name val="Menlo"/>
      <family val="2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family val="2"/>
      <scheme val="minor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CD3"/>
        <bgColor indexed="64"/>
      </patternFill>
    </fill>
    <fill>
      <patternFill patternType="solid">
        <fgColor rgb="FFF2F2F2"/>
      </patternFill>
    </fill>
    <fill>
      <patternFill patternType="solid">
        <fgColor rgb="FFE9FFE9"/>
        <bgColor indexed="64"/>
      </patternFill>
    </fill>
    <fill>
      <patternFill patternType="solid">
        <fgColor rgb="FFFFDAE4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5" fillId="6" borderId="1" applyNumberFormat="0" applyAlignment="0" applyProtection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3" fillId="3" borderId="0" xfId="0" applyFont="1" applyFill="1"/>
    <xf numFmtId="0" fontId="1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0" fillId="5" borderId="0" xfId="0" applyFill="1"/>
    <xf numFmtId="0" fontId="3" fillId="5" borderId="0" xfId="0" applyFont="1" applyFill="1"/>
    <xf numFmtId="0" fontId="0" fillId="7" borderId="0" xfId="0" applyFill="1"/>
    <xf numFmtId="0" fontId="5" fillId="6" borderId="1" xfId="1"/>
    <xf numFmtId="20" fontId="3" fillId="0" borderId="0" xfId="0" applyNumberFormat="1" applyFont="1"/>
    <xf numFmtId="3" fontId="3" fillId="0" borderId="0" xfId="0" applyNumberFormat="1" applyFont="1"/>
    <xf numFmtId="0" fontId="3" fillId="8" borderId="0" xfId="0" applyFont="1" applyFill="1"/>
    <xf numFmtId="0" fontId="2" fillId="8" borderId="0" xfId="0" applyFont="1" applyFill="1"/>
    <xf numFmtId="0" fontId="3" fillId="9" borderId="0" xfId="0" applyFont="1" applyFill="1"/>
    <xf numFmtId="0" fontId="6" fillId="6" borderId="1" xfId="1" applyFont="1"/>
    <xf numFmtId="0" fontId="0" fillId="2" borderId="0" xfId="0" applyFill="1"/>
    <xf numFmtId="0" fontId="0" fillId="4" borderId="0" xfId="0" applyFill="1"/>
    <xf numFmtId="0" fontId="7" fillId="0" borderId="0" xfId="0" applyFont="1"/>
    <xf numFmtId="0" fontId="7" fillId="4" borderId="0" xfId="0" applyFont="1" applyFill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600FF"/>
      <color rgb="FFFF7800"/>
      <color rgb="FFFFECD3"/>
      <color rgb="FFFFDAE4"/>
      <color rgb="FFE9FF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6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 CPUs/Node particle advection </a:t>
            </a:r>
            <a:r>
              <a:rPr lang="en-US" sz="26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Step</a:t>
            </a:r>
            <a:r>
              <a:rPr lang="en-US" sz="26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times</a:t>
            </a:r>
            <a:endParaRPr lang="en-US" sz="26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26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Markers: Nyx 65^3 (cyan), Nyx 129^3 (red) </a:t>
            </a:r>
            <a:endParaRPr lang="en-US" sz="26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201048364295404"/>
          <c:y val="2.0915087706169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13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C5E-794D-A1B3-50612D7E73EA}"/>
              </c:ext>
            </c:extLst>
          </c:dPt>
          <c:dPt>
            <c:idx val="1"/>
            <c:marker>
              <c:symbol val="circle"/>
              <c:size val="13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C5E-794D-A1B3-50612D7E73EA}"/>
              </c:ext>
            </c:extLst>
          </c:dPt>
          <c:dPt>
            <c:idx val="2"/>
            <c:marker>
              <c:symbol val="circle"/>
              <c:size val="13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C5E-794D-A1B3-50612D7E73EA}"/>
              </c:ext>
            </c:extLst>
          </c:dPt>
          <c:dPt>
            <c:idx val="3"/>
            <c:marker>
              <c:symbol val="circle"/>
              <c:size val="13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C5E-794D-A1B3-50612D7E73EA}"/>
              </c:ext>
            </c:extLst>
          </c:dPt>
          <c:dPt>
            <c:idx val="4"/>
            <c:marker>
              <c:symbol val="circle"/>
              <c:size val="13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C5E-794D-A1B3-50612D7E73EA}"/>
              </c:ext>
            </c:extLst>
          </c:dPt>
          <c:dPt>
            <c:idx val="5"/>
            <c:marker>
              <c:symbol val="circle"/>
              <c:size val="13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C5E-794D-A1B3-50612D7E73EA}"/>
              </c:ext>
            </c:extLst>
          </c:dPt>
          <c:xVal>
            <c:numRef>
              <c:f>ParticlesVsStep!$A$34:$A$39</c:f>
              <c:numCache>
                <c:formatCode>General</c:formatCode>
                <c:ptCount val="6"/>
                <c:pt idx="0">
                  <c:v>274</c:v>
                </c:pt>
                <c:pt idx="1">
                  <c:v>32</c:v>
                </c:pt>
                <c:pt idx="2">
                  <c:v>9</c:v>
                </c:pt>
                <c:pt idx="3">
                  <c:v>2100</c:v>
                </c:pt>
                <c:pt idx="4">
                  <c:v>262</c:v>
                </c:pt>
                <c:pt idx="5">
                  <c:v>32</c:v>
                </c:pt>
              </c:numCache>
            </c:numRef>
          </c:xVal>
          <c:yVal>
            <c:numRef>
              <c:f>ParticlesVsStep!$B$34:$B$39</c:f>
              <c:numCache>
                <c:formatCode>General</c:formatCode>
                <c:ptCount val="6"/>
                <c:pt idx="0">
                  <c:v>1.2200000000000001E-2</c:v>
                </c:pt>
                <c:pt idx="1">
                  <c:v>3.3E-3</c:v>
                </c:pt>
                <c:pt idx="2">
                  <c:v>2.5000000000000001E-3</c:v>
                </c:pt>
                <c:pt idx="3">
                  <c:v>5.96E-2</c:v>
                </c:pt>
                <c:pt idx="4">
                  <c:v>1.01E-2</c:v>
                </c:pt>
                <c:pt idx="5">
                  <c:v>4.4000000000000003E-3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E-794D-A1B3-50612D7E7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801567"/>
        <c:axId val="1557820607"/>
      </c:scatterChart>
      <c:valAx>
        <c:axId val="1960801567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sz="26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Particles/Node (x1000)</a:t>
                </a:r>
                <a:endParaRPr lang="en-US" sz="26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0414460199527271"/>
              <c:y val="0.91846062896040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820607"/>
        <c:crosses val="autoZero"/>
        <c:crossBetween val="midCat"/>
      </c:valAx>
      <c:valAx>
        <c:axId val="1557820607"/>
        <c:scaling>
          <c:logBase val="2"/>
          <c:orientation val="minMax"/>
          <c:max val="0.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</a:t>
                </a:r>
                <a:r>
                  <a:rPr lang="en-US" sz="26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Situ Step Time (s)</a:t>
                </a:r>
                <a:endParaRPr lang="en-US" sz="26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033936501745611E-2"/>
              <c:y val="0.28204228469145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6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6 GPUs/Node particle advection </a:t>
            </a:r>
            <a:r>
              <a:rPr lang="en-US" sz="26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Step</a:t>
            </a:r>
            <a:r>
              <a:rPr lang="en-US" sz="26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times</a:t>
            </a:r>
            <a:endParaRPr lang="en-US" sz="26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26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Markers: Cloverleaf3D (orange), SW4 (blue) </a:t>
            </a:r>
            <a:endParaRPr lang="en-US" sz="26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8790173900044846"/>
          <c:y val="1.7351274303738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ParticlesVsStep!$B$13</c:f>
              <c:strCache>
                <c:ptCount val="1"/>
                <c:pt idx="0">
                  <c:v>Step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13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F4D-764C-9D6A-DE336CB68E57}"/>
              </c:ext>
            </c:extLst>
          </c:dPt>
          <c:dPt>
            <c:idx val="1"/>
            <c:marker>
              <c:symbol val="circle"/>
              <c:size val="13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F4D-764C-9D6A-DE336CB68E57}"/>
              </c:ext>
            </c:extLst>
          </c:dPt>
          <c:dPt>
            <c:idx val="2"/>
            <c:marker>
              <c:symbol val="circle"/>
              <c:size val="13"/>
              <c:spPr>
                <a:solidFill>
                  <a:srgbClr val="FF78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F4D-764C-9D6A-DE336CB68E57}"/>
              </c:ext>
            </c:extLst>
          </c:dPt>
          <c:dPt>
            <c:idx val="3"/>
            <c:marker>
              <c:symbol val="circle"/>
              <c:size val="13"/>
              <c:spPr>
                <a:solidFill>
                  <a:srgbClr val="0600FF"/>
                </a:solidFill>
                <a:ln w="9525">
                  <a:solidFill>
                    <a:srgbClr val="06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F4D-764C-9D6A-DE336CB68E57}"/>
              </c:ext>
            </c:extLst>
          </c:dPt>
          <c:dPt>
            <c:idx val="4"/>
            <c:marker>
              <c:symbol val="circle"/>
              <c:size val="13"/>
              <c:spPr>
                <a:solidFill>
                  <a:srgbClr val="0600FF"/>
                </a:solidFill>
                <a:ln w="9525">
                  <a:solidFill>
                    <a:srgbClr val="06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F4D-764C-9D6A-DE336CB68E57}"/>
              </c:ext>
            </c:extLst>
          </c:dPt>
          <c:dPt>
            <c:idx val="5"/>
            <c:marker>
              <c:symbol val="circle"/>
              <c:size val="13"/>
              <c:spPr>
                <a:solidFill>
                  <a:srgbClr val="0600FF"/>
                </a:solidFill>
                <a:ln w="9525">
                  <a:solidFill>
                    <a:srgbClr val="06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F4D-764C-9D6A-DE336CB68E57}"/>
              </c:ext>
            </c:extLst>
          </c:dPt>
          <c:dPt>
            <c:idx val="6"/>
            <c:marker>
              <c:symbol val="circle"/>
              <c:size val="13"/>
              <c:spPr>
                <a:solidFill>
                  <a:srgbClr val="0600FF"/>
                </a:solidFill>
                <a:ln w="9525">
                  <a:solidFill>
                    <a:srgbClr val="06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F4D-764C-9D6A-DE336CB68E57}"/>
              </c:ext>
            </c:extLst>
          </c:dPt>
          <c:dPt>
            <c:idx val="7"/>
            <c:marker>
              <c:symbol val="circle"/>
              <c:size val="13"/>
              <c:spPr>
                <a:solidFill>
                  <a:srgbClr val="0600FF"/>
                </a:solidFill>
                <a:ln w="9525">
                  <a:solidFill>
                    <a:srgbClr val="06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F4D-764C-9D6A-DE336CB68E57}"/>
              </c:ext>
            </c:extLst>
          </c:dPt>
          <c:dPt>
            <c:idx val="8"/>
            <c:marker>
              <c:symbol val="circle"/>
              <c:size val="13"/>
              <c:spPr>
                <a:solidFill>
                  <a:srgbClr val="0600FF"/>
                </a:solidFill>
                <a:ln w="9525">
                  <a:solidFill>
                    <a:srgbClr val="06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F4D-764C-9D6A-DE336CB68E57}"/>
              </c:ext>
            </c:extLst>
          </c:dPt>
          <c:dPt>
            <c:idx val="9"/>
            <c:marker>
              <c:symbol val="circle"/>
              <c:size val="13"/>
              <c:spPr>
                <a:solidFill>
                  <a:srgbClr val="0600FF"/>
                </a:solidFill>
                <a:ln w="9525">
                  <a:solidFill>
                    <a:srgbClr val="06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F4D-764C-9D6A-DE336CB68E57}"/>
              </c:ext>
            </c:extLst>
          </c:dPt>
          <c:dPt>
            <c:idx val="10"/>
            <c:marker>
              <c:symbol val="circle"/>
              <c:size val="13"/>
              <c:spPr>
                <a:solidFill>
                  <a:srgbClr val="FF7800"/>
                </a:solidFill>
                <a:ln w="9525">
                  <a:solidFill>
                    <a:srgbClr val="FF78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F4D-764C-9D6A-DE336CB68E57}"/>
              </c:ext>
            </c:extLst>
          </c:dPt>
          <c:dPt>
            <c:idx val="11"/>
            <c:marker>
              <c:symbol val="circle"/>
              <c:size val="13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F4D-764C-9D6A-DE336CB68E57}"/>
              </c:ext>
            </c:extLst>
          </c:dPt>
          <c:dPt>
            <c:idx val="12"/>
            <c:marker>
              <c:symbol val="circle"/>
              <c:size val="13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F4D-764C-9D6A-DE336CB68E57}"/>
              </c:ext>
            </c:extLst>
          </c:dPt>
          <c:dPt>
            <c:idx val="13"/>
            <c:marker>
              <c:symbol val="circle"/>
              <c:size val="13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F4D-764C-9D6A-DE336CB68E57}"/>
              </c:ext>
            </c:extLst>
          </c:dPt>
          <c:dPt>
            <c:idx val="14"/>
            <c:marker>
              <c:symbol val="circle"/>
              <c:size val="13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F4D-764C-9D6A-DE336CB68E57}"/>
              </c:ext>
            </c:extLst>
          </c:dPt>
          <c:dPt>
            <c:idx val="15"/>
            <c:marker>
              <c:symbol val="circle"/>
              <c:size val="13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F4D-764C-9D6A-DE336CB68E57}"/>
              </c:ext>
            </c:extLst>
          </c:dPt>
          <c:xVal>
            <c:numRef>
              <c:f>ParticlesVsStep!$A$14:$A$29</c:f>
              <c:numCache>
                <c:formatCode>General</c:formatCode>
                <c:ptCount val="16"/>
                <c:pt idx="0">
                  <c:v>1608</c:v>
                </c:pt>
                <c:pt idx="1">
                  <c:v>474</c:v>
                </c:pt>
                <c:pt idx="2">
                  <c:v>186</c:v>
                </c:pt>
                <c:pt idx="3">
                  <c:v>552</c:v>
                </c:pt>
                <c:pt idx="4">
                  <c:v>1326</c:v>
                </c:pt>
                <c:pt idx="5">
                  <c:v>4440</c:v>
                </c:pt>
                <c:pt idx="6">
                  <c:v>66</c:v>
                </c:pt>
                <c:pt idx="7">
                  <c:v>156</c:v>
                </c:pt>
                <c:pt idx="8">
                  <c:v>540</c:v>
                </c:pt>
                <c:pt idx="9">
                  <c:v>1278</c:v>
                </c:pt>
                <c:pt idx="10">
                  <c:v>1608</c:v>
                </c:pt>
                <c:pt idx="11">
                  <c:v>1608</c:v>
                </c:pt>
                <c:pt idx="12">
                  <c:v>474</c:v>
                </c:pt>
                <c:pt idx="13">
                  <c:v>474</c:v>
                </c:pt>
                <c:pt idx="14">
                  <c:v>186</c:v>
                </c:pt>
                <c:pt idx="15">
                  <c:v>186</c:v>
                </c:pt>
              </c:numCache>
            </c:numRef>
          </c:xVal>
          <c:yVal>
            <c:numRef>
              <c:f>ParticlesVsStep!$B$14:$B$29</c:f>
              <c:numCache>
                <c:formatCode>General</c:formatCode>
                <c:ptCount val="16"/>
                <c:pt idx="0">
                  <c:v>0.38379999999999997</c:v>
                </c:pt>
                <c:pt idx="1">
                  <c:v>0.1628</c:v>
                </c:pt>
                <c:pt idx="2">
                  <c:v>9.2499999999999999E-2</c:v>
                </c:pt>
                <c:pt idx="3">
                  <c:v>4.1000000000000002E-2</c:v>
                </c:pt>
                <c:pt idx="4">
                  <c:v>0.21199999999999999</c:v>
                </c:pt>
                <c:pt idx="5">
                  <c:v>0.33</c:v>
                </c:pt>
                <c:pt idx="6">
                  <c:v>1.9400000000000001E-2</c:v>
                </c:pt>
                <c:pt idx="7">
                  <c:v>2.9499999999999998E-2</c:v>
                </c:pt>
                <c:pt idx="8">
                  <c:v>7.9799999999999996E-2</c:v>
                </c:pt>
                <c:pt idx="9">
                  <c:v>0.20949999999999999</c:v>
                </c:pt>
                <c:pt idx="10">
                  <c:v>0.44750000000000001</c:v>
                </c:pt>
                <c:pt idx="11">
                  <c:v>0.3221</c:v>
                </c:pt>
                <c:pt idx="12">
                  <c:v>0.14979999999999999</c:v>
                </c:pt>
                <c:pt idx="13">
                  <c:v>0.18820000000000001</c:v>
                </c:pt>
                <c:pt idx="14">
                  <c:v>0.1043</c:v>
                </c:pt>
                <c:pt idx="15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D-764C-9D6A-DE336CB68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427871"/>
        <c:axId val="1954965407"/>
      </c:scatterChart>
      <c:valAx>
        <c:axId val="1934427871"/>
        <c:scaling>
          <c:logBase val="2"/>
          <c:orientation val="minMax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sz="26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Particles/Node (x1000)</a:t>
                </a:r>
                <a:endParaRPr lang="en-US" sz="26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898143673677373"/>
              <c:y val="0.9148168328550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965407"/>
        <c:crosses val="autoZero"/>
        <c:crossBetween val="midCat"/>
        <c:minorUnit val="32"/>
      </c:valAx>
      <c:valAx>
        <c:axId val="1954965407"/>
        <c:scaling>
          <c:logBase val="2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</a:t>
                </a:r>
                <a:r>
                  <a:rPr lang="en-US" sz="26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Situ Step Time (s)</a:t>
                </a:r>
                <a:endParaRPr lang="en-US" sz="26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075447646406199E-2"/>
              <c:y val="0.25262516002826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27871"/>
        <c:crosses val="autoZero"/>
        <c:crossBetween val="midCat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SW4 In Situ Encumbrance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ParticlesVsStep!$A$42:$A$48</c:f>
              <c:numCache>
                <c:formatCode>General</c:formatCode>
                <c:ptCount val="7"/>
                <c:pt idx="0">
                  <c:v>552</c:v>
                </c:pt>
                <c:pt idx="1">
                  <c:v>1326</c:v>
                </c:pt>
                <c:pt idx="2">
                  <c:v>4440</c:v>
                </c:pt>
                <c:pt idx="3">
                  <c:v>66</c:v>
                </c:pt>
                <c:pt idx="4">
                  <c:v>156</c:v>
                </c:pt>
                <c:pt idx="5">
                  <c:v>540</c:v>
                </c:pt>
                <c:pt idx="6">
                  <c:v>1278</c:v>
                </c:pt>
              </c:numCache>
            </c:numRef>
          </c:xVal>
          <c:yVal>
            <c:numRef>
              <c:f>ParticlesVsStep!$B$42:$B$48</c:f>
              <c:numCache>
                <c:formatCode>General</c:formatCode>
                <c:ptCount val="7"/>
                <c:pt idx="0">
                  <c:v>4.1000000000000002E-2</c:v>
                </c:pt>
                <c:pt idx="1">
                  <c:v>0.21199999999999999</c:v>
                </c:pt>
                <c:pt idx="2">
                  <c:v>0.33</c:v>
                </c:pt>
                <c:pt idx="3">
                  <c:v>1.9400000000000001E-2</c:v>
                </c:pt>
                <c:pt idx="4">
                  <c:v>2.9499999999999998E-2</c:v>
                </c:pt>
                <c:pt idx="5">
                  <c:v>7.9799999999999996E-2</c:v>
                </c:pt>
                <c:pt idx="6">
                  <c:v>0.20949999999999999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8-0E4C-BEE8-EB8BB8F4D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558639"/>
        <c:axId val="948773119"/>
      </c:scatterChart>
      <c:valAx>
        <c:axId val="948558639"/>
        <c:scaling>
          <c:logBase val="2"/>
          <c:orientation val="minMax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Particles per Node</a:t>
                </a:r>
                <a:r>
                  <a:rPr lang="en-US" sz="1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x1000</a:t>
                </a:r>
                <a:endParaRPr lang="en-US" sz="1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73119"/>
        <c:crosses val="autoZero"/>
        <c:crossBetween val="midCat"/>
      </c:valAx>
      <c:valAx>
        <c:axId val="948773119"/>
        <c:scaling>
          <c:logBase val="2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 Situ Time Per Step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5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 b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Nyx Post Hoc Efficacy</a:t>
            </a:r>
            <a:endParaRPr lang="en-US" sz="2000" b="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 sz="1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2000" b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Encoding: Lagrangian (square), Eulerian (circle) </a:t>
            </a:r>
          </a:p>
          <a:p>
            <a:pPr>
              <a:defRPr sz="1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2000" b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Interval 25 (purple), Interval 50 (red), </a:t>
            </a:r>
          </a:p>
          <a:p>
            <a:pPr>
              <a:defRPr sz="1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2000" b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Interval 100 (cyan), Interval 200 (orange)</a:t>
            </a:r>
            <a:endParaRPr lang="en-US" sz="20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763866112896447"/>
          <c:y val="1.3437394599018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circle"/>
              <c:size val="13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086-FF47-8631-235C63FB41F3}"/>
              </c:ext>
            </c:extLst>
          </c:dPt>
          <c:dPt>
            <c:idx val="1"/>
            <c:marker>
              <c:symbol val="circle"/>
              <c:size val="13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086-FF47-8631-235C63FB41F3}"/>
              </c:ext>
            </c:extLst>
          </c:dPt>
          <c:dPt>
            <c:idx val="2"/>
            <c:marker>
              <c:symbol val="circle"/>
              <c:size val="13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086-FF47-8631-235C63FB41F3}"/>
              </c:ext>
            </c:extLst>
          </c:dPt>
          <c:dPt>
            <c:idx val="3"/>
            <c:marker>
              <c:symbol val="circle"/>
              <c:size val="13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086-FF47-8631-235C63FB41F3}"/>
              </c:ext>
            </c:extLst>
          </c:dPt>
          <c:dPt>
            <c:idx val="7"/>
            <c:marker>
              <c:symbol val="diamond"/>
              <c:size val="10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086-FF47-8631-235C63FB41F3}"/>
              </c:ext>
            </c:extLst>
          </c:dPt>
          <c:dPt>
            <c:idx val="8"/>
            <c:marker>
              <c:symbol val="diamond"/>
              <c:size val="10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086-FF47-8631-235C63FB41F3}"/>
              </c:ext>
            </c:extLst>
          </c:dPt>
          <c:dPt>
            <c:idx val="9"/>
            <c:marker>
              <c:symbol val="diamond"/>
              <c:size val="10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086-FF47-8631-235C63FB41F3}"/>
              </c:ext>
            </c:extLst>
          </c:dPt>
          <c:dPt>
            <c:idx val="13"/>
            <c:marker>
              <c:symbol val="diamond"/>
              <c:size val="10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086-FF47-8631-235C63FB41F3}"/>
              </c:ext>
            </c:extLst>
          </c:dPt>
          <c:dPt>
            <c:idx val="14"/>
            <c:marker>
              <c:symbol val="diamond"/>
              <c:size val="10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086-FF47-8631-235C63FB41F3}"/>
              </c:ext>
            </c:extLst>
          </c:dPt>
          <c:dPt>
            <c:idx val="15"/>
            <c:marker>
              <c:symbol val="diamond"/>
              <c:size val="10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086-FF47-8631-235C63FB41F3}"/>
              </c:ext>
            </c:extLst>
          </c:dPt>
          <c:dPt>
            <c:idx val="16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086-FF47-8631-235C63FB41F3}"/>
              </c:ext>
            </c:extLst>
          </c:dPt>
          <c:dPt>
            <c:idx val="17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086-FF47-8631-235C63FB41F3}"/>
              </c:ext>
            </c:extLst>
          </c:dPt>
          <c:dPt>
            <c:idx val="18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086-FF47-8631-235C63FB41F3}"/>
              </c:ext>
            </c:extLst>
          </c:dPt>
          <c:xVal>
            <c:numRef>
              <c:f>Nyx_InSitu_64!$K$4:$K$22</c:f>
              <c:numCache>
                <c:formatCode>General</c:formatCode>
                <c:ptCount val="19"/>
                <c:pt idx="0">
                  <c:v>2.2954545454545454</c:v>
                </c:pt>
                <c:pt idx="1">
                  <c:v>8.4090909090909083</c:v>
                </c:pt>
                <c:pt idx="2">
                  <c:v>20.454545454545453</c:v>
                </c:pt>
                <c:pt idx="3">
                  <c:v>60.227272727272727</c:v>
                </c:pt>
                <c:pt idx="7">
                  <c:v>11.613636363636363</c:v>
                </c:pt>
                <c:pt idx="8">
                  <c:v>37.272727272727273</c:v>
                </c:pt>
                <c:pt idx="9">
                  <c:v>72.727272727272734</c:v>
                </c:pt>
                <c:pt idx="10">
                  <c:v>13.40909090909091</c:v>
                </c:pt>
                <c:pt idx="11">
                  <c:v>34.772727272727273</c:v>
                </c:pt>
                <c:pt idx="12">
                  <c:v>58.18181818181818</c:v>
                </c:pt>
                <c:pt idx="13">
                  <c:v>15.227272727272728</c:v>
                </c:pt>
                <c:pt idx="14">
                  <c:v>36.13636363636364</c:v>
                </c:pt>
                <c:pt idx="15">
                  <c:v>59.318181818181827</c:v>
                </c:pt>
                <c:pt idx="16">
                  <c:v>23.409090909090907</c:v>
                </c:pt>
                <c:pt idx="17">
                  <c:v>46.36363636363636</c:v>
                </c:pt>
                <c:pt idx="18">
                  <c:v>72.954545454545467</c:v>
                </c:pt>
              </c:numCache>
            </c:numRef>
          </c:xVal>
          <c:yVal>
            <c:numRef>
              <c:f>Nyx_InSitu_64!$L$4:$L$22</c:f>
              <c:numCache>
                <c:formatCode>General</c:formatCode>
                <c:ptCount val="19"/>
                <c:pt idx="0">
                  <c:v>227</c:v>
                </c:pt>
                <c:pt idx="1">
                  <c:v>120</c:v>
                </c:pt>
                <c:pt idx="2">
                  <c:v>67</c:v>
                </c:pt>
                <c:pt idx="3">
                  <c:v>40</c:v>
                </c:pt>
                <c:pt idx="7">
                  <c:v>232</c:v>
                </c:pt>
                <c:pt idx="8">
                  <c:v>27</c:v>
                </c:pt>
                <c:pt idx="9">
                  <c:v>8</c:v>
                </c:pt>
                <c:pt idx="10">
                  <c:v>116</c:v>
                </c:pt>
                <c:pt idx="11">
                  <c:v>14</c:v>
                </c:pt>
                <c:pt idx="12">
                  <c:v>4</c:v>
                </c:pt>
                <c:pt idx="13">
                  <c:v>58</c:v>
                </c:pt>
                <c:pt idx="14">
                  <c:v>7</c:v>
                </c:pt>
                <c:pt idx="15">
                  <c:v>2</c:v>
                </c:pt>
                <c:pt idx="16">
                  <c:v>29</c:v>
                </c:pt>
                <c:pt idx="17">
                  <c:v>3.4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6-FF47-8631-235C63FB4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19551"/>
        <c:axId val="1510440671"/>
      </c:scatterChart>
      <c:valAx>
        <c:axId val="193551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AvgN</a:t>
                </a:r>
                <a:r>
                  <a:rPr lang="en-US" sz="2000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L2</a:t>
                </a:r>
                <a:r>
                  <a:rPr lang="en-US" sz="20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 as % of Cell Side</a:t>
                </a:r>
                <a:endParaRPr lang="en-US" sz="20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1879949162654414"/>
              <c:y val="0.92012895702701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440671"/>
        <c:crosses val="autoZero"/>
        <c:crossBetween val="midCat"/>
      </c:valAx>
      <c:valAx>
        <c:axId val="15104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(MB)</a:t>
                </a:r>
              </a:p>
            </c:rich>
          </c:tx>
          <c:layout>
            <c:manualLayout>
              <c:xMode val="edge"/>
              <c:yMode val="edge"/>
              <c:x val="1.3244710214902991E-2"/>
              <c:y val="0.42741475120443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1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SW4</a:t>
            </a:r>
            <a:r>
              <a:rPr lang="en-US" sz="1400" b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 Post Hoc Efficacy</a:t>
            </a:r>
          </a:p>
          <a:p>
            <a:pPr>
              <a:defRPr/>
            </a:pPr>
            <a:r>
              <a:rPr lang="en-US" sz="1400" b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Markers: Lagrangian (red), Eulerian (blue)</a:t>
            </a:r>
            <a:endParaRPr lang="en-US" sz="14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9912729658792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04139757225128"/>
          <c:y val="0.21601633621810787"/>
          <c:w val="0.76680591119228858"/>
          <c:h val="0.54031392207313489"/>
        </c:manualLayout>
      </c:layout>
      <c:scatterChart>
        <c:scatterStyle val="lineMarker"/>
        <c:varyColors val="1"/>
        <c:ser>
          <c:idx val="0"/>
          <c:order val="0"/>
          <c:spPr>
            <a:ln w="25400">
              <a:noFill/>
            </a:ln>
          </c:spPr>
          <c:marker>
            <c:symbol val="diamond"/>
            <c:size val="7"/>
            <c:spPr>
              <a:solidFill>
                <a:srgbClr val="C00000"/>
              </a:solidFill>
              <a:ln w="2540">
                <a:solidFill>
                  <a:srgbClr val="C00000"/>
                </a:solidFill>
              </a:ln>
            </c:spPr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254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C2-254A-916D-E5CBD20E21FA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chemeClr val="accent1"/>
                </a:solidFill>
                <a:ln w="254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5C2-254A-916D-E5CBD20E21FA}"/>
              </c:ext>
            </c:extLst>
          </c:dPt>
          <c:dPt>
            <c:idx val="2"/>
            <c:marker>
              <c:symbol val="diamond"/>
              <c:size val="7"/>
              <c:spPr>
                <a:solidFill>
                  <a:srgbClr val="C00000"/>
                </a:solidFill>
                <a:ln w="2540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5C2-254A-916D-E5CBD20E21FA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C00000"/>
                </a:solidFill>
                <a:ln w="2540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C2-254A-916D-E5CBD20E21FA}"/>
              </c:ext>
            </c:extLst>
          </c:dPt>
          <c:dPt>
            <c:idx val="4"/>
            <c:marker>
              <c:symbol val="diamond"/>
              <c:size val="7"/>
              <c:spPr>
                <a:solidFill>
                  <a:srgbClr val="C00000"/>
                </a:solidFill>
                <a:ln w="2540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5C2-254A-916D-E5CBD20E21FA}"/>
              </c:ext>
            </c:extLst>
          </c:dPt>
          <c:dPt>
            <c:idx val="5"/>
            <c:marker>
              <c:symbol val="diamond"/>
              <c:size val="7"/>
              <c:spPr>
                <a:solidFill>
                  <a:srgbClr val="C00000"/>
                </a:solidFill>
                <a:ln w="2540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C2-254A-916D-E5CBD20E21FA}"/>
              </c:ext>
            </c:extLst>
          </c:dPt>
          <c:xVal>
            <c:numRef>
              <c:f>SW4_InSitu!$E$33:$E$38</c:f>
              <c:numCache>
                <c:formatCode>General</c:formatCode>
                <c:ptCount val="6"/>
                <c:pt idx="0">
                  <c:v>3.57</c:v>
                </c:pt>
                <c:pt idx="1">
                  <c:v>5.04</c:v>
                </c:pt>
                <c:pt idx="2">
                  <c:v>1.2E-2</c:v>
                </c:pt>
                <c:pt idx="3">
                  <c:v>7.1999999999999998E-3</c:v>
                </c:pt>
                <c:pt idx="4">
                  <c:v>3.3E-3</c:v>
                </c:pt>
                <c:pt idx="5">
                  <c:v>5.0000000000000001E-4</c:v>
                </c:pt>
              </c:numCache>
            </c:numRef>
          </c:xVal>
          <c:yVal>
            <c:numRef>
              <c:f>SW4_InSitu!$F$33:$F$38</c:f>
              <c:numCache>
                <c:formatCode>General</c:formatCode>
                <c:ptCount val="6"/>
                <c:pt idx="0">
                  <c:v>1100</c:v>
                </c:pt>
                <c:pt idx="1">
                  <c:v>550</c:v>
                </c:pt>
                <c:pt idx="2">
                  <c:v>16</c:v>
                </c:pt>
                <c:pt idx="3">
                  <c:v>42</c:v>
                </c:pt>
                <c:pt idx="4">
                  <c:v>158</c:v>
                </c:pt>
                <c:pt idx="5">
                  <c:v>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2-254A-916D-E5CBD20E2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697407"/>
        <c:axId val="1493189631"/>
      </c:scatterChart>
      <c:valAx>
        <c:axId val="148169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AvgN</a:t>
                </a:r>
                <a:r>
                  <a:rPr lang="en-US" sz="1400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L2</a:t>
                </a:r>
                <a:r>
                  <a:rPr lang="en-US" sz="1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en-US" sz="1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89631"/>
        <c:crosses val="autoZero"/>
        <c:crossBetween val="midCat"/>
      </c:valAx>
      <c:valAx>
        <c:axId val="1493189631"/>
        <c:scaling>
          <c:logBase val="10"/>
          <c:orientation val="minMax"/>
          <c:max val="2048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Storage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(MB)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69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SW4  Post Hoc Efficacy</a:t>
            </a:r>
            <a:endParaRPr lang="en-US" sz="16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6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Markers: Lagrangian (red), Eulerian (blue)</a:t>
            </a:r>
            <a:endParaRPr lang="en-US" sz="16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9547480518320531"/>
          <c:y val="2.5011168044523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F91-B542-9465-49DF66D3B4F3}"/>
              </c:ext>
            </c:extLst>
          </c:dPt>
          <c:dPt>
            <c:idx val="3"/>
            <c:marker>
              <c:symbol val="diamond"/>
              <c:size val="8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F91-B542-9465-49DF66D3B4F3}"/>
              </c:ext>
            </c:extLst>
          </c:dPt>
          <c:dPt>
            <c:idx val="4"/>
            <c:marker>
              <c:symbol val="diamond"/>
              <c:size val="8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F91-B542-9465-49DF66D3B4F3}"/>
              </c:ext>
            </c:extLst>
          </c:dPt>
          <c:dPt>
            <c:idx val="5"/>
            <c:marker>
              <c:symbol val="diamond"/>
              <c:size val="8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F91-B542-9465-49DF66D3B4F3}"/>
              </c:ext>
            </c:extLst>
          </c:dPt>
          <c:xVal>
            <c:numRef>
              <c:f>SW4_InSitu!$M$33:$M$38</c:f>
              <c:numCache>
                <c:formatCode>General</c:formatCode>
                <c:ptCount val="6"/>
                <c:pt idx="0">
                  <c:v>0.92248062015503873</c:v>
                </c:pt>
                <c:pt idx="1">
                  <c:v>1.3023255813953489</c:v>
                </c:pt>
                <c:pt idx="2">
                  <c:v>3.1007751937984496E-3</c:v>
                </c:pt>
                <c:pt idx="3">
                  <c:v>1.8604651162790697E-3</c:v>
                </c:pt>
                <c:pt idx="4">
                  <c:v>8.5271317829457361E-4</c:v>
                </c:pt>
                <c:pt idx="5">
                  <c:v>1.2919896640826875E-4</c:v>
                </c:pt>
              </c:numCache>
            </c:numRef>
          </c:xVal>
          <c:yVal>
            <c:numRef>
              <c:f>SW4_InSitu!$N$33:$N$38</c:f>
              <c:numCache>
                <c:formatCode>General</c:formatCode>
                <c:ptCount val="6"/>
                <c:pt idx="0">
                  <c:v>1100</c:v>
                </c:pt>
                <c:pt idx="1">
                  <c:v>550</c:v>
                </c:pt>
                <c:pt idx="2">
                  <c:v>16</c:v>
                </c:pt>
                <c:pt idx="3">
                  <c:v>42</c:v>
                </c:pt>
                <c:pt idx="4">
                  <c:v>158</c:v>
                </c:pt>
                <c:pt idx="5">
                  <c:v>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1-B542-9465-49DF66D3B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86799"/>
        <c:axId val="74151903"/>
      </c:scatterChart>
      <c:valAx>
        <c:axId val="1093867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AvgN</a:t>
                </a:r>
                <a:r>
                  <a:rPr lang="en-US" sz="1600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L2 </a:t>
                </a:r>
                <a:r>
                  <a:rPr lang="en-US" sz="16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Error as % of Cell Side</a:t>
                </a:r>
                <a:endParaRPr lang="en-US" sz="16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51903"/>
        <c:crosses val="autoZero"/>
        <c:crossBetween val="midCat"/>
      </c:valAx>
      <c:valAx>
        <c:axId val="74151903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Storage</a:t>
                </a:r>
                <a:r>
                  <a:rPr lang="en-US" sz="16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en-US" sz="16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41550475162664E-2"/>
              <c:y val="0.24167024711493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Cloverleaf 3D Accuracy-Storage</a:t>
            </a:r>
          </a:p>
          <a:p>
            <a:pPr>
              <a:defRPr sz="1600">
                <a:solidFill>
                  <a:schemeClr val="tx1"/>
                </a:solidFill>
              </a:defRPr>
            </a:pPr>
            <a:r>
              <a:rPr lang="en-US" sz="14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Markers: Lagrangian</a:t>
            </a:r>
            <a:r>
              <a:rPr lang="en-US" sz="14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(red), Eulerian (blue)</a:t>
            </a:r>
            <a:endParaRPr lang="en-US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84474113139483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16646032688604"/>
          <c:y val="0.18962835943746159"/>
          <c:w val="0.7460462741609275"/>
          <c:h val="0.5815102341870391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127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9C9-8F41-847C-92EA64CE8235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9C9-8F41-847C-92EA64CE8235}"/>
              </c:ext>
            </c:extLst>
          </c:dPt>
          <c:dPt>
            <c:idx val="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9C9-8F41-847C-92EA64CE8235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9C9-8F41-847C-92EA64CE8235}"/>
              </c:ext>
            </c:extLst>
          </c:dPt>
          <c:dPt>
            <c:idx val="4"/>
            <c:marker>
              <c:symbol val="diamond"/>
              <c:size val="7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9C9-8F41-847C-92EA64CE8235}"/>
              </c:ext>
            </c:extLst>
          </c:dPt>
          <c:dPt>
            <c:idx val="5"/>
            <c:marker>
              <c:symbol val="diamond"/>
              <c:size val="7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9C9-8F41-847C-92EA64CE8235}"/>
              </c:ext>
            </c:extLst>
          </c:dPt>
          <c:dPt>
            <c:idx val="6"/>
            <c:marker>
              <c:symbol val="diamond"/>
              <c:size val="7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9C9-8F41-847C-92EA64CE8235}"/>
              </c:ext>
            </c:extLst>
          </c:dPt>
          <c:dPt>
            <c:idx val="7"/>
            <c:marker>
              <c:symbol val="diamond"/>
              <c:size val="7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9C9-8F41-847C-92EA64CE8235}"/>
              </c:ext>
            </c:extLst>
          </c:dPt>
          <c:dPt>
            <c:idx val="8"/>
            <c:marker>
              <c:symbol val="diamond"/>
              <c:size val="7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9C9-8F41-847C-92EA64CE8235}"/>
              </c:ext>
            </c:extLst>
          </c:dPt>
          <c:dPt>
            <c:idx val="9"/>
            <c:marker>
              <c:symbol val="diamond"/>
              <c:size val="7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9C9-8F41-847C-92EA64CE8235}"/>
              </c:ext>
            </c:extLst>
          </c:dPt>
          <c:dPt>
            <c:idx val="10"/>
            <c:marker>
              <c:symbol val="diamond"/>
              <c:size val="7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9C9-8F41-847C-92EA64CE8235}"/>
              </c:ext>
            </c:extLst>
          </c:dPt>
          <c:dPt>
            <c:idx val="11"/>
            <c:marker>
              <c:symbol val="diamond"/>
              <c:size val="7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9C9-8F41-847C-92EA64CE8235}"/>
              </c:ext>
            </c:extLst>
          </c:dPt>
          <c:xVal>
            <c:numRef>
              <c:f>Cloverleaf3D_InSitu!$I$24:$I$35</c:f>
              <c:numCache>
                <c:formatCode>General</c:formatCode>
                <c:ptCount val="12"/>
                <c:pt idx="0">
                  <c:v>116.1</c:v>
                </c:pt>
                <c:pt idx="1">
                  <c:v>270.39999999999998</c:v>
                </c:pt>
                <c:pt idx="2">
                  <c:v>426.9</c:v>
                </c:pt>
                <c:pt idx="3">
                  <c:v>18.899999999999999</c:v>
                </c:pt>
                <c:pt idx="4">
                  <c:v>23.8</c:v>
                </c:pt>
                <c:pt idx="5">
                  <c:v>23.5</c:v>
                </c:pt>
                <c:pt idx="6">
                  <c:v>25.6</c:v>
                </c:pt>
                <c:pt idx="7">
                  <c:v>29.1</c:v>
                </c:pt>
                <c:pt idx="8">
                  <c:v>31.3</c:v>
                </c:pt>
                <c:pt idx="9">
                  <c:v>37.799999999999997</c:v>
                </c:pt>
                <c:pt idx="10">
                  <c:v>39</c:v>
                </c:pt>
                <c:pt idx="11">
                  <c:v>41.2</c:v>
                </c:pt>
              </c:numCache>
            </c:numRef>
          </c:xVal>
          <c:yVal>
            <c:numRef>
              <c:f>Cloverleaf3D_InSitu!$J$24:$J$35</c:f>
              <c:numCache>
                <c:formatCode>General</c:formatCode>
                <c:ptCount val="12"/>
                <c:pt idx="0">
                  <c:v>267</c:v>
                </c:pt>
                <c:pt idx="1">
                  <c:v>133</c:v>
                </c:pt>
                <c:pt idx="2">
                  <c:v>95</c:v>
                </c:pt>
                <c:pt idx="3">
                  <c:v>34</c:v>
                </c:pt>
                <c:pt idx="4">
                  <c:v>10</c:v>
                </c:pt>
                <c:pt idx="5">
                  <c:v>4</c:v>
                </c:pt>
                <c:pt idx="6">
                  <c:v>17</c:v>
                </c:pt>
                <c:pt idx="7">
                  <c:v>5.0999999999999996</c:v>
                </c:pt>
                <c:pt idx="8">
                  <c:v>2</c:v>
                </c:pt>
                <c:pt idx="9">
                  <c:v>12</c:v>
                </c:pt>
                <c:pt idx="10">
                  <c:v>3.4</c:v>
                </c:pt>
                <c:pt idx="11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9-8F41-847C-92EA64CE8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15007"/>
        <c:axId val="1933671919"/>
      </c:scatterChart>
      <c:valAx>
        <c:axId val="193421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AvgN</a:t>
                </a:r>
                <a:r>
                  <a:rPr lang="en-US" sz="1400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L2</a:t>
                </a: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 as % of Cell</a:t>
                </a:r>
                <a:r>
                  <a:rPr lang="en-US" sz="1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Side</a:t>
                </a:r>
                <a:endParaRPr lang="en-US" sz="1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71919"/>
        <c:crosses val="autoZero"/>
        <c:crossBetween val="midCat"/>
        <c:majorUnit val="100"/>
      </c:valAx>
      <c:valAx>
        <c:axId val="193367191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Storage (GB)</a:t>
                </a:r>
              </a:p>
            </c:rich>
          </c:tx>
          <c:layout>
            <c:manualLayout>
              <c:xMode val="edge"/>
              <c:yMode val="edge"/>
              <c:x val="3.7410358766026899E-2"/>
              <c:y val="0.22622328284475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1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309602</xdr:colOff>
      <xdr:row>27</xdr:row>
      <xdr:rowOff>22281</xdr:rowOff>
    </xdr:from>
    <xdr:to>
      <xdr:col>33</xdr:col>
      <xdr:colOff>423333</xdr:colOff>
      <xdr:row>55</xdr:row>
      <xdr:rowOff>180172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80746A-0583-2E4D-BB24-073770DD0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757545</xdr:colOff>
      <xdr:row>7</xdr:row>
      <xdr:rowOff>25401</xdr:rowOff>
    </xdr:from>
    <xdr:to>
      <xdr:col>21</xdr:col>
      <xdr:colOff>694268</xdr:colOff>
      <xdr:row>35</xdr:row>
      <xdr:rowOff>170215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9E032C-A382-3348-A50E-264AE7AB7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601133</xdr:colOff>
      <xdr:row>37</xdr:row>
      <xdr:rowOff>50800</xdr:rowOff>
    </xdr:from>
    <xdr:to>
      <xdr:col>10</xdr:col>
      <xdr:colOff>194733</xdr:colOff>
      <xdr:row>50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6CB37-8BF4-AC45-926D-42B573E6B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680357</xdr:colOff>
      <xdr:row>25</xdr:row>
      <xdr:rowOff>68034</xdr:rowOff>
    </xdr:from>
    <xdr:to>
      <xdr:col>23</xdr:col>
      <xdr:colOff>499438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E835C3-BF8E-F644-AD0C-8FD917E29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62001</xdr:colOff>
      <xdr:row>45</xdr:row>
      <xdr:rowOff>38099</xdr:rowOff>
    </xdr:from>
    <xdr:to>
      <xdr:col>4</xdr:col>
      <xdr:colOff>747801</xdr:colOff>
      <xdr:row>56</xdr:row>
      <xdr:rowOff>90423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BFC54A-A7AA-B34B-87E5-5493197CD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464882</xdr:colOff>
      <xdr:row>42</xdr:row>
      <xdr:rowOff>89951</xdr:rowOff>
    </xdr:from>
    <xdr:to>
      <xdr:col>8</xdr:col>
      <xdr:colOff>865703</xdr:colOff>
      <xdr:row>54</xdr:row>
      <xdr:rowOff>210510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047C42-FC7B-7943-8861-4B1909A7E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595632</xdr:colOff>
      <xdr:row>22</xdr:row>
      <xdr:rowOff>65038</xdr:rowOff>
    </xdr:from>
    <xdr:to>
      <xdr:col>18</xdr:col>
      <xdr:colOff>21485</xdr:colOff>
      <xdr:row>33</xdr:row>
      <xdr:rowOff>169449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CD5B1E-236F-C64F-A48B-61700712B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C8BF-825F-0840-A286-09A36956A634}">
  <dimension ref="A1:U31"/>
  <sheetViews>
    <sheetView workbookViewId="0">
      <selection activeCell="D8" sqref="D8"/>
    </sheetView>
  </sheetViews>
  <sheetFormatPr baseColWidth="10" defaultRowHeight="19"/>
  <cols>
    <col min="1" max="1" width="32.1640625" style="4" customWidth="1"/>
    <col min="2" max="2" width="7.33203125" style="4" customWidth="1"/>
    <col min="3" max="3" width="10.83203125" style="4"/>
    <col min="4" max="4" width="9" style="4" customWidth="1"/>
    <col min="5" max="5" width="12" style="4" customWidth="1"/>
    <col min="6" max="7" width="10.83203125" style="4"/>
    <col min="8" max="8" width="5.6640625" style="4" customWidth="1"/>
    <col min="9" max="9" width="18.33203125" style="4" customWidth="1"/>
    <col min="10" max="10" width="12.6640625" style="4" customWidth="1"/>
    <col min="11" max="11" width="15.6640625" style="4" customWidth="1"/>
    <col min="12" max="12" width="10.83203125" style="4"/>
    <col min="13" max="13" width="6.6640625" style="4" customWidth="1"/>
    <col min="14" max="14" width="6" style="4" customWidth="1"/>
    <col min="15" max="15" width="15.6640625" style="4" customWidth="1"/>
    <col min="16" max="16" width="17.1640625" style="4" customWidth="1"/>
    <col min="17" max="17" width="22.33203125" style="4" customWidth="1"/>
    <col min="18" max="16384" width="10.83203125" style="4"/>
  </cols>
  <sheetData>
    <row r="1" spans="1:21">
      <c r="A1" s="4" t="s">
        <v>93</v>
      </c>
    </row>
    <row r="2" spans="1:21">
      <c r="A2" s="4" t="s">
        <v>5</v>
      </c>
      <c r="B2" s="4" t="s">
        <v>24</v>
      </c>
      <c r="C2" s="4" t="s">
        <v>1</v>
      </c>
      <c r="D2" s="4" t="s">
        <v>2</v>
      </c>
      <c r="G2" s="4" t="s">
        <v>107</v>
      </c>
      <c r="H2" s="4" t="s">
        <v>116</v>
      </c>
      <c r="I2" s="4" t="s">
        <v>110</v>
      </c>
      <c r="J2" s="4" t="s">
        <v>9</v>
      </c>
      <c r="K2" s="4" t="s">
        <v>6</v>
      </c>
      <c r="L2" s="4" t="s">
        <v>10</v>
      </c>
      <c r="N2" s="4" t="s">
        <v>141</v>
      </c>
      <c r="O2" s="4" t="s">
        <v>6</v>
      </c>
      <c r="P2" s="5" t="s">
        <v>158</v>
      </c>
      <c r="Q2" s="4" t="s">
        <v>201</v>
      </c>
      <c r="R2" s="4" t="s">
        <v>202</v>
      </c>
    </row>
    <row r="3" spans="1:21">
      <c r="A3" s="5" t="s">
        <v>0</v>
      </c>
      <c r="B3" s="5"/>
    </row>
    <row r="4" spans="1:21">
      <c r="A4" s="4" t="s">
        <v>17</v>
      </c>
      <c r="B4" s="4" t="s">
        <v>25</v>
      </c>
      <c r="C4" s="1">
        <v>48.799100000000003</v>
      </c>
      <c r="D4" s="6" t="s">
        <v>126</v>
      </c>
      <c r="G4" s="1">
        <v>146.39699999999999</v>
      </c>
      <c r="H4" s="4">
        <v>75</v>
      </c>
      <c r="I4" s="4">
        <f>(K4-J4)/H4</f>
        <v>86.234706666666668</v>
      </c>
      <c r="J4" s="4">
        <v>146.39699999999999</v>
      </c>
      <c r="K4" s="1">
        <v>6614</v>
      </c>
      <c r="L4" s="4">
        <f>(J4/K4)*100</f>
        <v>2.2134411853643785</v>
      </c>
      <c r="O4" s="1">
        <f>6600+J4</f>
        <v>6746.3969999999999</v>
      </c>
      <c r="P4" s="4">
        <f>(J4/O4)*100</f>
        <v>2.1700027436867408</v>
      </c>
    </row>
    <row r="6" spans="1:21">
      <c r="E6" s="4" t="s">
        <v>7</v>
      </c>
      <c r="F6" s="4" t="s">
        <v>8</v>
      </c>
    </row>
    <row r="7" spans="1:21">
      <c r="A7" s="5" t="s">
        <v>3</v>
      </c>
      <c r="B7" s="5"/>
      <c r="D7" s="4" t="s">
        <v>72</v>
      </c>
      <c r="E7" s="14"/>
      <c r="F7" s="14"/>
    </row>
    <row r="8" spans="1:21">
      <c r="A8" s="4" t="s">
        <v>18</v>
      </c>
      <c r="B8" s="4" t="s">
        <v>25</v>
      </c>
      <c r="C8" s="4">
        <v>65.004400000000004</v>
      </c>
      <c r="D8" s="4" t="s">
        <v>127</v>
      </c>
      <c r="E8" s="14">
        <v>5.92057E-2</v>
      </c>
      <c r="F8" s="14">
        <v>4.4404199999999996</v>
      </c>
      <c r="G8" s="4">
        <v>195.01300000000001</v>
      </c>
      <c r="H8" s="4">
        <v>75</v>
      </c>
      <c r="I8" s="4">
        <f t="shared" ref="I8:I13" si="0">(K8-J8)/H8</f>
        <v>85.527287733333338</v>
      </c>
      <c r="J8" s="4">
        <f>G8+F8</f>
        <v>199.45341999999999</v>
      </c>
      <c r="K8" s="1">
        <v>6614</v>
      </c>
      <c r="L8" s="4">
        <f>(J8/K8)*100</f>
        <v>3.0156247354097365</v>
      </c>
      <c r="M8" s="7" t="s">
        <v>147</v>
      </c>
      <c r="O8" s="1">
        <f>6621+J8</f>
        <v>6820.4534199999998</v>
      </c>
      <c r="P8" s="4">
        <f t="shared" ref="P8:P13" si="1">(J8/O8)*100</f>
        <v>2.9243425285352949</v>
      </c>
      <c r="Q8" s="14">
        <f>O8-G8</f>
        <v>6625.4404199999999</v>
      </c>
      <c r="R8" s="14">
        <f>(F8/Q8)*100</f>
        <v>6.7020752108733025E-2</v>
      </c>
      <c r="T8" s="4">
        <f>Q8/75</f>
        <v>88.3392056</v>
      </c>
      <c r="U8" s="4">
        <f>(E8/88.3)*100</f>
        <v>6.7050622876557192E-2</v>
      </c>
    </row>
    <row r="9" spans="1:21">
      <c r="A9" s="4" t="s">
        <v>19</v>
      </c>
      <c r="B9" s="4" t="s">
        <v>26</v>
      </c>
      <c r="C9" s="1">
        <v>8.0756399999999999</v>
      </c>
      <c r="D9" s="4" t="s">
        <v>112</v>
      </c>
      <c r="E9" s="14">
        <v>1.02541E-2</v>
      </c>
      <c r="F9" s="14">
        <v>0.76906099999999999</v>
      </c>
      <c r="G9" s="1">
        <v>24.226900000000001</v>
      </c>
      <c r="H9" s="4">
        <v>75</v>
      </c>
      <c r="I9" s="4">
        <f t="shared" si="0"/>
        <v>87.853387186666666</v>
      </c>
      <c r="J9" s="4">
        <f t="shared" ref="J9:J13" si="2">G9+F9</f>
        <v>24.995961000000001</v>
      </c>
      <c r="K9" s="1">
        <v>6614</v>
      </c>
      <c r="L9" s="4">
        <f t="shared" ref="L9:L13" si="3">(J9/K9)*100</f>
        <v>0.37792502267916539</v>
      </c>
      <c r="M9" s="8" t="s">
        <v>147</v>
      </c>
      <c r="O9" s="1">
        <f>6651+J9</f>
        <v>6675.9959609999996</v>
      </c>
      <c r="P9" s="4">
        <f t="shared" si="1"/>
        <v>0.37441546019533312</v>
      </c>
      <c r="Q9" s="14">
        <f t="shared" ref="Q9:Q13" si="4">O9-G9</f>
        <v>6651.769061</v>
      </c>
      <c r="R9" s="14">
        <f t="shared" ref="R9:R13" si="5">(F9/Q9)*100</f>
        <v>1.1561751361890825E-2</v>
      </c>
      <c r="T9" s="4">
        <f>Q9/75</f>
        <v>88.690254146666661</v>
      </c>
      <c r="U9" s="4">
        <f t="shared" ref="U9:U13" si="6">(E9/88.3)*100</f>
        <v>1.1612797281993206E-2</v>
      </c>
    </row>
    <row r="10" spans="1:21">
      <c r="A10" s="4" t="s">
        <v>22</v>
      </c>
      <c r="B10" s="4" t="s">
        <v>27</v>
      </c>
      <c r="C10" s="1">
        <v>2.3639299999999999</v>
      </c>
      <c r="D10" s="4" t="s">
        <v>128</v>
      </c>
      <c r="E10" s="14">
        <v>4.43349E-3</v>
      </c>
      <c r="F10" s="14">
        <v>0.33251199999999997</v>
      </c>
      <c r="G10" s="1">
        <v>7.0917899999999996</v>
      </c>
      <c r="H10" s="4">
        <v>75</v>
      </c>
      <c r="I10" s="4">
        <f t="shared" si="0"/>
        <v>88.087675973333333</v>
      </c>
      <c r="J10" s="4">
        <f t="shared" si="2"/>
        <v>7.424302</v>
      </c>
      <c r="K10" s="1">
        <v>6614</v>
      </c>
      <c r="L10" s="4">
        <f t="shared" si="3"/>
        <v>0.11225131539159358</v>
      </c>
      <c r="M10" s="8" t="s">
        <v>147</v>
      </c>
      <c r="O10" s="1">
        <f>6632+J10</f>
        <v>6639.4243020000004</v>
      </c>
      <c r="P10" s="4">
        <f t="shared" si="1"/>
        <v>0.11182147219847915</v>
      </c>
      <c r="Q10" s="14">
        <f t="shared" si="4"/>
        <v>6632.332512</v>
      </c>
      <c r="R10" s="14">
        <f t="shared" si="5"/>
        <v>5.0135001434017364E-3</v>
      </c>
      <c r="T10" s="4">
        <f>Q10/75</f>
        <v>88.43110016</v>
      </c>
      <c r="U10" s="4">
        <f t="shared" si="6"/>
        <v>5.0209399773499435E-3</v>
      </c>
    </row>
    <row r="11" spans="1:21">
      <c r="A11" s="4" t="s">
        <v>20</v>
      </c>
      <c r="B11" s="4" t="s">
        <v>28</v>
      </c>
      <c r="C11" s="1">
        <v>65.866200000000006</v>
      </c>
      <c r="D11" s="4" t="s">
        <v>129</v>
      </c>
      <c r="E11" s="14">
        <v>6.0026299999999998E-2</v>
      </c>
      <c r="F11" s="14">
        <v>3.0013200000000002</v>
      </c>
      <c r="G11" s="1">
        <v>65.866200000000006</v>
      </c>
      <c r="H11" s="4">
        <v>50</v>
      </c>
      <c r="I11" s="4">
        <f t="shared" si="0"/>
        <v>86.822649600000005</v>
      </c>
      <c r="J11" s="4">
        <f t="shared" si="2"/>
        <v>68.867520000000013</v>
      </c>
      <c r="K11" s="1">
        <v>4410</v>
      </c>
      <c r="L11" s="4">
        <f t="shared" si="3"/>
        <v>1.5616217687074834</v>
      </c>
      <c r="M11" s="8" t="s">
        <v>147</v>
      </c>
      <c r="O11" s="1">
        <f>4419+J11</f>
        <v>4487.8675199999998</v>
      </c>
      <c r="P11" s="4">
        <f t="shared" si="1"/>
        <v>1.534526580677676</v>
      </c>
      <c r="Q11" s="14">
        <f t="shared" si="4"/>
        <v>4422.0013199999994</v>
      </c>
      <c r="R11" s="14">
        <f t="shared" si="5"/>
        <v>6.7872435641878115E-2</v>
      </c>
      <c r="T11" s="4">
        <f>Q11/50</f>
        <v>88.440026399999994</v>
      </c>
      <c r="U11" s="4">
        <f t="shared" si="6"/>
        <v>6.7979954699886741E-2</v>
      </c>
    </row>
    <row r="12" spans="1:21">
      <c r="A12" s="4" t="s">
        <v>21</v>
      </c>
      <c r="B12" s="4" t="s">
        <v>29</v>
      </c>
      <c r="C12" s="1">
        <v>8.2153600000000004</v>
      </c>
      <c r="D12" s="4" t="s">
        <v>112</v>
      </c>
      <c r="E12" s="14">
        <v>1.00436E-2</v>
      </c>
      <c r="F12" s="14">
        <v>0.50217999999999996</v>
      </c>
      <c r="G12" s="1">
        <v>8.2153600000000004</v>
      </c>
      <c r="H12" s="4">
        <v>50</v>
      </c>
      <c r="I12" s="4">
        <f t="shared" si="0"/>
        <v>88.025649200000004</v>
      </c>
      <c r="J12" s="4">
        <f t="shared" si="2"/>
        <v>8.7175399999999996</v>
      </c>
      <c r="K12" s="1">
        <v>4410</v>
      </c>
      <c r="L12" s="4">
        <f t="shared" si="3"/>
        <v>0.19767664399092968</v>
      </c>
      <c r="M12" s="8" t="s">
        <v>147</v>
      </c>
      <c r="O12" s="1">
        <v>4421.3</v>
      </c>
      <c r="P12" s="4">
        <f t="shared" si="1"/>
        <v>0.19717142017053804</v>
      </c>
      <c r="Q12" s="14">
        <f t="shared" si="4"/>
        <v>4413.08464</v>
      </c>
      <c r="R12" s="14">
        <f t="shared" si="5"/>
        <v>1.1379342137430656E-2</v>
      </c>
      <c r="T12" s="4">
        <f>Q12/50</f>
        <v>88.261692800000006</v>
      </c>
      <c r="U12" s="4">
        <f t="shared" si="6"/>
        <v>1.137440543601359E-2</v>
      </c>
    </row>
    <row r="13" spans="1:21">
      <c r="A13" s="4" t="s">
        <v>23</v>
      </c>
      <c r="B13" s="4" t="s">
        <v>30</v>
      </c>
      <c r="C13" s="1">
        <v>2.3382800000000001</v>
      </c>
      <c r="D13" s="4" t="s">
        <v>128</v>
      </c>
      <c r="E13" s="14">
        <v>4.4485100000000001E-3</v>
      </c>
      <c r="F13" s="14">
        <v>0.22242600000000001</v>
      </c>
      <c r="G13" s="1">
        <v>2.3382800000000001</v>
      </c>
      <c r="H13" s="4">
        <v>50</v>
      </c>
      <c r="I13" s="4">
        <f t="shared" si="0"/>
        <v>88.148785879999991</v>
      </c>
      <c r="J13" s="4">
        <f t="shared" si="2"/>
        <v>2.5607060000000001</v>
      </c>
      <c r="K13" s="1">
        <v>4410</v>
      </c>
      <c r="L13" s="4">
        <f t="shared" si="3"/>
        <v>5.8065895691609984E-2</v>
      </c>
      <c r="M13" s="8" t="s">
        <v>147</v>
      </c>
      <c r="O13" s="1">
        <f>4410+J13</f>
        <v>4412.5607060000002</v>
      </c>
      <c r="P13" s="4">
        <f t="shared" si="1"/>
        <v>5.8032198775601389E-2</v>
      </c>
      <c r="Q13" s="14">
        <f t="shared" si="4"/>
        <v>4410.2224260000003</v>
      </c>
      <c r="R13" s="14">
        <f t="shared" si="5"/>
        <v>5.0434190957968699E-3</v>
      </c>
      <c r="T13" s="4">
        <f>Q13/50</f>
        <v>88.20444852</v>
      </c>
      <c r="U13" s="4">
        <f t="shared" si="6"/>
        <v>5.0379501698754247E-3</v>
      </c>
    </row>
    <row r="16" spans="1:21">
      <c r="M16" s="4" t="s">
        <v>115</v>
      </c>
      <c r="N16" s="4" t="s">
        <v>11</v>
      </c>
      <c r="P16" s="4" t="s">
        <v>13</v>
      </c>
    </row>
    <row r="17" spans="1:16">
      <c r="A17" s="5" t="s">
        <v>4</v>
      </c>
      <c r="B17" s="5"/>
    </row>
    <row r="18" spans="1:16">
      <c r="A18" s="4" t="s">
        <v>37</v>
      </c>
      <c r="K18" s="1"/>
      <c r="O18" s="1"/>
    </row>
    <row r="19" spans="1:16">
      <c r="A19" s="4" t="s">
        <v>38</v>
      </c>
      <c r="C19" s="1"/>
      <c r="J19" s="1"/>
      <c r="K19" s="1"/>
      <c r="M19" s="1"/>
      <c r="O19" s="1"/>
    </row>
    <row r="20" spans="1:16">
      <c r="A20" s="4" t="s">
        <v>39</v>
      </c>
      <c r="J20" s="1"/>
      <c r="K20" s="1"/>
      <c r="M20" s="1"/>
      <c r="O20" s="1"/>
    </row>
    <row r="21" spans="1:16">
      <c r="A21" s="4" t="s">
        <v>40</v>
      </c>
      <c r="C21" s="1"/>
      <c r="K21" s="1"/>
      <c r="M21" s="1"/>
      <c r="O21" s="1"/>
    </row>
    <row r="22" spans="1:16">
      <c r="A22" s="4" t="s">
        <v>41</v>
      </c>
      <c r="C22" s="1"/>
      <c r="E22" s="1"/>
      <c r="F22" s="1"/>
      <c r="G22" s="1"/>
      <c r="H22" s="1"/>
      <c r="J22" s="1"/>
      <c r="K22" s="1"/>
      <c r="M22" s="1"/>
      <c r="N22" s="1"/>
      <c r="O22" s="1"/>
      <c r="P22" s="1"/>
    </row>
    <row r="23" spans="1:16">
      <c r="A23" s="4" t="s">
        <v>42</v>
      </c>
      <c r="C23" s="1"/>
      <c r="E23" s="1"/>
      <c r="F23" s="1"/>
      <c r="H23" s="1"/>
      <c r="J23" s="1"/>
      <c r="K23" s="1"/>
      <c r="M23" s="1"/>
      <c r="N23" s="1"/>
      <c r="O23" s="1"/>
      <c r="P23" s="1"/>
    </row>
    <row r="24" spans="1:16">
      <c r="A24" s="4" t="s">
        <v>43</v>
      </c>
      <c r="C24" s="1"/>
      <c r="E24" s="1"/>
      <c r="F24" s="1"/>
      <c r="G24" s="1"/>
      <c r="H24" s="1"/>
      <c r="J24" s="1"/>
      <c r="K24" s="1"/>
      <c r="M24" s="1"/>
      <c r="N24" s="1"/>
      <c r="O24" s="1"/>
      <c r="P24" s="1"/>
    </row>
    <row r="25" spans="1:16">
      <c r="A25" s="4" t="s">
        <v>44</v>
      </c>
      <c r="C25" s="1"/>
      <c r="E25" s="1"/>
      <c r="F25" s="1"/>
      <c r="G25" s="1"/>
      <c r="H25" s="1"/>
      <c r="J25" s="1"/>
      <c r="K25" s="1"/>
      <c r="M25" s="1"/>
      <c r="N25" s="1"/>
      <c r="O25" s="1"/>
      <c r="P25" s="1"/>
    </row>
    <row r="26" spans="1:16">
      <c r="A26" s="4" t="s">
        <v>45</v>
      </c>
      <c r="C26" s="1"/>
      <c r="E26" s="1"/>
      <c r="F26" s="1"/>
      <c r="G26" s="1"/>
      <c r="H26" s="1"/>
      <c r="J26" s="1"/>
      <c r="K26" s="1"/>
      <c r="M26" s="1"/>
      <c r="N26" s="1"/>
      <c r="O26" s="1"/>
      <c r="P26" s="1"/>
    </row>
    <row r="27" spans="1:16">
      <c r="A27" s="4" t="s">
        <v>46</v>
      </c>
      <c r="C27" s="1"/>
      <c r="E27" s="1"/>
      <c r="F27" s="1"/>
      <c r="G27" s="1"/>
      <c r="H27" s="1"/>
      <c r="J27" s="1"/>
      <c r="K27" s="1"/>
      <c r="M27" s="1"/>
      <c r="N27" s="1"/>
      <c r="O27" s="1"/>
      <c r="P27" s="1"/>
    </row>
    <row r="28" spans="1:16">
      <c r="A28" s="4" t="s">
        <v>47</v>
      </c>
      <c r="C28" s="1"/>
      <c r="E28" s="1"/>
      <c r="F28" s="1"/>
      <c r="G28" s="1"/>
      <c r="H28" s="1"/>
      <c r="J28" s="1"/>
      <c r="K28" s="1"/>
      <c r="M28" s="1"/>
      <c r="N28" s="1"/>
      <c r="O28" s="1"/>
      <c r="P28" s="1"/>
    </row>
    <row r="29" spans="1:16">
      <c r="A29" s="4" t="s">
        <v>48</v>
      </c>
      <c r="C29" s="1"/>
      <c r="E29" s="1"/>
      <c r="F29" s="1"/>
      <c r="G29" s="1"/>
      <c r="H29" s="1"/>
      <c r="J29" s="1"/>
      <c r="K29" s="1"/>
      <c r="M29" s="1"/>
      <c r="N29" s="1"/>
      <c r="O29" s="1"/>
      <c r="P29" s="1"/>
    </row>
    <row r="30" spans="1:16">
      <c r="A30" s="4" t="s">
        <v>49</v>
      </c>
      <c r="C30" s="1"/>
      <c r="E30" s="1"/>
      <c r="F30" s="1"/>
      <c r="G30" s="1"/>
      <c r="H30" s="1"/>
      <c r="J30" s="1"/>
      <c r="K30" s="1"/>
      <c r="M30" s="1"/>
      <c r="N30" s="1"/>
      <c r="O30" s="1"/>
      <c r="P30" s="1"/>
    </row>
    <row r="31" spans="1:16">
      <c r="A31" s="4" t="s">
        <v>50</v>
      </c>
      <c r="C31" s="1"/>
      <c r="E31" s="1"/>
      <c r="F31" s="1"/>
      <c r="G31" s="1"/>
      <c r="H31" s="1"/>
      <c r="J31" s="1"/>
      <c r="K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FF5C-0922-954F-9743-6CFC5A5A3C5E}">
  <dimension ref="A1:M33"/>
  <sheetViews>
    <sheetView workbookViewId="0">
      <selection activeCell="B23" sqref="B23"/>
    </sheetView>
  </sheetViews>
  <sheetFormatPr baseColWidth="10" defaultRowHeight="16"/>
  <cols>
    <col min="1" max="1" width="15.83203125" customWidth="1"/>
    <col min="2" max="2" width="16.83203125" customWidth="1"/>
    <col min="3" max="4" width="14.6640625" customWidth="1"/>
    <col min="5" max="5" width="15" customWidth="1"/>
    <col min="6" max="6" width="11.1640625" customWidth="1"/>
    <col min="7" max="7" width="15.83203125" customWidth="1"/>
    <col min="8" max="8" width="43.6640625" customWidth="1"/>
    <col min="9" max="9" width="25.6640625" customWidth="1"/>
    <col min="10" max="10" width="16.1640625" customWidth="1"/>
    <col min="11" max="11" width="17.5" customWidth="1"/>
    <col min="12" max="12" width="9" customWidth="1"/>
  </cols>
  <sheetData>
    <row r="1" spans="1:13">
      <c r="A1" t="s">
        <v>283</v>
      </c>
      <c r="B1" t="s">
        <v>279</v>
      </c>
      <c r="C1" t="s">
        <v>294</v>
      </c>
      <c r="D1" t="s">
        <v>227</v>
      </c>
      <c r="E1" t="s">
        <v>280</v>
      </c>
      <c r="F1" t="s">
        <v>281</v>
      </c>
      <c r="G1" t="s">
        <v>282</v>
      </c>
      <c r="H1" t="s">
        <v>284</v>
      </c>
      <c r="I1" t="s">
        <v>286</v>
      </c>
      <c r="J1" t="s">
        <v>279</v>
      </c>
      <c r="K1" t="s">
        <v>290</v>
      </c>
      <c r="L1" t="s">
        <v>281</v>
      </c>
      <c r="M1" t="s">
        <v>291</v>
      </c>
    </row>
    <row r="2" spans="1:13">
      <c r="A2">
        <v>34</v>
      </c>
      <c r="D2">
        <v>20</v>
      </c>
      <c r="J2" s="21">
        <f>C2</f>
        <v>0</v>
      </c>
      <c r="K2" s="21">
        <f>E2</f>
        <v>0</v>
      </c>
      <c r="L2" s="21">
        <f t="shared" ref="L2:L10" si="0">F2</f>
        <v>0</v>
      </c>
    </row>
    <row r="3" spans="1:13">
      <c r="A3">
        <v>17</v>
      </c>
      <c r="B3">
        <v>180</v>
      </c>
      <c r="C3">
        <v>178</v>
      </c>
      <c r="D3">
        <v>40</v>
      </c>
      <c r="E3">
        <v>124</v>
      </c>
      <c r="F3">
        <v>2.4713299999999999E-3</v>
      </c>
      <c r="G3">
        <f>(B3+E3+F3)*20</f>
        <v>6080.0494265999996</v>
      </c>
      <c r="J3" s="21">
        <f t="shared" ref="J3:J10" si="1">C3</f>
        <v>178</v>
      </c>
      <c r="K3" s="21">
        <f t="shared" ref="K3:K5" si="2">E3</f>
        <v>124</v>
      </c>
      <c r="L3" s="21">
        <f t="shared" si="0"/>
        <v>2.4713299999999999E-3</v>
      </c>
    </row>
    <row r="4" spans="1:13">
      <c r="A4">
        <v>12</v>
      </c>
      <c r="B4">
        <v>176</v>
      </c>
      <c r="D4">
        <v>60</v>
      </c>
      <c r="E4">
        <v>125</v>
      </c>
      <c r="F4">
        <v>2.4499999999999999E-3</v>
      </c>
      <c r="G4">
        <f>(B4+E4+F4)*10</f>
        <v>3010.0245</v>
      </c>
      <c r="J4" s="21">
        <f t="shared" si="1"/>
        <v>0</v>
      </c>
      <c r="K4" s="21">
        <f t="shared" si="2"/>
        <v>125</v>
      </c>
      <c r="L4" s="21">
        <f t="shared" si="0"/>
        <v>2.4499999999999999E-3</v>
      </c>
    </row>
    <row r="5" spans="1:13">
      <c r="A5">
        <v>10</v>
      </c>
      <c r="B5">
        <v>54</v>
      </c>
      <c r="D5">
        <v>20</v>
      </c>
      <c r="E5">
        <v>39.97</v>
      </c>
      <c r="F5">
        <v>1.43351E-3</v>
      </c>
      <c r="J5" s="21">
        <f t="shared" si="1"/>
        <v>0</v>
      </c>
      <c r="K5" s="21">
        <f t="shared" si="2"/>
        <v>39.97</v>
      </c>
      <c r="L5" s="21">
        <f t="shared" si="0"/>
        <v>1.43351E-3</v>
      </c>
    </row>
    <row r="6" spans="1:13">
      <c r="A6">
        <v>5.0999999999999996</v>
      </c>
      <c r="B6">
        <v>53</v>
      </c>
      <c r="C6">
        <v>53</v>
      </c>
      <c r="D6">
        <v>40</v>
      </c>
      <c r="E6">
        <v>39</v>
      </c>
      <c r="F6">
        <v>1.4270999999999999E-3</v>
      </c>
      <c r="G6">
        <f>(B6+E6+F6)*20</f>
        <v>1840.028542</v>
      </c>
      <c r="J6" s="21">
        <f t="shared" si="1"/>
        <v>53</v>
      </c>
      <c r="K6" s="21">
        <f>E6</f>
        <v>39</v>
      </c>
      <c r="L6" s="21">
        <f t="shared" si="0"/>
        <v>1.4270999999999999E-3</v>
      </c>
    </row>
    <row r="7" spans="1:13">
      <c r="A7">
        <v>3.4</v>
      </c>
      <c r="B7">
        <v>52</v>
      </c>
      <c r="D7">
        <v>60</v>
      </c>
      <c r="E7">
        <v>39</v>
      </c>
      <c r="F7">
        <v>1.41394E-3</v>
      </c>
      <c r="G7">
        <f>(B7+E7+F7)*10</f>
        <v>910.01413940000009</v>
      </c>
      <c r="J7" s="21">
        <f t="shared" si="1"/>
        <v>0</v>
      </c>
      <c r="K7" s="21">
        <f t="shared" ref="K7:K10" si="3">E7</f>
        <v>39</v>
      </c>
      <c r="L7" s="21">
        <f t="shared" si="0"/>
        <v>1.41394E-3</v>
      </c>
    </row>
    <row r="8" spans="1:13">
      <c r="A8">
        <v>4</v>
      </c>
      <c r="B8">
        <v>21</v>
      </c>
      <c r="D8">
        <v>20</v>
      </c>
      <c r="E8">
        <v>15</v>
      </c>
      <c r="F8">
        <v>9.3656700000000002E-4</v>
      </c>
      <c r="J8" s="21">
        <f t="shared" si="1"/>
        <v>0</v>
      </c>
      <c r="K8" s="21">
        <f t="shared" si="3"/>
        <v>15</v>
      </c>
      <c r="L8" s="21">
        <f t="shared" si="0"/>
        <v>9.3656700000000002E-4</v>
      </c>
    </row>
    <row r="9" spans="1:13">
      <c r="A9">
        <v>2</v>
      </c>
      <c r="B9">
        <v>21</v>
      </c>
      <c r="C9">
        <v>21</v>
      </c>
      <c r="D9">
        <v>40</v>
      </c>
      <c r="E9">
        <v>14.9</v>
      </c>
      <c r="F9">
        <v>9.3106500000000002E-4</v>
      </c>
      <c r="G9">
        <f>(B9+E9+F9)*20</f>
        <v>718.01862130000006</v>
      </c>
      <c r="J9" s="21">
        <f t="shared" si="1"/>
        <v>21</v>
      </c>
      <c r="K9" s="21">
        <f t="shared" si="3"/>
        <v>14.9</v>
      </c>
      <c r="L9" s="21">
        <f t="shared" si="0"/>
        <v>9.3106500000000002E-4</v>
      </c>
    </row>
    <row r="10" spans="1:13">
      <c r="A10">
        <v>1.3</v>
      </c>
      <c r="B10">
        <v>20</v>
      </c>
      <c r="D10">
        <v>60</v>
      </c>
      <c r="E10">
        <v>14</v>
      </c>
      <c r="F10">
        <v>9.2241999999999997E-4</v>
      </c>
      <c r="G10">
        <f>(B10+E10+F10)*10</f>
        <v>340.00922420000001</v>
      </c>
      <c r="J10" s="21">
        <f t="shared" si="1"/>
        <v>0</v>
      </c>
      <c r="K10" s="21">
        <f t="shared" si="3"/>
        <v>14</v>
      </c>
      <c r="L10" s="21">
        <f t="shared" si="0"/>
        <v>9.2241999999999997E-4</v>
      </c>
    </row>
    <row r="11" spans="1:13">
      <c r="E11" s="23" t="s">
        <v>289</v>
      </c>
    </row>
    <row r="12" spans="1:13" s="22" customFormat="1"/>
    <row r="15" spans="1:13">
      <c r="B15" t="s">
        <v>285</v>
      </c>
      <c r="C15" t="s">
        <v>279</v>
      </c>
      <c r="E15" t="s">
        <v>280</v>
      </c>
      <c r="F15" t="s">
        <v>281</v>
      </c>
      <c r="H15" t="s">
        <v>292</v>
      </c>
    </row>
    <row r="16" spans="1:13">
      <c r="A16">
        <v>1</v>
      </c>
      <c r="J16" s="14">
        <f>C16</f>
        <v>0</v>
      </c>
      <c r="K16" s="14">
        <f>E16</f>
        <v>0</v>
      </c>
      <c r="L16" s="14">
        <f t="shared" ref="L16:L24" si="4">F16</f>
        <v>0</v>
      </c>
    </row>
    <row r="17" spans="1:12">
      <c r="A17">
        <v>2</v>
      </c>
      <c r="B17">
        <v>7244728</v>
      </c>
      <c r="C17" t="s">
        <v>293</v>
      </c>
      <c r="F17">
        <v>2.4698900000000002E-3</v>
      </c>
      <c r="J17" s="14" t="str">
        <f t="shared" ref="J17:J24" si="5">C17</f>
        <v>24.6 s</v>
      </c>
      <c r="K17" s="14">
        <f t="shared" ref="K17:K19" si="6">E17</f>
        <v>0</v>
      </c>
      <c r="L17" s="14">
        <f t="shared" si="4"/>
        <v>2.4698900000000002E-3</v>
      </c>
    </row>
    <row r="18" spans="1:12">
      <c r="A18">
        <v>3</v>
      </c>
      <c r="J18" s="14">
        <f t="shared" si="5"/>
        <v>0</v>
      </c>
      <c r="K18" s="14">
        <f t="shared" si="6"/>
        <v>0</v>
      </c>
      <c r="L18" s="14">
        <f t="shared" si="4"/>
        <v>0</v>
      </c>
    </row>
    <row r="19" spans="1:12">
      <c r="A19">
        <v>4</v>
      </c>
      <c r="J19" s="14">
        <f t="shared" si="5"/>
        <v>0</v>
      </c>
      <c r="K19" s="14">
        <f t="shared" si="6"/>
        <v>0</v>
      </c>
      <c r="L19" s="14">
        <f t="shared" si="4"/>
        <v>0</v>
      </c>
    </row>
    <row r="20" spans="1:12" ht="18">
      <c r="A20">
        <v>5</v>
      </c>
      <c r="B20">
        <v>2139291</v>
      </c>
      <c r="C20" t="s">
        <v>288</v>
      </c>
      <c r="E20" s="1">
        <v>1.25669E-3</v>
      </c>
      <c r="F20">
        <v>1.4188E-3</v>
      </c>
      <c r="J20" s="14" t="str">
        <f t="shared" si="5"/>
        <v>7.05 s</v>
      </c>
      <c r="K20" s="14">
        <f>E20</f>
        <v>1.25669E-3</v>
      </c>
      <c r="L20" s="14">
        <f t="shared" si="4"/>
        <v>1.4188E-3</v>
      </c>
    </row>
    <row r="21" spans="1:12">
      <c r="A21">
        <v>6</v>
      </c>
      <c r="J21" s="14">
        <f t="shared" si="5"/>
        <v>0</v>
      </c>
      <c r="K21" s="14">
        <f t="shared" ref="K21:K24" si="7">E21</f>
        <v>0</v>
      </c>
      <c r="L21" s="14">
        <f t="shared" si="4"/>
        <v>0</v>
      </c>
    </row>
    <row r="22" spans="1:12">
      <c r="A22">
        <v>7</v>
      </c>
      <c r="J22" s="14">
        <f t="shared" si="5"/>
        <v>0</v>
      </c>
      <c r="K22" s="14">
        <f t="shared" si="7"/>
        <v>0</v>
      </c>
      <c r="L22" s="14">
        <f t="shared" si="4"/>
        <v>0</v>
      </c>
    </row>
    <row r="23" spans="1:12">
      <c r="A23">
        <v>8</v>
      </c>
      <c r="B23">
        <v>887112</v>
      </c>
      <c r="C23" t="s">
        <v>287</v>
      </c>
      <c r="F23">
        <v>9.3001200000000003E-4</v>
      </c>
      <c r="J23" s="14" t="str">
        <f t="shared" si="5"/>
        <v>2.895 s</v>
      </c>
      <c r="K23" s="14">
        <f t="shared" si="7"/>
        <v>0</v>
      </c>
      <c r="L23" s="14">
        <f t="shared" si="4"/>
        <v>9.3001200000000003E-4</v>
      </c>
    </row>
    <row r="24" spans="1:12">
      <c r="A24">
        <v>9</v>
      </c>
      <c r="J24" s="14">
        <f t="shared" si="5"/>
        <v>0</v>
      </c>
      <c r="K24" s="14">
        <f t="shared" si="7"/>
        <v>0</v>
      </c>
      <c r="L24" s="14">
        <f t="shared" si="4"/>
        <v>0</v>
      </c>
    </row>
    <row r="25" spans="1:12" s="24" customFormat="1"/>
    <row r="26" spans="1:12">
      <c r="A26" t="s">
        <v>295</v>
      </c>
      <c r="B26" t="s">
        <v>296</v>
      </c>
      <c r="C26" t="s">
        <v>297</v>
      </c>
    </row>
    <row r="27" spans="1:12">
      <c r="A27">
        <v>1000</v>
      </c>
      <c r="B27">
        <v>1.2E-2</v>
      </c>
      <c r="C27">
        <v>0.15</v>
      </c>
    </row>
    <row r="28" spans="1:12">
      <c r="A28">
        <v>10000</v>
      </c>
      <c r="B28">
        <v>6.7000000000000004E-2</v>
      </c>
      <c r="C28" t="s">
        <v>298</v>
      </c>
    </row>
    <row r="29" spans="1:12">
      <c r="A29">
        <v>100000</v>
      </c>
      <c r="B29">
        <v>0.56999999999999995</v>
      </c>
      <c r="C29">
        <v>0.4</v>
      </c>
    </row>
    <row r="30" spans="1:12">
      <c r="A30">
        <v>500000</v>
      </c>
      <c r="B30">
        <v>2.8</v>
      </c>
      <c r="C30">
        <v>1.7</v>
      </c>
    </row>
    <row r="31" spans="1:12">
      <c r="A31">
        <v>1000000</v>
      </c>
      <c r="B31">
        <v>5.6</v>
      </c>
      <c r="C31">
        <v>3.4</v>
      </c>
    </row>
    <row r="32" spans="1:12">
      <c r="A32">
        <v>5000000</v>
      </c>
      <c r="B32">
        <v>28.4</v>
      </c>
      <c r="C32" t="s">
        <v>299</v>
      </c>
    </row>
    <row r="33" spans="1:3">
      <c r="A33">
        <v>10000000</v>
      </c>
      <c r="C33">
        <v>32.6</v>
      </c>
    </row>
  </sheetData>
  <conditionalFormatting sqref="E3:E1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E367-FCEF-7441-9027-C5BF8C9E26DB}">
  <dimension ref="A1:C48"/>
  <sheetViews>
    <sheetView zoomScale="57" zoomScaleNormal="59" workbookViewId="0">
      <selection activeCell="AH20" sqref="AH20"/>
    </sheetView>
  </sheetViews>
  <sheetFormatPr baseColWidth="10" defaultRowHeight="16"/>
  <cols>
    <col min="1" max="1" width="23.5" customWidth="1"/>
  </cols>
  <sheetData>
    <row r="1" spans="1:3">
      <c r="A1" t="s">
        <v>271</v>
      </c>
      <c r="B1" t="s">
        <v>275</v>
      </c>
    </row>
    <row r="2" spans="1:3">
      <c r="A2" t="s">
        <v>277</v>
      </c>
      <c r="B2" t="s">
        <v>276</v>
      </c>
    </row>
    <row r="12" spans="1:3">
      <c r="A12" t="s">
        <v>272</v>
      </c>
      <c r="B12" t="s">
        <v>275</v>
      </c>
    </row>
    <row r="13" spans="1:3">
      <c r="A13" t="s">
        <v>277</v>
      </c>
      <c r="B13" t="s">
        <v>276</v>
      </c>
      <c r="C13" t="s">
        <v>278</v>
      </c>
    </row>
    <row r="14" spans="1:3">
      <c r="A14">
        <f>C14*6</f>
        <v>1608</v>
      </c>
      <c r="B14">
        <v>0.38379999999999997</v>
      </c>
      <c r="C14">
        <v>268</v>
      </c>
    </row>
    <row r="15" spans="1:3">
      <c r="A15">
        <f t="shared" ref="A15:A29" si="0">C15*6</f>
        <v>474</v>
      </c>
      <c r="B15">
        <v>0.1628</v>
      </c>
      <c r="C15">
        <v>79</v>
      </c>
    </row>
    <row r="16" spans="1:3">
      <c r="A16">
        <f t="shared" si="0"/>
        <v>186</v>
      </c>
      <c r="B16">
        <v>9.2499999999999999E-2</v>
      </c>
      <c r="C16">
        <v>31</v>
      </c>
    </row>
    <row r="17" spans="1:3">
      <c r="A17">
        <f t="shared" si="0"/>
        <v>552</v>
      </c>
      <c r="B17">
        <v>4.1000000000000002E-2</v>
      </c>
      <c r="C17">
        <v>92</v>
      </c>
    </row>
    <row r="18" spans="1:3">
      <c r="A18">
        <f t="shared" si="0"/>
        <v>1326</v>
      </c>
      <c r="B18">
        <v>0.21199999999999999</v>
      </c>
      <c r="C18">
        <v>221</v>
      </c>
    </row>
    <row r="19" spans="1:3">
      <c r="A19">
        <f t="shared" si="0"/>
        <v>4440</v>
      </c>
      <c r="B19">
        <v>0.33</v>
      </c>
      <c r="C19">
        <v>740</v>
      </c>
    </row>
    <row r="20" spans="1:3">
      <c r="A20">
        <f t="shared" si="0"/>
        <v>66</v>
      </c>
      <c r="B20">
        <v>1.9400000000000001E-2</v>
      </c>
      <c r="C20">
        <v>11</v>
      </c>
    </row>
    <row r="21" spans="1:3">
      <c r="A21">
        <f t="shared" si="0"/>
        <v>156</v>
      </c>
      <c r="B21">
        <v>2.9499999999999998E-2</v>
      </c>
      <c r="C21">
        <v>26</v>
      </c>
    </row>
    <row r="22" spans="1:3">
      <c r="A22">
        <f t="shared" si="0"/>
        <v>540</v>
      </c>
      <c r="B22">
        <v>7.9799999999999996E-2</v>
      </c>
      <c r="C22">
        <v>90</v>
      </c>
    </row>
    <row r="23" spans="1:3">
      <c r="A23">
        <f t="shared" si="0"/>
        <v>1278</v>
      </c>
      <c r="B23">
        <v>0.20949999999999999</v>
      </c>
      <c r="C23">
        <v>213</v>
      </c>
    </row>
    <row r="24" spans="1:3">
      <c r="A24">
        <f t="shared" si="0"/>
        <v>1608</v>
      </c>
      <c r="B24">
        <v>0.44750000000000001</v>
      </c>
      <c r="C24">
        <v>268</v>
      </c>
    </row>
    <row r="25" spans="1:3">
      <c r="A25">
        <f t="shared" si="0"/>
        <v>1608</v>
      </c>
      <c r="B25">
        <v>0.3221</v>
      </c>
      <c r="C25">
        <v>268</v>
      </c>
    </row>
    <row r="26" spans="1:3">
      <c r="A26">
        <f t="shared" si="0"/>
        <v>474</v>
      </c>
      <c r="B26">
        <v>0.14979999999999999</v>
      </c>
      <c r="C26">
        <v>79</v>
      </c>
    </row>
    <row r="27" spans="1:3">
      <c r="A27">
        <f t="shared" si="0"/>
        <v>474</v>
      </c>
      <c r="B27">
        <v>0.18820000000000001</v>
      </c>
      <c r="C27">
        <v>79</v>
      </c>
    </row>
    <row r="28" spans="1:3">
      <c r="A28">
        <f t="shared" si="0"/>
        <v>186</v>
      </c>
      <c r="B28">
        <v>0.1043</v>
      </c>
      <c r="C28">
        <v>31</v>
      </c>
    </row>
    <row r="29" spans="1:3">
      <c r="A29">
        <f t="shared" si="0"/>
        <v>186</v>
      </c>
      <c r="B29">
        <v>8.3000000000000004E-2</v>
      </c>
      <c r="C29">
        <v>31</v>
      </c>
    </row>
    <row r="32" spans="1:3">
      <c r="A32" t="s">
        <v>273</v>
      </c>
      <c r="B32" t="s">
        <v>274</v>
      </c>
    </row>
    <row r="33" spans="1:3">
      <c r="A33" t="s">
        <v>277</v>
      </c>
      <c r="B33" t="s">
        <v>276</v>
      </c>
    </row>
    <row r="34" spans="1:3">
      <c r="A34">
        <v>274</v>
      </c>
      <c r="B34">
        <v>1.2200000000000001E-2</v>
      </c>
    </row>
    <row r="35" spans="1:3">
      <c r="A35">
        <v>32</v>
      </c>
      <c r="B35">
        <v>3.3E-3</v>
      </c>
    </row>
    <row r="36" spans="1:3">
      <c r="A36">
        <v>9</v>
      </c>
      <c r="B36">
        <v>2.5000000000000001E-3</v>
      </c>
    </row>
    <row r="37" spans="1:3">
      <c r="A37">
        <v>2100</v>
      </c>
      <c r="B37">
        <v>5.96E-2</v>
      </c>
    </row>
    <row r="38" spans="1:3">
      <c r="A38">
        <v>262</v>
      </c>
      <c r="B38">
        <v>1.01E-2</v>
      </c>
    </row>
    <row r="39" spans="1:3">
      <c r="A39">
        <v>32</v>
      </c>
      <c r="B39">
        <v>4.4000000000000003E-3</v>
      </c>
    </row>
    <row r="42" spans="1:3">
      <c r="A42">
        <f t="shared" ref="A42:A48" si="1">C42*6</f>
        <v>552</v>
      </c>
      <c r="B42">
        <v>4.1000000000000002E-2</v>
      </c>
      <c r="C42">
        <v>92</v>
      </c>
    </row>
    <row r="43" spans="1:3">
      <c r="A43">
        <f t="shared" si="1"/>
        <v>1326</v>
      </c>
      <c r="B43">
        <v>0.21199999999999999</v>
      </c>
      <c r="C43">
        <v>221</v>
      </c>
    </row>
    <row r="44" spans="1:3">
      <c r="A44">
        <f t="shared" si="1"/>
        <v>4440</v>
      </c>
      <c r="B44">
        <v>0.33</v>
      </c>
      <c r="C44">
        <v>740</v>
      </c>
    </row>
    <row r="45" spans="1:3">
      <c r="A45">
        <f t="shared" si="1"/>
        <v>66</v>
      </c>
      <c r="B45">
        <v>1.9400000000000001E-2</v>
      </c>
      <c r="C45">
        <v>11</v>
      </c>
    </row>
    <row r="46" spans="1:3">
      <c r="A46">
        <f t="shared" si="1"/>
        <v>156</v>
      </c>
      <c r="B46">
        <v>2.9499999999999998E-2</v>
      </c>
      <c r="C46">
        <v>26</v>
      </c>
    </row>
    <row r="47" spans="1:3">
      <c r="A47">
        <f t="shared" si="1"/>
        <v>540</v>
      </c>
      <c r="B47">
        <v>7.9799999999999996E-2</v>
      </c>
      <c r="C47">
        <v>90</v>
      </c>
    </row>
    <row r="48" spans="1:3">
      <c r="A48">
        <f t="shared" si="1"/>
        <v>1278</v>
      </c>
      <c r="B48">
        <v>0.20949999999999999</v>
      </c>
      <c r="C48">
        <v>213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B3C7-4461-C54A-B808-75B939CFAECB}">
  <dimension ref="A1:X41"/>
  <sheetViews>
    <sheetView zoomScale="59" workbookViewId="0">
      <selection activeCell="Y29" sqref="Y29"/>
    </sheetView>
  </sheetViews>
  <sheetFormatPr baseColWidth="10" defaultRowHeight="19"/>
  <cols>
    <col min="1" max="1" width="39.1640625" style="4" customWidth="1"/>
    <col min="2" max="2" width="11" style="4" customWidth="1"/>
    <col min="3" max="3" width="10.83203125" style="4"/>
    <col min="4" max="4" width="14.83203125" style="4" customWidth="1"/>
    <col min="5" max="7" width="10.83203125" style="4"/>
    <col min="8" max="8" width="13.83203125" style="4" customWidth="1"/>
    <col min="9" max="9" width="19" style="4" customWidth="1"/>
    <col min="10" max="10" width="18.33203125" style="4" customWidth="1"/>
    <col min="11" max="13" width="9.83203125" style="17" customWidth="1"/>
    <col min="14" max="14" width="9.83203125" style="4" customWidth="1"/>
    <col min="15" max="15" width="18.33203125" style="4" customWidth="1"/>
    <col min="16" max="16" width="10.83203125" style="4"/>
    <col min="17" max="17" width="12.6640625" style="4" customWidth="1"/>
    <col min="18" max="18" width="15.6640625" style="4" customWidth="1"/>
    <col min="19" max="19" width="10.83203125" style="4"/>
    <col min="20" max="20" width="16.6640625" style="4" customWidth="1"/>
    <col min="21" max="16384" width="10.83203125" style="4"/>
  </cols>
  <sheetData>
    <row r="1" spans="1:24">
      <c r="A1" s="4" t="s">
        <v>93</v>
      </c>
      <c r="H1" s="4" t="s">
        <v>259</v>
      </c>
    </row>
    <row r="2" spans="1:24">
      <c r="A2" s="4" t="s">
        <v>5</v>
      </c>
      <c r="B2" s="4" t="s">
        <v>24</v>
      </c>
      <c r="C2" s="4" t="s">
        <v>1</v>
      </c>
      <c r="D2" s="4" t="s">
        <v>2</v>
      </c>
      <c r="G2" s="4" t="s">
        <v>107</v>
      </c>
      <c r="H2" s="4" t="s">
        <v>234</v>
      </c>
      <c r="J2" s="4" t="s">
        <v>245</v>
      </c>
      <c r="K2" s="17" t="s">
        <v>244</v>
      </c>
      <c r="M2" s="17" t="s">
        <v>234</v>
      </c>
      <c r="N2" s="4" t="s">
        <v>116</v>
      </c>
      <c r="O2" s="4" t="s">
        <v>110</v>
      </c>
      <c r="Q2" s="4" t="s">
        <v>9</v>
      </c>
      <c r="R2" s="4" t="s">
        <v>6</v>
      </c>
      <c r="S2" s="4" t="s">
        <v>10</v>
      </c>
      <c r="T2" s="4" t="s">
        <v>200</v>
      </c>
      <c r="U2" s="4" t="s">
        <v>10</v>
      </c>
    </row>
    <row r="3" spans="1:24">
      <c r="A3" s="5" t="s">
        <v>0</v>
      </c>
      <c r="B3" s="5"/>
      <c r="H3" s="14"/>
      <c r="J3" s="17" t="s">
        <v>270</v>
      </c>
    </row>
    <row r="4" spans="1:24">
      <c r="A4" s="14" t="s">
        <v>17</v>
      </c>
      <c r="B4" s="4" t="s">
        <v>51</v>
      </c>
      <c r="C4" s="2">
        <v>6.5077100000000003</v>
      </c>
      <c r="D4" s="6" t="s">
        <v>111</v>
      </c>
      <c r="G4" s="4">
        <v>110.63</v>
      </c>
      <c r="H4" s="14">
        <v>1.01E-2</v>
      </c>
      <c r="J4" s="14">
        <v>227</v>
      </c>
      <c r="K4" s="14">
        <f t="shared" ref="K4:K5" si="0">(H4/0.44)*100</f>
        <v>2.2954545454545454</v>
      </c>
      <c r="L4" s="14">
        <v>227</v>
      </c>
      <c r="M4" s="14">
        <f>100-K4</f>
        <v>97.704545454545453</v>
      </c>
      <c r="N4" s="4">
        <v>400</v>
      </c>
      <c r="O4" s="4">
        <f>(R4-Q4)/N4</f>
        <v>10.9702020425</v>
      </c>
      <c r="Q4" s="4">
        <v>110.63</v>
      </c>
      <c r="R4" s="3">
        <v>4498.7108170000001</v>
      </c>
      <c r="S4" s="4">
        <f>(Q4/R4)*100</f>
        <v>2.4591489540057716</v>
      </c>
    </row>
    <row r="5" spans="1:24">
      <c r="A5" s="14" t="s">
        <v>238</v>
      </c>
      <c r="C5" s="2"/>
      <c r="D5" s="6"/>
      <c r="H5" s="14">
        <v>3.6999999999999998E-2</v>
      </c>
      <c r="J5" s="14">
        <v>120</v>
      </c>
      <c r="K5" s="14">
        <f t="shared" si="0"/>
        <v>8.4090909090909083</v>
      </c>
      <c r="L5" s="14">
        <v>120</v>
      </c>
      <c r="M5" s="14">
        <f t="shared" ref="M5:M7" si="1">100-K5</f>
        <v>91.590909090909093</v>
      </c>
      <c r="R5" s="3"/>
    </row>
    <row r="6" spans="1:24">
      <c r="A6" s="14" t="s">
        <v>239</v>
      </c>
      <c r="H6" s="14">
        <v>0.09</v>
      </c>
      <c r="J6" s="14">
        <v>67</v>
      </c>
      <c r="K6" s="14">
        <f>(H6/0.44)*100</f>
        <v>20.454545454545453</v>
      </c>
      <c r="L6" s="14">
        <v>67</v>
      </c>
      <c r="M6" s="14">
        <f t="shared" si="1"/>
        <v>79.545454545454547</v>
      </c>
    </row>
    <row r="7" spans="1:24">
      <c r="A7" s="14" t="s">
        <v>98</v>
      </c>
      <c r="H7" s="14">
        <v>0.26500000000000001</v>
      </c>
      <c r="J7" s="14">
        <v>40</v>
      </c>
      <c r="K7" s="14">
        <f>(H7/0.44)*100</f>
        <v>60.227272727272727</v>
      </c>
      <c r="L7" s="14">
        <v>40</v>
      </c>
      <c r="M7" s="14">
        <f t="shared" si="1"/>
        <v>39.772727272727273</v>
      </c>
    </row>
    <row r="8" spans="1:24">
      <c r="A8" s="14"/>
      <c r="H8" s="14"/>
      <c r="J8" s="14"/>
      <c r="K8" s="14"/>
      <c r="L8" s="14"/>
      <c r="M8" s="14"/>
    </row>
    <row r="9" spans="1:24">
      <c r="A9" s="14"/>
      <c r="E9" s="4" t="s">
        <v>7</v>
      </c>
      <c r="F9" s="4" t="s">
        <v>8</v>
      </c>
      <c r="H9" s="14"/>
      <c r="J9" s="14"/>
      <c r="K9" s="14"/>
      <c r="L9" s="14"/>
      <c r="M9" s="14"/>
    </row>
    <row r="10" spans="1:24">
      <c r="A10" s="14" t="s">
        <v>3</v>
      </c>
      <c r="B10" s="5"/>
      <c r="D10" s="4" t="s">
        <v>72</v>
      </c>
      <c r="H10" s="14"/>
      <c r="J10" s="14"/>
      <c r="K10" s="14"/>
      <c r="L10" s="14"/>
      <c r="M10" s="14"/>
    </row>
    <row r="11" spans="1:24">
      <c r="A11" s="14" t="s">
        <v>18</v>
      </c>
      <c r="B11" s="4" t="s">
        <v>52</v>
      </c>
      <c r="C11" s="4">
        <v>8.4977</v>
      </c>
      <c r="D11" s="4" t="s">
        <v>108</v>
      </c>
      <c r="E11" s="14">
        <v>1.3183800000000001E-2</v>
      </c>
      <c r="F11" s="14">
        <v>5.2735399999999997</v>
      </c>
      <c r="G11" s="4">
        <v>135.96299999999999</v>
      </c>
      <c r="H11" s="14">
        <v>5.11E-2</v>
      </c>
      <c r="I11" s="7"/>
      <c r="J11" s="14">
        <v>232</v>
      </c>
      <c r="K11" s="14">
        <f t="shared" ref="K11:K22" si="2">(H11/0.44)*100</f>
        <v>11.613636363636363</v>
      </c>
      <c r="L11" s="14">
        <v>232</v>
      </c>
      <c r="M11" s="14">
        <f t="shared" ref="M11:M22" si="3">100-K11</f>
        <v>88.38636363636364</v>
      </c>
      <c r="N11" s="4">
        <v>400</v>
      </c>
      <c r="O11" s="4">
        <f t="shared" ref="O11:O16" si="4">(R11-Q11)/N11</f>
        <v>10.41795231</v>
      </c>
      <c r="Q11" s="4">
        <f>G11+F11</f>
        <v>141.23653999999999</v>
      </c>
      <c r="R11" s="3">
        <v>4308.4174640000001</v>
      </c>
      <c r="S11" s="4">
        <f>(Q11/R11)*100</f>
        <v>3.278153548957019</v>
      </c>
      <c r="T11" s="14">
        <f>R11-G11</f>
        <v>4172.4544640000004</v>
      </c>
      <c r="U11" s="14">
        <f>(F11/T11)*100</f>
        <v>0.12638939610965635</v>
      </c>
      <c r="W11" s="4">
        <f>T11/400</f>
        <v>10.431136160000001</v>
      </c>
      <c r="X11" s="4">
        <f>(E11/10.9)*100</f>
        <v>0.12095229357798165</v>
      </c>
    </row>
    <row r="12" spans="1:24">
      <c r="A12" s="14" t="s">
        <v>19</v>
      </c>
      <c r="B12" s="4" t="s">
        <v>53</v>
      </c>
      <c r="C12" s="3">
        <v>0.98148100000000005</v>
      </c>
      <c r="D12" s="4" t="s">
        <v>114</v>
      </c>
      <c r="E12" s="14">
        <v>3.3797499999999999E-3</v>
      </c>
      <c r="F12" s="14">
        <v>1.3519000000000001</v>
      </c>
      <c r="G12" s="3">
        <v>15.7037</v>
      </c>
      <c r="H12" s="14">
        <v>0.16400000000000001</v>
      </c>
      <c r="I12" s="7"/>
      <c r="J12" s="14">
        <v>27</v>
      </c>
      <c r="K12" s="14">
        <f t="shared" si="2"/>
        <v>37.272727272727273</v>
      </c>
      <c r="L12" s="14">
        <v>27</v>
      </c>
      <c r="M12" s="14">
        <f t="shared" si="3"/>
        <v>62.727272727272727</v>
      </c>
      <c r="N12" s="4">
        <v>400</v>
      </c>
      <c r="O12" s="4">
        <f t="shared" si="4"/>
        <v>11.089541365000001</v>
      </c>
      <c r="Q12" s="4">
        <f>G12+F12</f>
        <v>17.055599999999998</v>
      </c>
      <c r="R12" s="3">
        <v>4452.8721459999997</v>
      </c>
      <c r="S12" s="4">
        <f t="shared" ref="S12:S17" si="5">(Q12/R12)*100</f>
        <v>0.38302469598910421</v>
      </c>
      <c r="T12" s="14">
        <f t="shared" ref="T12:T16" si="6">R12-G12</f>
        <v>4437.1684459999997</v>
      </c>
      <c r="U12" s="14">
        <f t="shared" ref="U12:U22" si="7">(F12/T12)*100</f>
        <v>3.0467628544025755E-2</v>
      </c>
      <c r="W12" s="4">
        <f t="shared" ref="W12:W22" si="8">T12/400</f>
        <v>11.092921114999999</v>
      </c>
      <c r="X12" s="4">
        <f t="shared" ref="X12:X22" si="9">(E12/10.9)*100</f>
        <v>3.1006880733944951E-2</v>
      </c>
    </row>
    <row r="13" spans="1:24">
      <c r="A13" s="14" t="s">
        <v>22</v>
      </c>
      <c r="B13" s="4" t="s">
        <v>54</v>
      </c>
      <c r="C13" s="3">
        <v>0.29093999999999998</v>
      </c>
      <c r="D13" s="4" t="s">
        <v>113</v>
      </c>
      <c r="E13" s="14">
        <v>2.74998E-3</v>
      </c>
      <c r="F13" s="14">
        <v>1.09999</v>
      </c>
      <c r="G13" s="3">
        <v>4.6550399999999996</v>
      </c>
      <c r="H13" s="14">
        <v>0.32</v>
      </c>
      <c r="I13" s="7"/>
      <c r="J13" s="14">
        <v>8</v>
      </c>
      <c r="K13" s="14">
        <f t="shared" si="2"/>
        <v>72.727272727272734</v>
      </c>
      <c r="L13" s="14">
        <v>8</v>
      </c>
      <c r="M13" s="14">
        <f t="shared" si="3"/>
        <v>27.272727272727266</v>
      </c>
      <c r="N13" s="4">
        <v>400</v>
      </c>
      <c r="O13" s="4">
        <f t="shared" si="4"/>
        <v>11.0829221025</v>
      </c>
      <c r="Q13" s="4">
        <f t="shared" ref="Q13:Q16" si="10">G13+F13</f>
        <v>5.7550299999999996</v>
      </c>
      <c r="R13" s="3">
        <v>4438.923871</v>
      </c>
      <c r="S13" s="4">
        <f t="shared" si="5"/>
        <v>0.12964921605432958</v>
      </c>
      <c r="T13" s="14">
        <f t="shared" si="6"/>
        <v>4434.2688310000003</v>
      </c>
      <c r="U13" s="14">
        <f t="shared" si="7"/>
        <v>2.4806569965040534E-2</v>
      </c>
      <c r="W13" s="4">
        <f t="shared" si="8"/>
        <v>11.0856720775</v>
      </c>
      <c r="X13" s="4">
        <f t="shared" si="9"/>
        <v>2.5229174311926603E-2</v>
      </c>
    </row>
    <row r="14" spans="1:24">
      <c r="A14" s="14" t="s">
        <v>20</v>
      </c>
      <c r="B14" s="4" t="s">
        <v>55</v>
      </c>
      <c r="C14" s="3">
        <v>8.5463400000000007</v>
      </c>
      <c r="D14" s="4" t="s">
        <v>108</v>
      </c>
      <c r="E14" s="14">
        <v>1.3227300000000001E-2</v>
      </c>
      <c r="F14" s="14">
        <v>5.2909100000000002</v>
      </c>
      <c r="G14" s="3">
        <v>68.370699999999999</v>
      </c>
      <c r="H14" s="14">
        <v>5.8999999999999997E-2</v>
      </c>
      <c r="I14" s="7"/>
      <c r="J14" s="14">
        <v>116</v>
      </c>
      <c r="K14" s="14">
        <f t="shared" si="2"/>
        <v>13.40909090909091</v>
      </c>
      <c r="L14" s="14">
        <v>116</v>
      </c>
      <c r="M14" s="14">
        <f t="shared" si="3"/>
        <v>86.590909090909093</v>
      </c>
      <c r="N14" s="4">
        <v>400</v>
      </c>
      <c r="O14" s="4">
        <f t="shared" si="4"/>
        <v>11.063384512499999</v>
      </c>
      <c r="Q14" s="4">
        <f t="shared" si="10"/>
        <v>73.661609999999996</v>
      </c>
      <c r="R14" s="3">
        <v>4499.0154149999998</v>
      </c>
      <c r="S14" s="4">
        <f t="shared" si="5"/>
        <v>1.637282898707294</v>
      </c>
      <c r="T14" s="14">
        <f t="shared" si="6"/>
        <v>4430.6447149999995</v>
      </c>
      <c r="U14" s="14">
        <f t="shared" si="7"/>
        <v>0.11941625520294061</v>
      </c>
      <c r="W14" s="4">
        <f t="shared" si="8"/>
        <v>11.076611787499999</v>
      </c>
      <c r="X14" s="4">
        <f t="shared" si="9"/>
        <v>0.12135137614678898</v>
      </c>
    </row>
    <row r="15" spans="1:24">
      <c r="A15" s="14" t="s">
        <v>21</v>
      </c>
      <c r="B15" s="4" t="s">
        <v>56</v>
      </c>
      <c r="C15" s="3">
        <v>0.977047</v>
      </c>
      <c r="D15" s="4" t="s">
        <v>114</v>
      </c>
      <c r="E15" s="14">
        <v>3.6296900000000001E-3</v>
      </c>
      <c r="F15" s="14">
        <v>1.4518800000000001</v>
      </c>
      <c r="G15" s="3">
        <v>7.8163799999999997</v>
      </c>
      <c r="H15" s="14">
        <v>0.153</v>
      </c>
      <c r="I15" s="7"/>
      <c r="J15" s="14">
        <v>14</v>
      </c>
      <c r="K15" s="14">
        <f t="shared" si="2"/>
        <v>34.772727272727273</v>
      </c>
      <c r="L15" s="14">
        <v>14</v>
      </c>
      <c r="M15" s="14">
        <f t="shared" si="3"/>
        <v>65.22727272727272</v>
      </c>
      <c r="N15" s="4">
        <v>400</v>
      </c>
      <c r="O15" s="4">
        <f t="shared" si="4"/>
        <v>11.3927234525</v>
      </c>
      <c r="Q15" s="4">
        <f t="shared" si="10"/>
        <v>9.2682599999999997</v>
      </c>
      <c r="R15" s="3">
        <v>4566.3576409999996</v>
      </c>
      <c r="S15" s="4">
        <f t="shared" si="5"/>
        <v>0.20296833337763526</v>
      </c>
      <c r="T15" s="14">
        <f t="shared" si="6"/>
        <v>4558.5412609999994</v>
      </c>
      <c r="U15" s="14">
        <f t="shared" si="7"/>
        <v>3.1849662356275434E-2</v>
      </c>
      <c r="W15" s="4">
        <f t="shared" si="8"/>
        <v>11.396353152499998</v>
      </c>
      <c r="X15" s="4">
        <f t="shared" si="9"/>
        <v>3.3299908256880728E-2</v>
      </c>
    </row>
    <row r="16" spans="1:24">
      <c r="A16" s="14" t="s">
        <v>23</v>
      </c>
      <c r="B16" s="4" t="s">
        <v>57</v>
      </c>
      <c r="C16" s="3">
        <v>0.28754800000000003</v>
      </c>
      <c r="D16" s="4" t="s">
        <v>113</v>
      </c>
      <c r="E16" s="14">
        <v>2.54638E-3</v>
      </c>
      <c r="F16" s="14">
        <v>1.0185500000000001</v>
      </c>
      <c r="G16" s="3">
        <v>2.3003800000000001</v>
      </c>
      <c r="H16" s="14">
        <v>0.25600000000000001</v>
      </c>
      <c r="I16" s="7"/>
      <c r="J16" s="14">
        <v>4</v>
      </c>
      <c r="K16" s="14">
        <f t="shared" si="2"/>
        <v>58.18181818181818</v>
      </c>
      <c r="L16" s="14">
        <v>4</v>
      </c>
      <c r="M16" s="14">
        <f t="shared" si="3"/>
        <v>41.81818181818182</v>
      </c>
      <c r="N16" s="4">
        <v>400</v>
      </c>
      <c r="O16" s="4">
        <f t="shared" si="4"/>
        <v>11.301056952499998</v>
      </c>
      <c r="Q16" s="4">
        <f t="shared" si="10"/>
        <v>3.3189299999999999</v>
      </c>
      <c r="R16" s="3">
        <v>4523.7417109999997</v>
      </c>
      <c r="S16" s="4">
        <f t="shared" si="5"/>
        <v>7.3366920837448321E-2</v>
      </c>
      <c r="T16" s="14">
        <f t="shared" si="6"/>
        <v>4521.441331</v>
      </c>
      <c r="U16" s="14">
        <f t="shared" si="7"/>
        <v>2.2527108623893809E-2</v>
      </c>
      <c r="W16" s="4">
        <f t="shared" si="8"/>
        <v>11.303603327499999</v>
      </c>
      <c r="X16" s="4">
        <f t="shared" si="9"/>
        <v>2.3361284403669722E-2</v>
      </c>
    </row>
    <row r="17" spans="1:24">
      <c r="A17" s="14" t="s">
        <v>240</v>
      </c>
      <c r="E17" s="14">
        <v>1.23427E-2</v>
      </c>
      <c r="F17" s="14">
        <v>4.9370900000000004</v>
      </c>
      <c r="H17" s="14">
        <v>6.7000000000000004E-2</v>
      </c>
      <c r="I17" s="19"/>
      <c r="J17" s="14">
        <v>58</v>
      </c>
      <c r="K17" s="14">
        <f t="shared" si="2"/>
        <v>15.227272727272728</v>
      </c>
      <c r="L17" s="14">
        <v>58</v>
      </c>
      <c r="M17" s="14">
        <f t="shared" si="3"/>
        <v>84.772727272727266</v>
      </c>
      <c r="R17" s="4">
        <v>4414</v>
      </c>
      <c r="S17" s="4">
        <f t="shared" si="5"/>
        <v>0</v>
      </c>
      <c r="T17" s="4">
        <v>4414</v>
      </c>
      <c r="U17" s="14">
        <f t="shared" si="7"/>
        <v>0.11185070231082919</v>
      </c>
      <c r="W17" s="4">
        <f t="shared" si="8"/>
        <v>11.035</v>
      </c>
      <c r="X17" s="4">
        <f t="shared" si="9"/>
        <v>0.11323577981651375</v>
      </c>
    </row>
    <row r="18" spans="1:24">
      <c r="A18" s="14" t="s">
        <v>241</v>
      </c>
      <c r="E18" s="14">
        <v>3.4952199999999998E-3</v>
      </c>
      <c r="F18" s="14">
        <v>1.3980900000000001</v>
      </c>
      <c r="H18" s="14">
        <v>0.159</v>
      </c>
      <c r="J18" s="14">
        <v>7</v>
      </c>
      <c r="K18" s="14">
        <f t="shared" si="2"/>
        <v>36.13636363636364</v>
      </c>
      <c r="L18" s="14">
        <v>7</v>
      </c>
      <c r="M18" s="14">
        <f t="shared" si="3"/>
        <v>63.86363636363636</v>
      </c>
      <c r="T18" s="4">
        <v>4389</v>
      </c>
      <c r="U18" s="14">
        <f t="shared" si="7"/>
        <v>3.1854408749145587E-2</v>
      </c>
      <c r="W18" s="4">
        <f t="shared" si="8"/>
        <v>10.9725</v>
      </c>
      <c r="X18" s="4">
        <f t="shared" si="9"/>
        <v>3.2066238532110089E-2</v>
      </c>
    </row>
    <row r="19" spans="1:24">
      <c r="A19" s="14" t="s">
        <v>242</v>
      </c>
      <c r="E19" s="14">
        <v>2.46327E-3</v>
      </c>
      <c r="F19" s="14">
        <v>0.98530700000000004</v>
      </c>
      <c r="H19" s="14">
        <v>0.26100000000000001</v>
      </c>
      <c r="J19" s="14">
        <v>2</v>
      </c>
      <c r="K19" s="14">
        <f t="shared" si="2"/>
        <v>59.318181818181827</v>
      </c>
      <c r="L19" s="14">
        <v>2</v>
      </c>
      <c r="M19" s="14">
        <f t="shared" si="3"/>
        <v>40.681818181818173</v>
      </c>
      <c r="T19" s="4">
        <v>4394</v>
      </c>
      <c r="U19" s="14">
        <f t="shared" si="7"/>
        <v>2.2423918980427858E-2</v>
      </c>
      <c r="W19" s="4">
        <f t="shared" si="8"/>
        <v>10.984999999999999</v>
      </c>
      <c r="X19" s="4">
        <f t="shared" si="9"/>
        <v>2.259880733944954E-2</v>
      </c>
    </row>
    <row r="20" spans="1:24">
      <c r="A20" s="14" t="s">
        <v>243</v>
      </c>
      <c r="E20" s="14">
        <v>1.03683E-2</v>
      </c>
      <c r="F20" s="14">
        <v>4.1473300000000002</v>
      </c>
      <c r="H20" s="14">
        <v>0.10299999999999999</v>
      </c>
      <c r="J20" s="14">
        <v>29</v>
      </c>
      <c r="K20" s="14">
        <f t="shared" si="2"/>
        <v>23.409090909090907</v>
      </c>
      <c r="L20" s="14">
        <v>29</v>
      </c>
      <c r="M20" s="14">
        <f t="shared" si="3"/>
        <v>76.590909090909093</v>
      </c>
      <c r="T20" s="4">
        <v>4378</v>
      </c>
      <c r="U20" s="14">
        <f t="shared" si="7"/>
        <v>9.4731155778894474E-2</v>
      </c>
      <c r="W20" s="4">
        <f t="shared" si="8"/>
        <v>10.945</v>
      </c>
      <c r="X20" s="4">
        <f t="shared" si="9"/>
        <v>9.5122018348623855E-2</v>
      </c>
    </row>
    <row r="21" spans="1:24">
      <c r="A21" s="14" t="s">
        <v>99</v>
      </c>
      <c r="E21" s="14">
        <v>2.9816899999999999E-3</v>
      </c>
      <c r="F21" s="14">
        <v>1.19268</v>
      </c>
      <c r="H21" s="14">
        <v>0.20399999999999999</v>
      </c>
      <c r="J21" s="14">
        <v>3.4</v>
      </c>
      <c r="K21" s="14">
        <f t="shared" si="2"/>
        <v>46.36363636363636</v>
      </c>
      <c r="L21" s="14">
        <v>3.4</v>
      </c>
      <c r="M21" s="14">
        <f t="shared" si="3"/>
        <v>53.63636363636364</v>
      </c>
      <c r="T21" s="4">
        <v>4169</v>
      </c>
      <c r="U21" s="14">
        <f t="shared" si="7"/>
        <v>2.8608299352362677E-2</v>
      </c>
      <c r="W21" s="4">
        <f t="shared" si="8"/>
        <v>10.422499999999999</v>
      </c>
      <c r="X21" s="4">
        <f t="shared" si="9"/>
        <v>2.7354954128440363E-2</v>
      </c>
    </row>
    <row r="22" spans="1:24">
      <c r="A22" s="14" t="s">
        <v>100</v>
      </c>
      <c r="E22" s="14">
        <v>2.3692000000000001E-3</v>
      </c>
      <c r="F22" s="14">
        <v>0.94767999999999997</v>
      </c>
      <c r="H22" s="14">
        <v>0.32100000000000001</v>
      </c>
      <c r="J22" s="14">
        <v>1</v>
      </c>
      <c r="K22" s="14">
        <f t="shared" si="2"/>
        <v>72.954545454545467</v>
      </c>
      <c r="L22" s="14">
        <v>1</v>
      </c>
      <c r="M22" s="14">
        <f t="shared" si="3"/>
        <v>27.045454545454533</v>
      </c>
      <c r="T22" s="4">
        <v>4117</v>
      </c>
      <c r="U22" s="14">
        <f t="shared" si="7"/>
        <v>2.3018702939033273E-2</v>
      </c>
      <c r="W22" s="4">
        <f t="shared" si="8"/>
        <v>10.2925</v>
      </c>
      <c r="X22" s="4">
        <f t="shared" si="9"/>
        <v>2.173577981651376E-2</v>
      </c>
    </row>
    <row r="23" spans="1:24">
      <c r="H23" s="1"/>
      <c r="W23" s="4">
        <f>AVERAGE(W11:W22)</f>
        <v>10.919899801666666</v>
      </c>
    </row>
    <row r="24" spans="1:24">
      <c r="H24" s="1"/>
    </row>
    <row r="26" spans="1:24">
      <c r="H26" s="4" t="s">
        <v>115</v>
      </c>
      <c r="I26" s="4" t="s">
        <v>11</v>
      </c>
      <c r="J26" s="4" t="s">
        <v>12</v>
      </c>
      <c r="K26" s="17" t="s">
        <v>13</v>
      </c>
    </row>
    <row r="27" spans="1:24">
      <c r="A27" s="5" t="s">
        <v>4</v>
      </c>
      <c r="B27" s="5"/>
    </row>
    <row r="28" spans="1:24">
      <c r="A28" s="4" t="s">
        <v>37</v>
      </c>
      <c r="B28" s="4" t="s">
        <v>71</v>
      </c>
      <c r="C28" s="4">
        <v>1.27132</v>
      </c>
      <c r="D28" s="4" t="s">
        <v>117</v>
      </c>
      <c r="E28" s="4">
        <v>1.9664399999999999E-3</v>
      </c>
      <c r="F28" s="4">
        <v>0.78657500000000002</v>
      </c>
      <c r="G28" s="4">
        <v>20.341200000000001</v>
      </c>
      <c r="H28" s="4">
        <v>29242</v>
      </c>
      <c r="I28" s="4">
        <v>7.4952000000000005E-2</v>
      </c>
      <c r="J28" s="3">
        <v>1.66959E-2</v>
      </c>
      <c r="K28" s="17">
        <v>4.5388900000000002E-4</v>
      </c>
      <c r="N28" s="4">
        <v>400</v>
      </c>
      <c r="Q28" s="4">
        <v>22.594100000000001</v>
      </c>
      <c r="R28" s="3">
        <v>4503.49</v>
      </c>
      <c r="S28" s="4">
        <f t="shared" ref="S28:S41" si="11">(Q28/R28)*100</f>
        <v>0.50170201332744169</v>
      </c>
    </row>
    <row r="29" spans="1:24">
      <c r="A29" s="4" t="s">
        <v>38</v>
      </c>
      <c r="B29" s="4" t="s">
        <v>70</v>
      </c>
      <c r="C29" s="3">
        <v>1.2958099999999999</v>
      </c>
      <c r="D29" s="4" t="s">
        <v>117</v>
      </c>
      <c r="E29" s="4">
        <v>1.9154199999999999E-3</v>
      </c>
      <c r="F29" s="4">
        <v>0.76616899999999999</v>
      </c>
      <c r="G29" s="4">
        <v>20.732900000000001</v>
      </c>
      <c r="H29" s="3">
        <v>29761.8</v>
      </c>
      <c r="I29" s="4">
        <v>7.5769500000000004E-2</v>
      </c>
      <c r="J29" s="4">
        <v>1.7178499999999999E-2</v>
      </c>
      <c r="K29" s="17">
        <v>4.4801800000000001E-4</v>
      </c>
      <c r="N29" s="4">
        <v>400</v>
      </c>
      <c r="Q29" s="3">
        <v>22.9862</v>
      </c>
      <c r="R29" s="3">
        <v>4467.41</v>
      </c>
      <c r="S29" s="4">
        <f t="shared" si="11"/>
        <v>0.51453079077138664</v>
      </c>
    </row>
    <row r="30" spans="1:24">
      <c r="A30" s="4" t="s">
        <v>39</v>
      </c>
      <c r="B30" s="4" t="s">
        <v>69</v>
      </c>
      <c r="C30" s="4">
        <v>1.1513</v>
      </c>
      <c r="D30" s="4" t="s">
        <v>118</v>
      </c>
      <c r="E30" s="4">
        <v>1.9759399999999998E-3</v>
      </c>
      <c r="F30" s="4">
        <v>0.79037500000000005</v>
      </c>
      <c r="G30" s="4">
        <v>9.2104400000000002</v>
      </c>
      <c r="H30" s="3">
        <v>26091.200000000001</v>
      </c>
      <c r="I30" s="4">
        <v>7.5232099999999996E-2</v>
      </c>
      <c r="J30" s="4">
        <v>1.6437799999999999E-2</v>
      </c>
      <c r="K30" s="17">
        <v>3.6403500000000002E-4</v>
      </c>
      <c r="N30" s="4">
        <v>400</v>
      </c>
      <c r="Q30" s="3">
        <v>10.7342</v>
      </c>
      <c r="R30" s="3">
        <v>4282.1000000000004</v>
      </c>
      <c r="S30" s="4">
        <f t="shared" si="11"/>
        <v>0.25067607015249527</v>
      </c>
    </row>
    <row r="31" spans="1:24">
      <c r="A31" s="4" t="s">
        <v>40</v>
      </c>
      <c r="B31" s="4" t="s">
        <v>68</v>
      </c>
      <c r="C31" s="3">
        <v>1.1600900000000001</v>
      </c>
      <c r="D31" s="4" t="s">
        <v>119</v>
      </c>
      <c r="E31" s="4">
        <v>1.9648199999999999E-3</v>
      </c>
      <c r="F31" s="4">
        <v>0.78592899999999999</v>
      </c>
      <c r="G31" s="4">
        <v>9.2807399999999998</v>
      </c>
      <c r="H31" s="3">
        <v>26833</v>
      </c>
      <c r="I31" s="4">
        <v>7.5068599999999999E-2</v>
      </c>
      <c r="J31" s="4">
        <v>1.7230200000000001E-2</v>
      </c>
      <c r="K31" s="17">
        <v>4.4113399999999998E-4</v>
      </c>
      <c r="N31" s="4">
        <v>400</v>
      </c>
      <c r="Q31" s="4">
        <v>10.805099999999999</v>
      </c>
      <c r="R31" s="3">
        <v>4464.32</v>
      </c>
      <c r="S31" s="4">
        <f t="shared" si="11"/>
        <v>0.24203238119131246</v>
      </c>
    </row>
    <row r="32" spans="1:24">
      <c r="A32" s="4" t="s">
        <v>41</v>
      </c>
      <c r="B32" s="4" t="s">
        <v>67</v>
      </c>
      <c r="C32" s="3">
        <v>0.36271999999999999</v>
      </c>
      <c r="D32" s="4" t="s">
        <v>120</v>
      </c>
      <c r="E32" s="3">
        <v>1.2510399999999999E-3</v>
      </c>
      <c r="F32" s="3">
        <v>0.50041599999999997</v>
      </c>
      <c r="G32" s="3">
        <v>5.8035199999999998</v>
      </c>
      <c r="H32" s="3">
        <v>8267.6200000000008</v>
      </c>
      <c r="I32" s="3">
        <v>7.5788599999999998E-2</v>
      </c>
      <c r="J32" s="3">
        <v>1.6861600000000001E-2</v>
      </c>
      <c r="K32" s="18">
        <v>1.9176299999999999E-4</v>
      </c>
      <c r="L32" s="18"/>
      <c r="M32" s="18"/>
      <c r="N32" s="3">
        <v>400</v>
      </c>
      <c r="Q32" s="3">
        <v>7.78634</v>
      </c>
      <c r="R32" s="3">
        <v>4498.2700000000004</v>
      </c>
      <c r="S32" s="4">
        <f t="shared" si="11"/>
        <v>0.17309632369777714</v>
      </c>
    </row>
    <row r="33" spans="1:19">
      <c r="A33" s="4" t="s">
        <v>42</v>
      </c>
      <c r="B33" s="4" t="s">
        <v>66</v>
      </c>
      <c r="C33" s="3">
        <v>0.36913299999999999</v>
      </c>
      <c r="D33" s="4" t="s">
        <v>120</v>
      </c>
      <c r="E33" s="3">
        <v>1.2426099999999999E-3</v>
      </c>
      <c r="F33" s="3">
        <v>0.49704399999999999</v>
      </c>
      <c r="G33" s="4">
        <v>5.9061199999999996</v>
      </c>
      <c r="H33" s="3">
        <v>8401.8799999999992</v>
      </c>
      <c r="I33" s="3">
        <v>7.5344099999999997E-2</v>
      </c>
      <c r="J33" s="3">
        <v>1.7127799999999999E-2</v>
      </c>
      <c r="K33" s="18">
        <v>1.9225500000000001E-4</v>
      </c>
      <c r="L33" s="18"/>
      <c r="M33" s="18"/>
      <c r="N33" s="3">
        <v>400</v>
      </c>
      <c r="Q33" s="3">
        <v>7.8827199999999999</v>
      </c>
      <c r="R33" s="3">
        <v>4216.66</v>
      </c>
      <c r="S33" s="4">
        <f t="shared" si="11"/>
        <v>0.18694227184548909</v>
      </c>
    </row>
    <row r="34" spans="1:19">
      <c r="A34" s="4" t="s">
        <v>43</v>
      </c>
      <c r="B34" s="4" t="s">
        <v>65</v>
      </c>
      <c r="C34" s="3">
        <v>1.2156199999999999</v>
      </c>
      <c r="D34" s="4" t="s">
        <v>117</v>
      </c>
      <c r="E34" s="3">
        <v>1.98154E-3</v>
      </c>
      <c r="F34" s="3">
        <v>0.79261400000000004</v>
      </c>
      <c r="G34" s="3">
        <v>19.4499</v>
      </c>
      <c r="H34" s="3">
        <v>28621.9</v>
      </c>
      <c r="I34" s="3">
        <v>1.81792E-2</v>
      </c>
      <c r="J34" s="3">
        <v>1.75441E-2</v>
      </c>
      <c r="K34" s="18">
        <v>4.5126699999999999E-4</v>
      </c>
      <c r="L34" s="18"/>
      <c r="M34" s="18"/>
      <c r="N34" s="3">
        <v>400</v>
      </c>
      <c r="Q34" s="3">
        <v>20.8141</v>
      </c>
      <c r="R34" s="3">
        <v>4512.83</v>
      </c>
      <c r="S34" s="4">
        <f t="shared" si="11"/>
        <v>0.46122056447949511</v>
      </c>
    </row>
    <row r="35" spans="1:19">
      <c r="A35" s="4" t="s">
        <v>44</v>
      </c>
      <c r="B35" s="4" t="s">
        <v>64</v>
      </c>
      <c r="C35" s="3">
        <v>1.2355100000000001</v>
      </c>
      <c r="D35" s="4" t="s">
        <v>119</v>
      </c>
      <c r="E35" s="3">
        <v>1.7128600000000001E-3</v>
      </c>
      <c r="F35" s="3">
        <v>0.68514399999999998</v>
      </c>
      <c r="G35" s="3">
        <v>19.7682</v>
      </c>
      <c r="H35" s="3">
        <v>28808.6</v>
      </c>
      <c r="I35" s="3">
        <v>1.7585E-2</v>
      </c>
      <c r="J35" s="3">
        <v>1.7482299999999999E-2</v>
      </c>
      <c r="K35" s="18">
        <v>4.5228E-4</v>
      </c>
      <c r="L35" s="18"/>
      <c r="M35" s="18"/>
      <c r="N35" s="3">
        <v>400</v>
      </c>
      <c r="Q35" s="3">
        <v>21.014399999999998</v>
      </c>
      <c r="R35" s="3">
        <v>4246.42</v>
      </c>
      <c r="S35" s="4">
        <f t="shared" si="11"/>
        <v>0.49487332859208455</v>
      </c>
    </row>
    <row r="36" spans="1:19">
      <c r="A36" s="4" t="s">
        <v>45</v>
      </c>
      <c r="B36" s="4" t="s">
        <v>63</v>
      </c>
      <c r="C36" s="3">
        <v>1.1234</v>
      </c>
      <c r="D36" s="4" t="s">
        <v>121</v>
      </c>
      <c r="E36" s="3">
        <v>1.8546999999999999E-3</v>
      </c>
      <c r="F36" s="3">
        <v>0.74188100000000001</v>
      </c>
      <c r="G36" s="3">
        <v>8.9872399999999999</v>
      </c>
      <c r="H36" s="3">
        <v>25734.799999999999</v>
      </c>
      <c r="I36" s="3">
        <v>1.7080600000000001E-2</v>
      </c>
      <c r="J36" s="3">
        <v>1.6102600000000002E-2</v>
      </c>
      <c r="K36" s="18">
        <v>4.4590199999999997E-4</v>
      </c>
      <c r="L36" s="18"/>
      <c r="M36" s="18"/>
      <c r="N36" s="3">
        <v>400</v>
      </c>
      <c r="Q36" s="3">
        <v>9.9945900000000005</v>
      </c>
      <c r="R36" s="3">
        <v>4357.59</v>
      </c>
      <c r="S36" s="4">
        <f t="shared" si="11"/>
        <v>0.22936049513607293</v>
      </c>
    </row>
    <row r="37" spans="1:19">
      <c r="A37" s="4" t="s">
        <v>46</v>
      </c>
      <c r="B37" s="4" t="s">
        <v>62</v>
      </c>
      <c r="C37" s="3">
        <v>1.18407</v>
      </c>
      <c r="D37" s="4" t="s">
        <v>121</v>
      </c>
      <c r="E37" s="3">
        <v>1.59688E-3</v>
      </c>
      <c r="F37" s="3">
        <v>0.63875000000000004</v>
      </c>
      <c r="G37" s="3">
        <v>9.4725900000000003</v>
      </c>
      <c r="H37" s="3">
        <v>27213</v>
      </c>
      <c r="I37" s="3">
        <v>1.8489499999999999E-2</v>
      </c>
      <c r="J37" s="3">
        <v>1.7090299999999999E-2</v>
      </c>
      <c r="K37" s="18">
        <v>4.4885299999999998E-4</v>
      </c>
      <c r="L37" s="18"/>
      <c r="M37" s="18"/>
      <c r="N37" s="3">
        <v>400</v>
      </c>
      <c r="Q37" s="3">
        <v>10.396000000000001</v>
      </c>
      <c r="R37" s="3">
        <v>4452.4399999999996</v>
      </c>
      <c r="S37" s="4">
        <f t="shared" si="11"/>
        <v>0.2334899515771128</v>
      </c>
    </row>
    <row r="38" spans="1:19">
      <c r="A38" s="4" t="s">
        <v>47</v>
      </c>
      <c r="B38" s="4" t="s">
        <v>61</v>
      </c>
      <c r="C38" s="3">
        <v>0.753521</v>
      </c>
      <c r="D38" s="4" t="s">
        <v>122</v>
      </c>
      <c r="E38" s="3">
        <v>1.9893900000000002E-3</v>
      </c>
      <c r="F38" s="3">
        <v>0.79575799999999997</v>
      </c>
      <c r="G38" s="3">
        <v>12.0563</v>
      </c>
      <c r="H38" s="3">
        <v>17558.900000000001</v>
      </c>
      <c r="I38" s="3">
        <v>1.7490100000000001E-2</v>
      </c>
      <c r="J38" s="3">
        <v>1.71872E-2</v>
      </c>
      <c r="K38" s="18">
        <v>4.5111800000000003E-4</v>
      </c>
      <c r="L38" s="18"/>
      <c r="M38" s="18"/>
      <c r="N38" s="3">
        <v>400</v>
      </c>
      <c r="Q38" s="3">
        <v>13.4069</v>
      </c>
      <c r="R38" s="3">
        <v>4396.93</v>
      </c>
      <c r="S38" s="4">
        <f t="shared" si="11"/>
        <v>0.30491502025276729</v>
      </c>
    </row>
    <row r="39" spans="1:19">
      <c r="A39" s="4" t="s">
        <v>48</v>
      </c>
      <c r="B39" s="4" t="s">
        <v>60</v>
      </c>
      <c r="C39" s="3">
        <v>0.67621600000000004</v>
      </c>
      <c r="D39" s="4" t="s">
        <v>123</v>
      </c>
      <c r="E39" s="3">
        <v>1.9953000000000002E-3</v>
      </c>
      <c r="F39" s="3">
        <v>0.798122</v>
      </c>
      <c r="G39" s="3">
        <v>10.8195</v>
      </c>
      <c r="H39" s="3">
        <v>15732.6</v>
      </c>
      <c r="I39" s="3">
        <v>1.7798700000000001E-2</v>
      </c>
      <c r="J39" s="3">
        <v>1.6575800000000002E-2</v>
      </c>
      <c r="K39" s="18">
        <v>4.5439599999999998E-4</v>
      </c>
      <c r="L39" s="18"/>
      <c r="M39" s="18"/>
      <c r="N39" s="3">
        <v>400</v>
      </c>
      <c r="Q39" s="3">
        <v>12.1676</v>
      </c>
      <c r="R39" s="3">
        <v>4450.66</v>
      </c>
      <c r="S39" s="4">
        <f t="shared" si="11"/>
        <v>0.27338866595066802</v>
      </c>
    </row>
    <row r="40" spans="1:19">
      <c r="A40" s="4" t="s">
        <v>49</v>
      </c>
      <c r="B40" s="4" t="s">
        <v>59</v>
      </c>
      <c r="C40" s="3">
        <v>0.63919700000000002</v>
      </c>
      <c r="D40" s="4" t="s">
        <v>124</v>
      </c>
      <c r="E40" s="3">
        <v>1.85808E-3</v>
      </c>
      <c r="F40" s="3">
        <v>0.74323399999999995</v>
      </c>
      <c r="G40" s="3">
        <v>5.1135799999999998</v>
      </c>
      <c r="H40" s="3">
        <v>14594.1</v>
      </c>
      <c r="I40" s="3">
        <v>1.8240800000000001E-2</v>
      </c>
      <c r="J40" s="3">
        <v>1.74606E-2</v>
      </c>
      <c r="K40" s="18">
        <v>4.5177299999999999E-4</v>
      </c>
      <c r="L40" s="18"/>
      <c r="M40" s="18"/>
      <c r="N40" s="3">
        <v>400</v>
      </c>
      <c r="Q40" s="3">
        <v>6.1424200000000004</v>
      </c>
      <c r="R40" s="3">
        <v>4361.3999999999996</v>
      </c>
      <c r="S40" s="4">
        <f t="shared" si="11"/>
        <v>0.14083597010134363</v>
      </c>
    </row>
    <row r="41" spans="1:19">
      <c r="A41" s="4" t="s">
        <v>50</v>
      </c>
      <c r="B41" s="4" t="s">
        <v>58</v>
      </c>
      <c r="C41" s="3">
        <v>0.56549700000000003</v>
      </c>
      <c r="D41" s="4" t="s">
        <v>125</v>
      </c>
      <c r="E41" s="3">
        <v>1.9088099999999999E-3</v>
      </c>
      <c r="F41" s="3">
        <v>0.76352299999999995</v>
      </c>
      <c r="G41" s="3">
        <v>4.5239799999999999</v>
      </c>
      <c r="H41" s="3">
        <v>12853.2</v>
      </c>
      <c r="I41" s="3">
        <v>1.7687399999999999E-2</v>
      </c>
      <c r="J41" s="3">
        <v>1.7009799999999999E-2</v>
      </c>
      <c r="K41" s="18">
        <v>4.5430699999999999E-4</v>
      </c>
      <c r="L41" s="18"/>
      <c r="M41" s="18"/>
      <c r="N41" s="3">
        <v>400</v>
      </c>
      <c r="Q41" s="3">
        <v>5.56508</v>
      </c>
      <c r="R41" s="3">
        <v>4325.96</v>
      </c>
      <c r="S41" s="4">
        <f t="shared" si="11"/>
        <v>0.1286438154767959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DE80-7853-5843-98B6-59260631C3EB}">
  <dimension ref="A1:N38"/>
  <sheetViews>
    <sheetView topLeftCell="C39" zoomScale="125" zoomScaleNormal="61" workbookViewId="0">
      <selection activeCell="I45" sqref="I45"/>
    </sheetView>
  </sheetViews>
  <sheetFormatPr baseColWidth="10" defaultRowHeight="19"/>
  <cols>
    <col min="1" max="1" width="39.6640625" style="4" customWidth="1"/>
    <col min="2" max="2" width="13.83203125" style="4" customWidth="1"/>
    <col min="3" max="3" width="20" style="4" customWidth="1"/>
    <col min="4" max="4" width="17.1640625" style="4" customWidth="1"/>
    <col min="5" max="5" width="17.83203125" style="4" customWidth="1"/>
    <col min="6" max="6" width="21" style="4" customWidth="1"/>
    <col min="7" max="7" width="21.1640625" style="4" customWidth="1"/>
    <col min="8" max="8" width="16.5" style="4" customWidth="1"/>
    <col min="9" max="9" width="17" style="4" customWidth="1"/>
    <col min="10" max="10" width="15.6640625" style="4" customWidth="1"/>
    <col min="11" max="11" width="10.83203125" style="4"/>
    <col min="12" max="14" width="18.33203125" style="4" customWidth="1"/>
    <col min="15" max="16384" width="10.83203125" style="4"/>
  </cols>
  <sheetData>
    <row r="1" spans="1:14">
      <c r="A1" s="4" t="s">
        <v>149</v>
      </c>
    </row>
    <row r="2" spans="1:14">
      <c r="A2" s="4" t="s">
        <v>14</v>
      </c>
      <c r="B2" s="4" t="s">
        <v>24</v>
      </c>
      <c r="C2" s="4" t="s">
        <v>1</v>
      </c>
      <c r="D2" s="4" t="s">
        <v>2</v>
      </c>
      <c r="G2" s="4" t="s">
        <v>107</v>
      </c>
      <c r="H2" s="4" t="s">
        <v>9</v>
      </c>
      <c r="I2" s="4" t="s">
        <v>109</v>
      </c>
      <c r="J2" s="4" t="s">
        <v>6</v>
      </c>
      <c r="K2" s="4" t="s">
        <v>10</v>
      </c>
    </row>
    <row r="3" spans="1:14">
      <c r="A3" s="4" t="s">
        <v>0</v>
      </c>
    </row>
    <row r="4" spans="1:14">
      <c r="A4" s="4" t="s">
        <v>98</v>
      </c>
      <c r="B4" s="4" t="s">
        <v>146</v>
      </c>
    </row>
    <row r="6" spans="1:14">
      <c r="E6" s="4" t="s">
        <v>7</v>
      </c>
      <c r="F6" s="4" t="s">
        <v>8</v>
      </c>
    </row>
    <row r="7" spans="1:14">
      <c r="A7" s="4" t="s">
        <v>3</v>
      </c>
      <c r="D7" s="4" t="s">
        <v>72</v>
      </c>
      <c r="L7" s="14" t="s">
        <v>198</v>
      </c>
      <c r="M7" s="14" t="s">
        <v>10</v>
      </c>
    </row>
    <row r="8" spans="1:14">
      <c r="A8" s="4" t="s">
        <v>99</v>
      </c>
      <c r="B8" s="3" t="s">
        <v>134</v>
      </c>
      <c r="C8" s="1">
        <v>3.3397299999999999</v>
      </c>
      <c r="D8" s="4" t="s">
        <v>143</v>
      </c>
      <c r="E8" s="14">
        <v>7.9863299999999998E-2</v>
      </c>
      <c r="F8" s="14">
        <v>207.64500000000001</v>
      </c>
      <c r="G8" s="1">
        <v>43.416499999999999</v>
      </c>
      <c r="H8" s="4">
        <f>G8+F8</f>
        <v>251.06150000000002</v>
      </c>
      <c r="I8" s="4">
        <v>2600</v>
      </c>
      <c r="J8" s="9">
        <v>3406</v>
      </c>
      <c r="L8" s="14">
        <f>J8-G8</f>
        <v>3362.5835000000002</v>
      </c>
      <c r="M8" s="14">
        <f>(F8/L8)*100</f>
        <v>6.1751626390839069</v>
      </c>
    </row>
    <row r="9" spans="1:14">
      <c r="A9" s="4" t="s">
        <v>100</v>
      </c>
      <c r="B9" s="3" t="s">
        <v>135</v>
      </c>
      <c r="C9" s="4">
        <v>0.99713300000000005</v>
      </c>
      <c r="D9" s="4" t="s">
        <v>144</v>
      </c>
      <c r="E9" s="14">
        <v>2.9536699999999999E-2</v>
      </c>
      <c r="F9" s="14">
        <v>76.795400000000001</v>
      </c>
      <c r="G9" s="4">
        <v>12.9627</v>
      </c>
      <c r="H9" s="4">
        <f t="shared" ref="H9:H12" si="0">G9+F9</f>
        <v>89.758099999999999</v>
      </c>
      <c r="I9" s="4">
        <v>2600</v>
      </c>
      <c r="J9" s="4">
        <v>3962</v>
      </c>
      <c r="K9" s="4">
        <f t="shared" ref="K9:K12" si="1">(H9/J9)*100</f>
        <v>2.2654745078243312</v>
      </c>
      <c r="L9" s="14">
        <f t="shared" ref="L9:L12" si="2">J9-G9</f>
        <v>3949.0373</v>
      </c>
      <c r="M9" s="14">
        <f t="shared" ref="M9:M12" si="3">(F9/L9)*100</f>
        <v>1.9446612975775133</v>
      </c>
    </row>
    <row r="10" spans="1:14">
      <c r="A10" s="4" t="s">
        <v>101</v>
      </c>
      <c r="B10" s="4" t="s">
        <v>136</v>
      </c>
      <c r="C10" s="1">
        <v>0.44146600000000003</v>
      </c>
      <c r="D10" s="4" t="s">
        <v>145</v>
      </c>
      <c r="E10" s="14">
        <v>1.9460100000000001E-2</v>
      </c>
      <c r="F10" s="14">
        <v>50.596400000000003</v>
      </c>
      <c r="G10" s="4">
        <v>5.7390600000000003</v>
      </c>
      <c r="H10" s="4">
        <f t="shared" si="0"/>
        <v>56.335460000000005</v>
      </c>
      <c r="I10" s="4">
        <v>2600</v>
      </c>
      <c r="J10" s="4">
        <v>4218</v>
      </c>
      <c r="K10" s="4">
        <f t="shared" si="1"/>
        <v>1.3355964912280702</v>
      </c>
      <c r="L10" s="14">
        <f t="shared" si="2"/>
        <v>4212.2609400000001</v>
      </c>
      <c r="M10" s="14">
        <f t="shared" si="3"/>
        <v>1.2011696502353912</v>
      </c>
    </row>
    <row r="12" spans="1:14" s="7" customFormat="1">
      <c r="A12" s="7" t="s">
        <v>199</v>
      </c>
      <c r="C12" s="8">
        <v>7.7429500000000004</v>
      </c>
      <c r="D12" s="7" t="s">
        <v>150</v>
      </c>
      <c r="E12" s="14">
        <v>0.209511</v>
      </c>
      <c r="F12" s="14">
        <v>251.41300000000001</v>
      </c>
      <c r="G12" s="8">
        <v>46.457700000000003</v>
      </c>
      <c r="H12" s="4">
        <f t="shared" si="0"/>
        <v>297.8707</v>
      </c>
      <c r="I12" s="7">
        <v>1200</v>
      </c>
      <c r="J12" s="4">
        <v>3600</v>
      </c>
      <c r="K12" s="4">
        <f t="shared" si="1"/>
        <v>8.2741861111111099</v>
      </c>
      <c r="L12" s="14">
        <f t="shared" si="2"/>
        <v>3553.5423000000001</v>
      </c>
      <c r="M12" s="14">
        <f t="shared" si="3"/>
        <v>7.0749966871085226</v>
      </c>
    </row>
    <row r="13" spans="1:14">
      <c r="A13" s="15"/>
    </row>
    <row r="14" spans="1:14">
      <c r="L14" s="4" t="s">
        <v>15</v>
      </c>
      <c r="M14" s="4" t="s">
        <v>12</v>
      </c>
      <c r="N14" s="4" t="s">
        <v>13</v>
      </c>
    </row>
    <row r="15" spans="1:14">
      <c r="A15" s="4" t="s">
        <v>4</v>
      </c>
    </row>
    <row r="17" spans="1:14">
      <c r="A17" s="4" t="s">
        <v>195</v>
      </c>
    </row>
    <row r="18" spans="1:14">
      <c r="A18" s="4" t="s">
        <v>194</v>
      </c>
    </row>
    <row r="19" spans="1:14">
      <c r="A19" s="4" t="s">
        <v>192</v>
      </c>
      <c r="B19" s="4" t="s">
        <v>193</v>
      </c>
    </row>
    <row r="20" spans="1:14">
      <c r="A20" s="4">
        <v>2</v>
      </c>
    </row>
    <row r="21" spans="1:14">
      <c r="A21" s="4">
        <v>6</v>
      </c>
    </row>
    <row r="23" spans="1:1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>
      <c r="A24" s="4" t="s">
        <v>203</v>
      </c>
    </row>
    <row r="25" spans="1:14">
      <c r="A25" s="4" t="s">
        <v>204</v>
      </c>
      <c r="B25" s="4" t="s">
        <v>205</v>
      </c>
      <c r="C25" s="4" t="s">
        <v>206</v>
      </c>
      <c r="D25" s="4" t="s">
        <v>210</v>
      </c>
      <c r="E25" s="4" t="s">
        <v>211</v>
      </c>
      <c r="F25" s="4" t="s">
        <v>215</v>
      </c>
      <c r="G25" s="4" t="s">
        <v>213</v>
      </c>
      <c r="H25" s="4" t="s">
        <v>214</v>
      </c>
      <c r="I25" s="4" t="s">
        <v>207</v>
      </c>
      <c r="J25" s="4" t="s">
        <v>212</v>
      </c>
      <c r="K25" s="4" t="s">
        <v>202</v>
      </c>
      <c r="L25" s="4" t="s">
        <v>219</v>
      </c>
    </row>
    <row r="26" spans="1:14">
      <c r="A26" s="4" t="s">
        <v>269</v>
      </c>
      <c r="B26" s="1">
        <v>4.12352E-2</v>
      </c>
      <c r="C26" s="1">
        <v>98.964399999999998</v>
      </c>
      <c r="D26" s="4">
        <v>92610</v>
      </c>
      <c r="E26" s="16">
        <v>555660</v>
      </c>
      <c r="F26" s="4">
        <f>((E26*3*8)+(E26*1))/1000000</f>
        <v>13.891500000000001</v>
      </c>
      <c r="G26" s="4">
        <v>766445</v>
      </c>
      <c r="H26" s="4" t="s">
        <v>216</v>
      </c>
      <c r="I26" s="4">
        <v>848</v>
      </c>
      <c r="J26" s="4">
        <f>I26/2400</f>
        <v>0.35333333333333333</v>
      </c>
      <c r="K26" s="4">
        <f>(C26/I26)*100</f>
        <v>11.670330188679245</v>
      </c>
      <c r="L26" s="4">
        <f>(B26/J26)*100</f>
        <v>11.67033962264151</v>
      </c>
    </row>
    <row r="27" spans="1:14">
      <c r="A27" s="4" t="s">
        <v>208</v>
      </c>
      <c r="B27" s="4">
        <v>0.21252299999999999</v>
      </c>
      <c r="C27" s="4">
        <v>170.01900000000001</v>
      </c>
      <c r="D27" s="4">
        <v>221088</v>
      </c>
      <c r="E27" s="16">
        <v>1326528</v>
      </c>
      <c r="F27" s="4">
        <f>((E27*3*8)+(E27*1))/1000000</f>
        <v>33.163200000000003</v>
      </c>
      <c r="G27" s="1">
        <v>1768704</v>
      </c>
      <c r="H27" s="4" t="s">
        <v>217</v>
      </c>
      <c r="I27" s="4">
        <v>1621</v>
      </c>
      <c r="J27" s="4">
        <f>I27/800</f>
        <v>2.0262500000000001</v>
      </c>
      <c r="K27" s="4">
        <f t="shared" ref="K27:K28" si="4">(C27/I27)*100</f>
        <v>10.488525601480568</v>
      </c>
      <c r="L27" s="4">
        <f t="shared" ref="L27:L28" si="5">(B27/J27)*100</f>
        <v>10.488488587291794</v>
      </c>
    </row>
    <row r="28" spans="1:14">
      <c r="A28" s="4" t="s">
        <v>209</v>
      </c>
      <c r="B28" s="4">
        <v>0.33090000000000003</v>
      </c>
      <c r="C28" s="4">
        <v>66.180000000000007</v>
      </c>
      <c r="D28" s="1">
        <v>740880</v>
      </c>
      <c r="E28" s="16">
        <v>4445280</v>
      </c>
      <c r="F28" s="4">
        <f>((E28*3*8)+(E28*1))/1000000</f>
        <v>111.13200000000001</v>
      </c>
      <c r="G28" s="4">
        <v>5927040</v>
      </c>
      <c r="H28" s="4" t="s">
        <v>218</v>
      </c>
      <c r="I28" s="4">
        <v>1516</v>
      </c>
      <c r="J28" s="4">
        <f t="shared" ref="J28" si="6">I28/200</f>
        <v>7.58</v>
      </c>
      <c r="K28" s="4">
        <f t="shared" si="4"/>
        <v>4.3654353562005284</v>
      </c>
      <c r="L28" s="4">
        <f t="shared" si="5"/>
        <v>4.3654353562005284</v>
      </c>
    </row>
    <row r="29" spans="1:14" s="9" customFormat="1"/>
    <row r="31" spans="1:14">
      <c r="A31" s="4" t="s">
        <v>220</v>
      </c>
    </row>
    <row r="32" spans="1:14">
      <c r="A32" s="4" t="s">
        <v>204</v>
      </c>
      <c r="C32" s="4" t="s">
        <v>226</v>
      </c>
      <c r="D32" s="4" t="s">
        <v>227</v>
      </c>
      <c r="E32" s="4" t="s">
        <v>235</v>
      </c>
    </row>
    <row r="33" spans="1:14">
      <c r="A33" s="4" t="s">
        <v>221</v>
      </c>
      <c r="B33" s="4">
        <v>500</v>
      </c>
      <c r="C33" s="4" t="s">
        <v>229</v>
      </c>
      <c r="D33" s="4">
        <v>250</v>
      </c>
      <c r="E33" s="4">
        <v>3.57</v>
      </c>
      <c r="F33" s="4">
        <v>1100</v>
      </c>
      <c r="H33" s="4">
        <f>(E33/387)*100</f>
        <v>0.92248062015503873</v>
      </c>
      <c r="I33" s="4">
        <f t="shared" ref="I33:I38" si="7">H33*3.98</f>
        <v>3.6714728682170543</v>
      </c>
      <c r="J33" s="4" t="s">
        <v>221</v>
      </c>
      <c r="M33" s="4">
        <f>(E33/387)*100</f>
        <v>0.92248062015503873</v>
      </c>
      <c r="N33" s="4">
        <v>1100</v>
      </c>
    </row>
    <row r="34" spans="1:14">
      <c r="A34" s="4" t="s">
        <v>221</v>
      </c>
      <c r="B34" s="4">
        <v>250</v>
      </c>
      <c r="C34" s="4" t="s">
        <v>228</v>
      </c>
      <c r="D34" s="4">
        <v>500</v>
      </c>
      <c r="E34" s="4">
        <v>5.04</v>
      </c>
      <c r="F34" s="4">
        <v>550</v>
      </c>
      <c r="H34" s="4">
        <f t="shared" ref="H34:H38" si="8">(E34/387)*100</f>
        <v>1.3023255813953489</v>
      </c>
      <c r="I34" s="4">
        <f t="shared" si="7"/>
        <v>5.1832558139534886</v>
      </c>
      <c r="J34" s="4" t="s">
        <v>221</v>
      </c>
      <c r="M34" s="4">
        <f t="shared" ref="M34:M38" si="9">(E34/387)*100</f>
        <v>1.3023255813953489</v>
      </c>
      <c r="N34" s="4">
        <v>550</v>
      </c>
    </row>
    <row r="35" spans="1:14">
      <c r="A35" s="4" t="s">
        <v>222</v>
      </c>
      <c r="B35" s="4">
        <v>4</v>
      </c>
      <c r="C35" s="4" t="s">
        <v>230</v>
      </c>
      <c r="D35" s="4">
        <v>250</v>
      </c>
      <c r="E35" s="4">
        <v>1.2E-2</v>
      </c>
      <c r="F35" s="4">
        <v>16</v>
      </c>
      <c r="H35" s="4">
        <f t="shared" si="8"/>
        <v>3.1007751937984496E-3</v>
      </c>
      <c r="I35" s="4">
        <f t="shared" si="7"/>
        <v>1.2341085271317829E-2</v>
      </c>
      <c r="J35" s="4" t="s">
        <v>222</v>
      </c>
      <c r="M35" s="4">
        <f t="shared" si="9"/>
        <v>3.1007751937984496E-3</v>
      </c>
      <c r="N35" s="4">
        <v>16</v>
      </c>
    </row>
    <row r="36" spans="1:14">
      <c r="A36" s="4" t="s">
        <v>223</v>
      </c>
      <c r="B36" s="4">
        <v>3</v>
      </c>
      <c r="C36" s="4" t="s">
        <v>231</v>
      </c>
      <c r="D36" s="4">
        <v>250</v>
      </c>
      <c r="E36" s="4">
        <v>7.1999999999999998E-3</v>
      </c>
      <c r="F36" s="4">
        <v>42</v>
      </c>
      <c r="H36" s="4">
        <f t="shared" si="8"/>
        <v>1.8604651162790697E-3</v>
      </c>
      <c r="I36" s="4">
        <f t="shared" si="7"/>
        <v>7.4046511627906975E-3</v>
      </c>
      <c r="J36" s="4" t="s">
        <v>223</v>
      </c>
      <c r="M36" s="4">
        <f t="shared" si="9"/>
        <v>1.8604651162790697E-3</v>
      </c>
      <c r="N36" s="4">
        <v>42</v>
      </c>
    </row>
    <row r="37" spans="1:14">
      <c r="A37" s="4" t="s">
        <v>224</v>
      </c>
      <c r="B37" s="4">
        <v>2</v>
      </c>
      <c r="C37" s="4" t="s">
        <v>232</v>
      </c>
      <c r="D37" s="4">
        <v>250</v>
      </c>
      <c r="E37" s="4">
        <v>3.3E-3</v>
      </c>
      <c r="F37" s="4">
        <v>158</v>
      </c>
      <c r="H37" s="4">
        <f t="shared" si="8"/>
        <v>8.5271317829457361E-4</v>
      </c>
      <c r="I37" s="4">
        <f t="shared" si="7"/>
        <v>3.3937984496124028E-3</v>
      </c>
      <c r="J37" s="4" t="s">
        <v>224</v>
      </c>
      <c r="M37" s="4">
        <f t="shared" si="9"/>
        <v>8.5271317829457361E-4</v>
      </c>
      <c r="N37" s="4">
        <v>158</v>
      </c>
    </row>
    <row r="38" spans="1:14">
      <c r="A38" s="4" t="s">
        <v>225</v>
      </c>
      <c r="B38" s="4">
        <v>1</v>
      </c>
      <c r="C38" s="4" t="s">
        <v>233</v>
      </c>
      <c r="D38" s="4">
        <v>250</v>
      </c>
      <c r="E38" s="4">
        <v>5.0000000000000001E-4</v>
      </c>
      <c r="F38" s="4">
        <v>1300</v>
      </c>
      <c r="H38" s="4">
        <f t="shared" si="8"/>
        <v>1.2919896640826875E-4</v>
      </c>
      <c r="I38" s="4">
        <f t="shared" si="7"/>
        <v>5.1421188630490966E-4</v>
      </c>
      <c r="J38" s="4" t="s">
        <v>225</v>
      </c>
      <c r="M38" s="4">
        <f t="shared" si="9"/>
        <v>1.2919896640826875E-4</v>
      </c>
      <c r="N38" s="4">
        <v>1300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6670-DFFB-F74D-A373-200F7CB27FAC}">
  <dimension ref="A1:M28"/>
  <sheetViews>
    <sheetView topLeftCell="D19" zoomScale="118" workbookViewId="0">
      <selection activeCell="I27" sqref="I27"/>
    </sheetView>
  </sheetViews>
  <sheetFormatPr baseColWidth="10" defaultRowHeight="16"/>
  <cols>
    <col min="9" max="10" width="13.1640625" customWidth="1"/>
  </cols>
  <sheetData>
    <row r="1" spans="1:13">
      <c r="A1" t="s">
        <v>164</v>
      </c>
      <c r="B1" t="s">
        <v>165</v>
      </c>
      <c r="C1" t="s">
        <v>166</v>
      </c>
      <c r="D1" t="s">
        <v>174</v>
      </c>
      <c r="E1" t="s">
        <v>175</v>
      </c>
    </row>
    <row r="2" spans="1:13">
      <c r="A2" t="s">
        <v>167</v>
      </c>
      <c r="B2">
        <v>0.01</v>
      </c>
      <c r="C2">
        <v>9.6000000000000002E-2</v>
      </c>
      <c r="D2">
        <v>34</v>
      </c>
      <c r="E2">
        <f>C2/B2</f>
        <v>9.6</v>
      </c>
    </row>
    <row r="3" spans="1:13">
      <c r="A3" t="s">
        <v>169</v>
      </c>
      <c r="B3">
        <v>4.2000000000000003E-2</v>
      </c>
      <c r="C3">
        <v>0.44</v>
      </c>
      <c r="D3">
        <v>57</v>
      </c>
      <c r="E3">
        <f t="shared" ref="E3:E8" si="0">C3/B3</f>
        <v>10.476190476190476</v>
      </c>
    </row>
    <row r="4" spans="1:13">
      <c r="A4" t="s">
        <v>170</v>
      </c>
      <c r="B4">
        <v>0.08</v>
      </c>
      <c r="C4">
        <v>0.9</v>
      </c>
      <c r="D4">
        <v>73</v>
      </c>
      <c r="E4">
        <f t="shared" si="0"/>
        <v>11.25</v>
      </c>
    </row>
    <row r="5" spans="1:13">
      <c r="A5" t="s">
        <v>171</v>
      </c>
      <c r="B5">
        <v>0.15</v>
      </c>
      <c r="C5">
        <v>1.76</v>
      </c>
      <c r="D5">
        <v>90</v>
      </c>
      <c r="E5">
        <f t="shared" si="0"/>
        <v>11.733333333333334</v>
      </c>
    </row>
    <row r="6" spans="1:13">
      <c r="A6" t="s">
        <v>172</v>
      </c>
      <c r="B6">
        <v>0.38</v>
      </c>
      <c r="C6">
        <v>4.5999999999999996</v>
      </c>
      <c r="D6">
        <v>124</v>
      </c>
      <c r="E6">
        <f t="shared" si="0"/>
        <v>12.105263157894736</v>
      </c>
    </row>
    <row r="7" spans="1:13">
      <c r="A7" t="s">
        <v>168</v>
      </c>
      <c r="B7">
        <v>0.78</v>
      </c>
      <c r="C7">
        <v>9.4</v>
      </c>
      <c r="D7">
        <v>155</v>
      </c>
      <c r="E7">
        <f t="shared" si="0"/>
        <v>12.051282051282051</v>
      </c>
    </row>
    <row r="8" spans="1:13">
      <c r="A8" t="s">
        <v>173</v>
      </c>
      <c r="B8">
        <v>1.5</v>
      </c>
      <c r="C8">
        <v>19</v>
      </c>
      <c r="D8">
        <v>196</v>
      </c>
      <c r="E8">
        <f t="shared" si="0"/>
        <v>12.666666666666666</v>
      </c>
    </row>
    <row r="11" spans="1:13">
      <c r="A11" t="s">
        <v>182</v>
      </c>
      <c r="I11" t="s">
        <v>183</v>
      </c>
    </row>
    <row r="12" spans="1:13">
      <c r="A12" t="s">
        <v>181</v>
      </c>
      <c r="B12" t="s">
        <v>165</v>
      </c>
      <c r="C12" t="s">
        <v>166</v>
      </c>
      <c r="D12" t="s">
        <v>179</v>
      </c>
      <c r="E12" t="s">
        <v>175</v>
      </c>
      <c r="I12" t="s">
        <v>165</v>
      </c>
      <c r="J12" t="s">
        <v>166</v>
      </c>
      <c r="K12" t="s">
        <v>179</v>
      </c>
      <c r="L12" t="s">
        <v>175</v>
      </c>
    </row>
    <row r="13" spans="1:13">
      <c r="A13" t="s">
        <v>167</v>
      </c>
      <c r="B13">
        <v>0.02</v>
      </c>
      <c r="D13">
        <v>35</v>
      </c>
      <c r="F13">
        <v>100</v>
      </c>
      <c r="H13" t="s">
        <v>167</v>
      </c>
      <c r="I13">
        <v>1.8E-3</v>
      </c>
      <c r="J13">
        <v>0.75</v>
      </c>
      <c r="K13" t="s">
        <v>184</v>
      </c>
      <c r="L13">
        <f t="shared" ref="L13:L19" si="1">J13/I13</f>
        <v>416.66666666666669</v>
      </c>
      <c r="M13">
        <v>50</v>
      </c>
    </row>
    <row r="14" spans="1:13">
      <c r="A14" t="s">
        <v>169</v>
      </c>
      <c r="B14">
        <v>2.4E-2</v>
      </c>
      <c r="D14">
        <v>60</v>
      </c>
      <c r="F14">
        <v>25</v>
      </c>
      <c r="H14" t="s">
        <v>169</v>
      </c>
      <c r="I14">
        <v>1.6000000000000001E-3</v>
      </c>
      <c r="J14">
        <v>4.05</v>
      </c>
      <c r="K14" t="s">
        <v>186</v>
      </c>
      <c r="L14">
        <f t="shared" si="1"/>
        <v>2531.2499999999995</v>
      </c>
      <c r="M14">
        <v>50</v>
      </c>
    </row>
    <row r="15" spans="1:13">
      <c r="A15" t="s">
        <v>170</v>
      </c>
      <c r="B15">
        <v>0.05</v>
      </c>
      <c r="D15">
        <v>76</v>
      </c>
      <c r="F15">
        <v>10</v>
      </c>
      <c r="H15" t="s">
        <v>170</v>
      </c>
      <c r="I15">
        <v>3.2000000000000002E-3</v>
      </c>
      <c r="J15">
        <v>8.1300000000000008</v>
      </c>
      <c r="K15" t="s">
        <v>185</v>
      </c>
      <c r="L15">
        <f t="shared" si="1"/>
        <v>2540.625</v>
      </c>
      <c r="M15">
        <v>50</v>
      </c>
    </row>
    <row r="16" spans="1:13">
      <c r="A16" t="s">
        <v>171</v>
      </c>
      <c r="B16">
        <v>7.0000000000000007E-2</v>
      </c>
      <c r="D16">
        <v>95</v>
      </c>
      <c r="F16">
        <v>10</v>
      </c>
      <c r="H16" t="s">
        <v>171</v>
      </c>
      <c r="I16">
        <v>5.4000000000000003E-3</v>
      </c>
      <c r="J16">
        <v>16.38</v>
      </c>
      <c r="K16" t="s">
        <v>187</v>
      </c>
      <c r="L16">
        <f t="shared" si="1"/>
        <v>3033.333333333333</v>
      </c>
      <c r="M16">
        <v>50</v>
      </c>
    </row>
    <row r="17" spans="1:13">
      <c r="A17" t="s">
        <v>172</v>
      </c>
      <c r="B17">
        <v>0.1</v>
      </c>
      <c r="D17">
        <v>128</v>
      </c>
      <c r="F17">
        <v>10</v>
      </c>
      <c r="H17" t="s">
        <v>172</v>
      </c>
      <c r="I17">
        <v>6.4000000000000003E-3</v>
      </c>
      <c r="J17">
        <v>39.93</v>
      </c>
      <c r="K17" t="s">
        <v>189</v>
      </c>
      <c r="L17">
        <f t="shared" si="1"/>
        <v>6239.0625</v>
      </c>
      <c r="M17">
        <v>50</v>
      </c>
    </row>
    <row r="18" spans="1:13">
      <c r="A18" t="s">
        <v>168</v>
      </c>
      <c r="B18">
        <v>0.25</v>
      </c>
      <c r="D18">
        <v>164</v>
      </c>
      <c r="F18">
        <v>10</v>
      </c>
      <c r="H18" t="s">
        <v>168</v>
      </c>
      <c r="I18">
        <v>1.2500000000000001E-2</v>
      </c>
      <c r="J18">
        <v>79.680000000000007</v>
      </c>
      <c r="K18" t="s">
        <v>188</v>
      </c>
      <c r="L18">
        <f t="shared" si="1"/>
        <v>6374.4000000000005</v>
      </c>
      <c r="M18">
        <v>50</v>
      </c>
    </row>
    <row r="19" spans="1:13">
      <c r="A19" t="s">
        <v>173</v>
      </c>
      <c r="B19">
        <v>0.31</v>
      </c>
      <c r="D19">
        <v>200</v>
      </c>
      <c r="F19">
        <v>10</v>
      </c>
      <c r="H19" t="s">
        <v>173</v>
      </c>
      <c r="I19">
        <v>2.3099999999999999E-2</v>
      </c>
      <c r="J19">
        <v>162.4</v>
      </c>
      <c r="K19" t="s">
        <v>190</v>
      </c>
      <c r="L19">
        <f t="shared" si="1"/>
        <v>7030.3030303030309</v>
      </c>
      <c r="M19">
        <v>50</v>
      </c>
    </row>
    <row r="21" spans="1:13">
      <c r="A21" t="s">
        <v>180</v>
      </c>
      <c r="B21" t="s">
        <v>165</v>
      </c>
      <c r="C21" t="s">
        <v>166</v>
      </c>
      <c r="D21" t="s">
        <v>174</v>
      </c>
      <c r="E21" t="s">
        <v>175</v>
      </c>
      <c r="I21" t="s">
        <v>191</v>
      </c>
    </row>
    <row r="22" spans="1:13">
      <c r="A22" t="s">
        <v>167</v>
      </c>
      <c r="H22" t="s">
        <v>167</v>
      </c>
      <c r="I22">
        <v>2.2000000000000001E-3</v>
      </c>
      <c r="J22">
        <v>0.83</v>
      </c>
      <c r="K22" t="s">
        <v>184</v>
      </c>
      <c r="L22">
        <f>J22/I22</f>
        <v>377.27272727272725</v>
      </c>
      <c r="M22">
        <v>50</v>
      </c>
    </row>
    <row r="23" spans="1:13">
      <c r="A23" t="s">
        <v>169</v>
      </c>
      <c r="H23" t="s">
        <v>169</v>
      </c>
      <c r="I23">
        <v>0.01</v>
      </c>
      <c r="J23">
        <v>4.4000000000000004</v>
      </c>
      <c r="K23" t="s">
        <v>186</v>
      </c>
      <c r="L23">
        <f t="shared" ref="L23:L28" si="2">J23/I23</f>
        <v>440</v>
      </c>
      <c r="M23">
        <v>50</v>
      </c>
    </row>
    <row r="24" spans="1:13">
      <c r="A24" t="s">
        <v>170</v>
      </c>
      <c r="H24" t="s">
        <v>170</v>
      </c>
      <c r="I24">
        <v>4.4999999999999997E-3</v>
      </c>
      <c r="J24">
        <v>8.84</v>
      </c>
      <c r="K24" t="s">
        <v>185</v>
      </c>
      <c r="L24">
        <f t="shared" si="2"/>
        <v>1964.4444444444446</v>
      </c>
      <c r="M24">
        <v>50</v>
      </c>
    </row>
    <row r="25" spans="1:13">
      <c r="A25" t="s">
        <v>171</v>
      </c>
      <c r="H25" t="s">
        <v>171</v>
      </c>
      <c r="I25">
        <v>7.7999999999999996E-3</v>
      </c>
      <c r="J25">
        <v>18.25</v>
      </c>
      <c r="K25" t="s">
        <v>187</v>
      </c>
      <c r="L25">
        <f t="shared" si="2"/>
        <v>2339.7435897435898</v>
      </c>
      <c r="M25">
        <v>50</v>
      </c>
    </row>
    <row r="26" spans="1:13">
      <c r="A26" t="s">
        <v>172</v>
      </c>
      <c r="H26" t="s">
        <v>172</v>
      </c>
      <c r="I26">
        <v>1.2999999999999999E-2</v>
      </c>
      <c r="J26">
        <v>44.01</v>
      </c>
      <c r="K26" t="s">
        <v>189</v>
      </c>
      <c r="L26">
        <f t="shared" si="2"/>
        <v>3385.3846153846152</v>
      </c>
      <c r="M26">
        <v>30</v>
      </c>
    </row>
    <row r="27" spans="1:13">
      <c r="A27" t="s">
        <v>168</v>
      </c>
      <c r="H27" t="s">
        <v>168</v>
      </c>
      <c r="I27">
        <v>3.7999999999999999E-2</v>
      </c>
      <c r="J27">
        <v>87.83</v>
      </c>
      <c r="K27" t="s">
        <v>188</v>
      </c>
      <c r="L27">
        <f t="shared" si="2"/>
        <v>2311.3157894736842</v>
      </c>
      <c r="M27">
        <v>30</v>
      </c>
    </row>
    <row r="28" spans="1:13">
      <c r="A28" t="s">
        <v>173</v>
      </c>
      <c r="H28" t="s">
        <v>173</v>
      </c>
      <c r="I28">
        <v>0.17100000000000001</v>
      </c>
      <c r="J28">
        <v>175.9</v>
      </c>
      <c r="K28" t="s">
        <v>190</v>
      </c>
      <c r="L28">
        <f t="shared" si="2"/>
        <v>1028.6549707602339</v>
      </c>
      <c r="M28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CA615-E092-9646-A75E-6CA4703B5DE8}">
  <dimension ref="A1:V35"/>
  <sheetViews>
    <sheetView tabSelected="1" zoomScale="79" workbookViewId="0">
      <selection activeCell="N20" sqref="N20"/>
    </sheetView>
  </sheetViews>
  <sheetFormatPr baseColWidth="10" defaultRowHeight="16"/>
  <cols>
    <col min="1" max="2" width="31.6640625" customWidth="1"/>
    <col min="3" max="3" width="20.33203125" customWidth="1"/>
    <col min="7" max="7" width="31.1640625" customWidth="1"/>
    <col min="11" max="11" width="30.1640625" customWidth="1"/>
    <col min="12" max="12" width="14.5" customWidth="1"/>
    <col min="14" max="14" width="9.83203125" customWidth="1"/>
    <col min="15" max="15" width="18.33203125" customWidth="1"/>
    <col min="16" max="16" width="12.6640625" customWidth="1"/>
    <col min="17" max="17" width="15.6640625" customWidth="1"/>
    <col min="19" max="19" width="19" customWidth="1"/>
    <col min="20" max="20" width="21" customWidth="1"/>
    <col min="21" max="21" width="21.33203125" style="13" customWidth="1"/>
    <col min="22" max="22" width="10.83203125" style="13"/>
  </cols>
  <sheetData>
    <row r="1" spans="1:22" ht="19">
      <c r="A1" s="4" t="s">
        <v>151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4"/>
      <c r="V1" s="14"/>
    </row>
    <row r="2" spans="1:22" ht="19">
      <c r="A2" s="4" t="s">
        <v>142</v>
      </c>
      <c r="B2" s="4"/>
      <c r="C2" s="4" t="s">
        <v>24</v>
      </c>
      <c r="D2" s="4" t="s">
        <v>1</v>
      </c>
      <c r="E2" s="4" t="s">
        <v>2</v>
      </c>
      <c r="F2" s="14" t="s">
        <v>246</v>
      </c>
      <c r="G2" s="14" t="s">
        <v>234</v>
      </c>
      <c r="H2" s="14" t="s">
        <v>244</v>
      </c>
      <c r="I2" s="4"/>
      <c r="J2" s="4"/>
      <c r="K2" s="4"/>
      <c r="L2" s="4"/>
      <c r="M2" s="4" t="s">
        <v>107</v>
      </c>
      <c r="N2" s="4" t="s">
        <v>116</v>
      </c>
      <c r="O2" s="4" t="s">
        <v>130</v>
      </c>
      <c r="P2" s="4" t="s">
        <v>9</v>
      </c>
      <c r="Q2" s="4" t="s">
        <v>6</v>
      </c>
      <c r="R2" s="4" t="s">
        <v>10</v>
      </c>
      <c r="S2" s="4" t="s">
        <v>160</v>
      </c>
      <c r="T2" s="5" t="s">
        <v>159</v>
      </c>
      <c r="U2" s="14" t="s">
        <v>197</v>
      </c>
      <c r="V2" s="14" t="s">
        <v>196</v>
      </c>
    </row>
    <row r="3" spans="1:22" ht="19">
      <c r="A3" s="14" t="s">
        <v>0</v>
      </c>
      <c r="B3" s="4"/>
      <c r="C3" s="4"/>
      <c r="D3" s="4"/>
      <c r="E3" s="4"/>
      <c r="F3" s="14"/>
      <c r="G3" s="14"/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14"/>
      <c r="V3" s="14"/>
    </row>
    <row r="4" spans="1:22" ht="19">
      <c r="A4" s="14" t="s">
        <v>77</v>
      </c>
      <c r="B4" s="4"/>
      <c r="C4" s="4" t="s">
        <v>133</v>
      </c>
      <c r="D4" s="1">
        <v>94.83</v>
      </c>
      <c r="E4" s="4" t="s">
        <v>161</v>
      </c>
      <c r="F4" s="14" t="s">
        <v>247</v>
      </c>
      <c r="G4" s="14">
        <v>1.9749900000000001E-2</v>
      </c>
      <c r="H4" s="14">
        <f>(G4/0.017)*100</f>
        <v>116.17588235294116</v>
      </c>
      <c r="I4" s="4"/>
      <c r="J4" s="4"/>
      <c r="K4" s="4"/>
      <c r="L4" s="4"/>
      <c r="M4" s="4">
        <f>D4*31</f>
        <v>2939.73</v>
      </c>
      <c r="N4" s="4">
        <v>630</v>
      </c>
      <c r="O4" s="4">
        <f>(Q4-P4)/N4</f>
        <v>4.3813809523809519</v>
      </c>
      <c r="P4" s="4">
        <f>M4</f>
        <v>2939.73</v>
      </c>
      <c r="Q4" s="4">
        <v>5700</v>
      </c>
      <c r="R4" s="4">
        <f t="shared" ref="R4:R6" si="0">(P4/Q4)*100</f>
        <v>51.574210526315788</v>
      </c>
      <c r="S4" s="4">
        <f>(Q4/N4)*600</f>
        <v>5428.5714285714284</v>
      </c>
      <c r="T4" s="4">
        <f>(P4/S4)*100</f>
        <v>54.152921052631577</v>
      </c>
      <c r="U4" s="14"/>
      <c r="V4" s="14"/>
    </row>
    <row r="5" spans="1:22" ht="19">
      <c r="A5" s="14" t="s">
        <v>73</v>
      </c>
      <c r="B5" s="4"/>
      <c r="C5" s="4" t="s">
        <v>132</v>
      </c>
      <c r="D5" s="1">
        <v>97.12</v>
      </c>
      <c r="E5" s="4" t="s">
        <v>162</v>
      </c>
      <c r="F5" s="14" t="s">
        <v>248</v>
      </c>
      <c r="G5" s="14">
        <v>4.5984799999999999E-2</v>
      </c>
      <c r="H5" s="14">
        <f>(G5/0.017)*100</f>
        <v>270.49882352941171</v>
      </c>
      <c r="I5" s="4"/>
      <c r="J5" s="4"/>
      <c r="K5" s="4"/>
      <c r="L5" s="4"/>
      <c r="M5" s="4">
        <f>D5*16</f>
        <v>1553.92</v>
      </c>
      <c r="N5" s="4">
        <v>681</v>
      </c>
      <c r="O5" s="4">
        <f t="shared" ref="O5:O6" si="1">(Q5-P5)/N5</f>
        <v>4.5316886930983848</v>
      </c>
      <c r="P5" s="4">
        <f>M5</f>
        <v>1553.92</v>
      </c>
      <c r="Q5" s="4">
        <v>4640</v>
      </c>
      <c r="R5" s="4">
        <f t="shared" si="0"/>
        <v>33.489655172413798</v>
      </c>
      <c r="S5" s="4">
        <f>(Q5/N5)*600</f>
        <v>4088.1057268722466</v>
      </c>
      <c r="T5" s="4">
        <f>(P5/S5)*100</f>
        <v>38.010758620689664</v>
      </c>
      <c r="U5" s="14"/>
      <c r="V5" s="14"/>
    </row>
    <row r="6" spans="1:22" ht="19">
      <c r="A6" s="14" t="s">
        <v>94</v>
      </c>
      <c r="B6" s="4"/>
      <c r="C6" s="4" t="s">
        <v>131</v>
      </c>
      <c r="D6" s="1">
        <v>94.66</v>
      </c>
      <c r="E6" s="4" t="s">
        <v>163</v>
      </c>
      <c r="F6" s="14" t="s">
        <v>249</v>
      </c>
      <c r="G6" s="14">
        <v>7.2583800000000004E-2</v>
      </c>
      <c r="H6" s="14">
        <f>(G6/0.017)*100</f>
        <v>426.96352941176468</v>
      </c>
      <c r="I6" s="4"/>
      <c r="J6" s="4"/>
      <c r="K6" s="4"/>
      <c r="L6" s="4"/>
      <c r="M6" s="4">
        <f>D6*11</f>
        <v>1041.26</v>
      </c>
      <c r="N6" s="4">
        <v>696</v>
      </c>
      <c r="O6" s="4">
        <f t="shared" si="1"/>
        <v>4.6734770114942528</v>
      </c>
      <c r="P6" s="4">
        <f>M6</f>
        <v>1041.26</v>
      </c>
      <c r="Q6" s="4">
        <v>4294</v>
      </c>
      <c r="R6" s="4">
        <f t="shared" si="0"/>
        <v>24.249184909175593</v>
      </c>
      <c r="S6" s="4">
        <f>(Q6/N6)*600</f>
        <v>3701.7241379310344</v>
      </c>
      <c r="T6" s="4">
        <f>(P6/S6)*100</f>
        <v>28.12905449464369</v>
      </c>
      <c r="U6" s="14"/>
      <c r="V6" s="14"/>
    </row>
    <row r="7" spans="1:22" ht="19">
      <c r="A7" s="14"/>
      <c r="B7" s="4"/>
      <c r="C7" s="4"/>
      <c r="D7" s="4"/>
      <c r="E7" s="4"/>
      <c r="F7" s="14"/>
      <c r="G7" s="14" t="s">
        <v>234</v>
      </c>
      <c r="H7" s="14"/>
      <c r="I7" s="14" t="s">
        <v>7</v>
      </c>
      <c r="J7" s="14" t="s">
        <v>8</v>
      </c>
      <c r="K7" s="14" t="s">
        <v>258</v>
      </c>
      <c r="L7" s="14"/>
      <c r="M7" s="4"/>
      <c r="N7" s="4"/>
      <c r="O7" s="4"/>
      <c r="P7" s="4"/>
      <c r="Q7" s="4"/>
      <c r="R7" s="4"/>
      <c r="S7" s="4"/>
      <c r="T7" s="4"/>
      <c r="U7" s="14"/>
      <c r="V7" s="14"/>
    </row>
    <row r="8" spans="1:22" ht="19">
      <c r="A8" s="14" t="s">
        <v>3</v>
      </c>
      <c r="B8" s="4"/>
      <c r="C8" s="4"/>
      <c r="D8" s="4"/>
      <c r="E8" s="4" t="s">
        <v>16</v>
      </c>
      <c r="F8" s="14"/>
      <c r="G8" s="14"/>
      <c r="H8" s="14"/>
      <c r="I8" s="14"/>
      <c r="J8" s="14"/>
      <c r="K8" s="14"/>
      <c r="L8" s="14" t="s">
        <v>202</v>
      </c>
      <c r="M8" s="4"/>
      <c r="N8" s="4"/>
      <c r="O8" s="4"/>
      <c r="P8" s="4"/>
      <c r="Q8" s="4"/>
      <c r="R8" s="4"/>
      <c r="S8" s="4"/>
      <c r="T8" s="4"/>
      <c r="U8" s="14"/>
      <c r="V8" s="14"/>
    </row>
    <row r="9" spans="1:22" ht="19">
      <c r="A9" s="14" t="s">
        <v>78</v>
      </c>
      <c r="B9" s="4" t="s">
        <v>237</v>
      </c>
      <c r="C9" s="4" t="s">
        <v>153</v>
      </c>
      <c r="D9" s="1">
        <v>9.73</v>
      </c>
      <c r="E9" s="4" t="s">
        <v>137</v>
      </c>
      <c r="F9" s="14" t="s">
        <v>250</v>
      </c>
      <c r="G9" s="1">
        <v>3.2177999999999998E-3</v>
      </c>
      <c r="H9" s="14">
        <f t="shared" ref="H9:H17" si="2">(G9/0.017)*100</f>
        <v>18.928235294117645</v>
      </c>
      <c r="I9" s="14">
        <v>0.44750000000000001</v>
      </c>
      <c r="J9" s="14">
        <v>268.53899999999999</v>
      </c>
      <c r="K9" s="20">
        <f>S9-M9</f>
        <v>2843.0569999999998</v>
      </c>
      <c r="L9" s="14">
        <f>(J9/K9)*100</f>
        <v>9.445431449316704</v>
      </c>
      <c r="M9" s="1">
        <v>291.94299999999998</v>
      </c>
      <c r="N9" s="4">
        <v>600</v>
      </c>
      <c r="O9" s="4">
        <f t="shared" ref="O9:O17" si="3">(Q9-P9)/N9</f>
        <v>4.5758633333333334</v>
      </c>
      <c r="P9" s="4">
        <f t="shared" ref="P9:P17" si="4">M9+J9</f>
        <v>560.48199999999997</v>
      </c>
      <c r="Q9" s="4">
        <v>3306</v>
      </c>
      <c r="R9" s="4">
        <f>(P9/Q9)*100</f>
        <v>16.953478523895946</v>
      </c>
      <c r="S9" s="4">
        <v>3135</v>
      </c>
      <c r="T9" s="4">
        <f t="shared" ref="T9:T17" si="5">(P9/S9)*100</f>
        <v>17.878213716108451</v>
      </c>
      <c r="U9" s="14">
        <f t="shared" ref="U9:U17" si="6">S9-M9</f>
        <v>2843.0569999999998</v>
      </c>
      <c r="V9" s="14">
        <f t="shared" ref="V9:V17" si="7">(J9/U9)*100</f>
        <v>9.445431449316704</v>
      </c>
    </row>
    <row r="10" spans="1:22" ht="19">
      <c r="A10" s="14" t="s">
        <v>79</v>
      </c>
      <c r="B10" s="4" t="s">
        <v>236</v>
      </c>
      <c r="C10" s="4" t="s">
        <v>154</v>
      </c>
      <c r="D10" s="1">
        <v>2.8</v>
      </c>
      <c r="E10" s="4" t="s">
        <v>138</v>
      </c>
      <c r="F10" s="14" t="s">
        <v>251</v>
      </c>
      <c r="G10" s="14">
        <v>4.0614800000000001E-3</v>
      </c>
      <c r="H10" s="14">
        <f t="shared" si="2"/>
        <v>23.891058823529409</v>
      </c>
      <c r="I10" s="14">
        <v>0.18820000000000001</v>
      </c>
      <c r="J10" s="14">
        <v>112.92100000000001</v>
      </c>
      <c r="K10" s="20">
        <f t="shared" ref="K10:K17" si="8">S10-M10</f>
        <v>2700.79</v>
      </c>
      <c r="L10" s="14">
        <f t="shared" ref="L10:L17" si="9">(J10/K10)*100</f>
        <v>4.181035919119962</v>
      </c>
      <c r="M10" s="4">
        <v>84.21</v>
      </c>
      <c r="N10" s="4">
        <v>600</v>
      </c>
      <c r="O10" s="4">
        <f t="shared" si="3"/>
        <v>4.7347816666666667</v>
      </c>
      <c r="P10" s="4">
        <f t="shared" si="4"/>
        <v>197.131</v>
      </c>
      <c r="Q10" s="4">
        <v>3038</v>
      </c>
      <c r="R10" s="4">
        <f t="shared" ref="R10:R17" si="10">(P10/Q10)*100</f>
        <v>6.4888413429888088</v>
      </c>
      <c r="S10" s="4">
        <v>2785</v>
      </c>
      <c r="T10" s="4">
        <f t="shared" si="5"/>
        <v>7.0783123877917404</v>
      </c>
      <c r="U10" s="14">
        <f t="shared" si="6"/>
        <v>2700.79</v>
      </c>
      <c r="V10" s="14">
        <f t="shared" si="7"/>
        <v>4.181035919119962</v>
      </c>
    </row>
    <row r="11" spans="1:22" ht="19">
      <c r="A11" s="14" t="s">
        <v>80</v>
      </c>
      <c r="B11" s="4" t="s">
        <v>236</v>
      </c>
      <c r="C11" s="4" t="s">
        <v>106</v>
      </c>
      <c r="D11" s="1">
        <v>1.1000000000000001</v>
      </c>
      <c r="E11" s="4" t="s">
        <v>139</v>
      </c>
      <c r="F11" s="14" t="s">
        <v>252</v>
      </c>
      <c r="G11" s="14">
        <v>4.0091199999999997E-3</v>
      </c>
      <c r="H11" s="14">
        <f t="shared" si="2"/>
        <v>23.583058823529406</v>
      </c>
      <c r="I11" s="14">
        <v>9.2499999999999999E-2</v>
      </c>
      <c r="J11" s="14">
        <v>55.5593</v>
      </c>
      <c r="K11" s="20">
        <f t="shared" si="8"/>
        <v>2516.89</v>
      </c>
      <c r="L11" s="14">
        <f t="shared" si="9"/>
        <v>2.20745841097545</v>
      </c>
      <c r="M11" s="4">
        <v>33.11</v>
      </c>
      <c r="N11" s="4">
        <v>728</v>
      </c>
      <c r="O11" s="4">
        <f t="shared" si="3"/>
        <v>4.1282015109890109</v>
      </c>
      <c r="P11" s="4">
        <f t="shared" si="4"/>
        <v>88.669299999999993</v>
      </c>
      <c r="Q11" s="4">
        <v>3094</v>
      </c>
      <c r="R11" s="4">
        <f t="shared" si="10"/>
        <v>2.8658468002585646</v>
      </c>
      <c r="S11" s="4">
        <f>(Q11/N11)*600</f>
        <v>2550</v>
      </c>
      <c r="T11" s="4">
        <f t="shared" si="5"/>
        <v>3.4772274509803922</v>
      </c>
      <c r="U11" s="14">
        <f t="shared" si="6"/>
        <v>2516.89</v>
      </c>
      <c r="V11" s="14">
        <f t="shared" si="7"/>
        <v>2.20745841097545</v>
      </c>
    </row>
    <row r="12" spans="1:22" ht="19">
      <c r="A12" s="14" t="s">
        <v>74</v>
      </c>
      <c r="B12" s="4" t="s">
        <v>236</v>
      </c>
      <c r="C12" s="4" t="s">
        <v>155</v>
      </c>
      <c r="D12" s="1">
        <v>9.6434200000000008</v>
      </c>
      <c r="E12" s="4" t="s">
        <v>140</v>
      </c>
      <c r="F12" s="14" t="s">
        <v>253</v>
      </c>
      <c r="G12" s="1">
        <v>4.3599299999999997E-3</v>
      </c>
      <c r="H12" s="14">
        <f t="shared" si="2"/>
        <v>25.646647058823525</v>
      </c>
      <c r="I12" s="14">
        <v>0.32212000000000002</v>
      </c>
      <c r="J12" s="14">
        <v>193.27199999999999</v>
      </c>
      <c r="K12" s="20">
        <f t="shared" si="8"/>
        <v>2449.3490000000002</v>
      </c>
      <c r="L12" s="14">
        <f t="shared" si="9"/>
        <v>7.8907497461570388</v>
      </c>
      <c r="M12" s="1">
        <v>144.65100000000001</v>
      </c>
      <c r="N12" s="4">
        <v>600</v>
      </c>
      <c r="O12" s="4">
        <f t="shared" si="3"/>
        <v>4.5334616666666667</v>
      </c>
      <c r="P12" s="4">
        <f t="shared" si="4"/>
        <v>337.923</v>
      </c>
      <c r="Q12" s="4">
        <v>3058</v>
      </c>
      <c r="R12" s="4">
        <f t="shared" si="10"/>
        <v>11.05045781556573</v>
      </c>
      <c r="S12" s="4">
        <v>2594</v>
      </c>
      <c r="T12" s="4">
        <f t="shared" si="5"/>
        <v>13.02710100231303</v>
      </c>
      <c r="U12" s="14">
        <f t="shared" si="6"/>
        <v>2449.3490000000002</v>
      </c>
      <c r="V12" s="14">
        <f t="shared" si="7"/>
        <v>7.8907497461570388</v>
      </c>
    </row>
    <row r="13" spans="1:22" ht="19">
      <c r="A13" s="14" t="s">
        <v>75</v>
      </c>
      <c r="B13" s="4" t="s">
        <v>236</v>
      </c>
      <c r="C13" s="4" t="s">
        <v>105</v>
      </c>
      <c r="D13" s="1">
        <v>2.7849200000000001</v>
      </c>
      <c r="E13" s="4" t="s">
        <v>138</v>
      </c>
      <c r="F13" s="14" t="s">
        <v>257</v>
      </c>
      <c r="G13" s="14">
        <v>4.9547100000000002E-3</v>
      </c>
      <c r="H13" s="14">
        <f t="shared" si="2"/>
        <v>29.145352941176473</v>
      </c>
      <c r="I13" s="14">
        <v>0.16284799999999999</v>
      </c>
      <c r="J13" s="14">
        <v>97.709000000000003</v>
      </c>
      <c r="K13" s="20">
        <f t="shared" si="8"/>
        <v>2485.3237616231086</v>
      </c>
      <c r="L13" s="14">
        <f t="shared" si="9"/>
        <v>3.9314394972906257</v>
      </c>
      <c r="M13" s="1">
        <v>41.773899999999998</v>
      </c>
      <c r="N13" s="4">
        <v>727</v>
      </c>
      <c r="O13" s="4">
        <f t="shared" si="3"/>
        <v>4.0199685006877584</v>
      </c>
      <c r="P13" s="4">
        <f t="shared" si="4"/>
        <v>139.4829</v>
      </c>
      <c r="Q13" s="4">
        <v>3062</v>
      </c>
      <c r="R13" s="4">
        <f t="shared" si="10"/>
        <v>4.5552873938602225</v>
      </c>
      <c r="S13" s="4">
        <f>(Q13/N13)*600</f>
        <v>2527.0976616231087</v>
      </c>
      <c r="T13" s="4">
        <f t="shared" si="5"/>
        <v>5.5194898922273019</v>
      </c>
      <c r="U13" s="14">
        <f t="shared" si="6"/>
        <v>2485.3237616231086</v>
      </c>
      <c r="V13" s="14">
        <f t="shared" si="7"/>
        <v>3.9314394972906257</v>
      </c>
    </row>
    <row r="14" spans="1:22" ht="19">
      <c r="A14" s="14" t="s">
        <v>76</v>
      </c>
      <c r="B14" s="4" t="s">
        <v>236</v>
      </c>
      <c r="C14" s="4" t="s">
        <v>104</v>
      </c>
      <c r="D14" s="1">
        <v>1.1014999999999999</v>
      </c>
      <c r="E14" s="4" t="s">
        <v>139</v>
      </c>
      <c r="F14" s="14" t="s">
        <v>254</v>
      </c>
      <c r="G14" s="14">
        <v>5.3300200000000004E-3</v>
      </c>
      <c r="H14" s="14">
        <f t="shared" si="2"/>
        <v>31.353058823529413</v>
      </c>
      <c r="I14" s="14">
        <v>0.10433199999999999</v>
      </c>
      <c r="J14" s="14">
        <v>62.599200000000003</v>
      </c>
      <c r="K14" s="20">
        <f t="shared" si="8"/>
        <v>2466.5799930747921</v>
      </c>
      <c r="L14" s="14">
        <f t="shared" si="9"/>
        <v>2.537894581799677</v>
      </c>
      <c r="M14" s="1">
        <v>16.522500000000001</v>
      </c>
      <c r="N14" s="4">
        <v>722</v>
      </c>
      <c r="O14" s="4">
        <f t="shared" si="3"/>
        <v>4.0289173130193907</v>
      </c>
      <c r="P14" s="4">
        <f t="shared" si="4"/>
        <v>79.121700000000004</v>
      </c>
      <c r="Q14" s="4">
        <v>2988</v>
      </c>
      <c r="R14" s="4">
        <f t="shared" si="10"/>
        <v>2.6479819277108434</v>
      </c>
      <c r="S14" s="4">
        <f>(Q14/N14)*600</f>
        <v>2483.1024930747922</v>
      </c>
      <c r="T14" s="4">
        <f t="shared" si="5"/>
        <v>3.1864049196787154</v>
      </c>
      <c r="U14" s="14">
        <f t="shared" si="6"/>
        <v>2466.5799930747921</v>
      </c>
      <c r="V14" s="14">
        <f t="shared" si="7"/>
        <v>2.537894581799677</v>
      </c>
    </row>
    <row r="15" spans="1:22" ht="19">
      <c r="A15" s="14" t="s">
        <v>95</v>
      </c>
      <c r="B15" s="4" t="s">
        <v>236</v>
      </c>
      <c r="C15" s="4" t="s">
        <v>156</v>
      </c>
      <c r="D15" s="1">
        <v>9.7222000000000008</v>
      </c>
      <c r="E15" s="4" t="s">
        <v>140</v>
      </c>
      <c r="F15" s="14" t="s">
        <v>255</v>
      </c>
      <c r="G15" s="14">
        <v>6.4400000000000004E-3</v>
      </c>
      <c r="H15" s="14">
        <f t="shared" si="2"/>
        <v>37.882352941176471</v>
      </c>
      <c r="I15" s="14">
        <v>0.383884</v>
      </c>
      <c r="J15" s="14">
        <v>230.33</v>
      </c>
      <c r="K15" s="20">
        <f t="shared" si="8"/>
        <v>2638.7770999999998</v>
      </c>
      <c r="L15" s="14">
        <f t="shared" si="9"/>
        <v>8.7286645014465236</v>
      </c>
      <c r="M15" s="1">
        <v>97.222899999999996</v>
      </c>
      <c r="N15" s="4">
        <v>600</v>
      </c>
      <c r="O15" s="4">
        <f t="shared" si="3"/>
        <v>4.7340784999999999</v>
      </c>
      <c r="P15" s="4">
        <f t="shared" si="4"/>
        <v>327.55290000000002</v>
      </c>
      <c r="Q15" s="4">
        <v>3168</v>
      </c>
      <c r="R15" s="4">
        <f t="shared" si="10"/>
        <v>10.339422348484849</v>
      </c>
      <c r="S15" s="4">
        <v>2736</v>
      </c>
      <c r="T15" s="4">
        <f t="shared" si="5"/>
        <v>11.971962719298245</v>
      </c>
      <c r="U15" s="14">
        <f t="shared" si="6"/>
        <v>2638.7770999999998</v>
      </c>
      <c r="V15" s="14">
        <f t="shared" si="7"/>
        <v>8.7286645014465236</v>
      </c>
    </row>
    <row r="16" spans="1:22" ht="19">
      <c r="A16" s="14" t="s">
        <v>96</v>
      </c>
      <c r="B16" s="4" t="s">
        <v>236</v>
      </c>
      <c r="C16" s="4" t="s">
        <v>103</v>
      </c>
      <c r="D16" s="1">
        <v>2.7884000000000002</v>
      </c>
      <c r="E16" s="4" t="s">
        <v>138</v>
      </c>
      <c r="F16" s="14" t="s">
        <v>256</v>
      </c>
      <c r="G16" s="14">
        <v>6.6304800000000002E-3</v>
      </c>
      <c r="H16" s="14">
        <f t="shared" si="2"/>
        <v>39.002823529411764</v>
      </c>
      <c r="I16" s="14">
        <v>0.149841</v>
      </c>
      <c r="J16" s="14">
        <v>89.904300000000006</v>
      </c>
      <c r="K16" s="20">
        <f t="shared" si="8"/>
        <v>2600.1664908835901</v>
      </c>
      <c r="L16" s="14">
        <f t="shared" si="9"/>
        <v>3.4576362827231373</v>
      </c>
      <c r="M16" s="1">
        <v>27.884</v>
      </c>
      <c r="N16" s="4">
        <v>713</v>
      </c>
      <c r="O16" s="4">
        <f t="shared" si="3"/>
        <v>4.2148831697054696</v>
      </c>
      <c r="P16" s="4">
        <f t="shared" si="4"/>
        <v>117.78830000000001</v>
      </c>
      <c r="Q16" s="4">
        <v>3123</v>
      </c>
      <c r="R16" s="4">
        <f t="shared" si="10"/>
        <v>3.7716394492475187</v>
      </c>
      <c r="S16" s="4">
        <f>(Q16/N16)*600</f>
        <v>2628.0504908835901</v>
      </c>
      <c r="T16" s="4">
        <f t="shared" si="5"/>
        <v>4.481964878855802</v>
      </c>
      <c r="U16" s="14">
        <f t="shared" si="6"/>
        <v>2600.1664908835901</v>
      </c>
      <c r="V16" s="14">
        <f t="shared" si="7"/>
        <v>3.4576362827231373</v>
      </c>
    </row>
    <row r="17" spans="1:22" ht="19">
      <c r="A17" s="14" t="s">
        <v>97</v>
      </c>
      <c r="B17" s="4" t="s">
        <v>236</v>
      </c>
      <c r="C17" s="4" t="s">
        <v>102</v>
      </c>
      <c r="D17" s="1">
        <v>1.107</v>
      </c>
      <c r="E17" s="4" t="s">
        <v>139</v>
      </c>
      <c r="F17" s="14" t="s">
        <v>233</v>
      </c>
      <c r="G17" s="14">
        <v>7.012E-3</v>
      </c>
      <c r="H17" s="14">
        <f t="shared" si="2"/>
        <v>41.247058823529407</v>
      </c>
      <c r="I17" s="14">
        <v>8.3080699999999993E-2</v>
      </c>
      <c r="J17" s="14">
        <v>49.848399999999998</v>
      </c>
      <c r="K17" s="20">
        <f t="shared" si="8"/>
        <v>2324.375975862069</v>
      </c>
      <c r="L17" s="14">
        <f t="shared" si="9"/>
        <v>2.1445928076034311</v>
      </c>
      <c r="M17" s="1">
        <v>11.0723</v>
      </c>
      <c r="N17" s="4">
        <v>725</v>
      </c>
      <c r="O17" s="4">
        <f t="shared" si="3"/>
        <v>3.8083852413793102</v>
      </c>
      <c r="P17" s="4">
        <f t="shared" si="4"/>
        <v>60.920699999999997</v>
      </c>
      <c r="Q17" s="4">
        <v>2822</v>
      </c>
      <c r="R17" s="4">
        <f t="shared" si="10"/>
        <v>2.1587774627923455</v>
      </c>
      <c r="S17" s="4">
        <f>(Q17/N17)*600</f>
        <v>2335.4482758620688</v>
      </c>
      <c r="T17" s="4">
        <f t="shared" si="5"/>
        <v>2.6085227675407512</v>
      </c>
      <c r="U17" s="14">
        <f t="shared" si="6"/>
        <v>2324.375975862069</v>
      </c>
      <c r="V17" s="14">
        <f t="shared" si="7"/>
        <v>2.1445928076034311</v>
      </c>
    </row>
    <row r="18" spans="1:22" ht="19">
      <c r="A18" s="4"/>
      <c r="B18" s="4"/>
      <c r="C18" s="4"/>
      <c r="D18" s="4"/>
      <c r="E18" s="4"/>
      <c r="F18" s="14" t="s">
        <v>247</v>
      </c>
      <c r="G18" s="14">
        <v>1.9749900000000001E-2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14"/>
      <c r="V18" s="14"/>
    </row>
    <row r="19" spans="1:22" ht="19">
      <c r="A19" s="4"/>
      <c r="B19" s="4"/>
      <c r="C19" s="4"/>
      <c r="D19" s="4"/>
      <c r="E19" s="4"/>
      <c r="F19" s="14" t="s">
        <v>248</v>
      </c>
      <c r="G19" s="14">
        <v>4.5984799999999999E-2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 t="s">
        <v>12</v>
      </c>
      <c r="T19" s="4" t="s">
        <v>13</v>
      </c>
    </row>
    <row r="20" spans="1:22" ht="19">
      <c r="A20" s="4" t="s">
        <v>4</v>
      </c>
      <c r="B20" s="4"/>
      <c r="C20" s="4"/>
      <c r="D20" s="4"/>
      <c r="E20" s="4"/>
      <c r="F20" s="14" t="s">
        <v>249</v>
      </c>
      <c r="G20" s="14">
        <v>7.2583800000000004E-2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2" ht="19">
      <c r="A21" s="4" t="s">
        <v>81</v>
      </c>
      <c r="B21" s="4"/>
      <c r="C21" s="4" t="s">
        <v>25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2" ht="19">
      <c r="A22" s="4" t="s">
        <v>82</v>
      </c>
      <c r="B22" s="4"/>
      <c r="C22" s="4" t="s">
        <v>26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2" ht="19">
      <c r="A23" s="4" t="s">
        <v>83</v>
      </c>
      <c r="B23" s="4"/>
      <c r="C23" s="4" t="s">
        <v>27</v>
      </c>
      <c r="D23" s="4"/>
      <c r="E23" s="4"/>
      <c r="F23" s="4"/>
      <c r="G23" s="4"/>
      <c r="H23" s="4"/>
      <c r="I23" s="4"/>
      <c r="J23" s="4"/>
      <c r="K23" s="4"/>
      <c r="L23" s="4"/>
      <c r="M23" s="4">
        <f>(K9)/600</f>
        <v>4.7384283333333332</v>
      </c>
      <c r="N23" s="4"/>
      <c r="O23" s="4"/>
      <c r="P23" s="4"/>
      <c r="Q23" s="4"/>
      <c r="R23" s="4"/>
      <c r="S23" s="4"/>
      <c r="T23" s="4"/>
    </row>
    <row r="24" spans="1:22" ht="19">
      <c r="A24" s="4" t="s">
        <v>84</v>
      </c>
      <c r="B24" s="4"/>
      <c r="C24" s="4" t="s">
        <v>28</v>
      </c>
      <c r="D24" s="4"/>
      <c r="E24" s="4"/>
      <c r="F24" s="4"/>
      <c r="G24" s="4" t="s">
        <v>221</v>
      </c>
      <c r="H24" s="4">
        <v>267</v>
      </c>
      <c r="I24" s="4">
        <v>116.1</v>
      </c>
      <c r="J24" s="4">
        <v>267</v>
      </c>
      <c r="K24" s="4"/>
      <c r="L24" s="4"/>
      <c r="M24" s="4">
        <f t="shared" ref="M24:M31" si="11">(K10)/600</f>
        <v>4.5013166666666669</v>
      </c>
      <c r="N24" s="4"/>
      <c r="O24" s="4"/>
      <c r="P24" s="4"/>
      <c r="Q24" s="4"/>
      <c r="R24" s="4"/>
      <c r="S24" s="4"/>
      <c r="T24" s="4"/>
    </row>
    <row r="25" spans="1:22" ht="19">
      <c r="A25" s="4" t="s">
        <v>85</v>
      </c>
      <c r="B25" s="4"/>
      <c r="C25" s="4" t="s">
        <v>29</v>
      </c>
      <c r="D25" s="4"/>
      <c r="E25" s="4"/>
      <c r="F25" s="4"/>
      <c r="G25" s="4" t="s">
        <v>221</v>
      </c>
      <c r="H25" s="4">
        <v>133</v>
      </c>
      <c r="I25" s="4">
        <v>270.39999999999998</v>
      </c>
      <c r="J25" s="4">
        <v>133</v>
      </c>
      <c r="K25" s="4"/>
      <c r="L25" s="4"/>
      <c r="M25" s="4">
        <f t="shared" si="11"/>
        <v>4.1948166666666662</v>
      </c>
      <c r="N25" s="4"/>
      <c r="O25" s="4"/>
      <c r="P25" s="4"/>
      <c r="Q25" s="4"/>
      <c r="R25" s="4"/>
      <c r="S25" s="4"/>
      <c r="T25" s="4"/>
    </row>
    <row r="26" spans="1:22" ht="19">
      <c r="A26" s="4" t="s">
        <v>86</v>
      </c>
      <c r="B26" s="4"/>
      <c r="C26" s="4" t="s">
        <v>30</v>
      </c>
      <c r="D26" s="4"/>
      <c r="E26" s="4"/>
      <c r="F26" s="4"/>
      <c r="G26" s="4" t="s">
        <v>221</v>
      </c>
      <c r="H26" s="4">
        <v>95</v>
      </c>
      <c r="I26" s="4">
        <v>426.9</v>
      </c>
      <c r="J26" s="4">
        <v>95</v>
      </c>
      <c r="K26" s="4"/>
      <c r="L26" s="4"/>
      <c r="M26" s="4">
        <f t="shared" si="11"/>
        <v>4.0822483333333333</v>
      </c>
      <c r="N26" s="4"/>
      <c r="O26" s="4"/>
      <c r="P26" s="4"/>
      <c r="Q26" s="4"/>
      <c r="R26" s="4"/>
      <c r="S26" s="4"/>
      <c r="T26" s="4"/>
    </row>
    <row r="27" spans="1:22" ht="19">
      <c r="A27" s="4" t="s">
        <v>87</v>
      </c>
      <c r="B27" s="4"/>
      <c r="C27" s="4" t="s">
        <v>31</v>
      </c>
      <c r="D27" s="4"/>
      <c r="E27" s="4"/>
      <c r="F27" s="4"/>
      <c r="G27" s="4" t="s">
        <v>260</v>
      </c>
      <c r="H27" s="4">
        <v>34</v>
      </c>
      <c r="I27" s="4">
        <v>18.899999999999999</v>
      </c>
      <c r="J27" s="4">
        <v>34</v>
      </c>
      <c r="K27" s="4" t="s">
        <v>261</v>
      </c>
      <c r="L27" s="4"/>
      <c r="M27" s="4">
        <f t="shared" si="11"/>
        <v>4.1422062693718473</v>
      </c>
      <c r="N27" s="4"/>
      <c r="O27" s="4"/>
      <c r="P27" s="4"/>
      <c r="Q27" s="4"/>
      <c r="R27" s="4"/>
      <c r="S27" s="4"/>
      <c r="T27" s="4"/>
    </row>
    <row r="28" spans="1:22" ht="19">
      <c r="A28" s="4" t="s">
        <v>88</v>
      </c>
      <c r="B28" s="4"/>
      <c r="C28" s="4" t="s">
        <v>32</v>
      </c>
      <c r="D28" s="4"/>
      <c r="E28" s="4"/>
      <c r="F28" s="4"/>
      <c r="G28" s="4" t="s">
        <v>260</v>
      </c>
      <c r="H28" s="4">
        <v>10</v>
      </c>
      <c r="I28" s="4">
        <v>23.8</v>
      </c>
      <c r="J28" s="4">
        <v>10</v>
      </c>
      <c r="K28" s="4" t="s">
        <v>262</v>
      </c>
      <c r="L28" s="4"/>
      <c r="M28" s="4">
        <f t="shared" si="11"/>
        <v>4.1109666551246535</v>
      </c>
      <c r="N28" s="4"/>
      <c r="O28" s="4"/>
      <c r="P28" s="4"/>
      <c r="Q28" s="4"/>
      <c r="R28" s="4"/>
      <c r="S28" s="4"/>
      <c r="T28" s="4"/>
    </row>
    <row r="29" spans="1:22" ht="19">
      <c r="A29" s="4" t="s">
        <v>89</v>
      </c>
      <c r="B29" s="4"/>
      <c r="C29" s="4" t="s">
        <v>33</v>
      </c>
      <c r="D29" s="4"/>
      <c r="E29" s="4"/>
      <c r="F29" s="4"/>
      <c r="G29" s="4" t="s">
        <v>260</v>
      </c>
      <c r="H29" s="4">
        <v>4</v>
      </c>
      <c r="I29" s="4">
        <v>23.5</v>
      </c>
      <c r="J29" s="4">
        <v>4</v>
      </c>
      <c r="K29" s="4" t="s">
        <v>263</v>
      </c>
      <c r="L29" s="4"/>
      <c r="M29" s="4">
        <f t="shared" si="11"/>
        <v>4.3979618333333326</v>
      </c>
      <c r="N29" s="4"/>
      <c r="O29" s="4"/>
      <c r="P29" s="4"/>
      <c r="Q29" s="4"/>
      <c r="R29" s="4"/>
      <c r="S29" s="4"/>
      <c r="T29" s="4"/>
    </row>
    <row r="30" spans="1:22" ht="19">
      <c r="A30" s="4" t="s">
        <v>90</v>
      </c>
      <c r="B30" s="4"/>
      <c r="C30" s="4" t="s">
        <v>34</v>
      </c>
      <c r="D30" s="4"/>
      <c r="E30" s="4"/>
      <c r="F30" s="4"/>
      <c r="G30" s="4" t="s">
        <v>260</v>
      </c>
      <c r="H30" s="4">
        <v>17</v>
      </c>
      <c r="I30" s="4">
        <v>25.6</v>
      </c>
      <c r="J30" s="4">
        <v>17</v>
      </c>
      <c r="K30" s="4" t="s">
        <v>264</v>
      </c>
      <c r="L30" s="4"/>
      <c r="M30" s="4">
        <f t="shared" si="11"/>
        <v>4.3336108181393165</v>
      </c>
      <c r="N30" s="4"/>
      <c r="O30" s="4"/>
      <c r="P30" s="4"/>
      <c r="Q30" s="4"/>
      <c r="R30" s="4"/>
      <c r="S30" s="4"/>
      <c r="T30" s="4"/>
    </row>
    <row r="31" spans="1:22" ht="19">
      <c r="A31" s="4" t="s">
        <v>91</v>
      </c>
      <c r="B31" s="4"/>
      <c r="C31" s="4" t="s">
        <v>35</v>
      </c>
      <c r="D31" s="4"/>
      <c r="E31" s="4"/>
      <c r="F31" s="4"/>
      <c r="G31" s="4" t="s">
        <v>260</v>
      </c>
      <c r="H31" s="4">
        <v>5.0999999999999996</v>
      </c>
      <c r="I31" s="4">
        <v>29.1</v>
      </c>
      <c r="J31" s="4">
        <v>5.0999999999999996</v>
      </c>
      <c r="K31" s="4" t="s">
        <v>265</v>
      </c>
      <c r="L31" s="4"/>
      <c r="M31" s="4">
        <f t="shared" si="11"/>
        <v>3.8739599597701151</v>
      </c>
      <c r="N31" s="4"/>
      <c r="O31" s="4"/>
      <c r="P31" s="4"/>
      <c r="Q31" s="4"/>
      <c r="R31" s="4"/>
      <c r="S31" s="4"/>
      <c r="T31" s="4"/>
    </row>
    <row r="32" spans="1:22" ht="19">
      <c r="A32" s="4" t="s">
        <v>92</v>
      </c>
      <c r="B32" s="4"/>
      <c r="C32" s="4" t="s">
        <v>36</v>
      </c>
      <c r="D32" s="4"/>
      <c r="E32" s="4"/>
      <c r="F32" s="4"/>
      <c r="G32" s="4" t="s">
        <v>260</v>
      </c>
      <c r="H32" s="4">
        <v>2</v>
      </c>
      <c r="I32" s="4">
        <v>31.3</v>
      </c>
      <c r="J32" s="4">
        <v>2</v>
      </c>
      <c r="K32" s="4" t="s">
        <v>264</v>
      </c>
      <c r="L32" s="4"/>
      <c r="M32" s="4">
        <f>AVERAGE(M23:M31)</f>
        <v>4.2639461706376967</v>
      </c>
      <c r="N32" s="4"/>
      <c r="O32" s="4"/>
      <c r="P32" s="4"/>
      <c r="Q32" s="4"/>
      <c r="R32" s="4"/>
      <c r="S32" s="4"/>
      <c r="T32" s="4"/>
    </row>
    <row r="33" spans="7:13" ht="19">
      <c r="G33" s="4" t="s">
        <v>260</v>
      </c>
      <c r="H33" s="4">
        <v>12</v>
      </c>
      <c r="I33">
        <v>37.799999999999997</v>
      </c>
      <c r="J33" s="4">
        <v>12</v>
      </c>
      <c r="K33" s="4" t="s">
        <v>266</v>
      </c>
      <c r="M33" s="4"/>
    </row>
    <row r="34" spans="7:13" ht="19">
      <c r="G34" s="4" t="s">
        <v>260</v>
      </c>
      <c r="H34" s="4">
        <v>3.4</v>
      </c>
      <c r="I34">
        <v>39</v>
      </c>
      <c r="J34" s="4">
        <v>3.4</v>
      </c>
      <c r="K34" s="4" t="s">
        <v>267</v>
      </c>
      <c r="M34" s="4"/>
    </row>
    <row r="35" spans="7:13" ht="19">
      <c r="G35" s="4" t="s">
        <v>260</v>
      </c>
      <c r="H35" s="4">
        <v>1.3</v>
      </c>
      <c r="I35">
        <v>41.2</v>
      </c>
      <c r="J35" s="4">
        <v>1.3</v>
      </c>
      <c r="K35" s="4" t="s">
        <v>268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0BAE-5A30-8A42-9191-BD4BB5AD2D05}">
  <dimension ref="A1:S32"/>
  <sheetViews>
    <sheetView zoomScale="89" workbookViewId="0">
      <selection activeCell="H1" sqref="H1"/>
    </sheetView>
  </sheetViews>
  <sheetFormatPr baseColWidth="10" defaultRowHeight="16"/>
  <cols>
    <col min="1" max="1" width="31.6640625" customWidth="1"/>
    <col min="2" max="2" width="20.33203125" customWidth="1"/>
    <col min="9" max="9" width="9.83203125" customWidth="1"/>
    <col min="10" max="10" width="18.33203125" customWidth="1"/>
    <col min="11" max="11" width="12.6640625" customWidth="1"/>
    <col min="12" max="12" width="15.6640625" customWidth="1"/>
    <col min="14" max="14" width="8.33203125" customWidth="1"/>
    <col min="15" max="15" width="19" customWidth="1"/>
    <col min="16" max="16" width="21" customWidth="1"/>
    <col min="18" max="18" width="19" customWidth="1"/>
    <col min="19" max="19" width="22.83203125" customWidth="1"/>
  </cols>
  <sheetData>
    <row r="1" spans="1:19" ht="19">
      <c r="A1" s="4" t="s">
        <v>151</v>
      </c>
      <c r="B1" s="4"/>
      <c r="C1" s="4"/>
      <c r="D1" s="4"/>
      <c r="E1" s="4"/>
      <c r="F1" s="4"/>
      <c r="G1" s="4"/>
      <c r="H1" s="4">
        <v>1000</v>
      </c>
      <c r="I1" s="4"/>
      <c r="J1" s="4"/>
      <c r="K1" s="4"/>
      <c r="L1" s="4"/>
      <c r="M1" s="4"/>
      <c r="N1" s="4"/>
      <c r="O1" s="4"/>
      <c r="P1" s="4"/>
    </row>
    <row r="2" spans="1:19" ht="19">
      <c r="A2" s="4" t="s">
        <v>142</v>
      </c>
      <c r="B2" s="4" t="s">
        <v>24</v>
      </c>
      <c r="C2" s="4" t="s">
        <v>1</v>
      </c>
      <c r="D2" s="4" t="s">
        <v>2</v>
      </c>
      <c r="E2" s="4"/>
      <c r="F2" s="4"/>
      <c r="G2" s="4" t="s">
        <v>107</v>
      </c>
      <c r="H2" s="4"/>
      <c r="I2" s="4" t="s">
        <v>116</v>
      </c>
      <c r="J2" s="4" t="s">
        <v>130</v>
      </c>
      <c r="K2" s="4" t="s">
        <v>9</v>
      </c>
      <c r="L2" s="4" t="s">
        <v>6</v>
      </c>
      <c r="M2" s="4" t="s">
        <v>10</v>
      </c>
      <c r="N2" s="4"/>
      <c r="O2" s="4" t="s">
        <v>160</v>
      </c>
      <c r="P2" s="5" t="s">
        <v>159</v>
      </c>
      <c r="Q2" s="4" t="s">
        <v>176</v>
      </c>
      <c r="R2" s="4" t="s">
        <v>177</v>
      </c>
      <c r="S2" s="10" t="s">
        <v>178</v>
      </c>
    </row>
    <row r="3" spans="1:19" ht="19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S3" s="11"/>
    </row>
    <row r="4" spans="1:19" ht="19">
      <c r="A4" s="4" t="s">
        <v>77</v>
      </c>
      <c r="B4" s="4" t="s">
        <v>133</v>
      </c>
      <c r="C4" s="1">
        <v>94.83</v>
      </c>
      <c r="D4" s="4" t="s">
        <v>161</v>
      </c>
      <c r="E4" s="4"/>
      <c r="F4" s="4"/>
      <c r="G4" s="4">
        <f>C4*31</f>
        <v>2939.73</v>
      </c>
      <c r="H4" s="4">
        <f>G4/10</f>
        <v>293.97300000000001</v>
      </c>
      <c r="I4" s="4">
        <v>630</v>
      </c>
      <c r="J4" s="4">
        <f>(L4-K4)/I4</f>
        <v>8.5809952380952375</v>
      </c>
      <c r="K4" s="4">
        <f>H4</f>
        <v>293.97300000000001</v>
      </c>
      <c r="L4" s="4">
        <v>5700</v>
      </c>
      <c r="M4" s="4">
        <f>(K4/L4)*100</f>
        <v>5.1574210526315794</v>
      </c>
      <c r="N4" s="4"/>
      <c r="O4" s="4">
        <f>(L4/I4)*600</f>
        <v>5428.5714285714284</v>
      </c>
      <c r="P4" s="4">
        <f>(K4/O4)*100</f>
        <v>5.4152921052631582</v>
      </c>
      <c r="Q4">
        <f>G4-H4</f>
        <v>2645.7570000000001</v>
      </c>
      <c r="R4">
        <f>O4-Q4</f>
        <v>2782.8144285714284</v>
      </c>
      <c r="S4" s="11">
        <f>(K4/R4)*100</f>
        <v>10.563873644672475</v>
      </c>
    </row>
    <row r="5" spans="1:19" ht="19">
      <c r="A5" s="4" t="s">
        <v>73</v>
      </c>
      <c r="B5" s="4" t="s">
        <v>132</v>
      </c>
      <c r="C5" s="1">
        <v>97.12</v>
      </c>
      <c r="D5" s="4" t="s">
        <v>162</v>
      </c>
      <c r="E5" s="4"/>
      <c r="F5" s="4"/>
      <c r="G5" s="4">
        <f>C5*16</f>
        <v>1553.92</v>
      </c>
      <c r="H5" s="4">
        <f t="shared" ref="H5:H17" si="0">G5/10</f>
        <v>155.392</v>
      </c>
      <c r="I5" s="4">
        <v>681</v>
      </c>
      <c r="J5" s="4">
        <f>(L5-K5)/I5</f>
        <v>6.5853274596182088</v>
      </c>
      <c r="K5" s="4">
        <f t="shared" ref="K5:K6" si="1">H5</f>
        <v>155.392</v>
      </c>
      <c r="L5" s="4">
        <v>4640</v>
      </c>
      <c r="M5" s="4">
        <f>(K5/L5)*100</f>
        <v>3.3489655172413793</v>
      </c>
      <c r="N5" s="4"/>
      <c r="O5" s="4">
        <f>(L5/I5)*600</f>
        <v>4088.1057268722466</v>
      </c>
      <c r="P5" s="4">
        <f>(K5/O5)*100</f>
        <v>3.801075862068966</v>
      </c>
      <c r="Q5">
        <f>G5-H5</f>
        <v>1398.528</v>
      </c>
      <c r="R5">
        <f>O5-Q5</f>
        <v>2689.5777268722468</v>
      </c>
      <c r="S5" s="11">
        <f>(K5/R5)*100</f>
        <v>5.7775612300562829</v>
      </c>
    </row>
    <row r="6" spans="1:19" ht="19">
      <c r="A6" s="4" t="s">
        <v>94</v>
      </c>
      <c r="B6" s="4" t="s">
        <v>131</v>
      </c>
      <c r="C6" s="1">
        <v>94.66</v>
      </c>
      <c r="D6" s="4" t="s">
        <v>163</v>
      </c>
      <c r="E6" s="4"/>
      <c r="F6" s="4"/>
      <c r="G6" s="4">
        <f>C6*11</f>
        <v>1041.26</v>
      </c>
      <c r="H6" s="4">
        <f t="shared" si="0"/>
        <v>104.126</v>
      </c>
      <c r="I6" s="4">
        <v>696</v>
      </c>
      <c r="J6" s="4">
        <f>(L6-K6)/I6</f>
        <v>6.0199339080459771</v>
      </c>
      <c r="K6" s="4">
        <f t="shared" si="1"/>
        <v>104.126</v>
      </c>
      <c r="L6" s="4">
        <v>4294</v>
      </c>
      <c r="M6" s="4">
        <f>(K6/L6)*100</f>
        <v>2.4249184909175594</v>
      </c>
      <c r="N6" s="4"/>
      <c r="O6" s="4">
        <f>(L6/I6)*600</f>
        <v>3701.7241379310344</v>
      </c>
      <c r="P6" s="4">
        <f>(K6/O6)*100</f>
        <v>2.812905449464369</v>
      </c>
      <c r="Q6">
        <f>G6-H6</f>
        <v>937.13400000000001</v>
      </c>
      <c r="R6">
        <f>O6-Q6</f>
        <v>2764.5901379310344</v>
      </c>
      <c r="S6" s="11">
        <f>(K6/R6)*100</f>
        <v>3.766417255540305</v>
      </c>
    </row>
    <row r="7" spans="1:19" ht="19">
      <c r="A7" s="4"/>
      <c r="B7" s="4"/>
      <c r="C7" s="4"/>
      <c r="D7" s="4"/>
      <c r="E7" s="4" t="s">
        <v>7</v>
      </c>
      <c r="F7" s="4" t="s">
        <v>8</v>
      </c>
      <c r="G7" s="4"/>
      <c r="H7" s="4">
        <f t="shared" si="0"/>
        <v>0</v>
      </c>
      <c r="I7" s="4"/>
      <c r="J7" s="4"/>
      <c r="K7" s="4"/>
      <c r="L7" s="4"/>
      <c r="M7" s="4"/>
      <c r="N7" s="4"/>
      <c r="O7" s="4"/>
      <c r="P7" s="4"/>
      <c r="S7" s="11"/>
    </row>
    <row r="8" spans="1:19" ht="19">
      <c r="A8" s="4" t="s">
        <v>3</v>
      </c>
      <c r="B8" s="4"/>
      <c r="C8" s="4"/>
      <c r="D8" s="4" t="s">
        <v>16</v>
      </c>
      <c r="E8" s="4"/>
      <c r="F8" s="4"/>
      <c r="G8" s="4"/>
      <c r="H8" s="4">
        <f t="shared" si="0"/>
        <v>0</v>
      </c>
      <c r="I8" s="4"/>
      <c r="J8" s="4"/>
      <c r="K8" s="4"/>
      <c r="L8" s="4"/>
      <c r="M8" s="4"/>
      <c r="N8" s="4" t="s">
        <v>148</v>
      </c>
      <c r="O8" s="4"/>
      <c r="P8" s="4"/>
      <c r="S8" s="11"/>
    </row>
    <row r="9" spans="1:19" ht="19">
      <c r="A9" s="4" t="s">
        <v>78</v>
      </c>
      <c r="B9" s="4" t="s">
        <v>153</v>
      </c>
      <c r="C9" s="1">
        <v>9.73</v>
      </c>
      <c r="D9" s="4" t="s">
        <v>137</v>
      </c>
      <c r="E9" s="4">
        <v>0.44750000000000001</v>
      </c>
      <c r="F9" s="4">
        <v>268.53899999999999</v>
      </c>
      <c r="G9" s="1">
        <v>291.94299999999998</v>
      </c>
      <c r="H9" s="4">
        <f t="shared" si="0"/>
        <v>29.194299999999998</v>
      </c>
      <c r="I9" s="4">
        <v>600</v>
      </c>
      <c r="J9" s="4">
        <f t="shared" ref="J9:J17" si="2">(L9-K9)/I9</f>
        <v>5.0137778333333332</v>
      </c>
      <c r="K9" s="4">
        <f>H9+F9</f>
        <v>297.73329999999999</v>
      </c>
      <c r="L9" s="4">
        <v>3306</v>
      </c>
      <c r="M9" s="4">
        <f t="shared" ref="M9:M17" si="3">(K9/L9)*100</f>
        <v>9.0058469449485781</v>
      </c>
      <c r="N9" s="4" t="s">
        <v>157</v>
      </c>
      <c r="O9" s="4">
        <v>3135</v>
      </c>
      <c r="P9" s="4">
        <f t="shared" ref="P9:P17" si="4">(K9/O9)*100</f>
        <v>9.4970749601275912</v>
      </c>
      <c r="Q9">
        <f t="shared" ref="Q9:Q17" si="5">G9-H9</f>
        <v>262.74869999999999</v>
      </c>
      <c r="R9">
        <f t="shared" ref="R9:R17" si="6">O9-Q9</f>
        <v>2872.2512999999999</v>
      </c>
      <c r="S9" s="11">
        <f t="shared" ref="S9:S17" si="7">(K9/R9)*100</f>
        <v>10.365851344553311</v>
      </c>
    </row>
    <row r="10" spans="1:19" ht="19">
      <c r="A10" s="4" t="s">
        <v>79</v>
      </c>
      <c r="B10" s="4" t="s">
        <v>154</v>
      </c>
      <c r="C10" s="1">
        <v>2.8</v>
      </c>
      <c r="D10" s="4" t="s">
        <v>138</v>
      </c>
      <c r="E10" s="4">
        <v>0.18820000000000001</v>
      </c>
      <c r="F10" s="4">
        <v>112.92100000000001</v>
      </c>
      <c r="G10" s="4">
        <v>84.21</v>
      </c>
      <c r="H10" s="4">
        <f t="shared" si="0"/>
        <v>8.4209999999999994</v>
      </c>
      <c r="I10" s="4">
        <v>600</v>
      </c>
      <c r="J10" s="4">
        <f t="shared" si="2"/>
        <v>4.8610966666666666</v>
      </c>
      <c r="K10" s="4">
        <f t="shared" ref="K10:K17" si="8">H10+F10</f>
        <v>121.34200000000001</v>
      </c>
      <c r="L10" s="4">
        <v>3038</v>
      </c>
      <c r="M10" s="4">
        <f t="shared" si="3"/>
        <v>3.9941408821593161</v>
      </c>
      <c r="N10" s="4" t="s">
        <v>157</v>
      </c>
      <c r="O10" s="4">
        <v>2785</v>
      </c>
      <c r="P10" s="4">
        <f t="shared" si="4"/>
        <v>4.3569838420107727</v>
      </c>
      <c r="Q10">
        <f t="shared" si="5"/>
        <v>75.788999999999987</v>
      </c>
      <c r="R10">
        <f t="shared" si="6"/>
        <v>2709.2110000000002</v>
      </c>
      <c r="S10" s="11">
        <f t="shared" si="7"/>
        <v>4.4788685709603273</v>
      </c>
    </row>
    <row r="11" spans="1:19" ht="19">
      <c r="A11" s="4" t="s">
        <v>80</v>
      </c>
      <c r="B11" s="4" t="s">
        <v>106</v>
      </c>
      <c r="C11" s="1">
        <v>1.1000000000000001</v>
      </c>
      <c r="D11" s="4" t="s">
        <v>139</v>
      </c>
      <c r="E11" s="1">
        <v>9.2499999999999999E-2</v>
      </c>
      <c r="F11" s="1">
        <v>55.5593</v>
      </c>
      <c r="G11" s="4">
        <v>33.11</v>
      </c>
      <c r="H11" s="4">
        <f t="shared" si="0"/>
        <v>3.3109999999999999</v>
      </c>
      <c r="I11" s="4">
        <v>728</v>
      </c>
      <c r="J11" s="4">
        <f t="shared" si="2"/>
        <v>4.1691342032967036</v>
      </c>
      <c r="K11" s="4">
        <f t="shared" si="8"/>
        <v>58.8703</v>
      </c>
      <c r="L11" s="4">
        <v>3094</v>
      </c>
      <c r="M11" s="4">
        <f t="shared" si="3"/>
        <v>1.9027246283128636</v>
      </c>
      <c r="N11" s="4" t="s">
        <v>147</v>
      </c>
      <c r="O11" s="4">
        <f>(L11/I11)*600</f>
        <v>2550</v>
      </c>
      <c r="P11" s="4">
        <f t="shared" si="4"/>
        <v>2.3086392156862745</v>
      </c>
      <c r="Q11">
        <f t="shared" si="5"/>
        <v>29.798999999999999</v>
      </c>
      <c r="R11">
        <f t="shared" si="6"/>
        <v>2520.201</v>
      </c>
      <c r="S11" s="11">
        <f t="shared" si="7"/>
        <v>2.335936697112651</v>
      </c>
    </row>
    <row r="12" spans="1:19" ht="19">
      <c r="A12" s="4" t="s">
        <v>74</v>
      </c>
      <c r="B12" s="4" t="s">
        <v>155</v>
      </c>
      <c r="C12" s="1">
        <v>9.6434200000000008</v>
      </c>
      <c r="D12" s="4" t="s">
        <v>140</v>
      </c>
      <c r="E12" s="4">
        <v>0.32212000000000002</v>
      </c>
      <c r="F12" s="4">
        <v>193.27199999999999</v>
      </c>
      <c r="G12" s="1">
        <v>144.65100000000001</v>
      </c>
      <c r="H12" s="4">
        <f t="shared" si="0"/>
        <v>14.465100000000001</v>
      </c>
      <c r="I12" s="4">
        <v>600</v>
      </c>
      <c r="J12" s="4">
        <f t="shared" si="2"/>
        <v>4.7504381666666671</v>
      </c>
      <c r="K12" s="4">
        <f t="shared" si="8"/>
        <v>207.7371</v>
      </c>
      <c r="L12" s="4">
        <v>3058</v>
      </c>
      <c r="M12" s="4">
        <f t="shared" si="3"/>
        <v>6.7932341399607594</v>
      </c>
      <c r="N12" s="4" t="s">
        <v>157</v>
      </c>
      <c r="O12" s="4">
        <v>2594</v>
      </c>
      <c r="P12" s="4">
        <f t="shared" si="4"/>
        <v>8.0083693138010794</v>
      </c>
      <c r="Q12">
        <f t="shared" si="5"/>
        <v>130.1859</v>
      </c>
      <c r="R12">
        <f t="shared" si="6"/>
        <v>2463.8141000000001</v>
      </c>
      <c r="S12" s="11">
        <f t="shared" si="7"/>
        <v>8.4315249271444621</v>
      </c>
    </row>
    <row r="13" spans="1:19" ht="19">
      <c r="A13" s="4" t="s">
        <v>75</v>
      </c>
      <c r="B13" s="4" t="s">
        <v>105</v>
      </c>
      <c r="C13" s="1">
        <v>2.7849200000000001</v>
      </c>
      <c r="D13" s="4" t="s">
        <v>138</v>
      </c>
      <c r="E13" s="1">
        <v>0.16284799999999999</v>
      </c>
      <c r="F13" s="1">
        <v>97.709000000000003</v>
      </c>
      <c r="G13" s="1">
        <v>41.773899999999998</v>
      </c>
      <c r="H13" s="4">
        <f t="shared" si="0"/>
        <v>4.1773899999999999</v>
      </c>
      <c r="I13" s="4">
        <v>727</v>
      </c>
      <c r="J13" s="4">
        <f t="shared" si="2"/>
        <v>4.0716830949105915</v>
      </c>
      <c r="K13" s="4">
        <f t="shared" si="8"/>
        <v>101.88639000000001</v>
      </c>
      <c r="L13" s="4">
        <v>3062</v>
      </c>
      <c r="M13" s="4">
        <f t="shared" si="3"/>
        <v>3.3274457870672762</v>
      </c>
      <c r="N13" s="4" t="s">
        <v>152</v>
      </c>
      <c r="O13" s="4">
        <f>(L13/I13)*600</f>
        <v>2527.0976616231087</v>
      </c>
      <c r="P13" s="4">
        <f t="shared" si="4"/>
        <v>4.0317551453298499</v>
      </c>
      <c r="Q13">
        <f t="shared" si="5"/>
        <v>37.596509999999995</v>
      </c>
      <c r="R13">
        <f t="shared" si="6"/>
        <v>2489.5011516231089</v>
      </c>
      <c r="S13" s="11">
        <f t="shared" si="7"/>
        <v>4.0926428145482863</v>
      </c>
    </row>
    <row r="14" spans="1:19" ht="19">
      <c r="A14" s="4" t="s">
        <v>76</v>
      </c>
      <c r="B14" s="4" t="s">
        <v>104</v>
      </c>
      <c r="C14" s="1">
        <v>1.1014999999999999</v>
      </c>
      <c r="D14" s="4" t="s">
        <v>139</v>
      </c>
      <c r="E14" s="1">
        <v>0.10433199999999999</v>
      </c>
      <c r="F14" s="1">
        <v>62.599200000000003</v>
      </c>
      <c r="G14" s="1">
        <v>16.522500000000001</v>
      </c>
      <c r="H14" s="4">
        <f t="shared" si="0"/>
        <v>1.65225</v>
      </c>
      <c r="I14" s="4">
        <v>722</v>
      </c>
      <c r="J14" s="4">
        <f t="shared" si="2"/>
        <v>4.0495132271468144</v>
      </c>
      <c r="K14" s="4">
        <f t="shared" si="8"/>
        <v>64.251450000000006</v>
      </c>
      <c r="L14" s="4">
        <v>2988</v>
      </c>
      <c r="M14" s="4">
        <f t="shared" si="3"/>
        <v>2.150316265060241</v>
      </c>
      <c r="N14" s="4" t="s">
        <v>147</v>
      </c>
      <c r="O14" s="4">
        <f>(L14/I14)*600</f>
        <v>2483.1024930747922</v>
      </c>
      <c r="P14" s="4">
        <f t="shared" si="4"/>
        <v>2.5875472389558238</v>
      </c>
      <c r="Q14">
        <f t="shared" si="5"/>
        <v>14.87025</v>
      </c>
      <c r="R14">
        <f t="shared" si="6"/>
        <v>2468.2322430747922</v>
      </c>
      <c r="S14" s="11">
        <f t="shared" si="7"/>
        <v>2.6031363207523359</v>
      </c>
    </row>
    <row r="15" spans="1:19" ht="19">
      <c r="A15" s="4" t="s">
        <v>95</v>
      </c>
      <c r="B15" s="4" t="s">
        <v>156</v>
      </c>
      <c r="C15" s="1">
        <v>9.7222000000000008</v>
      </c>
      <c r="D15" s="4" t="s">
        <v>140</v>
      </c>
      <c r="E15" s="1">
        <v>0.383884</v>
      </c>
      <c r="F15" s="1">
        <v>230.33</v>
      </c>
      <c r="G15" s="1">
        <v>97.222899999999996</v>
      </c>
      <c r="H15" s="4">
        <f t="shared" si="0"/>
        <v>9.7222899999999992</v>
      </c>
      <c r="I15" s="4">
        <v>600</v>
      </c>
      <c r="J15" s="4">
        <f t="shared" si="2"/>
        <v>4.8799128500000002</v>
      </c>
      <c r="K15" s="4">
        <f t="shared" si="8"/>
        <v>240.05229</v>
      </c>
      <c r="L15" s="4">
        <v>3168</v>
      </c>
      <c r="M15" s="4">
        <f t="shared" si="3"/>
        <v>7.5774081439393948</v>
      </c>
      <c r="N15" s="4" t="s">
        <v>157</v>
      </c>
      <c r="O15" s="4">
        <v>2736</v>
      </c>
      <c r="P15" s="4">
        <f t="shared" si="4"/>
        <v>8.7738410087719299</v>
      </c>
      <c r="Q15">
        <f t="shared" si="5"/>
        <v>87.500609999999995</v>
      </c>
      <c r="R15">
        <f t="shared" si="6"/>
        <v>2648.4993899999999</v>
      </c>
      <c r="S15" s="11">
        <f t="shared" si="7"/>
        <v>9.06370946908166</v>
      </c>
    </row>
    <row r="16" spans="1:19" ht="19">
      <c r="A16" s="4" t="s">
        <v>96</v>
      </c>
      <c r="B16" s="4" t="s">
        <v>103</v>
      </c>
      <c r="C16" s="1">
        <v>2.7884000000000002</v>
      </c>
      <c r="D16" s="4" t="s">
        <v>138</v>
      </c>
      <c r="E16" s="1">
        <v>0.149841</v>
      </c>
      <c r="F16" s="1">
        <v>89.904300000000006</v>
      </c>
      <c r="G16" s="1">
        <v>27.884</v>
      </c>
      <c r="H16" s="4">
        <f t="shared" si="0"/>
        <v>2.7884000000000002</v>
      </c>
      <c r="I16" s="4">
        <v>713</v>
      </c>
      <c r="J16" s="4">
        <f t="shared" si="2"/>
        <v>4.2500803646563812</v>
      </c>
      <c r="K16" s="4">
        <f t="shared" si="8"/>
        <v>92.692700000000002</v>
      </c>
      <c r="L16" s="4">
        <v>3123</v>
      </c>
      <c r="M16" s="4">
        <f t="shared" si="3"/>
        <v>2.9680659622158179</v>
      </c>
      <c r="N16" s="4" t="s">
        <v>147</v>
      </c>
      <c r="O16" s="4">
        <f>(L16/I16)*600</f>
        <v>2628.0504908835901</v>
      </c>
      <c r="P16" s="4">
        <f t="shared" si="4"/>
        <v>3.5270517184331309</v>
      </c>
      <c r="Q16">
        <f t="shared" si="5"/>
        <v>25.095600000000001</v>
      </c>
      <c r="R16">
        <f t="shared" si="6"/>
        <v>2602.95489088359</v>
      </c>
      <c r="S16" s="11">
        <f t="shared" si="7"/>
        <v>3.5610567176803767</v>
      </c>
    </row>
    <row r="17" spans="1:19" ht="19">
      <c r="A17" s="4" t="s">
        <v>97</v>
      </c>
      <c r="B17" s="4" t="s">
        <v>102</v>
      </c>
      <c r="C17" s="1">
        <v>1.107</v>
      </c>
      <c r="D17" s="4" t="s">
        <v>139</v>
      </c>
      <c r="E17" s="1">
        <v>8.3080699999999993E-2</v>
      </c>
      <c r="F17" s="1">
        <v>49.848399999999998</v>
      </c>
      <c r="G17" s="1">
        <v>11.0723</v>
      </c>
      <c r="H17" s="4">
        <f t="shared" si="0"/>
        <v>1.1072299999999999</v>
      </c>
      <c r="I17" s="4">
        <v>725</v>
      </c>
      <c r="J17" s="4">
        <f t="shared" si="2"/>
        <v>3.8221301655172413</v>
      </c>
      <c r="K17" s="4">
        <f t="shared" si="8"/>
        <v>50.955629999999999</v>
      </c>
      <c r="L17" s="4">
        <v>2822</v>
      </c>
      <c r="M17" s="4">
        <f t="shared" si="3"/>
        <v>1.8056566265060241</v>
      </c>
      <c r="N17" s="4" t="s">
        <v>147</v>
      </c>
      <c r="O17" s="4">
        <f>(L17/I17)*600</f>
        <v>2335.4482758620688</v>
      </c>
      <c r="P17" s="4">
        <f t="shared" si="4"/>
        <v>2.1818350903614459</v>
      </c>
      <c r="Q17">
        <f t="shared" si="5"/>
        <v>9.9650700000000008</v>
      </c>
      <c r="R17">
        <f t="shared" si="6"/>
        <v>2325.4832058620686</v>
      </c>
      <c r="S17" s="11">
        <f t="shared" si="7"/>
        <v>2.1911846050554677</v>
      </c>
    </row>
    <row r="18" spans="1:19" ht="19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9" ht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 t="s">
        <v>11</v>
      </c>
      <c r="O19" s="4" t="s">
        <v>12</v>
      </c>
      <c r="P19" s="4" t="s">
        <v>13</v>
      </c>
    </row>
    <row r="20" spans="1:19" ht="19">
      <c r="A20" s="4" t="s">
        <v>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9" ht="19">
      <c r="A21" s="4" t="s">
        <v>81</v>
      </c>
      <c r="B21" s="4" t="s">
        <v>25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9" ht="19">
      <c r="A22" s="4" t="s">
        <v>82</v>
      </c>
      <c r="B22" s="4" t="s">
        <v>26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9" ht="19">
      <c r="A23" s="4" t="s">
        <v>83</v>
      </c>
      <c r="B23" s="4" t="s">
        <v>27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9" ht="19">
      <c r="A24" s="4" t="s">
        <v>84</v>
      </c>
      <c r="B24" s="4" t="s">
        <v>28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9" ht="19">
      <c r="A25" s="4" t="s">
        <v>85</v>
      </c>
      <c r="B25" s="4" t="s">
        <v>29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9" ht="19">
      <c r="A26" s="4" t="s">
        <v>86</v>
      </c>
      <c r="B26" s="4" t="s">
        <v>30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9" ht="19">
      <c r="A27" s="4" t="s">
        <v>87</v>
      </c>
      <c r="B27" s="4" t="s">
        <v>31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9" ht="19">
      <c r="A28" s="4" t="s">
        <v>88</v>
      </c>
      <c r="B28" s="4" t="s">
        <v>32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9" ht="19">
      <c r="A29" s="4" t="s">
        <v>89</v>
      </c>
      <c r="B29" s="4" t="s">
        <v>33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9" ht="19">
      <c r="A30" s="4" t="s">
        <v>90</v>
      </c>
      <c r="B30" s="4" t="s">
        <v>34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9" ht="19">
      <c r="A31" s="4" t="s">
        <v>91</v>
      </c>
      <c r="B31" s="4" t="s">
        <v>35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9" ht="19">
      <c r="A32" s="4" t="s">
        <v>92</v>
      </c>
      <c r="B32" s="4" t="s">
        <v>36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95BF-30B1-9349-8448-A9AAE4FA1DEC}">
  <dimension ref="A1:Q31"/>
  <sheetViews>
    <sheetView zoomScale="83" workbookViewId="0">
      <selection activeCell="P27" sqref="P27"/>
    </sheetView>
  </sheetViews>
  <sheetFormatPr baseColWidth="10" defaultRowHeight="19"/>
  <cols>
    <col min="1" max="1" width="39.1640625" style="4" customWidth="1"/>
    <col min="2" max="2" width="11" style="4" customWidth="1"/>
    <col min="3" max="3" width="10.83203125" style="4"/>
    <col min="4" max="4" width="14.83203125" style="4" customWidth="1"/>
    <col min="5" max="7" width="10.83203125" style="4"/>
    <col min="8" max="8" width="13.83203125" style="4" customWidth="1"/>
    <col min="9" max="9" width="19" style="4" customWidth="1"/>
    <col min="10" max="10" width="18.33203125" style="4" customWidth="1"/>
    <col min="11" max="12" width="9.83203125" style="4" customWidth="1"/>
    <col min="13" max="13" width="18.33203125" style="4" customWidth="1"/>
    <col min="14" max="14" width="10.83203125" style="4"/>
    <col min="15" max="15" width="12.6640625" style="4" customWidth="1"/>
    <col min="16" max="16" width="15.6640625" style="4" customWidth="1"/>
    <col min="17" max="16384" width="10.83203125" style="4"/>
  </cols>
  <sheetData>
    <row r="1" spans="1:17">
      <c r="A1" s="4" t="s">
        <v>93</v>
      </c>
    </row>
    <row r="2" spans="1:17">
      <c r="A2" s="4" t="s">
        <v>5</v>
      </c>
      <c r="B2" s="4" t="s">
        <v>24</v>
      </c>
      <c r="C2" s="4" t="s">
        <v>1</v>
      </c>
      <c r="D2" s="4" t="s">
        <v>2</v>
      </c>
      <c r="G2" s="4" t="s">
        <v>107</v>
      </c>
      <c r="L2" s="4" t="s">
        <v>116</v>
      </c>
      <c r="M2" s="4" t="s">
        <v>110</v>
      </c>
      <c r="O2" s="4" t="s">
        <v>9</v>
      </c>
      <c r="P2" s="4" t="s">
        <v>6</v>
      </c>
      <c r="Q2" s="12" t="s">
        <v>10</v>
      </c>
    </row>
    <row r="3" spans="1:17">
      <c r="A3" s="5" t="s">
        <v>0</v>
      </c>
      <c r="B3" s="5"/>
      <c r="Q3" s="12"/>
    </row>
    <row r="4" spans="1:17">
      <c r="A4" s="4" t="s">
        <v>17</v>
      </c>
      <c r="B4" s="4" t="s">
        <v>51</v>
      </c>
      <c r="C4" s="2">
        <v>6.5077100000000003</v>
      </c>
      <c r="D4" s="6" t="s">
        <v>111</v>
      </c>
      <c r="G4" s="4">
        <v>110.63</v>
      </c>
      <c r="H4" s="4">
        <f>G4/10</f>
        <v>11.062999999999999</v>
      </c>
      <c r="L4" s="4">
        <v>400</v>
      </c>
      <c r="M4" s="4">
        <f>(P4-O4)/L4</f>
        <v>11.2191195425</v>
      </c>
      <c r="O4" s="4">
        <f>H4</f>
        <v>11.062999999999999</v>
      </c>
      <c r="P4" s="3">
        <v>4498.7108170000001</v>
      </c>
      <c r="Q4" s="12">
        <f>(O4/P4)*100</f>
        <v>0.24591489540057709</v>
      </c>
    </row>
    <row r="5" spans="1:17">
      <c r="Q5" s="12"/>
    </row>
    <row r="6" spans="1:17">
      <c r="E6" s="4" t="s">
        <v>7</v>
      </c>
      <c r="F6" s="4" t="s">
        <v>8</v>
      </c>
      <c r="Q6" s="12"/>
    </row>
    <row r="7" spans="1:17">
      <c r="A7" s="5" t="s">
        <v>3</v>
      </c>
      <c r="B7" s="5"/>
      <c r="D7" s="4" t="s">
        <v>72</v>
      </c>
      <c r="Q7" s="12"/>
    </row>
    <row r="8" spans="1:17">
      <c r="A8" s="4" t="s">
        <v>18</v>
      </c>
      <c r="B8" s="4" t="s">
        <v>52</v>
      </c>
      <c r="C8" s="4">
        <v>8.4977</v>
      </c>
      <c r="D8" s="4" t="s">
        <v>108</v>
      </c>
      <c r="E8" s="4">
        <v>1.3183800000000001E-2</v>
      </c>
      <c r="F8" s="4">
        <v>5.2735399999999997</v>
      </c>
      <c r="G8" s="4">
        <v>135.96299999999999</v>
      </c>
      <c r="H8" s="4">
        <f t="shared" ref="H8:H13" si="0">G8/10</f>
        <v>13.596299999999999</v>
      </c>
      <c r="I8" s="7" t="s">
        <v>147</v>
      </c>
      <c r="L8" s="4">
        <v>400</v>
      </c>
      <c r="M8" s="4">
        <f t="shared" ref="M8:M13" si="1">(P8-O8)/L8</f>
        <v>10.72386906</v>
      </c>
      <c r="O8" s="4">
        <f>H8+F8</f>
        <v>18.86984</v>
      </c>
      <c r="P8" s="3">
        <v>4308.4174640000001</v>
      </c>
      <c r="Q8" s="12">
        <f>(O8/P8)*100</f>
        <v>0.43797612830398641</v>
      </c>
    </row>
    <row r="9" spans="1:17">
      <c r="A9" s="4" t="s">
        <v>19</v>
      </c>
      <c r="B9" s="4" t="s">
        <v>53</v>
      </c>
      <c r="C9" s="3">
        <v>0.98148100000000005</v>
      </c>
      <c r="D9" s="4" t="s">
        <v>114</v>
      </c>
      <c r="E9" s="3">
        <v>3.3797499999999999E-3</v>
      </c>
      <c r="F9" s="3">
        <v>1.3519000000000001</v>
      </c>
      <c r="G9" s="3">
        <v>15.7037</v>
      </c>
      <c r="H9" s="4">
        <f t="shared" si="0"/>
        <v>1.57037</v>
      </c>
      <c r="I9" s="7" t="s">
        <v>147</v>
      </c>
      <c r="L9" s="4">
        <v>400</v>
      </c>
      <c r="M9" s="4">
        <f t="shared" si="1"/>
        <v>11.124874689999999</v>
      </c>
      <c r="O9" s="4">
        <f t="shared" ref="O9:O13" si="2">H9+F9</f>
        <v>2.9222700000000001</v>
      </c>
      <c r="P9" s="3">
        <v>4452.8721459999997</v>
      </c>
      <c r="Q9" s="12">
        <f t="shared" ref="Q9:Q13" si="3">(O9/P9)*100</f>
        <v>6.5626631625277307E-2</v>
      </c>
    </row>
    <row r="10" spans="1:17">
      <c r="A10" s="4" t="s">
        <v>22</v>
      </c>
      <c r="B10" s="4" t="s">
        <v>54</v>
      </c>
      <c r="C10" s="3">
        <v>0.29093999999999998</v>
      </c>
      <c r="D10" s="4" t="s">
        <v>113</v>
      </c>
      <c r="E10" s="3">
        <v>2.74998E-3</v>
      </c>
      <c r="F10" s="4">
        <v>1.09999</v>
      </c>
      <c r="G10" s="3">
        <v>4.6550399999999996</v>
      </c>
      <c r="H10" s="4">
        <f t="shared" si="0"/>
        <v>0.46550399999999997</v>
      </c>
      <c r="I10" s="7" t="s">
        <v>147</v>
      </c>
      <c r="L10" s="4">
        <v>400</v>
      </c>
      <c r="M10" s="4">
        <f t="shared" si="1"/>
        <v>11.093395942499999</v>
      </c>
      <c r="O10" s="4">
        <f t="shared" si="2"/>
        <v>1.5654939999999999</v>
      </c>
      <c r="P10" s="3">
        <v>4438.923871</v>
      </c>
      <c r="Q10" s="12">
        <f t="shared" si="3"/>
        <v>3.5267421688115724E-2</v>
      </c>
    </row>
    <row r="11" spans="1:17">
      <c r="A11" s="4" t="s">
        <v>20</v>
      </c>
      <c r="B11" s="4" t="s">
        <v>55</v>
      </c>
      <c r="C11" s="3">
        <v>8.5463400000000007</v>
      </c>
      <c r="D11" s="4" t="s">
        <v>108</v>
      </c>
      <c r="E11" s="4">
        <v>1.3227300000000001E-2</v>
      </c>
      <c r="F11" s="3">
        <v>5.2909100000000002</v>
      </c>
      <c r="G11" s="3">
        <v>68.370699999999999</v>
      </c>
      <c r="H11" s="4">
        <f t="shared" si="0"/>
        <v>6.8370699999999998</v>
      </c>
      <c r="I11" s="7" t="s">
        <v>147</v>
      </c>
      <c r="L11" s="4">
        <v>400</v>
      </c>
      <c r="M11" s="4">
        <f t="shared" si="1"/>
        <v>11.2172185875</v>
      </c>
      <c r="O11" s="4">
        <f t="shared" si="2"/>
        <v>12.127980000000001</v>
      </c>
      <c r="P11" s="3">
        <v>4499.0154149999998</v>
      </c>
      <c r="Q11" s="12">
        <f t="shared" si="3"/>
        <v>0.26956964760699759</v>
      </c>
    </row>
    <row r="12" spans="1:17">
      <c r="A12" s="4" t="s">
        <v>21</v>
      </c>
      <c r="B12" s="4" t="s">
        <v>56</v>
      </c>
      <c r="C12" s="3">
        <v>0.977047</v>
      </c>
      <c r="D12" s="4" t="s">
        <v>114</v>
      </c>
      <c r="E12" s="4">
        <v>3.6296900000000001E-3</v>
      </c>
      <c r="F12" s="3">
        <v>1.4518800000000001</v>
      </c>
      <c r="G12" s="3">
        <v>7.8163799999999997</v>
      </c>
      <c r="H12" s="4">
        <f t="shared" si="0"/>
        <v>0.78163799999999994</v>
      </c>
      <c r="I12" s="7" t="s">
        <v>147</v>
      </c>
      <c r="L12" s="4">
        <v>400</v>
      </c>
      <c r="M12" s="4">
        <f t="shared" si="1"/>
        <v>11.4103103075</v>
      </c>
      <c r="O12" s="4">
        <f t="shared" si="2"/>
        <v>2.2335180000000001</v>
      </c>
      <c r="P12" s="3">
        <v>4566.3576409999996</v>
      </c>
      <c r="Q12" s="12">
        <f t="shared" si="3"/>
        <v>4.8912463183914692E-2</v>
      </c>
    </row>
    <row r="13" spans="1:17">
      <c r="A13" s="4" t="s">
        <v>23</v>
      </c>
      <c r="B13" s="4" t="s">
        <v>57</v>
      </c>
      <c r="C13" s="3">
        <v>0.28754800000000003</v>
      </c>
      <c r="D13" s="4" t="s">
        <v>113</v>
      </c>
      <c r="E13" s="4">
        <v>2.54638E-3</v>
      </c>
      <c r="F13" s="3">
        <v>1.0185500000000001</v>
      </c>
      <c r="G13" s="3">
        <v>2.3003800000000001</v>
      </c>
      <c r="H13" s="4">
        <f t="shared" si="0"/>
        <v>0.23003800000000002</v>
      </c>
      <c r="I13" s="7" t="s">
        <v>147</v>
      </c>
      <c r="L13" s="4">
        <v>400</v>
      </c>
      <c r="M13" s="4">
        <f t="shared" si="1"/>
        <v>11.306232807499999</v>
      </c>
      <c r="O13" s="4">
        <f t="shared" si="2"/>
        <v>1.248588</v>
      </c>
      <c r="P13" s="3">
        <v>4523.7417109999997</v>
      </c>
      <c r="Q13" s="12">
        <f t="shared" si="3"/>
        <v>2.7600780057002686E-2</v>
      </c>
    </row>
    <row r="16" spans="1:17">
      <c r="H16" s="4" t="s">
        <v>115</v>
      </c>
      <c r="I16" s="4" t="s">
        <v>11</v>
      </c>
      <c r="J16" s="4" t="s">
        <v>12</v>
      </c>
      <c r="K16" s="4" t="s">
        <v>13</v>
      </c>
    </row>
    <row r="17" spans="1:17">
      <c r="A17" s="5" t="s">
        <v>4</v>
      </c>
      <c r="B17" s="5"/>
    </row>
    <row r="18" spans="1:17">
      <c r="A18" s="4" t="s">
        <v>37</v>
      </c>
      <c r="B18" s="4" t="s">
        <v>71</v>
      </c>
      <c r="C18" s="4">
        <v>1.27132</v>
      </c>
      <c r="D18" s="4" t="s">
        <v>117</v>
      </c>
      <c r="E18" s="4">
        <v>1.9664399999999999E-3</v>
      </c>
      <c r="F18" s="4">
        <v>0.78657500000000002</v>
      </c>
      <c r="G18" s="4">
        <v>20.341200000000001</v>
      </c>
      <c r="H18" s="4">
        <v>29242</v>
      </c>
      <c r="I18" s="4">
        <v>7.4952000000000005E-2</v>
      </c>
      <c r="J18" s="3">
        <v>1.66959E-2</v>
      </c>
      <c r="K18" s="4">
        <v>4.5388900000000002E-4</v>
      </c>
      <c r="L18" s="4">
        <v>400</v>
      </c>
      <c r="O18" s="4">
        <v>22.594100000000001</v>
      </c>
      <c r="P18" s="3">
        <v>4503.49</v>
      </c>
      <c r="Q18" s="4">
        <f t="shared" ref="Q18:Q31" si="4">(O18/P18)*100</f>
        <v>0.50170201332744169</v>
      </c>
    </row>
    <row r="19" spans="1:17">
      <c r="A19" s="4" t="s">
        <v>38</v>
      </c>
      <c r="B19" s="4" t="s">
        <v>70</v>
      </c>
      <c r="C19" s="3">
        <v>1.2958099999999999</v>
      </c>
      <c r="D19" s="4" t="s">
        <v>117</v>
      </c>
      <c r="E19" s="4">
        <v>1.9154199999999999E-3</v>
      </c>
      <c r="F19" s="4">
        <v>0.76616899999999999</v>
      </c>
      <c r="G19" s="4">
        <v>20.732900000000001</v>
      </c>
      <c r="H19" s="3">
        <v>29761.8</v>
      </c>
      <c r="I19" s="4">
        <v>7.5769500000000004E-2</v>
      </c>
      <c r="J19" s="4">
        <v>1.7178499999999999E-2</v>
      </c>
      <c r="K19" s="4">
        <v>4.4801800000000001E-4</v>
      </c>
      <c r="L19" s="4">
        <v>400</v>
      </c>
      <c r="O19" s="3">
        <v>22.9862</v>
      </c>
      <c r="P19" s="3">
        <v>4467.41</v>
      </c>
      <c r="Q19" s="4">
        <f t="shared" si="4"/>
        <v>0.51453079077138664</v>
      </c>
    </row>
    <row r="20" spans="1:17">
      <c r="A20" s="4" t="s">
        <v>39</v>
      </c>
      <c r="B20" s="4" t="s">
        <v>69</v>
      </c>
      <c r="C20" s="4">
        <v>1.1513</v>
      </c>
      <c r="D20" s="4" t="s">
        <v>118</v>
      </c>
      <c r="E20" s="4">
        <v>1.9759399999999998E-3</v>
      </c>
      <c r="F20" s="4">
        <v>0.79037500000000005</v>
      </c>
      <c r="G20" s="4">
        <v>9.2104400000000002</v>
      </c>
      <c r="H20" s="3">
        <v>26091.200000000001</v>
      </c>
      <c r="I20" s="4">
        <v>7.5232099999999996E-2</v>
      </c>
      <c r="J20" s="4">
        <v>1.6437799999999999E-2</v>
      </c>
      <c r="K20" s="4">
        <v>3.6403500000000002E-4</v>
      </c>
      <c r="L20" s="4">
        <v>400</v>
      </c>
      <c r="O20" s="3">
        <v>10.7342</v>
      </c>
      <c r="P20" s="3">
        <v>4282.1000000000004</v>
      </c>
      <c r="Q20" s="4">
        <f t="shared" si="4"/>
        <v>0.25067607015249527</v>
      </c>
    </row>
    <row r="21" spans="1:17">
      <c r="A21" s="4" t="s">
        <v>40</v>
      </c>
      <c r="B21" s="4" t="s">
        <v>68</v>
      </c>
      <c r="C21" s="3">
        <v>1.1600900000000001</v>
      </c>
      <c r="D21" s="4" t="s">
        <v>119</v>
      </c>
      <c r="E21" s="4">
        <v>1.9648199999999999E-3</v>
      </c>
      <c r="F21" s="4">
        <v>0.78592899999999999</v>
      </c>
      <c r="G21" s="4">
        <v>9.2807399999999998</v>
      </c>
      <c r="H21" s="3">
        <v>26833</v>
      </c>
      <c r="I21" s="4">
        <v>7.5068599999999999E-2</v>
      </c>
      <c r="J21" s="4">
        <v>1.7230200000000001E-2</v>
      </c>
      <c r="K21" s="4">
        <v>4.4113399999999998E-4</v>
      </c>
      <c r="L21" s="4">
        <v>400</v>
      </c>
      <c r="O21" s="4">
        <v>10.805099999999999</v>
      </c>
      <c r="P21" s="3">
        <v>4464.32</v>
      </c>
      <c r="Q21" s="4">
        <f t="shared" si="4"/>
        <v>0.24203238119131246</v>
      </c>
    </row>
    <row r="22" spans="1:17">
      <c r="A22" s="4" t="s">
        <v>41</v>
      </c>
      <c r="B22" s="4" t="s">
        <v>67</v>
      </c>
      <c r="C22" s="3">
        <v>0.36271999999999999</v>
      </c>
      <c r="D22" s="4" t="s">
        <v>120</v>
      </c>
      <c r="E22" s="3">
        <v>1.2510399999999999E-3</v>
      </c>
      <c r="F22" s="3">
        <v>0.50041599999999997</v>
      </c>
      <c r="G22" s="3">
        <v>5.8035199999999998</v>
      </c>
      <c r="H22" s="3">
        <v>8267.6200000000008</v>
      </c>
      <c r="I22" s="3">
        <v>7.5788599999999998E-2</v>
      </c>
      <c r="J22" s="3">
        <v>1.6861600000000001E-2</v>
      </c>
      <c r="K22" s="3">
        <v>1.9176299999999999E-4</v>
      </c>
      <c r="L22" s="3">
        <v>400</v>
      </c>
      <c r="O22" s="3">
        <v>7.78634</v>
      </c>
      <c r="P22" s="3">
        <v>4498.2700000000004</v>
      </c>
      <c r="Q22" s="4">
        <f t="shared" si="4"/>
        <v>0.17309632369777714</v>
      </c>
    </row>
    <row r="23" spans="1:17">
      <c r="A23" s="4" t="s">
        <v>42</v>
      </c>
      <c r="B23" s="4" t="s">
        <v>66</v>
      </c>
      <c r="C23" s="3">
        <v>0.36913299999999999</v>
      </c>
      <c r="D23" s="4" t="s">
        <v>120</v>
      </c>
      <c r="E23" s="3">
        <v>1.2426099999999999E-3</v>
      </c>
      <c r="F23" s="3">
        <v>0.49704399999999999</v>
      </c>
      <c r="G23" s="4">
        <v>5.9061199999999996</v>
      </c>
      <c r="H23" s="3">
        <v>8401.8799999999992</v>
      </c>
      <c r="I23" s="3">
        <v>7.5344099999999997E-2</v>
      </c>
      <c r="J23" s="3">
        <v>1.7127799999999999E-2</v>
      </c>
      <c r="K23" s="3">
        <v>1.9225500000000001E-4</v>
      </c>
      <c r="L23" s="3">
        <v>400</v>
      </c>
      <c r="O23" s="3">
        <v>7.8827199999999999</v>
      </c>
      <c r="P23" s="3">
        <v>4216.66</v>
      </c>
      <c r="Q23" s="4">
        <f t="shared" si="4"/>
        <v>0.18694227184548909</v>
      </c>
    </row>
    <row r="24" spans="1:17">
      <c r="A24" s="4" t="s">
        <v>43</v>
      </c>
      <c r="B24" s="4" t="s">
        <v>65</v>
      </c>
      <c r="C24" s="3">
        <v>1.2156199999999999</v>
      </c>
      <c r="D24" s="4" t="s">
        <v>117</v>
      </c>
      <c r="E24" s="3">
        <v>1.98154E-3</v>
      </c>
      <c r="F24" s="3">
        <v>0.79261400000000004</v>
      </c>
      <c r="G24" s="3">
        <v>19.4499</v>
      </c>
      <c r="H24" s="3">
        <v>28621.9</v>
      </c>
      <c r="I24" s="3">
        <v>1.81792E-2</v>
      </c>
      <c r="J24" s="3">
        <v>1.75441E-2</v>
      </c>
      <c r="K24" s="3">
        <v>4.5126699999999999E-4</v>
      </c>
      <c r="L24" s="3">
        <v>400</v>
      </c>
      <c r="O24" s="3">
        <v>20.8141</v>
      </c>
      <c r="P24" s="3">
        <v>4512.83</v>
      </c>
      <c r="Q24" s="4">
        <f t="shared" si="4"/>
        <v>0.46122056447949511</v>
      </c>
    </row>
    <row r="25" spans="1:17">
      <c r="A25" s="4" t="s">
        <v>44</v>
      </c>
      <c r="B25" s="4" t="s">
        <v>64</v>
      </c>
      <c r="C25" s="3">
        <v>1.2355100000000001</v>
      </c>
      <c r="D25" s="4" t="s">
        <v>119</v>
      </c>
      <c r="E25" s="3">
        <v>1.7128600000000001E-3</v>
      </c>
      <c r="F25" s="3">
        <v>0.68514399999999998</v>
      </c>
      <c r="G25" s="3">
        <v>19.7682</v>
      </c>
      <c r="H25" s="3">
        <v>28808.6</v>
      </c>
      <c r="I25" s="3">
        <v>1.7585E-2</v>
      </c>
      <c r="J25" s="3">
        <v>1.7482299999999999E-2</v>
      </c>
      <c r="K25" s="3">
        <v>4.5228E-4</v>
      </c>
      <c r="L25" s="3">
        <v>400</v>
      </c>
      <c r="O25" s="3">
        <v>21.014399999999998</v>
      </c>
      <c r="P25" s="3">
        <v>4246.42</v>
      </c>
      <c r="Q25" s="4">
        <f t="shared" si="4"/>
        <v>0.49487332859208455</v>
      </c>
    </row>
    <row r="26" spans="1:17">
      <c r="A26" s="4" t="s">
        <v>45</v>
      </c>
      <c r="B26" s="4" t="s">
        <v>63</v>
      </c>
      <c r="C26" s="3">
        <v>1.1234</v>
      </c>
      <c r="D26" s="4" t="s">
        <v>121</v>
      </c>
      <c r="E26" s="3">
        <v>1.8546999999999999E-3</v>
      </c>
      <c r="F26" s="3">
        <v>0.74188100000000001</v>
      </c>
      <c r="G26" s="3">
        <v>8.9872399999999999</v>
      </c>
      <c r="H26" s="3">
        <v>25734.799999999999</v>
      </c>
      <c r="I26" s="3">
        <v>1.7080600000000001E-2</v>
      </c>
      <c r="J26" s="3">
        <v>1.6102600000000002E-2</v>
      </c>
      <c r="K26" s="3">
        <v>4.4590199999999997E-4</v>
      </c>
      <c r="L26" s="3">
        <v>400</v>
      </c>
      <c r="O26" s="3">
        <v>9.9945900000000005</v>
      </c>
      <c r="P26" s="3">
        <v>4357.59</v>
      </c>
      <c r="Q26" s="4">
        <f t="shared" si="4"/>
        <v>0.22936049513607293</v>
      </c>
    </row>
    <row r="27" spans="1:17">
      <c r="A27" s="4" t="s">
        <v>46</v>
      </c>
      <c r="B27" s="4" t="s">
        <v>62</v>
      </c>
      <c r="C27" s="3">
        <v>1.18407</v>
      </c>
      <c r="D27" s="4" t="s">
        <v>121</v>
      </c>
      <c r="E27" s="3">
        <v>1.59688E-3</v>
      </c>
      <c r="F27" s="3">
        <v>0.63875000000000004</v>
      </c>
      <c r="G27" s="3">
        <v>9.4725900000000003</v>
      </c>
      <c r="H27" s="3">
        <v>27213</v>
      </c>
      <c r="I27" s="3">
        <v>1.8489499999999999E-2</v>
      </c>
      <c r="J27" s="3">
        <v>1.7090299999999999E-2</v>
      </c>
      <c r="K27" s="3">
        <v>4.4885299999999998E-4</v>
      </c>
      <c r="L27" s="3">
        <v>400</v>
      </c>
      <c r="O27" s="3">
        <v>10.396000000000001</v>
      </c>
      <c r="P27" s="3">
        <v>4452.4399999999996</v>
      </c>
      <c r="Q27" s="4">
        <f t="shared" si="4"/>
        <v>0.2334899515771128</v>
      </c>
    </row>
    <row r="28" spans="1:17">
      <c r="A28" s="4" t="s">
        <v>47</v>
      </c>
      <c r="B28" s="4" t="s">
        <v>61</v>
      </c>
      <c r="C28" s="3">
        <v>0.753521</v>
      </c>
      <c r="D28" s="4" t="s">
        <v>122</v>
      </c>
      <c r="E28" s="3">
        <v>1.9893900000000002E-3</v>
      </c>
      <c r="F28" s="3">
        <v>0.79575799999999997</v>
      </c>
      <c r="G28" s="3">
        <v>12.0563</v>
      </c>
      <c r="H28" s="3">
        <v>17558.900000000001</v>
      </c>
      <c r="I28" s="3">
        <v>1.7490100000000001E-2</v>
      </c>
      <c r="J28" s="3">
        <v>1.71872E-2</v>
      </c>
      <c r="K28" s="3">
        <v>4.5111800000000003E-4</v>
      </c>
      <c r="L28" s="3">
        <v>400</v>
      </c>
      <c r="O28" s="3">
        <v>13.4069</v>
      </c>
      <c r="P28" s="3">
        <v>4396.93</v>
      </c>
      <c r="Q28" s="4">
        <f t="shared" si="4"/>
        <v>0.30491502025276729</v>
      </c>
    </row>
    <row r="29" spans="1:17">
      <c r="A29" s="4" t="s">
        <v>48</v>
      </c>
      <c r="B29" s="4" t="s">
        <v>60</v>
      </c>
      <c r="C29" s="3">
        <v>0.67621600000000004</v>
      </c>
      <c r="D29" s="4" t="s">
        <v>123</v>
      </c>
      <c r="E29" s="3">
        <v>1.9953000000000002E-3</v>
      </c>
      <c r="F29" s="3">
        <v>0.798122</v>
      </c>
      <c r="G29" s="3">
        <v>10.8195</v>
      </c>
      <c r="H29" s="3">
        <v>15732.6</v>
      </c>
      <c r="I29" s="3">
        <v>1.7798700000000001E-2</v>
      </c>
      <c r="J29" s="3">
        <v>1.6575800000000002E-2</v>
      </c>
      <c r="K29" s="3">
        <v>4.5439599999999998E-4</v>
      </c>
      <c r="L29" s="3">
        <v>400</v>
      </c>
      <c r="O29" s="3">
        <v>12.1676</v>
      </c>
      <c r="P29" s="3">
        <v>4450.66</v>
      </c>
      <c r="Q29" s="4">
        <f t="shared" si="4"/>
        <v>0.27338866595066802</v>
      </c>
    </row>
    <row r="30" spans="1:17">
      <c r="A30" s="4" t="s">
        <v>49</v>
      </c>
      <c r="B30" s="4" t="s">
        <v>59</v>
      </c>
      <c r="C30" s="3">
        <v>0.63919700000000002</v>
      </c>
      <c r="D30" s="4" t="s">
        <v>124</v>
      </c>
      <c r="E30" s="3">
        <v>1.85808E-3</v>
      </c>
      <c r="F30" s="3">
        <v>0.74323399999999995</v>
      </c>
      <c r="G30" s="3">
        <v>5.1135799999999998</v>
      </c>
      <c r="H30" s="3">
        <v>14594.1</v>
      </c>
      <c r="I30" s="3">
        <v>1.8240800000000001E-2</v>
      </c>
      <c r="J30" s="3">
        <v>1.74606E-2</v>
      </c>
      <c r="K30" s="3">
        <v>4.5177299999999999E-4</v>
      </c>
      <c r="L30" s="3">
        <v>400</v>
      </c>
      <c r="O30" s="3">
        <v>6.1424200000000004</v>
      </c>
      <c r="P30" s="3">
        <v>4361.3999999999996</v>
      </c>
      <c r="Q30" s="4">
        <f t="shared" si="4"/>
        <v>0.14083597010134363</v>
      </c>
    </row>
    <row r="31" spans="1:17">
      <c r="A31" s="4" t="s">
        <v>50</v>
      </c>
      <c r="B31" s="4" t="s">
        <v>58</v>
      </c>
      <c r="C31" s="3">
        <v>0.56549700000000003</v>
      </c>
      <c r="D31" s="4" t="s">
        <v>125</v>
      </c>
      <c r="E31" s="3">
        <v>1.9088099999999999E-3</v>
      </c>
      <c r="F31" s="3">
        <v>0.76352299999999995</v>
      </c>
      <c r="G31" s="3">
        <v>4.5239799999999999</v>
      </c>
      <c r="H31" s="3">
        <v>12853.2</v>
      </c>
      <c r="I31" s="3">
        <v>1.7687399999999999E-2</v>
      </c>
      <c r="J31" s="3">
        <v>1.7009799999999999E-2</v>
      </c>
      <c r="K31" s="3">
        <v>4.5430699999999999E-4</v>
      </c>
      <c r="L31" s="3">
        <v>400</v>
      </c>
      <c r="O31" s="3">
        <v>5.56508</v>
      </c>
      <c r="P31" s="3">
        <v>4325.96</v>
      </c>
      <c r="Q31" s="4">
        <f t="shared" si="4"/>
        <v>0.1286438154767959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Nyx_InSitu_128</vt:lpstr>
      <vt:lpstr>Reconstruction of Clover</vt:lpstr>
      <vt:lpstr>ParticlesVsStep</vt:lpstr>
      <vt:lpstr>Nyx_InSitu_64</vt:lpstr>
      <vt:lpstr>SW4_InSitu</vt:lpstr>
      <vt:lpstr>Binary vs ASCII</vt:lpstr>
      <vt:lpstr>Cloverleaf3D_InSitu</vt:lpstr>
      <vt:lpstr>Cloverleaf3D_InSitu_Binary</vt:lpstr>
      <vt:lpstr>Nyx_InSitu_Binary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Sudhanshu Sane</dc:creator>
  <cp:lastModifiedBy>Sudhanshu Sane</cp:lastModifiedBy>
  <dcterms:created xsi:type="dcterms:W3CDTF">2020-03-28T19:09:22Z</dcterms:created>
  <dcterms:modified xsi:type="dcterms:W3CDTF">2020-05-25T21:46:30Z</dcterms:modified>
</cp:coreProperties>
</file>